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charts/chart6.xml" ContentType="application/vnd.openxmlformats-officedocument.drawingml.chart+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xl/worksheets/sheet38.xml" ContentType="application/vnd.openxmlformats-officedocument.spreadsheetml.worksheet+xml"/>
  <Override PartName="/xl/worksheets/sheet37.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worksheets/sheet35.xml" ContentType="application/vnd.openxmlformats-officedocument.spreadsheetml.worksheet+xml"/>
  <Override PartName="/xl/worksheets/sheet36.xml" ContentType="application/vnd.openxmlformats-officedocument.spreadsheetml.worksheet+xml"/>
  <Override PartName="/xl/connections.xml" ContentType="application/vnd.openxmlformats-officedocument.spreadsheetml.connection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customXml/itemProps1.xml" ContentType="application/vnd.openxmlformats-officedocument.customXmlProperties+xml"/>
  <Override PartName="/xl/calcChain.xml" ContentType="application/vnd.openxmlformats-officedocument.spreadsheetml.calcChain+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24226"/>
  <mc:AlternateContent xmlns:mc="http://schemas.openxmlformats.org/markup-compatibility/2006">
    <mc:Choice Requires="x15">
      <x15ac:absPath xmlns:x15ac="http://schemas.microsoft.com/office/spreadsheetml/2010/11/ac" url="O:\SFA\Statistikk og analyse\Livstatistikk\Faste statistikker\MA\2017\Q4\Publisert\"/>
    </mc:Choice>
  </mc:AlternateContent>
  <bookViews>
    <workbookView xWindow="4275" yWindow="4305" windowWidth="10710" windowHeight="3225" tabRatio="835" activeTab="6"/>
  </bookViews>
  <sheets>
    <sheet name="Forside" sheetId="6" r:id="rId1"/>
    <sheet name="Innhold" sheetId="7" r:id="rId2"/>
    <sheet name="Figurer" sheetId="8" r:id="rId3"/>
    <sheet name="Tabel 1.1" sheetId="9" r:id="rId4"/>
    <sheet name="Tabell 1.2" sheetId="10" r:id="rId5"/>
    <sheet name="Tabell 1.3" sheetId="58" r:id="rId6"/>
    <sheet name="Skjema total MA" sheetId="4" r:id="rId7"/>
    <sheet name="ACE European Group" sheetId="16" r:id="rId8"/>
    <sheet name="Danica Pensjonsforsikring" sheetId="18" r:id="rId9"/>
    <sheet name="DNB Livsforsikring" sheetId="13" r:id="rId10"/>
    <sheet name="Eika Forsikring AS" sheetId="19" r:id="rId11"/>
    <sheet name="Frende Livsforsikring" sheetId="20" r:id="rId12"/>
    <sheet name="Frende Skadeforsikring" sheetId="21" r:id="rId13"/>
    <sheet name="Gjensidige Forsikring" sheetId="22" r:id="rId14"/>
    <sheet name="Gjensidige Pensjon" sheetId="23" r:id="rId15"/>
    <sheet name="Handelsbanken Liv" sheetId="24" r:id="rId16"/>
    <sheet name="If Skadeforsikring NUF" sheetId="25" r:id="rId17"/>
    <sheet name="KLP" sheetId="26" r:id="rId18"/>
    <sheet name="KLP Bedriftspensjon AS" sheetId="27" r:id="rId19"/>
    <sheet name="KLP Skadeforsikring AS" sheetId="51" r:id="rId20"/>
    <sheet name="Landbruksforsikring AS" sheetId="40" r:id="rId21"/>
    <sheet name="NEMI Forsikring" sheetId="41" r:id="rId22"/>
    <sheet name="Nordea Liv " sheetId="29" r:id="rId23"/>
    <sheet name="Oslo Pensjonsforsikring" sheetId="34" r:id="rId24"/>
    <sheet name="SHB Liv" sheetId="35" r:id="rId25"/>
    <sheet name="Silver Pensjonsforsikring AS" sheetId="36" r:id="rId26"/>
    <sheet name="Sparebank 1" sheetId="33" r:id="rId27"/>
    <sheet name="Storebrand Livsforsikring" sheetId="37" r:id="rId28"/>
    <sheet name="Telenor Forsikring" sheetId="38" r:id="rId29"/>
    <sheet name="Tryg Forsikring" sheetId="39" r:id="rId30"/>
    <sheet name="Tabell 4" sheetId="65" r:id="rId31"/>
    <sheet name="Tabell 5.1" sheetId="66" r:id="rId32"/>
    <sheet name="Tabell 5.2" sheetId="67" r:id="rId33"/>
    <sheet name="Tabell 5.3" sheetId="68" r:id="rId34"/>
    <sheet name="Tabell 6" sheetId="62" r:id="rId35"/>
    <sheet name="Tabell 7a" sheetId="69" r:id="rId36"/>
    <sheet name="Tabell 7b" sheetId="70" r:id="rId37"/>
    <sheet name="Tabell 8" sheetId="71" r:id="rId38"/>
    <sheet name="Noter og kommentarer" sheetId="3" r:id="rId39"/>
  </sheets>
  <externalReferences>
    <externalReference r:id="rId40"/>
  </externalReferences>
  <definedNames>
    <definedName name="Dag">#REF!</definedName>
    <definedName name="Dager">#REF!</definedName>
    <definedName name="dato">#REF!</definedName>
    <definedName name="Feilmelding">#REF!</definedName>
    <definedName name="FilNavn">[1]Oppslagstabeller!$N$5</definedName>
    <definedName name="Fjorårstall">#REF!</definedName>
    <definedName name="Koder2a">#REF!</definedName>
    <definedName name="kvartal">#REF!</definedName>
    <definedName name="Måned">#REF!</definedName>
    <definedName name="OppslagsKolonneDataVerdi">#REF!</definedName>
    <definedName name="OppslagsKolonneSelskapNavn">#REF!</definedName>
    <definedName name="Selskap">[1]Oppslagstabeller!$N$4</definedName>
    <definedName name="SelskapKolonneIndeks">[1]!Tabell3[#All]</definedName>
    <definedName name="SelskapListe">#REF!</definedName>
    <definedName name="Selskapsliste">[1]Oppslagstabeller!$A$1:$G$36</definedName>
    <definedName name="UtfylteTall">#REF!</definedName>
    <definedName name="_xlnm.Print_Area" localSheetId="7">'ACE European Group'!$A$1:$M$137</definedName>
    <definedName name="_xlnm.Print_Area" localSheetId="21">'NEMI Forsikring'!$A$1:$M$137</definedName>
    <definedName name="_xlnm.Print_Area" localSheetId="38">'Noter og kommentarer'!$A$1:$L$43</definedName>
    <definedName name="_xlnm.Print_Area" localSheetId="6">'Skjema total MA'!$A$1:$J$138</definedName>
    <definedName name="_xlnm.Print_Area" localSheetId="31">'Tabell 5.1'!$A$2:$AT$109</definedName>
    <definedName name="_xlnm.Print_Area" localSheetId="32">'Tabell 5.2'!$A$2:$AT$145</definedName>
    <definedName name="_xlnm.Print_Area" localSheetId="35">'Tabell 7a'!$A$2:$AN$57</definedName>
    <definedName name="_xlnm.Print_Area" localSheetId="36">'Tabell 7b'!$A$2:$AN$44</definedName>
    <definedName name="_xlnm.Print_Area" localSheetId="37">'Tabell 8'!$A$2:$AK$52</definedName>
    <definedName name="_xlnm.Print_Titles" localSheetId="31">'Tabell 5.1'!$A:$A,'Tabell 5.1'!$2:$9</definedName>
    <definedName name="_xlnm.Print_Titles" localSheetId="32">'Tabell 5.2'!$A:$A,'Tabell 5.2'!$2:$9</definedName>
    <definedName name="_xlnm.Print_Titles" localSheetId="35">'Tabell 7a'!$A:$A</definedName>
    <definedName name="_xlnm.Print_Titles" localSheetId="36">'Tabell 7b'!$A:$A</definedName>
    <definedName name="_xlnm.Print_Titles" localSheetId="37">'Tabell 8'!$A:$A</definedName>
    <definedName name="år">#REF!</definedName>
    <definedName name="ÅrFratrekk">#REF!</definedName>
  </definedNames>
  <calcPr calcId="171027"/>
</workbook>
</file>

<file path=xl/calcChain.xml><?xml version="1.0" encoding="utf-8"?>
<calcChain xmlns="http://schemas.openxmlformats.org/spreadsheetml/2006/main">
  <c r="S42" i="65" l="1"/>
  <c r="F109" i="4" l="1"/>
  <c r="E29" i="18" l="1"/>
  <c r="D29" i="18"/>
  <c r="J22" i="18"/>
  <c r="E22" i="18"/>
  <c r="D22" i="18"/>
  <c r="E93" i="13"/>
  <c r="E50" i="26"/>
  <c r="H106" i="33"/>
  <c r="H104" i="33"/>
  <c r="H95" i="33"/>
  <c r="H93" i="33"/>
  <c r="H85" i="33"/>
  <c r="H83" i="33"/>
  <c r="H74" i="33"/>
  <c r="H72" i="33"/>
  <c r="F87" i="20"/>
  <c r="E22" i="51"/>
  <c r="D22" i="51"/>
  <c r="L22" i="51"/>
  <c r="K22" i="51"/>
  <c r="F22" i="18"/>
  <c r="G29" i="18"/>
  <c r="F29" i="18"/>
  <c r="G29" i="20"/>
  <c r="F29" i="20"/>
  <c r="G29" i="23"/>
  <c r="F29" i="23"/>
  <c r="G29" i="29"/>
  <c r="F29" i="29"/>
  <c r="G29" i="35"/>
  <c r="F29" i="35"/>
  <c r="G29" i="33"/>
  <c r="F29" i="33"/>
  <c r="G29" i="37"/>
  <c r="F29" i="37"/>
  <c r="G29" i="13"/>
  <c r="F29" i="13"/>
  <c r="C29" i="20"/>
  <c r="C29" i="23"/>
  <c r="C29" i="24"/>
  <c r="C29" i="29"/>
  <c r="C29" i="33"/>
  <c r="C29" i="37"/>
  <c r="C29" i="13"/>
  <c r="B29" i="20"/>
  <c r="B29" i="23"/>
  <c r="B29" i="24"/>
  <c r="B29" i="29"/>
  <c r="B29" i="33"/>
  <c r="B29" i="37"/>
  <c r="B29" i="13"/>
  <c r="G87" i="13"/>
  <c r="F87" i="13"/>
  <c r="G87" i="20"/>
  <c r="G87" i="23"/>
  <c r="F87" i="23"/>
  <c r="G87" i="27"/>
  <c r="F87" i="27"/>
  <c r="G87" i="29"/>
  <c r="F87" i="29"/>
  <c r="G87" i="35"/>
  <c r="F87" i="35"/>
  <c r="G87" i="33"/>
  <c r="F87" i="33"/>
  <c r="G87" i="37"/>
  <c r="F87" i="37"/>
  <c r="G87" i="18"/>
  <c r="F87" i="18"/>
  <c r="C87" i="13"/>
  <c r="C87" i="20"/>
  <c r="C87" i="23"/>
  <c r="C87" i="27"/>
  <c r="C87" i="29"/>
  <c r="C87" i="33"/>
  <c r="C87" i="37"/>
  <c r="C87" i="18"/>
  <c r="B87" i="13"/>
  <c r="B87" i="20"/>
  <c r="B87" i="23"/>
  <c r="B87" i="27"/>
  <c r="B87" i="29"/>
  <c r="B87" i="33"/>
  <c r="B87" i="37"/>
  <c r="B87" i="18"/>
  <c r="G66" i="13"/>
  <c r="F66" i="13"/>
  <c r="G66" i="20"/>
  <c r="F66" i="20"/>
  <c r="G66" i="23"/>
  <c r="F66" i="23"/>
  <c r="G66" i="27"/>
  <c r="F66" i="27"/>
  <c r="G66" i="29"/>
  <c r="F66" i="29"/>
  <c r="G66" i="35"/>
  <c r="F66" i="35"/>
  <c r="G66" i="33"/>
  <c r="F66" i="33"/>
  <c r="G66" i="37"/>
  <c r="F66" i="37"/>
  <c r="G66" i="18"/>
  <c r="F66" i="18"/>
  <c r="C66" i="13"/>
  <c r="C66" i="20"/>
  <c r="C66" i="23"/>
  <c r="C66" i="27"/>
  <c r="C66" i="29"/>
  <c r="C66" i="33"/>
  <c r="C66" i="37"/>
  <c r="C66" i="18"/>
  <c r="B66" i="13"/>
  <c r="B66" i="20"/>
  <c r="B66" i="23"/>
  <c r="B66" i="27"/>
  <c r="B66" i="29"/>
  <c r="B66" i="33"/>
  <c r="B66" i="37"/>
  <c r="B66" i="18"/>
  <c r="G22" i="13"/>
  <c r="F22" i="13"/>
  <c r="G22" i="20"/>
  <c r="F22" i="20"/>
  <c r="G22" i="23"/>
  <c r="F22" i="23"/>
  <c r="G22" i="29"/>
  <c r="F22" i="29"/>
  <c r="G22" i="35"/>
  <c r="F22" i="35"/>
  <c r="G22" i="33"/>
  <c r="F22" i="33"/>
  <c r="G22" i="37"/>
  <c r="F22" i="37"/>
  <c r="G22" i="18"/>
  <c r="C22" i="13"/>
  <c r="C22" i="20"/>
  <c r="C22" i="23"/>
  <c r="C22" i="24"/>
  <c r="C22" i="29"/>
  <c r="C22" i="33"/>
  <c r="C22" i="37"/>
  <c r="B22" i="13"/>
  <c r="B22" i="20"/>
  <c r="B22" i="23"/>
  <c r="B22" i="24"/>
  <c r="B22" i="51"/>
  <c r="B22" i="29"/>
  <c r="B22" i="33"/>
  <c r="B22" i="37"/>
  <c r="E26" i="4" l="1"/>
  <c r="F26" i="4"/>
  <c r="E52" i="39" l="1"/>
  <c r="E51" i="39"/>
  <c r="L74" i="37"/>
  <c r="L72" i="37"/>
  <c r="K106" i="37"/>
  <c r="J106" i="37"/>
  <c r="L106" i="37" s="1"/>
  <c r="K104" i="37"/>
  <c r="J104" i="37"/>
  <c r="K95" i="37"/>
  <c r="J95" i="37"/>
  <c r="K93" i="37"/>
  <c r="J93" i="37"/>
  <c r="L93" i="37" s="1"/>
  <c r="K85" i="37"/>
  <c r="J85" i="37"/>
  <c r="K83" i="37"/>
  <c r="J83" i="37"/>
  <c r="K74" i="37"/>
  <c r="J74" i="37"/>
  <c r="K72" i="37"/>
  <c r="J72" i="37"/>
  <c r="L83" i="37"/>
  <c r="L85" i="37"/>
  <c r="L95" i="37"/>
  <c r="L104" i="37"/>
  <c r="H106" i="37"/>
  <c r="H104" i="37"/>
  <c r="H95" i="37"/>
  <c r="H93" i="37"/>
  <c r="H85" i="37"/>
  <c r="H83" i="37"/>
  <c r="H74" i="37"/>
  <c r="H72" i="37"/>
  <c r="K33" i="37"/>
  <c r="J33" i="37"/>
  <c r="K32" i="37"/>
  <c r="L32" i="37" s="1"/>
  <c r="J32" i="37"/>
  <c r="K31" i="37"/>
  <c r="J31" i="37"/>
  <c r="K30" i="37"/>
  <c r="L30" i="37" s="1"/>
  <c r="J30" i="37"/>
  <c r="K26" i="37"/>
  <c r="J26" i="37"/>
  <c r="K25" i="37"/>
  <c r="J25" i="37"/>
  <c r="L25" i="37" s="1"/>
  <c r="K24" i="37"/>
  <c r="J24" i="37"/>
  <c r="K23" i="37"/>
  <c r="J23" i="37"/>
  <c r="L33" i="37"/>
  <c r="L31" i="37"/>
  <c r="L26" i="37"/>
  <c r="L24" i="37"/>
  <c r="L23" i="37"/>
  <c r="H33" i="37"/>
  <c r="H32" i="37"/>
  <c r="H31" i="37"/>
  <c r="H30" i="37"/>
  <c r="H26" i="37"/>
  <c r="H25" i="37"/>
  <c r="H24" i="37"/>
  <c r="H23" i="37"/>
  <c r="E52" i="37"/>
  <c r="E51" i="37"/>
  <c r="E50" i="37"/>
  <c r="E104" i="37"/>
  <c r="D104" i="37"/>
  <c r="E93" i="37"/>
  <c r="D93" i="37"/>
  <c r="D31" i="37"/>
  <c r="D30" i="37"/>
  <c r="D24" i="37"/>
  <c r="D23" i="37"/>
  <c r="B26" i="4"/>
  <c r="C26" i="4"/>
  <c r="B27" i="4"/>
  <c r="C27" i="4"/>
  <c r="E27" i="29" s="1"/>
  <c r="K115" i="33"/>
  <c r="J115" i="33"/>
  <c r="K106" i="33"/>
  <c r="J106" i="33"/>
  <c r="L106" i="33" s="1"/>
  <c r="K104" i="33"/>
  <c r="J104" i="33"/>
  <c r="K95" i="33"/>
  <c r="J95" i="33"/>
  <c r="K93" i="33"/>
  <c r="J93" i="33"/>
  <c r="L93" i="33" s="1"/>
  <c r="K85" i="33"/>
  <c r="J85" i="33"/>
  <c r="L85" i="33" s="1"/>
  <c r="K83" i="33"/>
  <c r="J83" i="33"/>
  <c r="L83" i="33" s="1"/>
  <c r="K74" i="33"/>
  <c r="J74" i="33"/>
  <c r="K72" i="33"/>
  <c r="J72" i="33"/>
  <c r="L72" i="33"/>
  <c r="L74" i="33"/>
  <c r="L95" i="33"/>
  <c r="L104" i="33"/>
  <c r="L115" i="33"/>
  <c r="D115" i="33"/>
  <c r="D104" i="33"/>
  <c r="D93" i="33"/>
  <c r="D83" i="33"/>
  <c r="D72" i="33"/>
  <c r="E115" i="33"/>
  <c r="E104" i="33"/>
  <c r="E95" i="33"/>
  <c r="E93" i="33"/>
  <c r="E52" i="33"/>
  <c r="E51" i="33"/>
  <c r="L33" i="33"/>
  <c r="L32" i="33"/>
  <c r="L31" i="33"/>
  <c r="L30" i="33"/>
  <c r="L26" i="33"/>
  <c r="L25" i="33"/>
  <c r="L24" i="33"/>
  <c r="L23" i="33"/>
  <c r="H33" i="33"/>
  <c r="H32" i="33"/>
  <c r="H31" i="33"/>
  <c r="H30" i="33"/>
  <c r="H26" i="33"/>
  <c r="H25" i="33"/>
  <c r="H24" i="33"/>
  <c r="H23" i="33"/>
  <c r="D31" i="33"/>
  <c r="D30" i="33"/>
  <c r="D24" i="33"/>
  <c r="D23" i="33"/>
  <c r="K33" i="33"/>
  <c r="J33" i="33"/>
  <c r="K32" i="33"/>
  <c r="J32" i="33"/>
  <c r="K31" i="33"/>
  <c r="J31" i="33"/>
  <c r="K30" i="33"/>
  <c r="J30" i="33"/>
  <c r="K26" i="33"/>
  <c r="J26" i="33"/>
  <c r="K25" i="33"/>
  <c r="J25" i="33"/>
  <c r="K24" i="33"/>
  <c r="J24" i="33"/>
  <c r="K23" i="33"/>
  <c r="J23" i="33"/>
  <c r="K94" i="35"/>
  <c r="J94" i="35"/>
  <c r="K93" i="35"/>
  <c r="J93" i="35"/>
  <c r="K73" i="35"/>
  <c r="J73" i="35"/>
  <c r="K72" i="35"/>
  <c r="J72" i="35"/>
  <c r="K33" i="35"/>
  <c r="J33" i="35"/>
  <c r="K31" i="35"/>
  <c r="J31" i="35"/>
  <c r="K30" i="35"/>
  <c r="J30" i="35"/>
  <c r="L30" i="35" s="1"/>
  <c r="K26" i="35"/>
  <c r="J26" i="35"/>
  <c r="K23" i="35"/>
  <c r="J23" i="35"/>
  <c r="L23" i="35" s="1"/>
  <c r="L94" i="35"/>
  <c r="L93" i="35"/>
  <c r="H94" i="35"/>
  <c r="H93" i="35"/>
  <c r="L73" i="35"/>
  <c r="L72" i="35"/>
  <c r="H73" i="35"/>
  <c r="H72" i="35"/>
  <c r="L26" i="35"/>
  <c r="L31" i="35"/>
  <c r="L33" i="35"/>
  <c r="H33" i="35"/>
  <c r="H31" i="35"/>
  <c r="H30" i="35"/>
  <c r="H26" i="35"/>
  <c r="H23" i="35"/>
  <c r="L115" i="29"/>
  <c r="L106" i="29"/>
  <c r="L105" i="29"/>
  <c r="L104" i="29"/>
  <c r="H106" i="29"/>
  <c r="H105" i="29"/>
  <c r="H104" i="29"/>
  <c r="L95" i="29"/>
  <c r="L94" i="29"/>
  <c r="L93" i="29"/>
  <c r="L92" i="29"/>
  <c r="L91" i="29"/>
  <c r="L90" i="29"/>
  <c r="L89" i="29"/>
  <c r="L86" i="29"/>
  <c r="L85" i="29"/>
  <c r="L84" i="29"/>
  <c r="L83" i="29"/>
  <c r="H95" i="29"/>
  <c r="H94" i="29"/>
  <c r="H93" i="29"/>
  <c r="H92" i="29"/>
  <c r="H91" i="29"/>
  <c r="H90" i="29"/>
  <c r="H85" i="29"/>
  <c r="H84" i="29"/>
  <c r="H83" i="29"/>
  <c r="L74" i="29"/>
  <c r="L73" i="29"/>
  <c r="L72" i="29"/>
  <c r="L71" i="29"/>
  <c r="L70" i="29"/>
  <c r="L69" i="29"/>
  <c r="H74" i="29"/>
  <c r="H73" i="29"/>
  <c r="H72" i="29"/>
  <c r="H71" i="29"/>
  <c r="H70" i="29"/>
  <c r="H69" i="29"/>
  <c r="E93" i="29"/>
  <c r="E104" i="29"/>
  <c r="E115" i="29"/>
  <c r="D115" i="29"/>
  <c r="D104" i="29"/>
  <c r="D93" i="29"/>
  <c r="D90" i="29"/>
  <c r="D83" i="29"/>
  <c r="D72" i="29"/>
  <c r="D69" i="29"/>
  <c r="K115" i="29"/>
  <c r="J115" i="29"/>
  <c r="K106" i="29"/>
  <c r="J106" i="29"/>
  <c r="K105" i="29"/>
  <c r="J105" i="29"/>
  <c r="K104" i="29"/>
  <c r="J104" i="29"/>
  <c r="K95" i="29"/>
  <c r="J95" i="29"/>
  <c r="K94" i="29"/>
  <c r="J94" i="29"/>
  <c r="K93" i="29"/>
  <c r="J93" i="29"/>
  <c r="K92" i="29"/>
  <c r="J92" i="29"/>
  <c r="K91" i="29"/>
  <c r="J91" i="29"/>
  <c r="K90" i="29"/>
  <c r="J90" i="29"/>
  <c r="K85" i="29"/>
  <c r="J85" i="29"/>
  <c r="K84" i="29"/>
  <c r="J84" i="29"/>
  <c r="K83" i="29"/>
  <c r="J83" i="29"/>
  <c r="K74" i="29"/>
  <c r="J74" i="29"/>
  <c r="K73" i="29"/>
  <c r="J73" i="29"/>
  <c r="K72" i="29"/>
  <c r="J72" i="29"/>
  <c r="K71" i="29"/>
  <c r="J71" i="29"/>
  <c r="K70" i="29"/>
  <c r="J70" i="29"/>
  <c r="K69" i="29"/>
  <c r="J69" i="29"/>
  <c r="K33" i="29"/>
  <c r="J33" i="29"/>
  <c r="K32" i="29"/>
  <c r="J32" i="29"/>
  <c r="L32" i="29" s="1"/>
  <c r="K31" i="29"/>
  <c r="J31" i="29"/>
  <c r="L31" i="29" s="1"/>
  <c r="K30" i="29"/>
  <c r="L30" i="29" s="1"/>
  <c r="J30" i="29"/>
  <c r="K27" i="29"/>
  <c r="J27" i="29"/>
  <c r="K26" i="29"/>
  <c r="J26" i="29"/>
  <c r="K25" i="29"/>
  <c r="J25" i="29"/>
  <c r="L25" i="29" s="1"/>
  <c r="K24" i="29"/>
  <c r="J24" i="29"/>
  <c r="K23" i="29"/>
  <c r="J23" i="29"/>
  <c r="E32" i="29"/>
  <c r="L33" i="29"/>
  <c r="L27" i="29"/>
  <c r="L26" i="29"/>
  <c r="L24" i="29"/>
  <c r="L23" i="29"/>
  <c r="H33" i="29"/>
  <c r="H32" i="29"/>
  <c r="H31" i="29"/>
  <c r="H30" i="29"/>
  <c r="H26" i="29"/>
  <c r="H25" i="29"/>
  <c r="H24" i="29"/>
  <c r="H23" i="29"/>
  <c r="D32" i="29"/>
  <c r="D31" i="29"/>
  <c r="D30" i="29"/>
  <c r="D27" i="29"/>
  <c r="D25" i="29"/>
  <c r="D24" i="29"/>
  <c r="D23" i="29"/>
  <c r="K72" i="27"/>
  <c r="K73" i="27"/>
  <c r="K74" i="27"/>
  <c r="K77" i="27"/>
  <c r="K78" i="27"/>
  <c r="K79" i="27"/>
  <c r="K83" i="27"/>
  <c r="K84" i="27"/>
  <c r="K85" i="27"/>
  <c r="K87" i="27"/>
  <c r="K88" i="27"/>
  <c r="K89" i="27"/>
  <c r="K93" i="27"/>
  <c r="K94" i="27"/>
  <c r="K95" i="27"/>
  <c r="K98" i="27"/>
  <c r="K99" i="27"/>
  <c r="K100" i="27"/>
  <c r="K104" i="27"/>
  <c r="L104" i="27" s="1"/>
  <c r="K105" i="27"/>
  <c r="L105" i="27" s="1"/>
  <c r="K106" i="27"/>
  <c r="K108" i="27"/>
  <c r="K109" i="27"/>
  <c r="K111" i="27"/>
  <c r="K112" i="27"/>
  <c r="K113" i="27"/>
  <c r="K115" i="27"/>
  <c r="J115" i="27"/>
  <c r="J106" i="27"/>
  <c r="J105" i="27"/>
  <c r="J104" i="27"/>
  <c r="J95" i="27"/>
  <c r="J94" i="27"/>
  <c r="J93" i="27"/>
  <c r="J85" i="27"/>
  <c r="J84" i="27"/>
  <c r="J83" i="27"/>
  <c r="J74" i="27"/>
  <c r="J73" i="27"/>
  <c r="L73" i="27" s="1"/>
  <c r="J72" i="27"/>
  <c r="L74" i="27"/>
  <c r="L72" i="27"/>
  <c r="L83" i="27"/>
  <c r="L84" i="27"/>
  <c r="L85" i="27"/>
  <c r="L93" i="27"/>
  <c r="L94" i="27"/>
  <c r="L95" i="27"/>
  <c r="L106" i="27"/>
  <c r="L115" i="27"/>
  <c r="H115" i="27"/>
  <c r="H106" i="27"/>
  <c r="H105" i="27"/>
  <c r="H104" i="27"/>
  <c r="H95" i="27"/>
  <c r="H94" i="27"/>
  <c r="H93" i="27"/>
  <c r="H85" i="27"/>
  <c r="H84" i="27"/>
  <c r="H83" i="27"/>
  <c r="H74" i="27"/>
  <c r="H73" i="27"/>
  <c r="H72" i="27"/>
  <c r="K24" i="24"/>
  <c r="K28" i="24"/>
  <c r="K29" i="24"/>
  <c r="K31" i="24"/>
  <c r="L31" i="24" s="1"/>
  <c r="J31" i="24"/>
  <c r="J24" i="24"/>
  <c r="L24" i="24" s="1"/>
  <c r="D31" i="24"/>
  <c r="D24" i="24"/>
  <c r="K72" i="23"/>
  <c r="K74" i="23"/>
  <c r="K77" i="23"/>
  <c r="K78" i="23"/>
  <c r="K79" i="23"/>
  <c r="K83" i="23"/>
  <c r="K85" i="23"/>
  <c r="K87" i="23"/>
  <c r="K88" i="23"/>
  <c r="K89" i="23"/>
  <c r="K93" i="23"/>
  <c r="K95" i="23"/>
  <c r="K98" i="23"/>
  <c r="K99" i="23"/>
  <c r="K100" i="23"/>
  <c r="K104" i="23"/>
  <c r="L104" i="23" s="1"/>
  <c r="K106" i="23"/>
  <c r="J106" i="23"/>
  <c r="J104" i="23"/>
  <c r="J95" i="23"/>
  <c r="L95" i="23" s="1"/>
  <c r="J93" i="23"/>
  <c r="J85" i="23"/>
  <c r="J83" i="23"/>
  <c r="L83" i="23" s="1"/>
  <c r="J74" i="23"/>
  <c r="L74" i="23" s="1"/>
  <c r="J72" i="23"/>
  <c r="L72" i="23"/>
  <c r="L106" i="23"/>
  <c r="H106" i="23"/>
  <c r="H104" i="23"/>
  <c r="H95" i="23"/>
  <c r="H93" i="23"/>
  <c r="H85" i="23"/>
  <c r="H83" i="23"/>
  <c r="H74" i="23"/>
  <c r="H72" i="23"/>
  <c r="K23" i="23"/>
  <c r="K25" i="23"/>
  <c r="K26" i="23"/>
  <c r="K28" i="23"/>
  <c r="K29" i="23"/>
  <c r="K30" i="23"/>
  <c r="K31" i="23"/>
  <c r="L31" i="23" s="1"/>
  <c r="K32" i="23"/>
  <c r="L32" i="23" s="1"/>
  <c r="K33" i="23"/>
  <c r="J33" i="23"/>
  <c r="J32" i="23"/>
  <c r="J31" i="23"/>
  <c r="J30" i="23"/>
  <c r="J26" i="23"/>
  <c r="J25" i="23"/>
  <c r="L25" i="23" s="1"/>
  <c r="J23" i="23"/>
  <c r="D30" i="23"/>
  <c r="L23" i="23"/>
  <c r="L26" i="23"/>
  <c r="L33" i="23"/>
  <c r="H33" i="23"/>
  <c r="H32" i="23"/>
  <c r="H31" i="23"/>
  <c r="H30" i="23"/>
  <c r="H26" i="23"/>
  <c r="H25" i="23"/>
  <c r="H23" i="23"/>
  <c r="D23" i="23"/>
  <c r="E52" i="22"/>
  <c r="E51" i="22"/>
  <c r="K72" i="20"/>
  <c r="K74" i="20"/>
  <c r="L74" i="20" s="1"/>
  <c r="K77" i="20"/>
  <c r="K79" i="20"/>
  <c r="K83" i="20"/>
  <c r="K85" i="20"/>
  <c r="K87" i="20"/>
  <c r="K89" i="20"/>
  <c r="K93" i="20"/>
  <c r="K95" i="20"/>
  <c r="L95" i="20" s="1"/>
  <c r="K98" i="20"/>
  <c r="K100" i="20"/>
  <c r="K104" i="20"/>
  <c r="K106" i="20"/>
  <c r="J106" i="20"/>
  <c r="J104" i="20"/>
  <c r="J95" i="20"/>
  <c r="J93" i="20"/>
  <c r="J85" i="20"/>
  <c r="J83" i="20"/>
  <c r="J74" i="20"/>
  <c r="J72" i="20"/>
  <c r="L72" i="20" s="1"/>
  <c r="E106" i="20"/>
  <c r="E104" i="20"/>
  <c r="E95" i="20"/>
  <c r="E93" i="20"/>
  <c r="L106" i="20"/>
  <c r="L104" i="20"/>
  <c r="L93" i="20"/>
  <c r="L85" i="20"/>
  <c r="L83" i="20"/>
  <c r="H85" i="20"/>
  <c r="H83" i="20"/>
  <c r="H74" i="20"/>
  <c r="H72" i="20"/>
  <c r="H93" i="20"/>
  <c r="H95" i="20"/>
  <c r="H104" i="20"/>
  <c r="H106" i="20"/>
  <c r="D104" i="20"/>
  <c r="D93" i="20"/>
  <c r="D83" i="20"/>
  <c r="D72" i="20"/>
  <c r="K23" i="20"/>
  <c r="K25" i="20"/>
  <c r="K26" i="20"/>
  <c r="K28" i="20"/>
  <c r="K29" i="20"/>
  <c r="K30" i="20"/>
  <c r="L30" i="20" s="1"/>
  <c r="K32" i="20"/>
  <c r="L32" i="20" s="1"/>
  <c r="K33" i="20"/>
  <c r="J33" i="20"/>
  <c r="J32" i="20"/>
  <c r="J30" i="20"/>
  <c r="J26" i="20"/>
  <c r="L26" i="20" s="1"/>
  <c r="J25" i="20"/>
  <c r="J23" i="20"/>
  <c r="E32" i="20"/>
  <c r="L33" i="20"/>
  <c r="L25" i="20"/>
  <c r="L23" i="20"/>
  <c r="H25" i="20"/>
  <c r="H26" i="20"/>
  <c r="H33" i="20"/>
  <c r="H32" i="20"/>
  <c r="D32" i="20"/>
  <c r="D30" i="20"/>
  <c r="D25" i="20"/>
  <c r="D23" i="20"/>
  <c r="K72" i="13"/>
  <c r="L72" i="13" s="1"/>
  <c r="K74" i="13"/>
  <c r="K76" i="13"/>
  <c r="K77" i="13"/>
  <c r="K78" i="13"/>
  <c r="K79" i="13"/>
  <c r="K83" i="13"/>
  <c r="L83" i="13" s="1"/>
  <c r="K85" i="13"/>
  <c r="K86" i="13"/>
  <c r="K87" i="13"/>
  <c r="K88" i="13"/>
  <c r="K89" i="13"/>
  <c r="K90" i="13"/>
  <c r="L90" i="13" s="1"/>
  <c r="K91" i="13"/>
  <c r="K93" i="13"/>
  <c r="L93" i="13" s="1"/>
  <c r="K95" i="13"/>
  <c r="K97" i="13"/>
  <c r="K98" i="13"/>
  <c r="K99" i="13"/>
  <c r="K100" i="13"/>
  <c r="K104" i="13"/>
  <c r="K106" i="13"/>
  <c r="J106" i="13"/>
  <c r="J104" i="13"/>
  <c r="J95" i="13"/>
  <c r="J93" i="13"/>
  <c r="J91" i="13"/>
  <c r="J90" i="13"/>
  <c r="J85" i="13"/>
  <c r="J83" i="13"/>
  <c r="J74" i="13"/>
  <c r="J72" i="13"/>
  <c r="K23" i="13"/>
  <c r="K24" i="13"/>
  <c r="K25" i="13"/>
  <c r="K28" i="13"/>
  <c r="K29" i="13"/>
  <c r="K30" i="13"/>
  <c r="K31" i="13"/>
  <c r="K32" i="13"/>
  <c r="J32" i="13"/>
  <c r="L32" i="13" s="1"/>
  <c r="J31" i="13"/>
  <c r="J30" i="13"/>
  <c r="J25" i="13"/>
  <c r="J24" i="13"/>
  <c r="J23" i="13"/>
  <c r="E32" i="13"/>
  <c r="L74" i="13"/>
  <c r="L85" i="13"/>
  <c r="L91" i="13"/>
  <c r="L95" i="13"/>
  <c r="L106" i="13"/>
  <c r="L104" i="13"/>
  <c r="H104" i="13"/>
  <c r="H106" i="13"/>
  <c r="D104" i="13"/>
  <c r="D93" i="13"/>
  <c r="H95" i="13"/>
  <c r="H93" i="13"/>
  <c r="H91" i="13"/>
  <c r="H90" i="13"/>
  <c r="H85" i="13"/>
  <c r="H83" i="13"/>
  <c r="H74" i="13"/>
  <c r="H72" i="13"/>
  <c r="E51" i="13"/>
  <c r="L31" i="13"/>
  <c r="L30" i="13"/>
  <c r="L24" i="13"/>
  <c r="L23" i="13"/>
  <c r="H23" i="13"/>
  <c r="H24" i="13"/>
  <c r="H25" i="13"/>
  <c r="H30" i="13"/>
  <c r="H31" i="13"/>
  <c r="H32" i="13"/>
  <c r="D32" i="13"/>
  <c r="D31" i="13"/>
  <c r="D30" i="13"/>
  <c r="D25" i="13"/>
  <c r="D23" i="13"/>
  <c r="K72" i="18"/>
  <c r="K74" i="18"/>
  <c r="K77" i="18"/>
  <c r="K78" i="18"/>
  <c r="K79" i="18"/>
  <c r="K83" i="18"/>
  <c r="L83" i="18" s="1"/>
  <c r="K85" i="18"/>
  <c r="K87" i="18"/>
  <c r="K88" i="18"/>
  <c r="K89" i="18"/>
  <c r="K93" i="18"/>
  <c r="K95" i="18"/>
  <c r="K98" i="18"/>
  <c r="K99" i="18"/>
  <c r="K100" i="18"/>
  <c r="K104" i="18"/>
  <c r="K106" i="18"/>
  <c r="K108" i="18"/>
  <c r="K109" i="18"/>
  <c r="J106" i="18"/>
  <c r="L106" i="18" s="1"/>
  <c r="J104" i="18"/>
  <c r="L104" i="18" s="1"/>
  <c r="J95" i="18"/>
  <c r="L95" i="18" s="1"/>
  <c r="J93" i="18"/>
  <c r="L93" i="18" s="1"/>
  <c r="J85" i="18"/>
  <c r="J83" i="18"/>
  <c r="J74" i="18"/>
  <c r="L74" i="18" s="1"/>
  <c r="J72" i="18"/>
  <c r="L72" i="18"/>
  <c r="H106" i="18"/>
  <c r="H104" i="18"/>
  <c r="H95" i="18"/>
  <c r="H93" i="18"/>
  <c r="H85" i="18"/>
  <c r="H83" i="18"/>
  <c r="H74" i="18"/>
  <c r="H72" i="18"/>
  <c r="L33" i="18"/>
  <c r="L32" i="18"/>
  <c r="L31" i="18"/>
  <c r="L30" i="18"/>
  <c r="K23" i="18"/>
  <c r="K25" i="18"/>
  <c r="L25" i="18" s="1"/>
  <c r="K26" i="18"/>
  <c r="K33" i="18"/>
  <c r="K32" i="18"/>
  <c r="K31" i="18"/>
  <c r="K30" i="18"/>
  <c r="J33" i="18"/>
  <c r="J32" i="18"/>
  <c r="J31" i="18"/>
  <c r="J30" i="18"/>
  <c r="J26" i="18"/>
  <c r="J25" i="18"/>
  <c r="J23" i="18"/>
  <c r="L23" i="18"/>
  <c r="L26" i="18"/>
  <c r="H33" i="18"/>
  <c r="H32" i="18"/>
  <c r="H31" i="18"/>
  <c r="H30" i="18"/>
  <c r="H26" i="18"/>
  <c r="H25" i="18"/>
  <c r="H23" i="18"/>
  <c r="AB44" i="65"/>
  <c r="L85" i="23" l="1"/>
  <c r="L93" i="23"/>
  <c r="L30" i="23"/>
  <c r="L25" i="13"/>
  <c r="L85" i="18"/>
  <c r="AB27" i="65" l="1"/>
  <c r="AB12" i="65"/>
  <c r="P23" i="65"/>
  <c r="P29" i="65"/>
  <c r="AE108" i="66"/>
  <c r="Y30" i="66"/>
  <c r="P36" i="66"/>
  <c r="M105" i="66"/>
  <c r="AB126" i="67"/>
  <c r="AB122" i="67"/>
  <c r="AN105" i="67"/>
  <c r="AN81" i="67"/>
  <c r="AN80" i="67"/>
  <c r="AN68" i="67"/>
  <c r="AN72" i="67" l="1"/>
  <c r="AN70" i="67"/>
  <c r="AN69" i="67"/>
  <c r="AN65" i="67"/>
  <c r="AN63" i="67"/>
  <c r="AN62" i="67"/>
  <c r="AN60" i="67"/>
  <c r="AN57" i="67"/>
  <c r="AN44" i="67"/>
  <c r="AN36" i="67"/>
  <c r="AN38" i="67"/>
  <c r="AN45" i="67"/>
  <c r="AN46" i="67"/>
  <c r="P12" i="68"/>
  <c r="AN50" i="62"/>
  <c r="AK24" i="62"/>
  <c r="AB77" i="62"/>
  <c r="AB78" i="62"/>
  <c r="Y33" i="62"/>
  <c r="V44" i="62"/>
  <c r="V59" i="62"/>
  <c r="S82" i="62"/>
  <c r="P85" i="62"/>
  <c r="S39" i="70" l="1"/>
  <c r="S35" i="70"/>
  <c r="S33" i="70"/>
  <c r="S31" i="70"/>
  <c r="S14" i="70"/>
  <c r="S11" i="70"/>
  <c r="AN43" i="69"/>
  <c r="AN42" i="69"/>
  <c r="AN40" i="69"/>
  <c r="AN38" i="69"/>
  <c r="AN37" i="69"/>
  <c r="AN36" i="69"/>
  <c r="AN34" i="69"/>
  <c r="AN33" i="69"/>
  <c r="AN32" i="69"/>
  <c r="AN31" i="69"/>
  <c r="AN29" i="69"/>
  <c r="AN28" i="69"/>
  <c r="AN27" i="69"/>
  <c r="AN26" i="69"/>
  <c r="AN25" i="69"/>
  <c r="AN24" i="69"/>
  <c r="AN22" i="69"/>
  <c r="AN20" i="69"/>
  <c r="AN19" i="69"/>
  <c r="AN18" i="69"/>
  <c r="AN17" i="69"/>
  <c r="AN16" i="69"/>
  <c r="AN15" i="69"/>
  <c r="AN14" i="69"/>
  <c r="AN13" i="69"/>
  <c r="AN12" i="69"/>
  <c r="AK54" i="69"/>
  <c r="AK52" i="69"/>
  <c r="AK51" i="69"/>
  <c r="AK50" i="69"/>
  <c r="AK49" i="69"/>
  <c r="AK48" i="69"/>
  <c r="AK47" i="69"/>
  <c r="AK45" i="69"/>
  <c r="AK44" i="69"/>
  <c r="AK43" i="69"/>
  <c r="AK41" i="69"/>
  <c r="AK40" i="69"/>
  <c r="AK39" i="69"/>
  <c r="AK38" i="69"/>
  <c r="AK37" i="69"/>
  <c r="AK36" i="69"/>
  <c r="AK35" i="69"/>
  <c r="AK33" i="69"/>
  <c r="AK32" i="69"/>
  <c r="AK31" i="69"/>
  <c r="AK30" i="69"/>
  <c r="AK28" i="69"/>
  <c r="AK27" i="69"/>
  <c r="AK25" i="69"/>
  <c r="AK24" i="69"/>
  <c r="AK23" i="69"/>
  <c r="AK21" i="69"/>
  <c r="AK20" i="69"/>
  <c r="AK19" i="69"/>
  <c r="AK18" i="69"/>
  <c r="AK16" i="69"/>
  <c r="AK15" i="69"/>
  <c r="AK13" i="69"/>
  <c r="AK12" i="69"/>
  <c r="AK11" i="69"/>
  <c r="AH53" i="69"/>
  <c r="AH51" i="69"/>
  <c r="AH50" i="69"/>
  <c r="AH49" i="69"/>
  <c r="AH48" i="69"/>
  <c r="AH43" i="69"/>
  <c r="AH41" i="69"/>
  <c r="AH40" i="69"/>
  <c r="AH38" i="69"/>
  <c r="AH37" i="69"/>
  <c r="AH36" i="69"/>
  <c r="AH35" i="69"/>
  <c r="AH32" i="69"/>
  <c r="AH31" i="69"/>
  <c r="AH30" i="69"/>
  <c r="AH29" i="69"/>
  <c r="AH28" i="69"/>
  <c r="AH27" i="69"/>
  <c r="AH26" i="69"/>
  <c r="AH25" i="69"/>
  <c r="AH24" i="69"/>
  <c r="AH23" i="69"/>
  <c r="AH22" i="69"/>
  <c r="AH20" i="69"/>
  <c r="AH19" i="69"/>
  <c r="AH18" i="69"/>
  <c r="AH17" i="69"/>
  <c r="AH16" i="69"/>
  <c r="AH15" i="69"/>
  <c r="AH14" i="69"/>
  <c r="AH13" i="69"/>
  <c r="AH12" i="69"/>
  <c r="AH11" i="69"/>
  <c r="AB54" i="69"/>
  <c r="AB52" i="69"/>
  <c r="AB47" i="69"/>
  <c r="AB45" i="69"/>
  <c r="AB44" i="69"/>
  <c r="AB41" i="69"/>
  <c r="AB40" i="69"/>
  <c r="AB39" i="69"/>
  <c r="AB35" i="69"/>
  <c r="AB21" i="69"/>
  <c r="AB11" i="69"/>
  <c r="Y53" i="69"/>
  <c r="Y51" i="69"/>
  <c r="Y49" i="69"/>
  <c r="Y48" i="69"/>
  <c r="Y43" i="69"/>
  <c r="Y42" i="69"/>
  <c r="Y41" i="69"/>
  <c r="Y40" i="69"/>
  <c r="Y38" i="69"/>
  <c r="Y37" i="69"/>
  <c r="Y36" i="69"/>
  <c r="Y35" i="69"/>
  <c r="Y34" i="69"/>
  <c r="Y32" i="69"/>
  <c r="Y31" i="69"/>
  <c r="Y29" i="69"/>
  <c r="Y28" i="69"/>
  <c r="Y27" i="69"/>
  <c r="Y26" i="69"/>
  <c r="Y25" i="69"/>
  <c r="Y24" i="69"/>
  <c r="Y22" i="69"/>
  <c r="Y20" i="69"/>
  <c r="Y19" i="69"/>
  <c r="Y17" i="69"/>
  <c r="Y16" i="69"/>
  <c r="Y15" i="69"/>
  <c r="Y14" i="69"/>
  <c r="Y13" i="69"/>
  <c r="Y12" i="69"/>
  <c r="Y11" i="69"/>
  <c r="V54" i="69"/>
  <c r="V51" i="69"/>
  <c r="V47" i="69"/>
  <c r="V43" i="69"/>
  <c r="V41" i="69"/>
  <c r="V40" i="69"/>
  <c r="V38" i="69"/>
  <c r="V35" i="69"/>
  <c r="V20" i="69"/>
  <c r="V19" i="69"/>
  <c r="V11" i="69"/>
  <c r="S54" i="69"/>
  <c r="S52" i="69"/>
  <c r="S50" i="69"/>
  <c r="S47" i="69"/>
  <c r="S44" i="69"/>
  <c r="S41" i="69"/>
  <c r="S40" i="69"/>
  <c r="S39" i="69"/>
  <c r="S35" i="69"/>
  <c r="S33" i="69"/>
  <c r="S30" i="69"/>
  <c r="S23" i="69"/>
  <c r="S21" i="69"/>
  <c r="S18" i="69"/>
  <c r="S11" i="69"/>
  <c r="P51" i="69"/>
  <c r="P50" i="69"/>
  <c r="P49" i="69"/>
  <c r="P48" i="69"/>
  <c r="P47" i="69"/>
  <c r="P18" i="69"/>
  <c r="P15" i="69"/>
  <c r="P12" i="69"/>
  <c r="P11" i="69"/>
  <c r="M54" i="69"/>
  <c r="M51" i="69"/>
  <c r="M49" i="69"/>
  <c r="M47" i="69"/>
  <c r="M43" i="69"/>
  <c r="M42" i="69"/>
  <c r="M41" i="69"/>
  <c r="M40" i="69"/>
  <c r="M38" i="69"/>
  <c r="M37" i="69"/>
  <c r="M35" i="69"/>
  <c r="M32" i="69"/>
  <c r="M31" i="69"/>
  <c r="M29" i="69"/>
  <c r="M27" i="69"/>
  <c r="M23" i="69"/>
  <c r="M20" i="69"/>
  <c r="M19" i="69"/>
  <c r="M17" i="69"/>
  <c r="M15" i="69"/>
  <c r="M11" i="69"/>
  <c r="J54" i="69"/>
  <c r="J53" i="69"/>
  <c r="J51" i="69"/>
  <c r="J50" i="69"/>
  <c r="J49" i="69"/>
  <c r="J48" i="69"/>
  <c r="J45" i="69"/>
  <c r="J38" i="69"/>
  <c r="J37" i="69"/>
  <c r="J35" i="69"/>
  <c r="J31" i="69"/>
  <c r="J29" i="69"/>
  <c r="J27" i="69"/>
  <c r="J23" i="69"/>
  <c r="J22" i="69"/>
  <c r="J19" i="69"/>
  <c r="J18" i="69"/>
  <c r="J17" i="69"/>
  <c r="J15" i="69"/>
  <c r="J12" i="69"/>
  <c r="J11" i="69"/>
  <c r="D54" i="69"/>
  <c r="D53" i="69"/>
  <c r="D51" i="69"/>
  <c r="D50" i="69"/>
  <c r="D49" i="69"/>
  <c r="D48" i="69"/>
  <c r="D45" i="69"/>
  <c r="D43" i="69"/>
  <c r="D41" i="69"/>
  <c r="D40" i="69"/>
  <c r="D38" i="69"/>
  <c r="D37" i="69"/>
  <c r="D35" i="69"/>
  <c r="D34" i="69"/>
  <c r="D32" i="69"/>
  <c r="D31" i="69"/>
  <c r="D30" i="69"/>
  <c r="D27" i="69"/>
  <c r="D24" i="69"/>
  <c r="D23" i="69"/>
  <c r="D22" i="69"/>
  <c r="D20" i="69"/>
  <c r="D19" i="69"/>
  <c r="D18" i="69"/>
  <c r="D17" i="69"/>
  <c r="D15" i="69"/>
  <c r="D14" i="69"/>
  <c r="D12" i="69"/>
  <c r="G34" i="69"/>
  <c r="G22" i="69"/>
  <c r="AG39" i="70"/>
  <c r="AF39" i="70"/>
  <c r="AG37" i="70"/>
  <c r="AF37" i="70"/>
  <c r="AG36" i="70"/>
  <c r="AF36" i="70"/>
  <c r="AG35" i="70"/>
  <c r="AF35" i="70"/>
  <c r="AD39" i="70"/>
  <c r="AC39" i="70"/>
  <c r="AD37" i="70"/>
  <c r="AC37" i="70"/>
  <c r="AD36" i="70"/>
  <c r="AC36" i="70"/>
  <c r="AD35" i="70"/>
  <c r="AC35" i="70"/>
  <c r="X39" i="70"/>
  <c r="W39" i="70"/>
  <c r="X37" i="70"/>
  <c r="W37" i="70"/>
  <c r="X36" i="70"/>
  <c r="W36" i="70"/>
  <c r="X35" i="70"/>
  <c r="W35" i="70"/>
  <c r="U39" i="70"/>
  <c r="T39" i="70"/>
  <c r="U37" i="70"/>
  <c r="T37" i="70"/>
  <c r="U36" i="70"/>
  <c r="T36" i="70"/>
  <c r="U35" i="70"/>
  <c r="T35" i="70"/>
  <c r="R39" i="70"/>
  <c r="Q39" i="70"/>
  <c r="R35" i="70"/>
  <c r="Q35" i="70"/>
  <c r="O40" i="70"/>
  <c r="N40" i="70"/>
  <c r="O35" i="70"/>
  <c r="N35" i="70"/>
  <c r="L39" i="70"/>
  <c r="K39" i="70"/>
  <c r="L37" i="70"/>
  <c r="K37" i="70"/>
  <c r="L36" i="70"/>
  <c r="K36" i="70"/>
  <c r="L35" i="70"/>
  <c r="K35" i="70"/>
  <c r="I39" i="70"/>
  <c r="H39" i="70"/>
  <c r="I37" i="70"/>
  <c r="H37" i="70"/>
  <c r="I36" i="70"/>
  <c r="H36" i="70"/>
  <c r="H35" i="70"/>
  <c r="F39" i="70"/>
  <c r="E39" i="70"/>
  <c r="F37" i="70"/>
  <c r="E37" i="70"/>
  <c r="F36" i="70"/>
  <c r="E36" i="70"/>
  <c r="E35" i="70"/>
  <c r="B35" i="70"/>
  <c r="B36" i="70"/>
  <c r="B37" i="70"/>
  <c r="B39" i="70"/>
  <c r="C39" i="70"/>
  <c r="C37" i="70"/>
  <c r="C36" i="70"/>
  <c r="L9" i="18"/>
  <c r="L9" i="13"/>
  <c r="L9" i="19"/>
  <c r="L9" i="20"/>
  <c r="L9" i="22"/>
  <c r="L9" i="24"/>
  <c r="L9" i="25"/>
  <c r="L9" i="51"/>
  <c r="L9" i="29"/>
  <c r="L9" i="33"/>
  <c r="L9" i="37"/>
  <c r="L9" i="16"/>
  <c r="L8" i="18"/>
  <c r="L8" i="13"/>
  <c r="L8" i="19"/>
  <c r="L8" i="20"/>
  <c r="L8" i="22"/>
  <c r="L8" i="24"/>
  <c r="L8" i="25"/>
  <c r="L8" i="51"/>
  <c r="L8" i="29"/>
  <c r="L8" i="33"/>
  <c r="L8" i="37"/>
  <c r="L8" i="16"/>
  <c r="D8" i="18"/>
  <c r="D8" i="13"/>
  <c r="D8" i="19"/>
  <c r="D8" i="20"/>
  <c r="D8" i="22"/>
  <c r="D8" i="24"/>
  <c r="D8" i="25"/>
  <c r="D8" i="51"/>
  <c r="D8" i="29"/>
  <c r="D8" i="33"/>
  <c r="D8" i="37"/>
  <c r="D8" i="16"/>
  <c r="D51" i="13"/>
  <c r="D51" i="22"/>
  <c r="D52" i="22"/>
  <c r="D50" i="26"/>
  <c r="D51" i="33"/>
  <c r="D52" i="33"/>
  <c r="D50" i="37"/>
  <c r="D51" i="37"/>
  <c r="D52" i="37"/>
  <c r="D51" i="39"/>
  <c r="D52" i="39"/>
  <c r="D50" i="16"/>
  <c r="D51" i="16"/>
  <c r="D52" i="16"/>
  <c r="L7" i="13" l="1"/>
  <c r="AF13" i="70" l="1"/>
  <c r="R40" i="65"/>
  <c r="AG35" i="71" l="1"/>
  <c r="AD35" i="71"/>
  <c r="AA35" i="71"/>
  <c r="X35" i="71"/>
  <c r="U35" i="71"/>
  <c r="R35" i="71"/>
  <c r="O35" i="71"/>
  <c r="L35" i="71"/>
  <c r="F35" i="71"/>
  <c r="C35" i="71"/>
  <c r="AG16" i="71"/>
  <c r="AD16" i="71"/>
  <c r="AA16" i="71"/>
  <c r="X16" i="71"/>
  <c r="U16" i="71"/>
  <c r="R16" i="71"/>
  <c r="O16" i="71"/>
  <c r="L16" i="71"/>
  <c r="F16" i="71"/>
  <c r="C16" i="71"/>
  <c r="AJ12" i="71"/>
  <c r="AI12" i="71"/>
  <c r="AH12" i="71"/>
  <c r="AE12" i="71"/>
  <c r="AB12" i="71"/>
  <c r="Y12" i="71"/>
  <c r="V12" i="71"/>
  <c r="S12" i="71"/>
  <c r="P12" i="71"/>
  <c r="G12" i="71"/>
  <c r="AJ11" i="71"/>
  <c r="AI11" i="71"/>
  <c r="AH11" i="71"/>
  <c r="AE11" i="71"/>
  <c r="AB11" i="71"/>
  <c r="Y11" i="71"/>
  <c r="V11" i="71"/>
  <c r="P11" i="71"/>
  <c r="M11" i="71"/>
  <c r="G11" i="71"/>
  <c r="D11" i="71"/>
  <c r="S10" i="71"/>
  <c r="AI40" i="70"/>
  <c r="P40" i="70"/>
  <c r="AI39" i="70"/>
  <c r="AH39" i="70"/>
  <c r="AE39" i="70"/>
  <c r="Y39" i="70"/>
  <c r="V39" i="70"/>
  <c r="M39" i="70"/>
  <c r="J39" i="70"/>
  <c r="G39" i="70"/>
  <c r="D39" i="70"/>
  <c r="AI37" i="70"/>
  <c r="AH37" i="70"/>
  <c r="AE37" i="70"/>
  <c r="Y37" i="70"/>
  <c r="V37" i="70"/>
  <c r="M37" i="70"/>
  <c r="J37" i="70"/>
  <c r="G37" i="70"/>
  <c r="D37" i="70"/>
  <c r="AI36" i="70"/>
  <c r="AH36" i="70"/>
  <c r="AE36" i="70"/>
  <c r="Y36" i="70"/>
  <c r="V36" i="70"/>
  <c r="M36" i="70"/>
  <c r="G36" i="70"/>
  <c r="D36" i="70"/>
  <c r="AI35" i="70"/>
  <c r="AJ34" i="70"/>
  <c r="AI34" i="70"/>
  <c r="P34" i="70"/>
  <c r="AJ33" i="70"/>
  <c r="AI33" i="70"/>
  <c r="AE33" i="70"/>
  <c r="M33" i="70"/>
  <c r="G33" i="70"/>
  <c r="D33" i="70"/>
  <c r="AI31" i="70"/>
  <c r="AD31" i="70"/>
  <c r="R31" i="70"/>
  <c r="O31" i="70"/>
  <c r="L31" i="70"/>
  <c r="F31" i="70"/>
  <c r="C31" i="70"/>
  <c r="AJ30" i="70"/>
  <c r="AI30" i="70"/>
  <c r="P30" i="70"/>
  <c r="AI26" i="70"/>
  <c r="O26" i="70"/>
  <c r="AJ20" i="70"/>
  <c r="AI20" i="70"/>
  <c r="AH20" i="70"/>
  <c r="P20" i="70"/>
  <c r="AJ19" i="70"/>
  <c r="AI19" i="70"/>
  <c r="AH19" i="70"/>
  <c r="V19" i="70"/>
  <c r="M19" i="70"/>
  <c r="AJ18" i="70"/>
  <c r="AI18" i="70"/>
  <c r="AH18" i="70"/>
  <c r="V18" i="70"/>
  <c r="M18" i="70"/>
  <c r="AJ17" i="70"/>
  <c r="AI17" i="70"/>
  <c r="AH17" i="70"/>
  <c r="V17" i="70"/>
  <c r="M17" i="70"/>
  <c r="AI16" i="70"/>
  <c r="AH16" i="70"/>
  <c r="AG16" i="70"/>
  <c r="U16" i="70"/>
  <c r="O16" i="70"/>
  <c r="P16" i="70" s="1"/>
  <c r="L16" i="70"/>
  <c r="M16" i="70" s="1"/>
  <c r="AJ15" i="70"/>
  <c r="AI15" i="70"/>
  <c r="AH15" i="70"/>
  <c r="P15" i="70"/>
  <c r="AJ14" i="70"/>
  <c r="AI14" i="70"/>
  <c r="AH14" i="70"/>
  <c r="AE14" i="70"/>
  <c r="Y14" i="70"/>
  <c r="V14" i="70"/>
  <c r="M14" i="70"/>
  <c r="J14" i="70"/>
  <c r="G14" i="70"/>
  <c r="D14" i="70"/>
  <c r="AJ13" i="70"/>
  <c r="AI13" i="70"/>
  <c r="AH13" i="70"/>
  <c r="AE13" i="70"/>
  <c r="Y13" i="70"/>
  <c r="V13" i="70"/>
  <c r="M13" i="70"/>
  <c r="J13" i="70"/>
  <c r="G13" i="70"/>
  <c r="D13" i="70"/>
  <c r="AJ12" i="70"/>
  <c r="AI12" i="70"/>
  <c r="AH12" i="70"/>
  <c r="AE12" i="70"/>
  <c r="Y12" i="70"/>
  <c r="V12" i="70"/>
  <c r="M12" i="70"/>
  <c r="G12" i="70"/>
  <c r="D12" i="70"/>
  <c r="AI11" i="70"/>
  <c r="AG11" i="70"/>
  <c r="AD11" i="70"/>
  <c r="X11" i="70"/>
  <c r="U11" i="70"/>
  <c r="R11" i="70"/>
  <c r="O11" i="70"/>
  <c r="L11" i="70"/>
  <c r="I11" i="70"/>
  <c r="I35" i="70" s="1"/>
  <c r="F11" i="70"/>
  <c r="F35" i="70" s="1"/>
  <c r="C11" i="70"/>
  <c r="AJ54" i="69"/>
  <c r="AG54" i="69"/>
  <c r="AF54" i="69"/>
  <c r="AH54" i="69" s="1"/>
  <c r="AA54" i="69"/>
  <c r="Z54" i="69"/>
  <c r="X54" i="69"/>
  <c r="W54" i="69"/>
  <c r="U54" i="69"/>
  <c r="T54" i="69"/>
  <c r="R54" i="69"/>
  <c r="Q54" i="69"/>
  <c r="L54" i="69"/>
  <c r="K54" i="69"/>
  <c r="I54" i="69"/>
  <c r="H54" i="69"/>
  <c r="F54" i="69"/>
  <c r="E54" i="69"/>
  <c r="C54" i="69"/>
  <c r="B54" i="69"/>
  <c r="AG53" i="69"/>
  <c r="AF53" i="69"/>
  <c r="X53" i="69"/>
  <c r="W53" i="69"/>
  <c r="I53" i="69"/>
  <c r="H53" i="69"/>
  <c r="F53" i="69"/>
  <c r="E53" i="69"/>
  <c r="C53" i="69"/>
  <c r="B53" i="69"/>
  <c r="AJ52" i="69"/>
  <c r="AA52" i="69"/>
  <c r="Z52" i="69"/>
  <c r="R52" i="69"/>
  <c r="Q52" i="69"/>
  <c r="F52" i="69"/>
  <c r="E52" i="69"/>
  <c r="AJ51" i="69"/>
  <c r="AG51" i="69"/>
  <c r="AF51" i="69"/>
  <c r="X51" i="69"/>
  <c r="W51" i="69"/>
  <c r="U51" i="69"/>
  <c r="T51" i="69"/>
  <c r="O51" i="69"/>
  <c r="N51" i="69"/>
  <c r="L51" i="69"/>
  <c r="K51" i="69"/>
  <c r="I51" i="69"/>
  <c r="H51" i="69"/>
  <c r="F51" i="69"/>
  <c r="E51" i="69"/>
  <c r="C51" i="69"/>
  <c r="B51" i="69"/>
  <c r="AJ50" i="69"/>
  <c r="AG50" i="69"/>
  <c r="AF50" i="69"/>
  <c r="R50" i="69"/>
  <c r="Q50" i="69"/>
  <c r="O50" i="69"/>
  <c r="N50" i="69"/>
  <c r="I50" i="69"/>
  <c r="H50" i="69"/>
  <c r="F50" i="69"/>
  <c r="E50" i="69"/>
  <c r="C50" i="69"/>
  <c r="B50" i="69"/>
  <c r="AJ49" i="69"/>
  <c r="AG49" i="69"/>
  <c r="AF49" i="69"/>
  <c r="X49" i="69"/>
  <c r="W49" i="69"/>
  <c r="O49" i="69"/>
  <c r="N49" i="69"/>
  <c r="L49" i="69"/>
  <c r="K49" i="69"/>
  <c r="I49" i="69"/>
  <c r="H49" i="69"/>
  <c r="F49" i="69"/>
  <c r="E49" i="69"/>
  <c r="C49" i="69"/>
  <c r="B49" i="69"/>
  <c r="AJ48" i="69"/>
  <c r="AG48" i="69"/>
  <c r="AF48" i="69"/>
  <c r="X48" i="69"/>
  <c r="W48" i="69"/>
  <c r="O48" i="69"/>
  <c r="N48" i="69"/>
  <c r="I48" i="69"/>
  <c r="H48" i="69"/>
  <c r="F48" i="69"/>
  <c r="E48" i="69"/>
  <c r="C48" i="69"/>
  <c r="B48" i="69"/>
  <c r="Z47" i="69"/>
  <c r="T47" i="69"/>
  <c r="Q47" i="69"/>
  <c r="AM45" i="69"/>
  <c r="AL45" i="69"/>
  <c r="AN45" i="69" s="1"/>
  <c r="G45" i="69"/>
  <c r="AM44" i="69"/>
  <c r="AL44" i="69"/>
  <c r="AN44" i="69" s="1"/>
  <c r="AM43" i="69"/>
  <c r="AL43" i="69"/>
  <c r="G43" i="69"/>
  <c r="AM42" i="69"/>
  <c r="AL42" i="69"/>
  <c r="G42" i="69"/>
  <c r="AL41" i="69"/>
  <c r="AJ41" i="69"/>
  <c r="AG41" i="69"/>
  <c r="AA41" i="69"/>
  <c r="X41" i="69"/>
  <c r="U41" i="69"/>
  <c r="R41" i="69"/>
  <c r="L41" i="69"/>
  <c r="F41" i="69"/>
  <c r="G41" i="69" s="1"/>
  <c r="C41" i="69"/>
  <c r="AM40" i="69"/>
  <c r="AL40" i="69"/>
  <c r="G40" i="69"/>
  <c r="AM39" i="69"/>
  <c r="AL39" i="69"/>
  <c r="AN39" i="69" s="1"/>
  <c r="AM38" i="69"/>
  <c r="AL38" i="69"/>
  <c r="G38" i="69"/>
  <c r="AM37" i="69"/>
  <c r="AL37" i="69"/>
  <c r="G37" i="69"/>
  <c r="AM36" i="69"/>
  <c r="AL36" i="69"/>
  <c r="G36" i="69"/>
  <c r="AL35" i="69"/>
  <c r="AJ35" i="69"/>
  <c r="AG35" i="69"/>
  <c r="AA35" i="69"/>
  <c r="X35" i="69"/>
  <c r="U35" i="69"/>
  <c r="R35" i="69"/>
  <c r="L35" i="69"/>
  <c r="I35" i="69"/>
  <c r="F35" i="69"/>
  <c r="C35" i="69"/>
  <c r="AM34" i="69"/>
  <c r="AL34" i="69"/>
  <c r="AM33" i="69"/>
  <c r="AL33" i="69"/>
  <c r="G33" i="69"/>
  <c r="AM32" i="69"/>
  <c r="AL32" i="69"/>
  <c r="G32" i="69"/>
  <c r="AM31" i="69"/>
  <c r="AL31" i="69"/>
  <c r="G31" i="69"/>
  <c r="AM30" i="69"/>
  <c r="AN30" i="69" s="1"/>
  <c r="AL30" i="69"/>
  <c r="G30" i="69"/>
  <c r="AM29" i="69"/>
  <c r="AL29" i="69"/>
  <c r="G29" i="69"/>
  <c r="AM28" i="69"/>
  <c r="AL28" i="69"/>
  <c r="G28" i="69"/>
  <c r="AM27" i="69"/>
  <c r="AL27" i="69"/>
  <c r="G27" i="69"/>
  <c r="AM26" i="69"/>
  <c r="AL26" i="69"/>
  <c r="G26" i="69"/>
  <c r="AM25" i="69"/>
  <c r="AL25" i="69"/>
  <c r="G25" i="69"/>
  <c r="AM24" i="69"/>
  <c r="AL24" i="69"/>
  <c r="G24" i="69"/>
  <c r="AL23" i="69"/>
  <c r="AJ23" i="69"/>
  <c r="AG23" i="69"/>
  <c r="X23" i="69"/>
  <c r="Y23" i="69" s="1"/>
  <c r="R23" i="69"/>
  <c r="L23" i="69"/>
  <c r="I23" i="69"/>
  <c r="F23" i="69"/>
  <c r="C23" i="69"/>
  <c r="AM22" i="69"/>
  <c r="AL22" i="69"/>
  <c r="AM21" i="69"/>
  <c r="AL21" i="69"/>
  <c r="G21" i="69"/>
  <c r="AM20" i="69"/>
  <c r="AL20" i="69"/>
  <c r="G20" i="69"/>
  <c r="AM19" i="69"/>
  <c r="AL19" i="69"/>
  <c r="G19" i="69"/>
  <c r="AM18" i="69"/>
  <c r="AL18" i="69"/>
  <c r="G18" i="69"/>
  <c r="AM17" i="69"/>
  <c r="AL17" i="69"/>
  <c r="G17" i="69"/>
  <c r="AM16" i="69"/>
  <c r="AL16" i="69"/>
  <c r="G16" i="69"/>
  <c r="AM15" i="69"/>
  <c r="AL15" i="69"/>
  <c r="G15" i="69"/>
  <c r="AM14" i="69"/>
  <c r="AL14" i="69"/>
  <c r="G14" i="69"/>
  <c r="AM13" i="69"/>
  <c r="AL13" i="69"/>
  <c r="G13" i="69"/>
  <c r="AM12" i="69"/>
  <c r="AL12" i="69"/>
  <c r="G12" i="69"/>
  <c r="AJ11" i="69"/>
  <c r="AG11" i="69"/>
  <c r="AF11" i="69"/>
  <c r="AA11" i="69"/>
  <c r="X11" i="69"/>
  <c r="W11" i="69"/>
  <c r="W47" i="69" s="1"/>
  <c r="U11" i="69"/>
  <c r="R11" i="69"/>
  <c r="O11" i="69"/>
  <c r="N11" i="69"/>
  <c r="L11" i="69"/>
  <c r="K11" i="69"/>
  <c r="K47" i="69" s="1"/>
  <c r="I11" i="69"/>
  <c r="H11" i="69"/>
  <c r="F11" i="69"/>
  <c r="E11" i="69"/>
  <c r="C11" i="69"/>
  <c r="B11" i="69"/>
  <c r="D11" i="69" s="1"/>
  <c r="AM48" i="68"/>
  <c r="AL48" i="68"/>
  <c r="AJ48" i="68"/>
  <c r="AI48" i="68"/>
  <c r="AD48" i="68"/>
  <c r="AC48" i="68"/>
  <c r="AA48" i="68"/>
  <c r="Z48" i="68"/>
  <c r="X48" i="68"/>
  <c r="W48" i="68"/>
  <c r="U48" i="68"/>
  <c r="T48" i="68"/>
  <c r="R48" i="68"/>
  <c r="Q48" i="68"/>
  <c r="O48" i="68"/>
  <c r="N48" i="68"/>
  <c r="L48" i="68"/>
  <c r="K48" i="68"/>
  <c r="I48" i="68"/>
  <c r="H48" i="68"/>
  <c r="F48" i="68"/>
  <c r="E48" i="68"/>
  <c r="C48" i="68"/>
  <c r="B48" i="68"/>
  <c r="AM47" i="68"/>
  <c r="AL47" i="68"/>
  <c r="AJ47" i="68"/>
  <c r="AI47" i="68"/>
  <c r="AD47" i="68"/>
  <c r="AC47" i="68"/>
  <c r="AA47" i="68"/>
  <c r="Z47" i="68"/>
  <c r="X47" i="68"/>
  <c r="W47" i="68"/>
  <c r="U47" i="68"/>
  <c r="T47" i="68"/>
  <c r="R47" i="68"/>
  <c r="Q47" i="68"/>
  <c r="O47" i="68"/>
  <c r="N47" i="68"/>
  <c r="P47" i="68" s="1"/>
  <c r="L47" i="68"/>
  <c r="K47" i="68"/>
  <c r="I47" i="68"/>
  <c r="H47" i="68"/>
  <c r="J47" i="68" s="1"/>
  <c r="F47" i="68"/>
  <c r="E47" i="68"/>
  <c r="C47" i="68"/>
  <c r="B47" i="68"/>
  <c r="D47" i="68" s="1"/>
  <c r="AL46" i="68"/>
  <c r="AI46" i="68"/>
  <c r="AC46" i="68"/>
  <c r="Z46" i="68"/>
  <c r="T46" i="68"/>
  <c r="Q46" i="68"/>
  <c r="K46" i="68"/>
  <c r="E46" i="68"/>
  <c r="B46" i="68"/>
  <c r="AM45" i="68"/>
  <c r="AL45" i="68"/>
  <c r="AJ45" i="68"/>
  <c r="AI45" i="68"/>
  <c r="AD45" i="68"/>
  <c r="AC45" i="68"/>
  <c r="AE45" i="68" s="1"/>
  <c r="AA45" i="68"/>
  <c r="Z45" i="68"/>
  <c r="AB45" i="68" s="1"/>
  <c r="X45" i="68"/>
  <c r="W45" i="68"/>
  <c r="U45" i="68"/>
  <c r="T45" i="68"/>
  <c r="R45" i="68"/>
  <c r="Q45" i="68"/>
  <c r="S45" i="68" s="1"/>
  <c r="O45" i="68"/>
  <c r="N45" i="68"/>
  <c r="P45" i="68" s="1"/>
  <c r="L45" i="68"/>
  <c r="K45" i="68"/>
  <c r="M45" i="68" s="1"/>
  <c r="I45" i="68"/>
  <c r="H45" i="68"/>
  <c r="F45" i="68"/>
  <c r="E45" i="68"/>
  <c r="G45" i="68" s="1"/>
  <c r="C45" i="68"/>
  <c r="B45" i="68"/>
  <c r="D45" i="68" s="1"/>
  <c r="AM44" i="68"/>
  <c r="AL44" i="68"/>
  <c r="AN44" i="68" s="1"/>
  <c r="AJ44" i="68"/>
  <c r="AI44" i="68"/>
  <c r="AK44" i="68" s="1"/>
  <c r="AD44" i="68"/>
  <c r="AC44" i="68"/>
  <c r="AE44" i="68" s="1"/>
  <c r="AA44" i="68"/>
  <c r="Z44" i="68"/>
  <c r="X44" i="68"/>
  <c r="W44" i="68"/>
  <c r="U44" i="68"/>
  <c r="T44" i="68"/>
  <c r="V44" i="68" s="1"/>
  <c r="R44" i="68"/>
  <c r="Q44" i="68"/>
  <c r="O44" i="68"/>
  <c r="N44" i="68"/>
  <c r="P44" i="68" s="1"/>
  <c r="L44" i="68"/>
  <c r="K44" i="68"/>
  <c r="M44" i="68" s="1"/>
  <c r="I44" i="68"/>
  <c r="H44" i="68"/>
  <c r="J44" i="68" s="1"/>
  <c r="F44" i="68"/>
  <c r="E44" i="68"/>
  <c r="G44" i="68" s="1"/>
  <c r="C44" i="68"/>
  <c r="B44" i="68"/>
  <c r="D44" i="68" s="1"/>
  <c r="AM43" i="68"/>
  <c r="AL43" i="68"/>
  <c r="AJ43" i="68"/>
  <c r="AI43" i="68"/>
  <c r="AD43" i="68"/>
  <c r="AC43" i="68"/>
  <c r="AE43" i="68" s="1"/>
  <c r="AA43" i="68"/>
  <c r="Z43" i="68"/>
  <c r="X43" i="68"/>
  <c r="W43" i="68"/>
  <c r="U43" i="68"/>
  <c r="T43" i="68"/>
  <c r="R43" i="68"/>
  <c r="Q43" i="68"/>
  <c r="O43" i="68"/>
  <c r="N43" i="68"/>
  <c r="L43" i="68"/>
  <c r="K43" i="68"/>
  <c r="I43" i="68"/>
  <c r="H43" i="68"/>
  <c r="F43" i="68"/>
  <c r="E43" i="68"/>
  <c r="C43" i="68"/>
  <c r="B43" i="68"/>
  <c r="AM42" i="68"/>
  <c r="AL42" i="68"/>
  <c r="AJ42" i="68"/>
  <c r="AI42" i="68"/>
  <c r="AD42" i="68"/>
  <c r="AC42" i="68"/>
  <c r="AE42" i="68" s="1"/>
  <c r="AA42" i="68"/>
  <c r="Z42" i="68"/>
  <c r="X42" i="68"/>
  <c r="W42" i="68"/>
  <c r="U42" i="68"/>
  <c r="T42" i="68"/>
  <c r="R42" i="68"/>
  <c r="Q42" i="68"/>
  <c r="O42" i="68"/>
  <c r="N42" i="68"/>
  <c r="P42" i="68" s="1"/>
  <c r="L42" i="68"/>
  <c r="K42" i="68"/>
  <c r="M42" i="68" s="1"/>
  <c r="I42" i="68"/>
  <c r="H42" i="68"/>
  <c r="J42" i="68" s="1"/>
  <c r="F42" i="68"/>
  <c r="E42" i="68"/>
  <c r="C42" i="68"/>
  <c r="B42" i="68"/>
  <c r="AM41" i="68"/>
  <c r="AL41" i="68"/>
  <c r="AJ41" i="68"/>
  <c r="AI41" i="68"/>
  <c r="AK41" i="68" s="1"/>
  <c r="AD41" i="68"/>
  <c r="AC41" i="68"/>
  <c r="AE41" i="68" s="1"/>
  <c r="AA41" i="68"/>
  <c r="Z41" i="68"/>
  <c r="AB41" i="68" s="1"/>
  <c r="X41" i="68"/>
  <c r="W41" i="68"/>
  <c r="U41" i="68"/>
  <c r="T41" i="68"/>
  <c r="R41" i="68"/>
  <c r="Q41" i="68"/>
  <c r="S41" i="68" s="1"/>
  <c r="O41" i="68"/>
  <c r="N41" i="68"/>
  <c r="P41" i="68" s="1"/>
  <c r="L41" i="68"/>
  <c r="K41" i="68"/>
  <c r="M41" i="68" s="1"/>
  <c r="I41" i="68"/>
  <c r="H41" i="68"/>
  <c r="J41" i="68" s="1"/>
  <c r="F41" i="68"/>
  <c r="E41" i="68"/>
  <c r="C41" i="68"/>
  <c r="B41" i="68"/>
  <c r="D41" i="68" s="1"/>
  <c r="AL40" i="68"/>
  <c r="AJ40" i="68"/>
  <c r="AI40" i="68"/>
  <c r="AD40" i="68"/>
  <c r="AC40" i="68"/>
  <c r="AA40" i="68"/>
  <c r="Z40" i="68"/>
  <c r="X40" i="68"/>
  <c r="W40" i="68"/>
  <c r="U40" i="68"/>
  <c r="T40" i="68"/>
  <c r="R40" i="68"/>
  <c r="Q40" i="68"/>
  <c r="O40" i="68"/>
  <c r="N40" i="68"/>
  <c r="P40" i="68" s="1"/>
  <c r="L40" i="68"/>
  <c r="K40" i="68"/>
  <c r="I40" i="68"/>
  <c r="H40" i="68"/>
  <c r="F40" i="68"/>
  <c r="E40" i="68"/>
  <c r="C40" i="68"/>
  <c r="B40" i="68"/>
  <c r="D40" i="68" s="1"/>
  <c r="AM39" i="68"/>
  <c r="AL39" i="68"/>
  <c r="AN39" i="68" s="1"/>
  <c r="AJ39" i="68"/>
  <c r="AI39" i="68"/>
  <c r="AK39" i="68" s="1"/>
  <c r="AD39" i="68"/>
  <c r="AC39" i="68"/>
  <c r="AE39" i="68" s="1"/>
  <c r="AA39" i="68"/>
  <c r="Z39" i="68"/>
  <c r="X39" i="68"/>
  <c r="W39" i="68"/>
  <c r="U39" i="68"/>
  <c r="T39" i="68"/>
  <c r="R39" i="68"/>
  <c r="Q39" i="68"/>
  <c r="O39" i="68"/>
  <c r="N39" i="68"/>
  <c r="P39" i="68" s="1"/>
  <c r="L39" i="68"/>
  <c r="K39" i="68"/>
  <c r="M39" i="68" s="1"/>
  <c r="I39" i="68"/>
  <c r="H39" i="68"/>
  <c r="J39" i="68" s="1"/>
  <c r="F39" i="68"/>
  <c r="E39" i="68"/>
  <c r="C39" i="68"/>
  <c r="B39" i="68"/>
  <c r="D39" i="68" s="1"/>
  <c r="AL38" i="68"/>
  <c r="AJ38" i="68"/>
  <c r="AI38" i="68"/>
  <c r="AD38" i="68"/>
  <c r="AC38" i="68"/>
  <c r="AE38" i="68" s="1"/>
  <c r="AA38" i="68"/>
  <c r="Z38" i="68"/>
  <c r="X38" i="68"/>
  <c r="W38" i="68"/>
  <c r="U38" i="68"/>
  <c r="T38" i="68"/>
  <c r="R38" i="68"/>
  <c r="Q38" i="68"/>
  <c r="O38" i="68"/>
  <c r="N38" i="68"/>
  <c r="P38" i="68" s="1"/>
  <c r="L38" i="68"/>
  <c r="K38" i="68"/>
  <c r="I38" i="68"/>
  <c r="H38" i="68"/>
  <c r="F38" i="68"/>
  <c r="E38" i="68"/>
  <c r="C38" i="68"/>
  <c r="B38" i="68"/>
  <c r="AS34" i="68"/>
  <c r="AR34" i="68"/>
  <c r="AP34" i="68"/>
  <c r="AO34" i="68"/>
  <c r="AN34" i="68"/>
  <c r="AK34" i="68"/>
  <c r="Y34" i="68"/>
  <c r="J34" i="68"/>
  <c r="G34" i="68"/>
  <c r="D34" i="68"/>
  <c r="AS33" i="68"/>
  <c r="AR33" i="68"/>
  <c r="AT33" i="68" s="1"/>
  <c r="AP33" i="68"/>
  <c r="AO33" i="68"/>
  <c r="AQ33" i="68" s="1"/>
  <c r="AR32" i="68"/>
  <c r="AO32" i="68"/>
  <c r="AM32" i="68"/>
  <c r="AJ32" i="68"/>
  <c r="X32" i="68"/>
  <c r="I32" i="68"/>
  <c r="F32" i="68"/>
  <c r="C32" i="68"/>
  <c r="AS31" i="68"/>
  <c r="AR31" i="68"/>
  <c r="AP31" i="68"/>
  <c r="AO31" i="68"/>
  <c r="J31" i="68"/>
  <c r="AS30" i="68"/>
  <c r="AR30" i="68"/>
  <c r="AT30" i="68" s="1"/>
  <c r="AP30" i="68"/>
  <c r="AO30" i="68"/>
  <c r="AQ30" i="68" s="1"/>
  <c r="AS29" i="68"/>
  <c r="AR29" i="68"/>
  <c r="AP29" i="68"/>
  <c r="AO29" i="68"/>
  <c r="AN29" i="68"/>
  <c r="AK29" i="68"/>
  <c r="Y29" i="68"/>
  <c r="J29" i="68"/>
  <c r="G29" i="68"/>
  <c r="D29" i="68"/>
  <c r="AS28" i="68"/>
  <c r="AR28" i="68"/>
  <c r="AT28" i="68" s="1"/>
  <c r="AP28" i="68"/>
  <c r="AO28" i="68"/>
  <c r="AQ28" i="68" s="1"/>
  <c r="AS27" i="68"/>
  <c r="AR27" i="68"/>
  <c r="AT27" i="68" s="1"/>
  <c r="AP27" i="68"/>
  <c r="AO27" i="68"/>
  <c r="AQ27" i="68" s="1"/>
  <c r="AS26" i="68"/>
  <c r="AR26" i="68"/>
  <c r="AT26" i="68" s="1"/>
  <c r="AP26" i="68"/>
  <c r="AO26" i="68"/>
  <c r="AN26" i="68"/>
  <c r="AK26" i="68"/>
  <c r="Y26" i="68"/>
  <c r="J26" i="68"/>
  <c r="G26" i="68"/>
  <c r="D26" i="68"/>
  <c r="AS25" i="68"/>
  <c r="AR25" i="68"/>
  <c r="AT25" i="68" s="1"/>
  <c r="AP25" i="68"/>
  <c r="AO25" i="68"/>
  <c r="AQ25" i="68" s="1"/>
  <c r="AS24" i="68"/>
  <c r="AR24" i="68"/>
  <c r="AP24" i="68"/>
  <c r="AO24" i="68"/>
  <c r="AN24" i="68"/>
  <c r="AK24" i="68"/>
  <c r="Y24" i="68"/>
  <c r="J24" i="68"/>
  <c r="G24" i="68"/>
  <c r="AS22" i="68"/>
  <c r="AR22" i="68"/>
  <c r="AP22" i="68"/>
  <c r="AO22" i="68"/>
  <c r="AN22" i="68"/>
  <c r="AK22" i="68"/>
  <c r="S22" i="68"/>
  <c r="P22" i="68"/>
  <c r="J22" i="68"/>
  <c r="G22" i="68"/>
  <c r="D22" i="68"/>
  <c r="AS21" i="68"/>
  <c r="AR21" i="68"/>
  <c r="AP21" i="68"/>
  <c r="AO21" i="68"/>
  <c r="AK21" i="68"/>
  <c r="G21" i="68"/>
  <c r="AO20" i="68"/>
  <c r="AM20" i="68"/>
  <c r="AN20" i="68" s="1"/>
  <c r="AJ20" i="68"/>
  <c r="R20" i="68"/>
  <c r="O20" i="68"/>
  <c r="N20" i="68"/>
  <c r="I20" i="68"/>
  <c r="F20" i="68"/>
  <c r="C20" i="68"/>
  <c r="AS19" i="68"/>
  <c r="AR19" i="68"/>
  <c r="AP19" i="68"/>
  <c r="AO19" i="68"/>
  <c r="AQ19" i="68" s="1"/>
  <c r="J19" i="68"/>
  <c r="AS18" i="68"/>
  <c r="AR18" i="68"/>
  <c r="AT18" i="68" s="1"/>
  <c r="AP18" i="68"/>
  <c r="AO18" i="68"/>
  <c r="AQ18" i="68" s="1"/>
  <c r="AS17" i="68"/>
  <c r="AR17" i="68"/>
  <c r="AP17" i="68"/>
  <c r="AO17" i="68"/>
  <c r="AN17" i="68"/>
  <c r="AK17" i="68"/>
  <c r="S17" i="68"/>
  <c r="P17" i="68"/>
  <c r="J17" i="68"/>
  <c r="G17" i="68"/>
  <c r="D17" i="68"/>
  <c r="AS16" i="68"/>
  <c r="AR16" i="68"/>
  <c r="AT16" i="68" s="1"/>
  <c r="AP16" i="68"/>
  <c r="AO16" i="68"/>
  <c r="AQ16" i="68" s="1"/>
  <c r="AS15" i="68"/>
  <c r="AR15" i="68"/>
  <c r="AT15" i="68" s="1"/>
  <c r="AP15" i="68"/>
  <c r="AO15" i="68"/>
  <c r="AQ15" i="68" s="1"/>
  <c r="AS14" i="68"/>
  <c r="AR14" i="68"/>
  <c r="AP14" i="68"/>
  <c r="AO14" i="68"/>
  <c r="AN14" i="68"/>
  <c r="AK14" i="68"/>
  <c r="S14" i="68"/>
  <c r="P14" i="68"/>
  <c r="J14" i="68"/>
  <c r="G14" i="68"/>
  <c r="D14" i="68"/>
  <c r="AS13" i="68"/>
  <c r="AR13" i="68"/>
  <c r="AT13" i="68" s="1"/>
  <c r="AP13" i="68"/>
  <c r="AO13" i="68"/>
  <c r="AQ13" i="68" s="1"/>
  <c r="AS12" i="68"/>
  <c r="AR12" i="68"/>
  <c r="AP12" i="68"/>
  <c r="AO12" i="68"/>
  <c r="AN12" i="68"/>
  <c r="AK12" i="68"/>
  <c r="J12" i="68"/>
  <c r="G12" i="68"/>
  <c r="AS144" i="67"/>
  <c r="AR144" i="67"/>
  <c r="AP144" i="67"/>
  <c r="AO144" i="67"/>
  <c r="S144" i="67"/>
  <c r="AS143" i="67"/>
  <c r="AR143" i="67"/>
  <c r="AP143" i="67"/>
  <c r="AO143" i="67"/>
  <c r="S143" i="67"/>
  <c r="AU142" i="67"/>
  <c r="AR142" i="67"/>
  <c r="AO142" i="67"/>
  <c r="R142" i="67"/>
  <c r="AS140" i="67"/>
  <c r="AR140" i="67"/>
  <c r="AP140" i="67"/>
  <c r="AO140" i="67"/>
  <c r="AS139" i="67"/>
  <c r="AR139" i="67"/>
  <c r="AP139" i="67"/>
  <c r="AO139" i="67"/>
  <c r="S139" i="67"/>
  <c r="AS138" i="67"/>
  <c r="AR138" i="67"/>
  <c r="AP138" i="67"/>
  <c r="AO138" i="67"/>
  <c r="S138" i="67"/>
  <c r="AS136" i="67"/>
  <c r="AR136" i="67"/>
  <c r="AP136" i="67"/>
  <c r="AO136" i="67"/>
  <c r="S136" i="67"/>
  <c r="AS135" i="67"/>
  <c r="AR135" i="67"/>
  <c r="AP135" i="67"/>
  <c r="AO135" i="67"/>
  <c r="AS134" i="67"/>
  <c r="AR134" i="67"/>
  <c r="AP134" i="67"/>
  <c r="AO134" i="67"/>
  <c r="S134" i="67"/>
  <c r="AS132" i="67"/>
  <c r="AR132" i="67"/>
  <c r="AP132" i="67"/>
  <c r="AO132" i="67"/>
  <c r="AN132" i="67"/>
  <c r="AB132" i="67"/>
  <c r="S132" i="67"/>
  <c r="G132" i="67"/>
  <c r="AS131" i="67"/>
  <c r="AR131" i="67"/>
  <c r="AP131" i="67"/>
  <c r="AO131" i="67"/>
  <c r="AN131" i="67"/>
  <c r="AB131" i="67"/>
  <c r="S131" i="67"/>
  <c r="G131" i="67"/>
  <c r="AU130" i="67"/>
  <c r="AR130" i="67"/>
  <c r="AO130" i="67"/>
  <c r="AM130" i="67"/>
  <c r="AA130" i="67"/>
  <c r="R130" i="67"/>
  <c r="F130" i="67"/>
  <c r="AS129" i="67"/>
  <c r="AR129" i="67"/>
  <c r="AP129" i="67"/>
  <c r="AO129" i="67"/>
  <c r="AN129" i="67"/>
  <c r="AS128" i="67"/>
  <c r="AR128" i="67"/>
  <c r="AP128" i="67"/>
  <c r="AO128" i="67"/>
  <c r="AB128" i="67"/>
  <c r="S128" i="67"/>
  <c r="AS127" i="67"/>
  <c r="AR127" i="67"/>
  <c r="AP127" i="67"/>
  <c r="AO127" i="67"/>
  <c r="AN127" i="67"/>
  <c r="AB127" i="67"/>
  <c r="S127" i="67"/>
  <c r="G127" i="67"/>
  <c r="AS126" i="67"/>
  <c r="AR126" i="67"/>
  <c r="AP126" i="67"/>
  <c r="AO126" i="67"/>
  <c r="AN126" i="67"/>
  <c r="S126" i="67"/>
  <c r="G126" i="67"/>
  <c r="AS125" i="67"/>
  <c r="AR125" i="67"/>
  <c r="AP125" i="67"/>
  <c r="AO125" i="67"/>
  <c r="AN125" i="67"/>
  <c r="G125" i="67"/>
  <c r="AS124" i="67"/>
  <c r="AR124" i="67"/>
  <c r="AP124" i="67"/>
  <c r="AO124" i="67"/>
  <c r="AN124" i="67"/>
  <c r="AB124" i="67"/>
  <c r="S124" i="67"/>
  <c r="G124" i="67"/>
  <c r="AS123" i="67"/>
  <c r="AR123" i="67"/>
  <c r="AP123" i="67"/>
  <c r="AO123" i="67"/>
  <c r="AB123" i="67"/>
  <c r="S123" i="67"/>
  <c r="AS122" i="67"/>
  <c r="AR122" i="67"/>
  <c r="AP122" i="67"/>
  <c r="AO122" i="67"/>
  <c r="AN122" i="67"/>
  <c r="S122" i="67"/>
  <c r="AS118" i="67"/>
  <c r="AR118" i="67"/>
  <c r="AP118" i="67"/>
  <c r="AO118" i="67"/>
  <c r="AN118" i="67"/>
  <c r="AS117" i="67"/>
  <c r="AR117" i="67"/>
  <c r="AP117" i="67"/>
  <c r="AO117" i="67"/>
  <c r="AN117" i="67"/>
  <c r="AK117" i="67"/>
  <c r="AU116" i="67"/>
  <c r="AM116" i="67"/>
  <c r="AJ116" i="67"/>
  <c r="AS110" i="67"/>
  <c r="AR110" i="67"/>
  <c r="AP110" i="67"/>
  <c r="AO110" i="67"/>
  <c r="AN110" i="67"/>
  <c r="AS108" i="67"/>
  <c r="AR108" i="67"/>
  <c r="AT108" i="67" s="1"/>
  <c r="AP108" i="67"/>
  <c r="AO108" i="67"/>
  <c r="AN108" i="67"/>
  <c r="AK108" i="67"/>
  <c r="AS106" i="67"/>
  <c r="AR106" i="67"/>
  <c r="AP106" i="67"/>
  <c r="AO106" i="67"/>
  <c r="AN106" i="67"/>
  <c r="AK106" i="67"/>
  <c r="Y106" i="67"/>
  <c r="G106" i="67"/>
  <c r="D106" i="67"/>
  <c r="AS105" i="67"/>
  <c r="AR105" i="67"/>
  <c r="AP105" i="67"/>
  <c r="AO105" i="67"/>
  <c r="AK105" i="67"/>
  <c r="G105" i="67"/>
  <c r="AU104" i="67"/>
  <c r="AR104" i="67"/>
  <c r="AO104" i="67"/>
  <c r="AM104" i="67"/>
  <c r="AN104" i="67" s="1"/>
  <c r="AJ104" i="67"/>
  <c r="AK104" i="67" s="1"/>
  <c r="X104" i="67"/>
  <c r="Y104" i="67" s="1"/>
  <c r="U104" i="67"/>
  <c r="G104" i="67"/>
  <c r="F104" i="67"/>
  <c r="C104" i="67"/>
  <c r="AS101" i="67"/>
  <c r="AR101" i="67"/>
  <c r="AP101" i="67"/>
  <c r="AO101" i="67"/>
  <c r="AN101" i="67"/>
  <c r="AK101" i="67"/>
  <c r="Y101" i="67"/>
  <c r="G101" i="67"/>
  <c r="D101" i="67"/>
  <c r="AS100" i="67"/>
  <c r="AR100" i="67"/>
  <c r="AP100" i="67"/>
  <c r="AO100" i="67"/>
  <c r="G100" i="67"/>
  <c r="AS99" i="67"/>
  <c r="AR99" i="67"/>
  <c r="AP99" i="67"/>
  <c r="AO99" i="67"/>
  <c r="AN99" i="67"/>
  <c r="G99" i="67"/>
  <c r="AS98" i="67"/>
  <c r="AR98" i="67"/>
  <c r="AP98" i="67"/>
  <c r="AO98" i="67"/>
  <c r="AN98" i="67"/>
  <c r="AK98" i="67"/>
  <c r="Y98" i="67"/>
  <c r="G98" i="67"/>
  <c r="D98" i="67"/>
  <c r="AS97" i="67"/>
  <c r="AR97" i="67"/>
  <c r="AP97" i="67"/>
  <c r="AO97" i="67"/>
  <c r="G97" i="67"/>
  <c r="AS96" i="67"/>
  <c r="AR96" i="67"/>
  <c r="AP96" i="67"/>
  <c r="AO96" i="67"/>
  <c r="AN96" i="67"/>
  <c r="AK96" i="67"/>
  <c r="Y96" i="67"/>
  <c r="G96" i="67"/>
  <c r="AS94" i="67"/>
  <c r="AR94" i="67"/>
  <c r="AP94" i="67"/>
  <c r="AO94" i="67"/>
  <c r="AN94" i="67"/>
  <c r="AK94" i="67"/>
  <c r="Y94" i="67"/>
  <c r="M94" i="67"/>
  <c r="G94" i="67"/>
  <c r="AS93" i="67"/>
  <c r="AR93" i="67"/>
  <c r="AP93" i="67"/>
  <c r="AO93" i="67"/>
  <c r="AQ93" i="67" s="1"/>
  <c r="AN93" i="67"/>
  <c r="AK93" i="67"/>
  <c r="Y93" i="67"/>
  <c r="M93" i="67"/>
  <c r="G93" i="67"/>
  <c r="AU92" i="67"/>
  <c r="AR92" i="67"/>
  <c r="AO92" i="67"/>
  <c r="AM92" i="67"/>
  <c r="AN92" i="67" s="1"/>
  <c r="AJ92" i="67"/>
  <c r="X92" i="67"/>
  <c r="Y92" i="67" s="1"/>
  <c r="U92" i="67"/>
  <c r="L92" i="67"/>
  <c r="M92" i="67" s="1"/>
  <c r="F92" i="67"/>
  <c r="AS91" i="67"/>
  <c r="AR91" i="67"/>
  <c r="AP91" i="67"/>
  <c r="AO91" i="67"/>
  <c r="AN91" i="67"/>
  <c r="AK91" i="67"/>
  <c r="Y91" i="67"/>
  <c r="AS90" i="67"/>
  <c r="AR90" i="67"/>
  <c r="AP90" i="67"/>
  <c r="AO90" i="67"/>
  <c r="Y90" i="67"/>
  <c r="AS89" i="67"/>
  <c r="AR89" i="67"/>
  <c r="AP89" i="67"/>
  <c r="AO89" i="67"/>
  <c r="AN89" i="67"/>
  <c r="AK89" i="67"/>
  <c r="Y89" i="67"/>
  <c r="M89" i="67"/>
  <c r="G89" i="67"/>
  <c r="AS86" i="67"/>
  <c r="AR86" i="67"/>
  <c r="AP86" i="67"/>
  <c r="AO86" i="67"/>
  <c r="AN86" i="67"/>
  <c r="AK86" i="67"/>
  <c r="Y86" i="67"/>
  <c r="M86" i="67"/>
  <c r="G86" i="67"/>
  <c r="AS85" i="67"/>
  <c r="AR85" i="67"/>
  <c r="AP85" i="67"/>
  <c r="AO85" i="67"/>
  <c r="AK85" i="67"/>
  <c r="Y85" i="67"/>
  <c r="AS84" i="67"/>
  <c r="AR84" i="67"/>
  <c r="AP84" i="67"/>
  <c r="AO84" i="67"/>
  <c r="AN84" i="67"/>
  <c r="AK84" i="67"/>
  <c r="Y84" i="67"/>
  <c r="M84" i="67"/>
  <c r="G84" i="67"/>
  <c r="AS82" i="67"/>
  <c r="AR82" i="67"/>
  <c r="AP82" i="67"/>
  <c r="AO82" i="67"/>
  <c r="AK82" i="67"/>
  <c r="AS81" i="67"/>
  <c r="AR81" i="67"/>
  <c r="AT81" i="67" s="1"/>
  <c r="AP81" i="67"/>
  <c r="AO81" i="67"/>
  <c r="AQ81" i="67" s="1"/>
  <c r="AU80" i="67"/>
  <c r="AM80" i="67"/>
  <c r="AJ80" i="67"/>
  <c r="AS77" i="67"/>
  <c r="AR77" i="67"/>
  <c r="AP77" i="67"/>
  <c r="AO77" i="67"/>
  <c r="AK77" i="67"/>
  <c r="AS74" i="67"/>
  <c r="AR74" i="67"/>
  <c r="AP74" i="67"/>
  <c r="AO74" i="67"/>
  <c r="AK74" i="67"/>
  <c r="AS72" i="67"/>
  <c r="AR72" i="67"/>
  <c r="AP72" i="67"/>
  <c r="AO72" i="67"/>
  <c r="AK72" i="67"/>
  <c r="AS70" i="67"/>
  <c r="AR70" i="67"/>
  <c r="AP70" i="67"/>
  <c r="AO70" i="67"/>
  <c r="AK70" i="67"/>
  <c r="AS69" i="67"/>
  <c r="AR69" i="67"/>
  <c r="AT69" i="67" s="1"/>
  <c r="AP69" i="67"/>
  <c r="AO69" i="67"/>
  <c r="AQ69" i="67" s="1"/>
  <c r="AK69" i="67"/>
  <c r="AU68" i="67"/>
  <c r="AM68" i="67"/>
  <c r="AJ68" i="67"/>
  <c r="AK68" i="67" s="1"/>
  <c r="AR68" i="67"/>
  <c r="AS65" i="67"/>
  <c r="AR65" i="67"/>
  <c r="AP65" i="67"/>
  <c r="AO65" i="67"/>
  <c r="AK65" i="67"/>
  <c r="AS64" i="67"/>
  <c r="AR64" i="67"/>
  <c r="AP64" i="67"/>
  <c r="AO64" i="67"/>
  <c r="AK64" i="67"/>
  <c r="AS63" i="67"/>
  <c r="AR63" i="67"/>
  <c r="AT63" i="67" s="1"/>
  <c r="AP63" i="67"/>
  <c r="AO63" i="67"/>
  <c r="AQ63" i="67" s="1"/>
  <c r="AS62" i="67"/>
  <c r="AR62" i="67"/>
  <c r="AP62" i="67"/>
  <c r="AO62" i="67"/>
  <c r="AK62" i="67"/>
  <c r="AS61" i="67"/>
  <c r="AR61" i="67"/>
  <c r="AP61" i="67"/>
  <c r="AO61" i="67"/>
  <c r="AK61" i="67"/>
  <c r="AS60" i="67"/>
  <c r="AR60" i="67"/>
  <c r="AP60" i="67"/>
  <c r="AO60" i="67"/>
  <c r="AK60" i="67"/>
  <c r="AS58" i="67"/>
  <c r="AR58" i="67"/>
  <c r="AP58" i="67"/>
  <c r="AO58" i="67"/>
  <c r="AN58" i="67"/>
  <c r="AK58" i="67"/>
  <c r="Y58" i="67"/>
  <c r="V58" i="67"/>
  <c r="M58" i="67"/>
  <c r="J58" i="67"/>
  <c r="G58" i="67"/>
  <c r="D58" i="67"/>
  <c r="AS57" i="67"/>
  <c r="AR57" i="67"/>
  <c r="AP57" i="67"/>
  <c r="AO57" i="67"/>
  <c r="M57" i="67"/>
  <c r="G57" i="67"/>
  <c r="AM56" i="67"/>
  <c r="AJ56" i="67"/>
  <c r="AD56" i="67"/>
  <c r="X56" i="67"/>
  <c r="W56" i="67"/>
  <c r="U56" i="67"/>
  <c r="V56" i="67" s="1"/>
  <c r="L56" i="67"/>
  <c r="M56" i="67" s="1"/>
  <c r="I56" i="67"/>
  <c r="J56" i="67" s="1"/>
  <c r="F56" i="67"/>
  <c r="C56" i="67"/>
  <c r="D56" i="67" s="1"/>
  <c r="AS55" i="67"/>
  <c r="AR55" i="67"/>
  <c r="AP55" i="67"/>
  <c r="AO55" i="67"/>
  <c r="Y55" i="67"/>
  <c r="J55" i="67"/>
  <c r="AS53" i="67"/>
  <c r="AR53" i="67"/>
  <c r="AP53" i="67"/>
  <c r="AO53" i="67"/>
  <c r="AN53" i="67"/>
  <c r="AK53" i="67"/>
  <c r="Y53" i="67"/>
  <c r="M53" i="67"/>
  <c r="J53" i="67"/>
  <c r="G53" i="67"/>
  <c r="D53" i="67"/>
  <c r="AS50" i="67"/>
  <c r="AR50" i="67"/>
  <c r="AP50" i="67"/>
  <c r="AO50" i="67"/>
  <c r="AN50" i="67"/>
  <c r="AK50" i="67"/>
  <c r="Y50" i="67"/>
  <c r="V50" i="67"/>
  <c r="M50" i="67"/>
  <c r="J50" i="67"/>
  <c r="G50" i="67"/>
  <c r="D50" i="67"/>
  <c r="AS48" i="67"/>
  <c r="AR48" i="67"/>
  <c r="AP48" i="67"/>
  <c r="AO48" i="67"/>
  <c r="AN48" i="67"/>
  <c r="AK48" i="67"/>
  <c r="M48" i="67"/>
  <c r="J48" i="67"/>
  <c r="G48" i="67"/>
  <c r="AS46" i="67"/>
  <c r="AR46" i="67"/>
  <c r="AP46" i="67"/>
  <c r="AO46" i="67"/>
  <c r="AK46" i="67"/>
  <c r="AS45" i="67"/>
  <c r="AR45" i="67"/>
  <c r="AP45" i="67"/>
  <c r="AO45" i="67"/>
  <c r="AK45" i="67"/>
  <c r="AJ44" i="67"/>
  <c r="AK44" i="67" s="1"/>
  <c r="AS42" i="67"/>
  <c r="AR42" i="67"/>
  <c r="AP42" i="67"/>
  <c r="AO42" i="67"/>
  <c r="AS41" i="67"/>
  <c r="AR41" i="67"/>
  <c r="AP41" i="67"/>
  <c r="AO41" i="67"/>
  <c r="AK41" i="67"/>
  <c r="AS40" i="67"/>
  <c r="AR40" i="67"/>
  <c r="AP40" i="67"/>
  <c r="AO40" i="67"/>
  <c r="AK40" i="67"/>
  <c r="AS39" i="67"/>
  <c r="AR39" i="67"/>
  <c r="AP39" i="67"/>
  <c r="AO39" i="67"/>
  <c r="AR38" i="67"/>
  <c r="AO38" i="67"/>
  <c r="AM38" i="67"/>
  <c r="AM40" i="68" s="1"/>
  <c r="AK38" i="67"/>
  <c r="AR36" i="67"/>
  <c r="AO36" i="67"/>
  <c r="AM36" i="67"/>
  <c r="AK36" i="67"/>
  <c r="AS22" i="67"/>
  <c r="AR22" i="67"/>
  <c r="AP22" i="67"/>
  <c r="AO22" i="67"/>
  <c r="AN22" i="67"/>
  <c r="AK22" i="67"/>
  <c r="Y22" i="67"/>
  <c r="V22" i="67"/>
  <c r="G22" i="67"/>
  <c r="D22" i="67"/>
  <c r="AS21" i="67"/>
  <c r="AR21" i="67"/>
  <c r="AP21" i="67"/>
  <c r="AO21" i="67"/>
  <c r="AN21" i="67"/>
  <c r="AK21" i="67"/>
  <c r="Y21" i="67"/>
  <c r="V21" i="67"/>
  <c r="G21" i="67"/>
  <c r="AM20" i="67"/>
  <c r="AJ20" i="67"/>
  <c r="X20" i="67"/>
  <c r="W20" i="67"/>
  <c r="AR20" i="67" s="1"/>
  <c r="U20" i="67"/>
  <c r="F20" i="67"/>
  <c r="G20" i="67" s="1"/>
  <c r="C20" i="67"/>
  <c r="AS19" i="67"/>
  <c r="AR19" i="67"/>
  <c r="AP19" i="67"/>
  <c r="AO19" i="67"/>
  <c r="AN19" i="67"/>
  <c r="Y19" i="67"/>
  <c r="V19" i="67"/>
  <c r="AS18" i="67"/>
  <c r="AR18" i="67"/>
  <c r="AP18" i="67"/>
  <c r="AO18" i="67"/>
  <c r="Y18" i="67"/>
  <c r="AS17" i="67"/>
  <c r="AR17" i="67"/>
  <c r="AP17" i="67"/>
  <c r="AO17" i="67"/>
  <c r="AN17" i="67"/>
  <c r="AK17" i="67"/>
  <c r="Y17" i="67"/>
  <c r="V17" i="67"/>
  <c r="G17" i="67"/>
  <c r="D17" i="67"/>
  <c r="AS16" i="67"/>
  <c r="AR16" i="67"/>
  <c r="AP16" i="67"/>
  <c r="AO16" i="67"/>
  <c r="AN16" i="67"/>
  <c r="AK16" i="67"/>
  <c r="Y16" i="67"/>
  <c r="V16" i="67"/>
  <c r="G16" i="67"/>
  <c r="D16" i="67"/>
  <c r="AS15" i="67"/>
  <c r="AR15" i="67"/>
  <c r="AP15" i="67"/>
  <c r="AO15" i="67"/>
  <c r="AN15" i="67"/>
  <c r="Y15" i="67"/>
  <c r="V15" i="67"/>
  <c r="G15" i="67"/>
  <c r="AS14" i="67"/>
  <c r="AR14" i="67"/>
  <c r="AP14" i="67"/>
  <c r="AO14" i="67"/>
  <c r="AN14" i="67"/>
  <c r="AK14" i="67"/>
  <c r="Y14" i="67"/>
  <c r="V14" i="67"/>
  <c r="G14" i="67"/>
  <c r="D14" i="67"/>
  <c r="AS13" i="67"/>
  <c r="AR13" i="67"/>
  <c r="AP13" i="67"/>
  <c r="AO13" i="67"/>
  <c r="AK13" i="67"/>
  <c r="Y13" i="67"/>
  <c r="V13" i="67"/>
  <c r="G13" i="67"/>
  <c r="AS12" i="67"/>
  <c r="AR12" i="67"/>
  <c r="AP12" i="67"/>
  <c r="AO12" i="67"/>
  <c r="AN12" i="67"/>
  <c r="AK12" i="67"/>
  <c r="Y12" i="67"/>
  <c r="V12" i="67"/>
  <c r="G12" i="67"/>
  <c r="D12" i="67"/>
  <c r="AS108" i="66"/>
  <c r="AR108" i="66"/>
  <c r="AP108" i="66"/>
  <c r="AO108" i="66"/>
  <c r="AN108" i="66"/>
  <c r="AK108" i="66"/>
  <c r="Y108" i="66"/>
  <c r="M108" i="66"/>
  <c r="G108" i="66"/>
  <c r="D108" i="66"/>
  <c r="AS107" i="66"/>
  <c r="AR107" i="66"/>
  <c r="AP107" i="66"/>
  <c r="AO107" i="66"/>
  <c r="G107" i="66"/>
  <c r="AM106" i="66"/>
  <c r="AJ106" i="66"/>
  <c r="AO106" i="66"/>
  <c r="AD106" i="66"/>
  <c r="X106" i="66"/>
  <c r="L106" i="66"/>
  <c r="F106" i="66"/>
  <c r="C106" i="66"/>
  <c r="AS105" i="66"/>
  <c r="AR105" i="66"/>
  <c r="AT105" i="66" s="1"/>
  <c r="AP105" i="66"/>
  <c r="AO105" i="66"/>
  <c r="AQ105" i="66" s="1"/>
  <c r="AS103" i="66"/>
  <c r="AR103" i="66"/>
  <c r="AP103" i="66"/>
  <c r="AO103" i="66"/>
  <c r="AN103" i="66"/>
  <c r="AK103" i="66"/>
  <c r="Y103" i="66"/>
  <c r="M103" i="66"/>
  <c r="G103" i="66"/>
  <c r="D103" i="66"/>
  <c r="AS100" i="66"/>
  <c r="AR100" i="66"/>
  <c r="AP100" i="66"/>
  <c r="AO100" i="66"/>
  <c r="AN100" i="66"/>
  <c r="AK100" i="66"/>
  <c r="AE100" i="66"/>
  <c r="Y100" i="66"/>
  <c r="M100" i="66"/>
  <c r="G100" i="66"/>
  <c r="D100" i="66"/>
  <c r="AS98" i="66"/>
  <c r="AR98" i="66"/>
  <c r="AP98" i="66"/>
  <c r="AO98" i="66"/>
  <c r="AK98" i="66"/>
  <c r="G98" i="66"/>
  <c r="AS96" i="66"/>
  <c r="AR96" i="66"/>
  <c r="AP96" i="66"/>
  <c r="AO96" i="66"/>
  <c r="AK96" i="66"/>
  <c r="Y96" i="66"/>
  <c r="M96" i="66"/>
  <c r="J96" i="66"/>
  <c r="D96" i="66"/>
  <c r="AS95" i="66"/>
  <c r="AR95" i="66"/>
  <c r="AP95" i="66"/>
  <c r="AO95" i="66"/>
  <c r="M95" i="66"/>
  <c r="AJ94" i="66"/>
  <c r="X94" i="66"/>
  <c r="L94" i="66"/>
  <c r="I94" i="66"/>
  <c r="H94" i="66"/>
  <c r="AR94" i="66" s="1"/>
  <c r="C94" i="66"/>
  <c r="D94" i="66" s="1"/>
  <c r="AS93" i="66"/>
  <c r="AR93" i="66"/>
  <c r="AP93" i="66"/>
  <c r="AO93" i="66"/>
  <c r="J93" i="66"/>
  <c r="AS91" i="66"/>
  <c r="AR91" i="66"/>
  <c r="AP91" i="66"/>
  <c r="AO91" i="66"/>
  <c r="AK91" i="66"/>
  <c r="Y91" i="66"/>
  <c r="M91" i="66"/>
  <c r="J91" i="66"/>
  <c r="D91" i="66"/>
  <c r="AS88" i="66"/>
  <c r="AR88" i="66"/>
  <c r="AP88" i="66"/>
  <c r="AO88" i="66"/>
  <c r="AQ88" i="66" s="1"/>
  <c r="AK88" i="66"/>
  <c r="Y88" i="66"/>
  <c r="M88" i="66"/>
  <c r="J88" i="66"/>
  <c r="D88" i="66"/>
  <c r="AS86" i="66"/>
  <c r="AR86" i="66"/>
  <c r="AP86" i="66"/>
  <c r="AO86" i="66"/>
  <c r="AK86" i="66"/>
  <c r="Y86" i="66"/>
  <c r="M86" i="66"/>
  <c r="J86" i="66"/>
  <c r="AS84" i="66"/>
  <c r="AR84" i="66"/>
  <c r="AP84" i="66"/>
  <c r="AO84" i="66"/>
  <c r="AK84" i="66"/>
  <c r="Y84" i="66"/>
  <c r="G84" i="66"/>
  <c r="D84" i="66"/>
  <c r="AS83" i="66"/>
  <c r="AR83" i="66"/>
  <c r="AP83" i="66"/>
  <c r="AO83" i="66"/>
  <c r="AK83" i="66"/>
  <c r="Y83" i="66"/>
  <c r="G83" i="66"/>
  <c r="AR82" i="66"/>
  <c r="AO82" i="66"/>
  <c r="AJ82" i="66"/>
  <c r="AK82" i="66" s="1"/>
  <c r="X82" i="66"/>
  <c r="Y82" i="66" s="1"/>
  <c r="F82" i="66"/>
  <c r="C82" i="66"/>
  <c r="AS80" i="66"/>
  <c r="AR80" i="66"/>
  <c r="AP80" i="66"/>
  <c r="AO80" i="66"/>
  <c r="AQ80" i="66" s="1"/>
  <c r="Y80" i="66"/>
  <c r="AS79" i="66"/>
  <c r="AR79" i="66"/>
  <c r="AP79" i="66"/>
  <c r="AO79" i="66"/>
  <c r="AK79" i="66"/>
  <c r="Y79" i="66"/>
  <c r="G79" i="66"/>
  <c r="D79" i="66"/>
  <c r="AS78" i="66"/>
  <c r="AR78" i="66"/>
  <c r="AP78" i="66"/>
  <c r="AO78" i="66"/>
  <c r="AK78" i="66"/>
  <c r="Y78" i="66"/>
  <c r="G78" i="66"/>
  <c r="AS77" i="66"/>
  <c r="AR77" i="66"/>
  <c r="AP77" i="66"/>
  <c r="AO77" i="66"/>
  <c r="G77" i="66"/>
  <c r="AS76" i="66"/>
  <c r="AR76" i="66"/>
  <c r="AP76" i="66"/>
  <c r="AO76" i="66"/>
  <c r="AK76" i="66"/>
  <c r="Y76" i="66"/>
  <c r="G76" i="66"/>
  <c r="D76" i="66"/>
  <c r="AS75" i="66"/>
  <c r="AR75" i="66"/>
  <c r="AP75" i="66"/>
  <c r="AO75" i="66"/>
  <c r="Y75" i="66"/>
  <c r="G75" i="66"/>
  <c r="AS74" i="66"/>
  <c r="AR74" i="66"/>
  <c r="AP74" i="66"/>
  <c r="AO74" i="66"/>
  <c r="AK74" i="66"/>
  <c r="Y74" i="66"/>
  <c r="G74" i="66"/>
  <c r="D74" i="66"/>
  <c r="AS72" i="66"/>
  <c r="AR72" i="66"/>
  <c r="AP72" i="66"/>
  <c r="AO72" i="66"/>
  <c r="AN72" i="66"/>
  <c r="AK72" i="66"/>
  <c r="Y72" i="66"/>
  <c r="G72" i="66"/>
  <c r="AS71" i="66"/>
  <c r="AR71" i="66"/>
  <c r="AP71" i="66"/>
  <c r="AO71" i="66"/>
  <c r="AN71" i="66"/>
  <c r="AK71" i="66"/>
  <c r="Y71" i="66"/>
  <c r="G71" i="66"/>
  <c r="AR70" i="66"/>
  <c r="AO70" i="66"/>
  <c r="AM70" i="66"/>
  <c r="AJ70" i="66"/>
  <c r="X70" i="66"/>
  <c r="F70" i="66"/>
  <c r="AS69" i="66"/>
  <c r="AR69" i="66"/>
  <c r="AP69" i="66"/>
  <c r="AO69" i="66"/>
  <c r="AN69" i="66"/>
  <c r="AS67" i="66"/>
  <c r="AR67" i="66"/>
  <c r="AP67" i="66"/>
  <c r="AO67" i="66"/>
  <c r="AN67" i="66"/>
  <c r="AK67" i="66"/>
  <c r="Y67" i="66"/>
  <c r="G67" i="66"/>
  <c r="AS64" i="66"/>
  <c r="AR64" i="66"/>
  <c r="AP64" i="66"/>
  <c r="AO64" i="66"/>
  <c r="AN64" i="66"/>
  <c r="AK64" i="66"/>
  <c r="Y64" i="66"/>
  <c r="G64" i="66"/>
  <c r="AS63" i="66"/>
  <c r="AR63" i="66"/>
  <c r="AP63" i="66"/>
  <c r="AO63" i="66"/>
  <c r="Y63" i="66"/>
  <c r="AS62" i="66"/>
  <c r="AR62" i="66"/>
  <c r="AP62" i="66"/>
  <c r="AO62" i="66"/>
  <c r="AN62" i="66"/>
  <c r="AK62" i="66"/>
  <c r="Y62" i="66"/>
  <c r="G62" i="66"/>
  <c r="AS58" i="66"/>
  <c r="AR58" i="66"/>
  <c r="AP58" i="66"/>
  <c r="AO58" i="66"/>
  <c r="AN58" i="66"/>
  <c r="AK58" i="66"/>
  <c r="AE58" i="66"/>
  <c r="Y58" i="66"/>
  <c r="G58" i="66"/>
  <c r="D58" i="66"/>
  <c r="AS57" i="66"/>
  <c r="AR57" i="66"/>
  <c r="AP57" i="66"/>
  <c r="AO57" i="66"/>
  <c r="G57" i="66"/>
  <c r="AR56" i="66"/>
  <c r="AO56" i="66"/>
  <c r="AM56" i="66"/>
  <c r="AJ56" i="66"/>
  <c r="AD56" i="66"/>
  <c r="X56" i="66"/>
  <c r="F56" i="66"/>
  <c r="C56" i="66"/>
  <c r="D56" i="66" s="1"/>
  <c r="AS53" i="66"/>
  <c r="AR53" i="66"/>
  <c r="AP53" i="66"/>
  <c r="AO53" i="66"/>
  <c r="AN53" i="66"/>
  <c r="AK53" i="66"/>
  <c r="Y53" i="66"/>
  <c r="G53" i="66"/>
  <c r="AS50" i="66"/>
  <c r="AR50" i="66"/>
  <c r="AP50" i="66"/>
  <c r="AO50" i="66"/>
  <c r="AN50" i="66"/>
  <c r="AK50" i="66"/>
  <c r="AE50" i="66"/>
  <c r="Y50" i="66"/>
  <c r="G50" i="66"/>
  <c r="D50" i="66"/>
  <c r="AS48" i="66"/>
  <c r="AR48" i="66"/>
  <c r="AP48" i="66"/>
  <c r="AO48" i="66"/>
  <c r="AK48" i="66"/>
  <c r="G48" i="66"/>
  <c r="AS46" i="66"/>
  <c r="AR46" i="66"/>
  <c r="AP46" i="66"/>
  <c r="AO46" i="66"/>
  <c r="AN46" i="66"/>
  <c r="AK46" i="66"/>
  <c r="Y46" i="66"/>
  <c r="P46" i="66"/>
  <c r="J46" i="66"/>
  <c r="D46" i="66"/>
  <c r="AM44" i="66"/>
  <c r="AJ44" i="66"/>
  <c r="X44" i="66"/>
  <c r="O44" i="66"/>
  <c r="I44" i="66"/>
  <c r="H44" i="66"/>
  <c r="J44" i="66" s="1"/>
  <c r="C44" i="66"/>
  <c r="D44" i="66" s="1"/>
  <c r="AS43" i="66"/>
  <c r="AR43" i="66"/>
  <c r="AP43" i="66"/>
  <c r="AO43" i="66"/>
  <c r="J43" i="66"/>
  <c r="AS41" i="66"/>
  <c r="AR41" i="66"/>
  <c r="AP41" i="66"/>
  <c r="AO41" i="66"/>
  <c r="AN41" i="66"/>
  <c r="AK41" i="66"/>
  <c r="Y41" i="66"/>
  <c r="P41" i="66"/>
  <c r="J41" i="66"/>
  <c r="D41" i="66"/>
  <c r="AS38" i="66"/>
  <c r="AR38" i="66"/>
  <c r="AP38" i="66"/>
  <c r="AO38" i="66"/>
  <c r="AN38" i="66"/>
  <c r="AK38" i="66"/>
  <c r="Y38" i="66"/>
  <c r="P38" i="66"/>
  <c r="J38" i="66"/>
  <c r="D38" i="66"/>
  <c r="AS36" i="66"/>
  <c r="AR36" i="66"/>
  <c r="AP36" i="66"/>
  <c r="AO36" i="66"/>
  <c r="AN36" i="66"/>
  <c r="AK36" i="66"/>
  <c r="Y36" i="66"/>
  <c r="J36" i="66"/>
  <c r="AS34" i="66"/>
  <c r="AR34" i="66"/>
  <c r="AP34" i="66"/>
  <c r="AO34" i="66"/>
  <c r="AK34" i="66"/>
  <c r="Y34" i="66"/>
  <c r="G34" i="66"/>
  <c r="AS33" i="66"/>
  <c r="AR33" i="66"/>
  <c r="AP33" i="66"/>
  <c r="AO33" i="66"/>
  <c r="Y33" i="66"/>
  <c r="G33" i="66"/>
  <c r="AR32" i="66"/>
  <c r="AO32" i="66"/>
  <c r="AJ32" i="66"/>
  <c r="X32" i="66"/>
  <c r="Y32" i="66" s="1"/>
  <c r="F32" i="66"/>
  <c r="AS29" i="66"/>
  <c r="AR29" i="66"/>
  <c r="AP29" i="66"/>
  <c r="AO29" i="66"/>
  <c r="AK29" i="66"/>
  <c r="Y29" i="66"/>
  <c r="G29" i="66"/>
  <c r="AS28" i="66"/>
  <c r="AR28" i="66"/>
  <c r="AP28" i="66"/>
  <c r="AO28" i="66"/>
  <c r="Y28" i="66"/>
  <c r="G28" i="66"/>
  <c r="AS27" i="66"/>
  <c r="AR27" i="66"/>
  <c r="AP27" i="66"/>
  <c r="AO27" i="66"/>
  <c r="G27" i="66"/>
  <c r="AS26" i="66"/>
  <c r="AR26" i="66"/>
  <c r="AP26" i="66"/>
  <c r="AO26" i="66"/>
  <c r="AK26" i="66"/>
  <c r="Y26" i="66"/>
  <c r="G26" i="66"/>
  <c r="AS25" i="66"/>
  <c r="AR25" i="66"/>
  <c r="AP25" i="66"/>
  <c r="AO25" i="66"/>
  <c r="Y25" i="66"/>
  <c r="G25" i="66"/>
  <c r="AS24" i="66"/>
  <c r="AR24" i="66"/>
  <c r="AP24" i="66"/>
  <c r="AO24" i="66"/>
  <c r="AK24" i="66"/>
  <c r="Y24" i="66"/>
  <c r="G24" i="66"/>
  <c r="AS22" i="66"/>
  <c r="AR22" i="66"/>
  <c r="AP22" i="66"/>
  <c r="AO22" i="66"/>
  <c r="AN22" i="66"/>
  <c r="AK22" i="66"/>
  <c r="Y22" i="66"/>
  <c r="G22" i="66"/>
  <c r="AS21" i="66"/>
  <c r="AR21" i="66"/>
  <c r="AP21" i="66"/>
  <c r="AO21" i="66"/>
  <c r="AN21" i="66"/>
  <c r="AK21" i="66"/>
  <c r="Y21" i="66"/>
  <c r="G21" i="66"/>
  <c r="AR20" i="66"/>
  <c r="AO20" i="66"/>
  <c r="AM20" i="66"/>
  <c r="AJ20" i="66"/>
  <c r="X20" i="66"/>
  <c r="F20" i="66"/>
  <c r="AS19" i="66"/>
  <c r="AR19" i="66"/>
  <c r="AP19" i="66"/>
  <c r="AO19" i="66"/>
  <c r="AN19" i="66"/>
  <c r="AS17" i="66"/>
  <c r="AR17" i="66"/>
  <c r="AP17" i="66"/>
  <c r="AO17" i="66"/>
  <c r="AN17" i="66"/>
  <c r="AK17" i="66"/>
  <c r="Y17" i="66"/>
  <c r="G17" i="66"/>
  <c r="AS14" i="66"/>
  <c r="AR14" i="66"/>
  <c r="AP14" i="66"/>
  <c r="AO14" i="66"/>
  <c r="AN14" i="66"/>
  <c r="AK14" i="66"/>
  <c r="Y14" i="66"/>
  <c r="G14" i="66"/>
  <c r="AS13" i="66"/>
  <c r="AR13" i="66"/>
  <c r="AP13" i="66"/>
  <c r="AO13" i="66"/>
  <c r="Y13" i="66"/>
  <c r="AS12" i="66"/>
  <c r="AR12" i="66"/>
  <c r="AP12" i="66"/>
  <c r="AO12" i="66"/>
  <c r="AN12" i="66"/>
  <c r="AK12" i="66"/>
  <c r="Y12" i="66"/>
  <c r="G12" i="66"/>
  <c r="AO57" i="65"/>
  <c r="AO56" i="65"/>
  <c r="AM56" i="65"/>
  <c r="AM57" i="65" s="1"/>
  <c r="AJ56" i="65"/>
  <c r="AJ57" i="65" s="1"/>
  <c r="AA56" i="65"/>
  <c r="AA57" i="65" s="1"/>
  <c r="U56" i="65"/>
  <c r="U57" i="65" s="1"/>
  <c r="L56" i="65"/>
  <c r="L57" i="65" s="1"/>
  <c r="I56" i="65"/>
  <c r="I57" i="65" s="1"/>
  <c r="F56" i="65"/>
  <c r="F57" i="65" s="1"/>
  <c r="C56" i="65"/>
  <c r="C57" i="65" s="1"/>
  <c r="AP55" i="65"/>
  <c r="AO55" i="65"/>
  <c r="AP54" i="65"/>
  <c r="AO54" i="65"/>
  <c r="AP53" i="65"/>
  <c r="AO53" i="65"/>
  <c r="AP51" i="65"/>
  <c r="AO51" i="65"/>
  <c r="AP50" i="65"/>
  <c r="AO50" i="65"/>
  <c r="AP44" i="65"/>
  <c r="AO44" i="65"/>
  <c r="AN44" i="65"/>
  <c r="AK44" i="65"/>
  <c r="Y44" i="65"/>
  <c r="V44" i="65"/>
  <c r="S44" i="65"/>
  <c r="M44" i="65"/>
  <c r="G44" i="65"/>
  <c r="Q43" i="65"/>
  <c r="Q45" i="65" s="1"/>
  <c r="AP42" i="65"/>
  <c r="AO42" i="65"/>
  <c r="AN42" i="65"/>
  <c r="AK42" i="65"/>
  <c r="AB42" i="65"/>
  <c r="Y42" i="65"/>
  <c r="P42" i="65"/>
  <c r="M42" i="65"/>
  <c r="J42" i="65"/>
  <c r="G42" i="65"/>
  <c r="D42" i="65"/>
  <c r="AM40" i="65"/>
  <c r="AN40" i="65" s="1"/>
  <c r="AJ40" i="65"/>
  <c r="AK40" i="65" s="1"/>
  <c r="AO40" i="65"/>
  <c r="AD40" i="65"/>
  <c r="AA40" i="65"/>
  <c r="AB40" i="65" s="1"/>
  <c r="Y40" i="65"/>
  <c r="X40" i="65"/>
  <c r="U40" i="65"/>
  <c r="V40" i="65" s="1"/>
  <c r="S40" i="65"/>
  <c r="O40" i="65"/>
  <c r="P40" i="65" s="1"/>
  <c r="L40" i="65"/>
  <c r="M40" i="65" s="1"/>
  <c r="I40" i="65"/>
  <c r="J40" i="65" s="1"/>
  <c r="F40" i="65"/>
  <c r="G40" i="65" s="1"/>
  <c r="C40" i="65"/>
  <c r="D40" i="65" s="1"/>
  <c r="AP39" i="65"/>
  <c r="AO39" i="65"/>
  <c r="AN39" i="65"/>
  <c r="AK39" i="65"/>
  <c r="AB39" i="65"/>
  <c r="Y39" i="65"/>
  <c r="V39" i="65"/>
  <c r="S39" i="65"/>
  <c r="M39" i="65"/>
  <c r="J39" i="65"/>
  <c r="G39" i="65"/>
  <c r="AP38" i="65"/>
  <c r="AO38" i="65"/>
  <c r="AN38" i="65"/>
  <c r="AK38" i="65"/>
  <c r="AB38" i="65"/>
  <c r="Y38" i="65"/>
  <c r="V38" i="65"/>
  <c r="S38" i="65"/>
  <c r="M38" i="65"/>
  <c r="J38" i="65"/>
  <c r="G38" i="65"/>
  <c r="AP37" i="65"/>
  <c r="AO37" i="65"/>
  <c r="AN37" i="65"/>
  <c r="AK37" i="65"/>
  <c r="AB37" i="65"/>
  <c r="Y37" i="65"/>
  <c r="V37" i="65"/>
  <c r="S37" i="65"/>
  <c r="P37" i="65"/>
  <c r="M37" i="65"/>
  <c r="J37" i="65"/>
  <c r="G37" i="65"/>
  <c r="D37" i="65"/>
  <c r="AP33" i="65"/>
  <c r="AO33" i="65"/>
  <c r="AN33" i="65"/>
  <c r="AK33" i="65"/>
  <c r="Y33" i="65"/>
  <c r="V33" i="65"/>
  <c r="S33" i="65"/>
  <c r="G33" i="65"/>
  <c r="AP32" i="65"/>
  <c r="AO32" i="65"/>
  <c r="AN32" i="65"/>
  <c r="AK32" i="65"/>
  <c r="AE32" i="65"/>
  <c r="AB32" i="65"/>
  <c r="Y32" i="65"/>
  <c r="V32" i="65"/>
  <c r="S32" i="65"/>
  <c r="P32" i="65"/>
  <c r="M32" i="65"/>
  <c r="J32" i="65"/>
  <c r="G32" i="65"/>
  <c r="D32" i="65"/>
  <c r="AP31" i="65"/>
  <c r="AO31" i="65"/>
  <c r="AN31" i="65"/>
  <c r="AK31" i="65"/>
  <c r="AB31" i="65"/>
  <c r="Y31" i="65"/>
  <c r="S31" i="65"/>
  <c r="M31" i="65"/>
  <c r="G31" i="65"/>
  <c r="D31" i="65"/>
  <c r="AP30" i="65"/>
  <c r="AO30" i="65"/>
  <c r="AN30" i="65"/>
  <c r="AK30" i="65"/>
  <c r="AE30" i="65"/>
  <c r="Y30" i="65"/>
  <c r="V30" i="65"/>
  <c r="S30" i="65"/>
  <c r="M30" i="65"/>
  <c r="G30" i="65"/>
  <c r="D30" i="65"/>
  <c r="AM29" i="65"/>
  <c r="AJ29" i="65"/>
  <c r="AA29" i="65"/>
  <c r="X29" i="65"/>
  <c r="Y29" i="65" s="1"/>
  <c r="U29" i="65"/>
  <c r="R29" i="65"/>
  <c r="O29" i="65"/>
  <c r="L29" i="65"/>
  <c r="I29" i="65"/>
  <c r="F29" i="65"/>
  <c r="C29" i="65"/>
  <c r="AP28" i="65"/>
  <c r="AO28" i="65"/>
  <c r="AN28" i="65"/>
  <c r="Y28" i="65"/>
  <c r="V28" i="65"/>
  <c r="S28" i="65"/>
  <c r="G28" i="65"/>
  <c r="AP27" i="65"/>
  <c r="AO27" i="65"/>
  <c r="AN27" i="65"/>
  <c r="J27" i="65"/>
  <c r="G27" i="65"/>
  <c r="D27" i="65"/>
  <c r="AP26" i="65"/>
  <c r="AO26" i="65"/>
  <c r="AN26" i="65"/>
  <c r="AK26" i="65"/>
  <c r="AB26" i="65"/>
  <c r="Y26" i="65"/>
  <c r="V26" i="65"/>
  <c r="S26" i="65"/>
  <c r="G26" i="65"/>
  <c r="AP25" i="65"/>
  <c r="AO25" i="65"/>
  <c r="AN25" i="65"/>
  <c r="AK25" i="65"/>
  <c r="AB25" i="65"/>
  <c r="Y25" i="65"/>
  <c r="V25" i="65"/>
  <c r="S25" i="65"/>
  <c r="M25" i="65"/>
  <c r="G25" i="65"/>
  <c r="D25" i="65"/>
  <c r="AP24" i="65"/>
  <c r="AO24" i="65"/>
  <c r="AN24" i="65"/>
  <c r="AK24" i="65"/>
  <c r="AB24" i="65"/>
  <c r="Y24" i="65"/>
  <c r="V24" i="65"/>
  <c r="S24" i="65"/>
  <c r="M24" i="65"/>
  <c r="J24" i="65"/>
  <c r="G24" i="65"/>
  <c r="AP23" i="65"/>
  <c r="AO23" i="65"/>
  <c r="AN23" i="65"/>
  <c r="AK23" i="65"/>
  <c r="AB23" i="65"/>
  <c r="Y23" i="65"/>
  <c r="V23" i="65"/>
  <c r="S23" i="65"/>
  <c r="M23" i="65"/>
  <c r="J23" i="65"/>
  <c r="G23" i="65"/>
  <c r="D23" i="65"/>
  <c r="AM21" i="65"/>
  <c r="AJ21" i="65"/>
  <c r="AR21" i="65"/>
  <c r="AD21" i="65"/>
  <c r="AA21" i="65"/>
  <c r="X21" i="65"/>
  <c r="U21" i="65"/>
  <c r="R21" i="65"/>
  <c r="O21" i="65"/>
  <c r="L21" i="65"/>
  <c r="I21" i="65"/>
  <c r="F21" i="65"/>
  <c r="C21" i="65"/>
  <c r="AS20" i="65"/>
  <c r="AR20" i="65"/>
  <c r="AP20" i="65"/>
  <c r="AO20" i="65"/>
  <c r="AQ20" i="65" s="1"/>
  <c r="AN20" i="65"/>
  <c r="AK20" i="65"/>
  <c r="AE20" i="65"/>
  <c r="Y20" i="65"/>
  <c r="V20" i="65"/>
  <c r="S20" i="65"/>
  <c r="M20" i="65"/>
  <c r="J20" i="65"/>
  <c r="G20" i="65"/>
  <c r="D20" i="65"/>
  <c r="AS19" i="65"/>
  <c r="AR19" i="65"/>
  <c r="AP19" i="65"/>
  <c r="AO19" i="65"/>
  <c r="AN19" i="65"/>
  <c r="AK19" i="65"/>
  <c r="AE19" i="65"/>
  <c r="AB19" i="65"/>
  <c r="Y19" i="65"/>
  <c r="V19" i="65"/>
  <c r="S19" i="65"/>
  <c r="P19" i="65"/>
  <c r="M19" i="65"/>
  <c r="J19" i="65"/>
  <c r="G19" i="65"/>
  <c r="D19" i="65"/>
  <c r="AS17" i="65"/>
  <c r="AR17" i="65"/>
  <c r="AP17" i="65"/>
  <c r="AO17" i="65"/>
  <c r="AN17" i="65"/>
  <c r="AK17" i="65"/>
  <c r="AB17" i="65"/>
  <c r="Y17" i="65"/>
  <c r="V17" i="65"/>
  <c r="S17" i="65"/>
  <c r="J17" i="65"/>
  <c r="G17" i="65"/>
  <c r="AS16" i="65"/>
  <c r="AR16" i="65"/>
  <c r="AP16" i="65"/>
  <c r="AO16" i="65"/>
  <c r="AN16" i="65"/>
  <c r="AK16" i="65"/>
  <c r="AE16" i="65"/>
  <c r="Y16" i="65"/>
  <c r="V16" i="65"/>
  <c r="S16" i="65"/>
  <c r="M16" i="65"/>
  <c r="J16" i="65"/>
  <c r="G16" i="65"/>
  <c r="D16" i="65"/>
  <c r="AS15" i="65"/>
  <c r="AR15" i="65"/>
  <c r="AP15" i="65"/>
  <c r="AO15" i="65"/>
  <c r="AQ15" i="65" s="1"/>
  <c r="AN15" i="65"/>
  <c r="AK15" i="65"/>
  <c r="AB15" i="65"/>
  <c r="Y15" i="65"/>
  <c r="V15" i="65"/>
  <c r="S15" i="65"/>
  <c r="M15" i="65"/>
  <c r="J15" i="65"/>
  <c r="G15" i="65"/>
  <c r="D15" i="65"/>
  <c r="AM14" i="65"/>
  <c r="AN14" i="65" s="1"/>
  <c r="AJ14" i="65"/>
  <c r="AR14" i="65"/>
  <c r="AD14" i="65"/>
  <c r="AA14" i="65"/>
  <c r="X14" i="65"/>
  <c r="Y14" i="65" s="1"/>
  <c r="U14" i="65"/>
  <c r="R14" i="65"/>
  <c r="O14" i="65"/>
  <c r="L14" i="65"/>
  <c r="I14" i="65"/>
  <c r="F14" i="65"/>
  <c r="C14" i="65"/>
  <c r="AS13" i="65"/>
  <c r="AR13" i="65"/>
  <c r="AP13" i="65"/>
  <c r="AO13" i="65"/>
  <c r="AN13" i="65"/>
  <c r="AK13" i="65"/>
  <c r="AE13" i="65"/>
  <c r="Y13" i="65"/>
  <c r="V13" i="65"/>
  <c r="S13" i="65"/>
  <c r="M13" i="65"/>
  <c r="J13" i="65"/>
  <c r="G13" i="65"/>
  <c r="D13" i="65"/>
  <c r="AS12" i="65"/>
  <c r="AR12" i="65"/>
  <c r="AT12" i="65" s="1"/>
  <c r="AP12" i="65"/>
  <c r="AO12" i="65"/>
  <c r="AN12" i="65"/>
  <c r="AK12" i="65"/>
  <c r="Y12" i="65"/>
  <c r="S12" i="65"/>
  <c r="M12" i="65"/>
  <c r="J12" i="65"/>
  <c r="G12" i="65"/>
  <c r="D12" i="65"/>
  <c r="AS11" i="65"/>
  <c r="AR11" i="65"/>
  <c r="AP11" i="65"/>
  <c r="AO11" i="65"/>
  <c r="AN11" i="65"/>
  <c r="AK11" i="65"/>
  <c r="AE11" i="65"/>
  <c r="AB11" i="65"/>
  <c r="Y11" i="65"/>
  <c r="V11" i="65"/>
  <c r="S11" i="65"/>
  <c r="P11" i="65"/>
  <c r="M11" i="65"/>
  <c r="J11" i="65"/>
  <c r="G11" i="65"/>
  <c r="D11" i="65"/>
  <c r="Q91" i="62"/>
  <c r="N91" i="62"/>
  <c r="K91" i="62"/>
  <c r="H91" i="62"/>
  <c r="AS89" i="62"/>
  <c r="AR89" i="62"/>
  <c r="AP89" i="62"/>
  <c r="AO89" i="62"/>
  <c r="AN89" i="62"/>
  <c r="AK89" i="62"/>
  <c r="AB89" i="62"/>
  <c r="Y89" i="62"/>
  <c r="V89" i="62"/>
  <c r="S89" i="62"/>
  <c r="P89" i="62"/>
  <c r="M89" i="62"/>
  <c r="J89" i="62"/>
  <c r="G89" i="62"/>
  <c r="D89" i="62"/>
  <c r="AS88" i="62"/>
  <c r="AR88" i="62"/>
  <c r="AP88" i="62"/>
  <c r="AO88" i="62"/>
  <c r="AN88" i="62"/>
  <c r="AK88" i="62"/>
  <c r="AE88" i="62"/>
  <c r="AB88" i="62"/>
  <c r="Y88" i="62"/>
  <c r="V88" i="62"/>
  <c r="S88" i="62"/>
  <c r="P88" i="62"/>
  <c r="M88" i="62"/>
  <c r="G88" i="62"/>
  <c r="D88" i="62"/>
  <c r="AS87" i="62"/>
  <c r="AR87" i="62"/>
  <c r="AP87" i="62"/>
  <c r="AO87" i="62"/>
  <c r="AK87" i="62"/>
  <c r="AS86" i="62"/>
  <c r="AR86" i="62"/>
  <c r="AP86" i="62"/>
  <c r="AO86" i="62"/>
  <c r="AN86" i="62"/>
  <c r="AK86" i="62"/>
  <c r="AB86" i="62"/>
  <c r="Y86" i="62"/>
  <c r="V86" i="62"/>
  <c r="S86" i="62"/>
  <c r="P86" i="62"/>
  <c r="M86" i="62"/>
  <c r="J86" i="62"/>
  <c r="G86" i="62"/>
  <c r="D86" i="62"/>
  <c r="AR85" i="62"/>
  <c r="AO85" i="62"/>
  <c r="AM85" i="62"/>
  <c r="AJ85" i="62"/>
  <c r="AD85" i="62"/>
  <c r="X85" i="62"/>
  <c r="U85" i="62"/>
  <c r="R85" i="62"/>
  <c r="O85" i="62"/>
  <c r="L85" i="62"/>
  <c r="I85" i="62"/>
  <c r="F85" i="62"/>
  <c r="C85" i="62"/>
  <c r="AS83" i="62"/>
  <c r="AR83" i="62"/>
  <c r="AP83" i="62"/>
  <c r="AO83" i="62"/>
  <c r="AK83" i="62"/>
  <c r="V83" i="62"/>
  <c r="S83" i="62"/>
  <c r="M83" i="62"/>
  <c r="G83" i="62"/>
  <c r="D83" i="62"/>
  <c r="AS82" i="62"/>
  <c r="AR82" i="62"/>
  <c r="AP82" i="62"/>
  <c r="AO82" i="62"/>
  <c r="AS81" i="62"/>
  <c r="AR81" i="62"/>
  <c r="AP81" i="62"/>
  <c r="AO81" i="62"/>
  <c r="AN81" i="62"/>
  <c r="AK81" i="62"/>
  <c r="AE81" i="62"/>
  <c r="Y81" i="62"/>
  <c r="V81" i="62"/>
  <c r="S81" i="62"/>
  <c r="M81" i="62"/>
  <c r="J81" i="62"/>
  <c r="G81" i="62"/>
  <c r="D81" i="62"/>
  <c r="AR79" i="62"/>
  <c r="AO79" i="62"/>
  <c r="AM79" i="62"/>
  <c r="AJ79" i="62"/>
  <c r="AD79" i="62"/>
  <c r="AA79" i="62"/>
  <c r="X79" i="62"/>
  <c r="U79" i="62"/>
  <c r="R79" i="62"/>
  <c r="O79" i="62"/>
  <c r="L79" i="62"/>
  <c r="I79" i="62"/>
  <c r="F79" i="62"/>
  <c r="C79" i="62"/>
  <c r="AS78" i="62"/>
  <c r="AR78" i="62"/>
  <c r="AP78" i="62"/>
  <c r="AO78" i="62"/>
  <c r="AS77" i="62"/>
  <c r="AR77" i="62"/>
  <c r="AP77" i="62"/>
  <c r="AO77" i="62"/>
  <c r="AN77" i="62"/>
  <c r="Y77" i="62"/>
  <c r="J77" i="62"/>
  <c r="G77" i="62"/>
  <c r="D77" i="62"/>
  <c r="AS76" i="62"/>
  <c r="AR76" i="62"/>
  <c r="AP76" i="62"/>
  <c r="AO76" i="62"/>
  <c r="AN76" i="62"/>
  <c r="AK76" i="62"/>
  <c r="Y76" i="62"/>
  <c r="V76" i="62"/>
  <c r="S76" i="62"/>
  <c r="G76" i="62"/>
  <c r="D76" i="62"/>
  <c r="AS75" i="62"/>
  <c r="AR75" i="62"/>
  <c r="AP75" i="62"/>
  <c r="AO75" i="62"/>
  <c r="AN75" i="62"/>
  <c r="AK75" i="62"/>
  <c r="AB75" i="62"/>
  <c r="Y75" i="62"/>
  <c r="V75" i="62"/>
  <c r="S75" i="62"/>
  <c r="M75" i="62"/>
  <c r="G75" i="62"/>
  <c r="D75" i="62"/>
  <c r="AS74" i="62"/>
  <c r="AR74" i="62"/>
  <c r="AP74" i="62"/>
  <c r="AO74" i="62"/>
  <c r="AN74" i="62"/>
  <c r="AK74" i="62"/>
  <c r="AB74" i="62"/>
  <c r="Y74" i="62"/>
  <c r="V74" i="62"/>
  <c r="S74" i="62"/>
  <c r="M74" i="62"/>
  <c r="J74" i="62"/>
  <c r="G74" i="62"/>
  <c r="D74" i="62"/>
  <c r="AS73" i="62"/>
  <c r="AR73" i="62"/>
  <c r="AP73" i="62"/>
  <c r="AO73" i="62"/>
  <c r="AN73" i="62"/>
  <c r="AK73" i="62"/>
  <c r="AB73" i="62"/>
  <c r="Y73" i="62"/>
  <c r="V73" i="62"/>
  <c r="S73" i="62"/>
  <c r="M73" i="62"/>
  <c r="J73" i="62"/>
  <c r="G73" i="62"/>
  <c r="D73" i="62"/>
  <c r="AS71" i="62"/>
  <c r="AR71" i="62"/>
  <c r="AP71" i="62"/>
  <c r="AO71" i="62"/>
  <c r="AN71" i="62"/>
  <c r="AK71" i="62"/>
  <c r="AB71" i="62"/>
  <c r="Y71" i="62"/>
  <c r="S71" i="62"/>
  <c r="G71" i="62"/>
  <c r="AS70" i="62"/>
  <c r="AR70" i="62"/>
  <c r="AP70" i="62"/>
  <c r="AO70" i="62"/>
  <c r="AN70" i="62"/>
  <c r="AK70" i="62"/>
  <c r="AB70" i="62"/>
  <c r="Y70" i="62"/>
  <c r="V70" i="62"/>
  <c r="S70" i="62"/>
  <c r="G70" i="62"/>
  <c r="AS69" i="62"/>
  <c r="AR69" i="62"/>
  <c r="AP69" i="62"/>
  <c r="AO69" i="62"/>
  <c r="AN69" i="62"/>
  <c r="AK69" i="62"/>
  <c r="AE69" i="62"/>
  <c r="AB69" i="62"/>
  <c r="Y69" i="62"/>
  <c r="V69" i="62"/>
  <c r="S69" i="62"/>
  <c r="P69" i="62"/>
  <c r="M69" i="62"/>
  <c r="J69" i="62"/>
  <c r="G69" i="62"/>
  <c r="D69" i="62"/>
  <c r="AS68" i="62"/>
  <c r="AR68" i="62"/>
  <c r="AP68" i="62"/>
  <c r="AO68" i="62"/>
  <c r="AN68" i="62"/>
  <c r="AK68" i="62"/>
  <c r="AE68" i="62"/>
  <c r="AB68" i="62"/>
  <c r="Y68" i="62"/>
  <c r="V68" i="62"/>
  <c r="S68" i="62"/>
  <c r="P68" i="62"/>
  <c r="M68" i="62"/>
  <c r="J68" i="62"/>
  <c r="G68" i="62"/>
  <c r="D68" i="62"/>
  <c r="AR64" i="62"/>
  <c r="AO64" i="62"/>
  <c r="AR62" i="62"/>
  <c r="AO62" i="62"/>
  <c r="AR60" i="62"/>
  <c r="AO60" i="62"/>
  <c r="AS59" i="62"/>
  <c r="AR59" i="62"/>
  <c r="AP59" i="62"/>
  <c r="AO59" i="62"/>
  <c r="AK59" i="62"/>
  <c r="Y59" i="62"/>
  <c r="S59" i="62"/>
  <c r="M59" i="62"/>
  <c r="J59" i="62"/>
  <c r="D59" i="62"/>
  <c r="AS58" i="62"/>
  <c r="AR58" i="62"/>
  <c r="AP58" i="62"/>
  <c r="AQ58" i="62" s="1"/>
  <c r="AO58" i="62"/>
  <c r="AN58" i="62"/>
  <c r="S58" i="62"/>
  <c r="AS57" i="62"/>
  <c r="AR57" i="62"/>
  <c r="AP57" i="62"/>
  <c r="AO57" i="62"/>
  <c r="V57" i="62"/>
  <c r="S57" i="62"/>
  <c r="M57" i="62"/>
  <c r="G57" i="62"/>
  <c r="AS56" i="62"/>
  <c r="AR56" i="62"/>
  <c r="AP56" i="62"/>
  <c r="AO56" i="62"/>
  <c r="AN56" i="62"/>
  <c r="AK56" i="62"/>
  <c r="V56" i="62"/>
  <c r="S56" i="62"/>
  <c r="M56" i="62"/>
  <c r="J56" i="62"/>
  <c r="G56" i="62"/>
  <c r="D56" i="62"/>
  <c r="AS55" i="62"/>
  <c r="AR55" i="62"/>
  <c r="AP55" i="62"/>
  <c r="AO55" i="62"/>
  <c r="AN55" i="62"/>
  <c r="AK55" i="62"/>
  <c r="AE55" i="62"/>
  <c r="Y55" i="62"/>
  <c r="V55" i="62"/>
  <c r="S55" i="62"/>
  <c r="M55" i="62"/>
  <c r="J55" i="62"/>
  <c r="G55" i="62"/>
  <c r="D55" i="62"/>
  <c r="AR54" i="62"/>
  <c r="AO54" i="62"/>
  <c r="AN54" i="62"/>
  <c r="AM54" i="62"/>
  <c r="AJ54" i="62"/>
  <c r="AD54" i="62"/>
  <c r="X54" i="62"/>
  <c r="U54" i="62"/>
  <c r="R54" i="62"/>
  <c r="L54" i="62"/>
  <c r="I54" i="62"/>
  <c r="F54" i="62"/>
  <c r="C54" i="62"/>
  <c r="AS53" i="62"/>
  <c r="AR53" i="62"/>
  <c r="AP53" i="62"/>
  <c r="AO53" i="62"/>
  <c r="S53" i="62"/>
  <c r="AS52" i="62"/>
  <c r="AR52" i="62"/>
  <c r="AP52" i="62"/>
  <c r="AO52" i="62"/>
  <c r="AS51" i="62"/>
  <c r="AR51" i="62"/>
  <c r="AP51" i="62"/>
  <c r="AO51" i="62"/>
  <c r="S51" i="62"/>
  <c r="AR50" i="62"/>
  <c r="AO50" i="62"/>
  <c r="AM50" i="62"/>
  <c r="R50" i="62"/>
  <c r="AS49" i="62"/>
  <c r="AR49" i="62"/>
  <c r="AP49" i="62"/>
  <c r="AO49" i="62"/>
  <c r="AN49" i="62"/>
  <c r="S49" i="62"/>
  <c r="AS46" i="62"/>
  <c r="AR46" i="62"/>
  <c r="AP46" i="62"/>
  <c r="AO46" i="62"/>
  <c r="AK46" i="62"/>
  <c r="Y46" i="62"/>
  <c r="J46" i="62"/>
  <c r="D46" i="62"/>
  <c r="AR45" i="62"/>
  <c r="AO45" i="62"/>
  <c r="AS44" i="62"/>
  <c r="AR44" i="62"/>
  <c r="AP44" i="62"/>
  <c r="AO44" i="62"/>
  <c r="AK44" i="62"/>
  <c r="AB44" i="62"/>
  <c r="Y44" i="62"/>
  <c r="S44" i="62"/>
  <c r="M44" i="62"/>
  <c r="J44" i="62"/>
  <c r="G44" i="62"/>
  <c r="D44" i="62"/>
  <c r="AS43" i="62"/>
  <c r="AR43" i="62"/>
  <c r="AP43" i="62"/>
  <c r="AO43" i="62"/>
  <c r="AN43" i="62"/>
  <c r="AK43" i="62"/>
  <c r="Y43" i="62"/>
  <c r="S43" i="62"/>
  <c r="G43" i="62"/>
  <c r="D43" i="62"/>
  <c r="AS42" i="62"/>
  <c r="AR42" i="62"/>
  <c r="AP42" i="62"/>
  <c r="AO42" i="62"/>
  <c r="AB42" i="62"/>
  <c r="V42" i="62"/>
  <c r="S42" i="62"/>
  <c r="M42" i="62"/>
  <c r="G42" i="62"/>
  <c r="AS41" i="62"/>
  <c r="AR41" i="62"/>
  <c r="AP41" i="62"/>
  <c r="AO41" i="62"/>
  <c r="AN41" i="62"/>
  <c r="AK41" i="62"/>
  <c r="AB41" i="62"/>
  <c r="Y41" i="62"/>
  <c r="V41" i="62"/>
  <c r="S41" i="62"/>
  <c r="M41" i="62"/>
  <c r="J41" i="62"/>
  <c r="G41" i="62"/>
  <c r="D41" i="62"/>
  <c r="AS40" i="62"/>
  <c r="AR40" i="62"/>
  <c r="AP40" i="62"/>
  <c r="AO40" i="62"/>
  <c r="AN40" i="62"/>
  <c r="AK40" i="62"/>
  <c r="AB40" i="62"/>
  <c r="Y40" i="62"/>
  <c r="V40" i="62"/>
  <c r="S40" i="62"/>
  <c r="J40" i="62"/>
  <c r="G40" i="62"/>
  <c r="D40" i="62"/>
  <c r="AR39" i="62"/>
  <c r="AO39" i="62"/>
  <c r="AM39" i="62"/>
  <c r="AJ39" i="62"/>
  <c r="AA39" i="62"/>
  <c r="X39" i="62"/>
  <c r="U39" i="62"/>
  <c r="R39" i="62"/>
  <c r="L39" i="62"/>
  <c r="I39" i="62"/>
  <c r="F39" i="62"/>
  <c r="C39" i="62"/>
  <c r="AS38" i="62"/>
  <c r="AR38" i="62"/>
  <c r="AP38" i="62"/>
  <c r="AO38" i="62"/>
  <c r="AN38" i="62"/>
  <c r="AK38" i="62"/>
  <c r="AB38" i="62"/>
  <c r="Y38" i="62"/>
  <c r="V38" i="62"/>
  <c r="S38" i="62"/>
  <c r="M38" i="62"/>
  <c r="AS37" i="62"/>
  <c r="AR37" i="62"/>
  <c r="AP37" i="62"/>
  <c r="AO37" i="62"/>
  <c r="AN37" i="62"/>
  <c r="AK37" i="62"/>
  <c r="Y37" i="62"/>
  <c r="S37" i="62"/>
  <c r="M37" i="62"/>
  <c r="G37" i="62"/>
  <c r="AS36" i="62"/>
  <c r="AR36" i="62"/>
  <c r="AP36" i="62"/>
  <c r="AO36" i="62"/>
  <c r="AN36" i="62"/>
  <c r="AK36" i="62"/>
  <c r="AB36" i="62"/>
  <c r="Y36" i="62"/>
  <c r="V36" i="62"/>
  <c r="S36" i="62"/>
  <c r="M36" i="62"/>
  <c r="G36" i="62"/>
  <c r="AR35" i="62"/>
  <c r="AO35" i="62"/>
  <c r="AM35" i="62"/>
  <c r="AJ35" i="62"/>
  <c r="AA35" i="62"/>
  <c r="X35" i="62"/>
  <c r="U35" i="62"/>
  <c r="R35" i="62"/>
  <c r="L35" i="62"/>
  <c r="I35" i="62"/>
  <c r="F35" i="62"/>
  <c r="AS34" i="62"/>
  <c r="AR34" i="62"/>
  <c r="AP34" i="62"/>
  <c r="AO34" i="62"/>
  <c r="AN34" i="62"/>
  <c r="AK34" i="62"/>
  <c r="AB34" i="62"/>
  <c r="Y34" i="62"/>
  <c r="V34" i="62"/>
  <c r="S34" i="62"/>
  <c r="G34" i="62"/>
  <c r="AS33" i="62"/>
  <c r="AR33" i="62"/>
  <c r="AP33" i="62"/>
  <c r="AO33" i="62"/>
  <c r="AK33" i="62"/>
  <c r="G33" i="62"/>
  <c r="AR29" i="62"/>
  <c r="AO29" i="62"/>
  <c r="AS28" i="62"/>
  <c r="AR28" i="62"/>
  <c r="AP28" i="62"/>
  <c r="AO28" i="62"/>
  <c r="AN28" i="62"/>
  <c r="AK28" i="62"/>
  <c r="AE28" i="62"/>
  <c r="AB28" i="62"/>
  <c r="Y28" i="62"/>
  <c r="V28" i="62"/>
  <c r="S28" i="62"/>
  <c r="P28" i="62"/>
  <c r="M28" i="62"/>
  <c r="J28" i="62"/>
  <c r="G28" i="62"/>
  <c r="D28" i="62"/>
  <c r="AR27" i="62"/>
  <c r="AO27" i="62"/>
  <c r="AS25" i="62"/>
  <c r="AR25" i="62"/>
  <c r="AP25" i="62"/>
  <c r="AO25" i="62"/>
  <c r="AK25" i="62"/>
  <c r="S25" i="62"/>
  <c r="J25" i="62"/>
  <c r="G25" i="62"/>
  <c r="AS24" i="62"/>
  <c r="AR24" i="62"/>
  <c r="AP24" i="62"/>
  <c r="AO24" i="62"/>
  <c r="AN24" i="62"/>
  <c r="S24" i="62"/>
  <c r="AS23" i="62"/>
  <c r="AR23" i="62"/>
  <c r="AP23" i="62"/>
  <c r="AO23" i="62"/>
  <c r="Y23" i="62"/>
  <c r="V23" i="62"/>
  <c r="S23" i="62"/>
  <c r="G23" i="62"/>
  <c r="AS22" i="62"/>
  <c r="AR22" i="62"/>
  <c r="AP22" i="62"/>
  <c r="AO22" i="62"/>
  <c r="AN22" i="62"/>
  <c r="AK22" i="62"/>
  <c r="AB22" i="62"/>
  <c r="Y22" i="62"/>
  <c r="V22" i="62"/>
  <c r="S22" i="62"/>
  <c r="M22" i="62"/>
  <c r="J22" i="62"/>
  <c r="G22" i="62"/>
  <c r="D22" i="62"/>
  <c r="AS21" i="62"/>
  <c r="AR21" i="62"/>
  <c r="AP21" i="62"/>
  <c r="AO21" i="62"/>
  <c r="AN21" i="62"/>
  <c r="AK21" i="62"/>
  <c r="Y21" i="62"/>
  <c r="V21" i="62"/>
  <c r="S21" i="62"/>
  <c r="M21" i="62"/>
  <c r="J21" i="62"/>
  <c r="G21" i="62"/>
  <c r="D21" i="62"/>
  <c r="AR20" i="62"/>
  <c r="AO20" i="62"/>
  <c r="AM20" i="62"/>
  <c r="AN20" i="62" s="1"/>
  <c r="AJ20" i="62"/>
  <c r="AK20" i="62" s="1"/>
  <c r="AA20" i="62"/>
  <c r="AB20" i="62" s="1"/>
  <c r="X20" i="62"/>
  <c r="Y20" i="62" s="1"/>
  <c r="U20" i="62"/>
  <c r="V20" i="62" s="1"/>
  <c r="R20" i="62"/>
  <c r="S20" i="62" s="1"/>
  <c r="L20" i="62"/>
  <c r="M20" i="62" s="1"/>
  <c r="I20" i="62"/>
  <c r="J20" i="62" s="1"/>
  <c r="F20" i="62"/>
  <c r="G20" i="62" s="1"/>
  <c r="C20" i="62"/>
  <c r="AS19" i="62"/>
  <c r="AR19" i="62"/>
  <c r="AP19" i="62"/>
  <c r="AO19" i="62"/>
  <c r="AN19" i="62"/>
  <c r="AK19" i="62"/>
  <c r="AB19" i="62"/>
  <c r="S19" i="62"/>
  <c r="AS18" i="62"/>
  <c r="AR18" i="62"/>
  <c r="AP18" i="62"/>
  <c r="AO18" i="62"/>
  <c r="AK18" i="62"/>
  <c r="S18" i="62"/>
  <c r="AS17" i="62"/>
  <c r="AR17" i="62"/>
  <c r="AP17" i="62"/>
  <c r="AO17" i="62"/>
  <c r="AK17" i="62"/>
  <c r="AB17" i="62"/>
  <c r="S17" i="62"/>
  <c r="AR16" i="62"/>
  <c r="AO16" i="62"/>
  <c r="AM16" i="62"/>
  <c r="AJ16" i="62"/>
  <c r="AJ27" i="62" s="1"/>
  <c r="AA16" i="62"/>
  <c r="U16" i="62"/>
  <c r="R16" i="62"/>
  <c r="I16" i="62"/>
  <c r="F16" i="62"/>
  <c r="AS15" i="62"/>
  <c r="AR15" i="62"/>
  <c r="AP15" i="62"/>
  <c r="AO15" i="62"/>
  <c r="AN15" i="62"/>
  <c r="AK15" i="62"/>
  <c r="AB15" i="62"/>
  <c r="S15" i="62"/>
  <c r="G15" i="62"/>
  <c r="AS14" i="62"/>
  <c r="AR14" i="62"/>
  <c r="AP14" i="62"/>
  <c r="AO14" i="62"/>
  <c r="AK14" i="62"/>
  <c r="S14" i="62"/>
  <c r="AT94" i="67" l="1"/>
  <c r="AT96" i="67"/>
  <c r="AB47" i="68"/>
  <c r="AQ22" i="67"/>
  <c r="D38" i="68"/>
  <c r="Y54" i="69"/>
  <c r="AN21" i="69"/>
  <c r="D11" i="70"/>
  <c r="C35" i="70"/>
  <c r="AK18" i="70"/>
  <c r="AT69" i="62"/>
  <c r="AT70" i="62"/>
  <c r="AT74" i="62"/>
  <c r="AQ75" i="62"/>
  <c r="AT86" i="62"/>
  <c r="AQ87" i="62"/>
  <c r="AQ88" i="62"/>
  <c r="AQ89" i="62"/>
  <c r="V45" i="68"/>
  <c r="AT21" i="68"/>
  <c r="AT24" i="68"/>
  <c r="AT14" i="68"/>
  <c r="AQ140" i="67"/>
  <c r="AT144" i="67"/>
  <c r="AT24" i="66"/>
  <c r="AT48" i="66"/>
  <c r="AQ84" i="66"/>
  <c r="AT91" i="66"/>
  <c r="AQ96" i="66"/>
  <c r="AT98" i="66"/>
  <c r="Y47" i="68"/>
  <c r="D48" i="68"/>
  <c r="P48" i="68"/>
  <c r="AT34" i="66"/>
  <c r="AT41" i="66"/>
  <c r="AQ22" i="66"/>
  <c r="AT38" i="66"/>
  <c r="AQ41" i="66"/>
  <c r="AQ58" i="66"/>
  <c r="AS21" i="65"/>
  <c r="U27" i="62"/>
  <c r="AT40" i="62"/>
  <c r="AQ43" i="62"/>
  <c r="AT16" i="65"/>
  <c r="AT21" i="62"/>
  <c r="AT23" i="62"/>
  <c r="AQ25" i="62"/>
  <c r="AQ33" i="62"/>
  <c r="AP35" i="62"/>
  <c r="AQ35" i="62" s="1"/>
  <c r="AT38" i="62"/>
  <c r="S39" i="62"/>
  <c r="Y39" i="62"/>
  <c r="AQ40" i="62"/>
  <c r="AQ44" i="62"/>
  <c r="AQ46" i="62"/>
  <c r="AT49" i="62"/>
  <c r="AT51" i="62"/>
  <c r="AT73" i="62"/>
  <c r="D14" i="65"/>
  <c r="AO14" i="65"/>
  <c r="AT62" i="66"/>
  <c r="AT78" i="66"/>
  <c r="AQ18" i="67"/>
  <c r="AQ94" i="67"/>
  <c r="AT101" i="67"/>
  <c r="AQ31" i="68"/>
  <c r="J45" i="68"/>
  <c r="AE31" i="70"/>
  <c r="AT11" i="65"/>
  <c r="AQ50" i="67"/>
  <c r="AT53" i="67"/>
  <c r="AT57" i="67"/>
  <c r="AT64" i="67"/>
  <c r="AQ86" i="67"/>
  <c r="AQ117" i="67"/>
  <c r="AQ122" i="67"/>
  <c r="AT125" i="67"/>
  <c r="AT134" i="67"/>
  <c r="V42" i="68"/>
  <c r="AK43" i="68"/>
  <c r="AK13" i="70"/>
  <c r="AK15" i="70"/>
  <c r="G31" i="70"/>
  <c r="P31" i="70"/>
  <c r="V39" i="62"/>
  <c r="AB39" i="62"/>
  <c r="X27" i="62"/>
  <c r="X29" i="62" s="1"/>
  <c r="G21" i="65"/>
  <c r="AT67" i="66"/>
  <c r="S20" i="68"/>
  <c r="AT14" i="62"/>
  <c r="F27" i="62"/>
  <c r="R27" i="62"/>
  <c r="AD29" i="62"/>
  <c r="AT17" i="62"/>
  <c r="AT41" i="62"/>
  <c r="AT52" i="62"/>
  <c r="AT53" i="62"/>
  <c r="AE54" i="62"/>
  <c r="AK54" i="62"/>
  <c r="AQ55" i="62"/>
  <c r="V14" i="65"/>
  <c r="AQ17" i="65"/>
  <c r="AQ28" i="65"/>
  <c r="AT14" i="66"/>
  <c r="G20" i="66"/>
  <c r="AT64" i="66"/>
  <c r="Y70" i="66"/>
  <c r="AK94" i="66"/>
  <c r="AQ12" i="67"/>
  <c r="AT13" i="67"/>
  <c r="AQ17" i="67"/>
  <c r="AT18" i="67"/>
  <c r="AT21" i="67"/>
  <c r="AQ39" i="67"/>
  <c r="AT60" i="67"/>
  <c r="AT72" i="67"/>
  <c r="AQ90" i="67"/>
  <c r="Y39" i="68"/>
  <c r="AN45" i="68"/>
  <c r="V47" i="68"/>
  <c r="G48" i="68"/>
  <c r="AE48" i="68"/>
  <c r="G50" i="69"/>
  <c r="G11" i="70"/>
  <c r="AK17" i="70"/>
  <c r="AK11" i="71"/>
  <c r="AA27" i="62"/>
  <c r="AA29" i="62" s="1"/>
  <c r="AQ18" i="62"/>
  <c r="AQ19" i="62"/>
  <c r="AQ21" i="62"/>
  <c r="AQ23" i="62"/>
  <c r="AT33" i="62"/>
  <c r="AQ37" i="62"/>
  <c r="AT46" i="62"/>
  <c r="AQ51" i="62"/>
  <c r="AQ52" i="62"/>
  <c r="AQ70" i="62"/>
  <c r="AT71" i="62"/>
  <c r="AQ74" i="62"/>
  <c r="AT75" i="62"/>
  <c r="AQ86" i="62"/>
  <c r="AT87" i="62"/>
  <c r="AT89" i="62"/>
  <c r="AT36" i="66"/>
  <c r="AT50" i="66"/>
  <c r="AT63" i="66"/>
  <c r="AT84" i="66"/>
  <c r="AT86" i="66"/>
  <c r="AQ91" i="66"/>
  <c r="AQ103" i="66"/>
  <c r="AT14" i="67"/>
  <c r="AT15" i="67"/>
  <c r="AQ16" i="67"/>
  <c r="AT17" i="67"/>
  <c r="AP38" i="67"/>
  <c r="AP40" i="68" s="1"/>
  <c r="AT39" i="67"/>
  <c r="AQ42" i="67"/>
  <c r="AT45" i="67"/>
  <c r="AQ48" i="67"/>
  <c r="AT50" i="67"/>
  <c r="AQ85" i="67"/>
  <c r="AT86" i="67"/>
  <c r="AT128" i="67"/>
  <c r="AT136" i="67"/>
  <c r="AQ21" i="68"/>
  <c r="G38" i="68"/>
  <c r="Y38" i="68"/>
  <c r="AB39" i="68"/>
  <c r="G49" i="69"/>
  <c r="AJ31" i="70"/>
  <c r="AK31" i="70" s="1"/>
  <c r="AQ41" i="62"/>
  <c r="AT55" i="62"/>
  <c r="AO38" i="68"/>
  <c r="AT33" i="66"/>
  <c r="AQ76" i="66"/>
  <c r="AQ79" i="66"/>
  <c r="AQ82" i="67"/>
  <c r="AQ89" i="67"/>
  <c r="AT90" i="67"/>
  <c r="AQ97" i="67"/>
  <c r="AQ100" i="67"/>
  <c r="AT106" i="67"/>
  <c r="AT131" i="67"/>
  <c r="AK40" i="68"/>
  <c r="V41" i="68"/>
  <c r="S42" i="68"/>
  <c r="Y42" i="68"/>
  <c r="AK42" i="68"/>
  <c r="D43" i="68"/>
  <c r="P43" i="68"/>
  <c r="AN43" i="68"/>
  <c r="Y44" i="68"/>
  <c r="AB48" i="68"/>
  <c r="M11" i="70"/>
  <c r="AE11" i="70"/>
  <c r="V16" i="70"/>
  <c r="AK35" i="62"/>
  <c r="AT37" i="62"/>
  <c r="AT42" i="62"/>
  <c r="AT57" i="62"/>
  <c r="AQ59" i="62"/>
  <c r="AQ68" i="62"/>
  <c r="AT76" i="62"/>
  <c r="AQ77" i="62"/>
  <c r="AQ78" i="62"/>
  <c r="AT82" i="62"/>
  <c r="J14" i="65"/>
  <c r="AB14" i="65"/>
  <c r="AQ19" i="65"/>
  <c r="AK21" i="65"/>
  <c r="AQ26" i="65"/>
  <c r="D29" i="65"/>
  <c r="J29" i="65"/>
  <c r="AT83" i="66"/>
  <c r="AT100" i="66"/>
  <c r="M106" i="66"/>
  <c r="V20" i="67"/>
  <c r="AQ21" i="67"/>
  <c r="AS92" i="67"/>
  <c r="Y11" i="70"/>
  <c r="L27" i="62"/>
  <c r="M27" i="62" s="1"/>
  <c r="AD34" i="65"/>
  <c r="AD41" i="65" s="1"/>
  <c r="AO45" i="68"/>
  <c r="AR44" i="66"/>
  <c r="Y56" i="66"/>
  <c r="J94" i="66"/>
  <c r="D106" i="66"/>
  <c r="D20" i="67"/>
  <c r="G92" i="67"/>
  <c r="AT143" i="67"/>
  <c r="I27" i="62"/>
  <c r="AQ22" i="62"/>
  <c r="AS39" i="62"/>
  <c r="AT39" i="62" s="1"/>
  <c r="AQ15" i="62"/>
  <c r="C27" i="62"/>
  <c r="D27" i="62" s="1"/>
  <c r="O29" i="62"/>
  <c r="P29" i="62" s="1"/>
  <c r="AM27" i="62"/>
  <c r="AN27" i="62" s="1"/>
  <c r="AT22" i="62"/>
  <c r="M35" i="62"/>
  <c r="AN35" i="62"/>
  <c r="AQ36" i="62"/>
  <c r="AQ38" i="62"/>
  <c r="AQ42" i="62"/>
  <c r="AT43" i="62"/>
  <c r="AT56" i="62"/>
  <c r="AT58" i="62"/>
  <c r="AT59" i="62"/>
  <c r="AT68" i="62"/>
  <c r="AQ76" i="62"/>
  <c r="AT77" i="62"/>
  <c r="AT78" i="62"/>
  <c r="AQ82" i="62"/>
  <c r="AQ12" i="65"/>
  <c r="F34" i="65"/>
  <c r="S21" i="65"/>
  <c r="AB21" i="65"/>
  <c r="AN21" i="65"/>
  <c r="G29" i="65"/>
  <c r="M29" i="65"/>
  <c r="AQ33" i="65"/>
  <c r="AQ37" i="65"/>
  <c r="AP40" i="65"/>
  <c r="AQ40" i="65" s="1"/>
  <c r="AQ13" i="66"/>
  <c r="AT17" i="66"/>
  <c r="AT25" i="66"/>
  <c r="AQ26" i="66"/>
  <c r="AT27" i="66"/>
  <c r="AQ36" i="66"/>
  <c r="AQ48" i="66"/>
  <c r="AN56" i="66"/>
  <c r="AT58" i="66"/>
  <c r="G70" i="66"/>
  <c r="AK70" i="66"/>
  <c r="AT75" i="66"/>
  <c r="AQ77" i="66"/>
  <c r="AQ15" i="67"/>
  <c r="AT19" i="67"/>
  <c r="AT58" i="67"/>
  <c r="AQ61" i="67"/>
  <c r="AT98" i="67"/>
  <c r="AQ99" i="67"/>
  <c r="D104" i="67"/>
  <c r="AT132" i="67"/>
  <c r="AK32" i="68"/>
  <c r="Y40" i="68"/>
  <c r="G42" i="68"/>
  <c r="AQ44" i="65"/>
  <c r="AS45" i="68"/>
  <c r="AS47" i="68"/>
  <c r="AT22" i="66"/>
  <c r="AT28" i="66"/>
  <c r="AQ33" i="66"/>
  <c r="AQ38" i="66"/>
  <c r="AQ53" i="66"/>
  <c r="AQ57" i="66"/>
  <c r="AQ62" i="66"/>
  <c r="AT74" i="66"/>
  <c r="AT76" i="66"/>
  <c r="AT77" i="66"/>
  <c r="AT93" i="66"/>
  <c r="AT96" i="66"/>
  <c r="AT107" i="66"/>
  <c r="AN40" i="68"/>
  <c r="AT46" i="67"/>
  <c r="AT55" i="67"/>
  <c r="AQ57" i="67"/>
  <c r="AQ64" i="67"/>
  <c r="AQ74" i="67"/>
  <c r="AT77" i="67"/>
  <c r="AT97" i="67"/>
  <c r="AT100" i="67"/>
  <c r="AT105" i="67"/>
  <c r="AQ124" i="67"/>
  <c r="AQ34" i="68"/>
  <c r="J38" i="68"/>
  <c r="V38" i="68"/>
  <c r="AB42" i="68"/>
  <c r="G43" i="68"/>
  <c r="M43" i="68"/>
  <c r="S43" i="68"/>
  <c r="Y43" i="68"/>
  <c r="Y48" i="68"/>
  <c r="AM51" i="69"/>
  <c r="AQ46" i="67"/>
  <c r="AQ55" i="67"/>
  <c r="AQ58" i="67"/>
  <c r="AQ62" i="67"/>
  <c r="AQ72" i="67"/>
  <c r="AT74" i="67"/>
  <c r="AQ96" i="67"/>
  <c r="AQ98" i="67"/>
  <c r="AQ105" i="67"/>
  <c r="AT117" i="67"/>
  <c r="AT124" i="67"/>
  <c r="AQ126" i="67"/>
  <c r="AQ127" i="67"/>
  <c r="AQ131" i="67"/>
  <c r="AQ132" i="67"/>
  <c r="AT135" i="67"/>
  <c r="AT139" i="67"/>
  <c r="AT19" i="68"/>
  <c r="AQ29" i="68"/>
  <c r="AT31" i="68"/>
  <c r="V39" i="68"/>
  <c r="G40" i="68"/>
  <c r="M40" i="68"/>
  <c r="G41" i="68"/>
  <c r="D42" i="68"/>
  <c r="AB43" i="68"/>
  <c r="S44" i="68"/>
  <c r="M47" i="68"/>
  <c r="AN47" i="68"/>
  <c r="V48" i="68"/>
  <c r="G52" i="69"/>
  <c r="AK14" i="70"/>
  <c r="AK30" i="70"/>
  <c r="AK34" i="70"/>
  <c r="AJ36" i="70"/>
  <c r="AK36" i="70" s="1"/>
  <c r="AJ40" i="70"/>
  <c r="AK40" i="70" s="1"/>
  <c r="AB44" i="68"/>
  <c r="AK45" i="68"/>
  <c r="AK47" i="68"/>
  <c r="M48" i="68"/>
  <c r="S48" i="68"/>
  <c r="AN48" i="68"/>
  <c r="AK19" i="70"/>
  <c r="AK20" i="70"/>
  <c r="AK12" i="71"/>
  <c r="AT21" i="65"/>
  <c r="AN16" i="62"/>
  <c r="AQ17" i="62"/>
  <c r="AP20" i="62"/>
  <c r="AQ20" i="62" s="1"/>
  <c r="AT24" i="62"/>
  <c r="AQ28" i="62"/>
  <c r="AT34" i="62"/>
  <c r="G35" i="62"/>
  <c r="AT36" i="62"/>
  <c r="AT44" i="62"/>
  <c r="AQ53" i="62"/>
  <c r="D54" i="62"/>
  <c r="J54" i="62"/>
  <c r="AQ73" i="62"/>
  <c r="AK79" i="62"/>
  <c r="AQ81" i="62"/>
  <c r="AT83" i="62"/>
  <c r="S85" i="62"/>
  <c r="Y85" i="62"/>
  <c r="AQ11" i="65"/>
  <c r="AT13" i="65"/>
  <c r="P14" i="65"/>
  <c r="AQ16" i="65"/>
  <c r="AT17" i="65"/>
  <c r="M21" i="65"/>
  <c r="AQ23" i="65"/>
  <c r="AQ24" i="65"/>
  <c r="AQ25" i="65"/>
  <c r="S29" i="65"/>
  <c r="AK29" i="65"/>
  <c r="AQ38" i="65"/>
  <c r="AQ39" i="65"/>
  <c r="AS43" i="68"/>
  <c r="AR44" i="68"/>
  <c r="AK20" i="66"/>
  <c r="AQ27" i="66"/>
  <c r="AT29" i="66"/>
  <c r="AQ34" i="66"/>
  <c r="AK44" i="66"/>
  <c r="AT46" i="66"/>
  <c r="AQ50" i="66"/>
  <c r="AK56" i="66"/>
  <c r="AQ64" i="66"/>
  <c r="AQ75" i="66"/>
  <c r="G82" i="66"/>
  <c r="AQ13" i="65"/>
  <c r="AT19" i="65"/>
  <c r="AT20" i="65"/>
  <c r="AQ27" i="65"/>
  <c r="AT26" i="66"/>
  <c r="AQ29" i="66"/>
  <c r="AQ46" i="66"/>
  <c r="AT57" i="66"/>
  <c r="AQ69" i="66"/>
  <c r="AN70" i="66"/>
  <c r="AQ71" i="66"/>
  <c r="AQ74" i="66"/>
  <c r="AQ78" i="66"/>
  <c r="AT79" i="66"/>
  <c r="AQ86" i="66"/>
  <c r="AO94" i="66"/>
  <c r="Y94" i="66"/>
  <c r="AQ98" i="66"/>
  <c r="AQ14" i="62"/>
  <c r="AT15" i="62"/>
  <c r="S16" i="62"/>
  <c r="AB16" i="62"/>
  <c r="AK16" i="62"/>
  <c r="AT18" i="62"/>
  <c r="AT19" i="62"/>
  <c r="AQ24" i="62"/>
  <c r="AT25" i="62"/>
  <c r="AT28" i="62"/>
  <c r="AQ49" i="62"/>
  <c r="G54" i="62"/>
  <c r="M54" i="62"/>
  <c r="AQ56" i="62"/>
  <c r="AQ57" i="62"/>
  <c r="AQ69" i="62"/>
  <c r="AQ71" i="62"/>
  <c r="AN79" i="62"/>
  <c r="AT81" i="62"/>
  <c r="AQ83" i="62"/>
  <c r="V85" i="62"/>
  <c r="AT88" i="62"/>
  <c r="AT15" i="65"/>
  <c r="AQ32" i="65"/>
  <c r="AA34" i="65"/>
  <c r="AA41" i="65" s="1"/>
  <c r="AP42" i="68"/>
  <c r="AQ28" i="66"/>
  <c r="AT53" i="66"/>
  <c r="AQ63" i="66"/>
  <c r="AQ67" i="66"/>
  <c r="AT71" i="66"/>
  <c r="AT72" i="66"/>
  <c r="AT80" i="66"/>
  <c r="AQ93" i="66"/>
  <c r="AQ95" i="66"/>
  <c r="AR106" i="66"/>
  <c r="AN106" i="66"/>
  <c r="H47" i="69"/>
  <c r="AF47" i="69"/>
  <c r="AH47" i="69" s="1"/>
  <c r="AQ107" i="66"/>
  <c r="AQ108" i="66"/>
  <c r="AQ13" i="67"/>
  <c r="AK20" i="67"/>
  <c r="AT22" i="67"/>
  <c r="AQ40" i="67"/>
  <c r="AT41" i="67"/>
  <c r="AT42" i="67"/>
  <c r="AQ53" i="67"/>
  <c r="G56" i="67"/>
  <c r="AK56" i="67"/>
  <c r="AT65" i="67"/>
  <c r="AQ70" i="67"/>
  <c r="AQ77" i="67"/>
  <c r="AP80" i="67"/>
  <c r="AT82" i="67"/>
  <c r="AT84" i="67"/>
  <c r="AT85" i="67"/>
  <c r="AT89" i="67"/>
  <c r="AT91" i="67"/>
  <c r="AT93" i="67"/>
  <c r="AT99" i="67"/>
  <c r="AQ110" i="67"/>
  <c r="AR116" i="67"/>
  <c r="AT118" i="67"/>
  <c r="AT122" i="67"/>
  <c r="AT123" i="67"/>
  <c r="AT126" i="67"/>
  <c r="AT129" i="67"/>
  <c r="G130" i="67"/>
  <c r="AN130" i="67"/>
  <c r="AQ134" i="67"/>
  <c r="AQ139" i="67"/>
  <c r="AT140" i="67"/>
  <c r="AQ144" i="67"/>
  <c r="AQ17" i="68"/>
  <c r="AS20" i="68"/>
  <c r="AQ22" i="68"/>
  <c r="AE40" i="68"/>
  <c r="AM41" i="69"/>
  <c r="AN41" i="69" s="1"/>
  <c r="AS38" i="67"/>
  <c r="AT38" i="67" s="1"/>
  <c r="AP32" i="68"/>
  <c r="AT108" i="66"/>
  <c r="AT16" i="67"/>
  <c r="AN20" i="67"/>
  <c r="AT40" i="67"/>
  <c r="AT48" i="67"/>
  <c r="AQ60" i="67"/>
  <c r="AT61" i="67"/>
  <c r="AQ65" i="67"/>
  <c r="AQ84" i="67"/>
  <c r="AQ118" i="67"/>
  <c r="AQ125" i="67"/>
  <c r="AQ128" i="67"/>
  <c r="AQ129" i="67"/>
  <c r="AQ136" i="67"/>
  <c r="S142" i="67"/>
  <c r="AQ143" i="67"/>
  <c r="AQ12" i="68"/>
  <c r="G20" i="68"/>
  <c r="AR20" i="68"/>
  <c r="AT22" i="68"/>
  <c r="S38" i="68"/>
  <c r="AB40" i="68"/>
  <c r="N46" i="68"/>
  <c r="AL49" i="69"/>
  <c r="AM52" i="69"/>
  <c r="AK48" i="68"/>
  <c r="G35" i="69"/>
  <c r="R47" i="69"/>
  <c r="AG47" i="69"/>
  <c r="G48" i="69"/>
  <c r="G51" i="69"/>
  <c r="G54" i="69"/>
  <c r="J11" i="70"/>
  <c r="P11" i="70"/>
  <c r="V11" i="70"/>
  <c r="AH11" i="70"/>
  <c r="P26" i="70"/>
  <c r="M31" i="70"/>
  <c r="AK33" i="70"/>
  <c r="V35" i="70"/>
  <c r="AT12" i="68"/>
  <c r="AQ26" i="68"/>
  <c r="AT29" i="68"/>
  <c r="AT34" i="68"/>
  <c r="J40" i="68"/>
  <c r="AN41" i="68"/>
  <c r="V43" i="68"/>
  <c r="AE35" i="70"/>
  <c r="AJ26" i="70"/>
  <c r="AK26" i="70" s="1"/>
  <c r="P35" i="70"/>
  <c r="J43" i="68"/>
  <c r="Y45" i="68"/>
  <c r="J48" i="68"/>
  <c r="AL52" i="69"/>
  <c r="AM54" i="69"/>
  <c r="AM42" i="70" s="1"/>
  <c r="AJ16" i="70"/>
  <c r="D31" i="70"/>
  <c r="AH35" i="70"/>
  <c r="AJ37" i="70"/>
  <c r="AK37" i="70" s="1"/>
  <c r="AJ39" i="70"/>
  <c r="AK39" i="70" s="1"/>
  <c r="I47" i="69"/>
  <c r="J47" i="69" s="1"/>
  <c r="AM50" i="69"/>
  <c r="AM38" i="70" s="1"/>
  <c r="AM35" i="69"/>
  <c r="AN35" i="69" s="1"/>
  <c r="AM49" i="69"/>
  <c r="AL11" i="69"/>
  <c r="B47" i="69"/>
  <c r="X47" i="69"/>
  <c r="Y47" i="69" s="1"/>
  <c r="AJ47" i="69"/>
  <c r="G23" i="69"/>
  <c r="L47" i="69"/>
  <c r="AL53" i="69"/>
  <c r="G53" i="69"/>
  <c r="AM11" i="69"/>
  <c r="E47" i="69"/>
  <c r="G11" i="69"/>
  <c r="N47" i="69"/>
  <c r="U47" i="69"/>
  <c r="AM23" i="69"/>
  <c r="AN23" i="69" s="1"/>
  <c r="F47" i="69"/>
  <c r="AL50" i="69"/>
  <c r="AL51" i="69"/>
  <c r="J35" i="70"/>
  <c r="C47" i="69"/>
  <c r="O47" i="69"/>
  <c r="AA47" i="69"/>
  <c r="AM48" i="69"/>
  <c r="AL48" i="69"/>
  <c r="AJ11" i="70"/>
  <c r="AM53" i="69"/>
  <c r="AM41" i="70" s="1"/>
  <c r="AL54" i="69"/>
  <c r="AN54" i="69" s="1"/>
  <c r="AK12" i="70"/>
  <c r="AP57" i="65"/>
  <c r="G34" i="65"/>
  <c r="F41" i="65"/>
  <c r="AO43" i="65"/>
  <c r="AO41" i="65"/>
  <c r="I34" i="65"/>
  <c r="R34" i="65"/>
  <c r="R41" i="65" s="1"/>
  <c r="AP56" i="65"/>
  <c r="R46" i="68"/>
  <c r="AR47" i="68"/>
  <c r="AT21" i="66"/>
  <c r="AN116" i="67"/>
  <c r="S14" i="65"/>
  <c r="J21" i="65"/>
  <c r="V21" i="65"/>
  <c r="AE21" i="65"/>
  <c r="AP21" i="65"/>
  <c r="AN29" i="65"/>
  <c r="AB34" i="65"/>
  <c r="AO40" i="68"/>
  <c r="AQ14" i="66"/>
  <c r="AP43" i="68"/>
  <c r="AS44" i="68"/>
  <c r="G32" i="66"/>
  <c r="AS82" i="66"/>
  <c r="D82" i="66"/>
  <c r="AM38" i="68"/>
  <c r="AN38" i="68" s="1"/>
  <c r="AS36" i="67"/>
  <c r="AS38" i="68" s="1"/>
  <c r="AP36" i="67"/>
  <c r="AQ36" i="67" s="1"/>
  <c r="S130" i="67"/>
  <c r="AP142" i="67"/>
  <c r="AS142" i="67"/>
  <c r="AM34" i="65"/>
  <c r="AB29" i="65"/>
  <c r="AP29" i="65"/>
  <c r="AQ30" i="65"/>
  <c r="O34" i="65"/>
  <c r="X34" i="65"/>
  <c r="AR38" i="68"/>
  <c r="AT12" i="66"/>
  <c r="AR39" i="68"/>
  <c r="AT13" i="66"/>
  <c r="AR40" i="68"/>
  <c r="AP41" i="68"/>
  <c r="AS42" i="68"/>
  <c r="AP47" i="68"/>
  <c r="AP48" i="68"/>
  <c r="AQ24" i="66"/>
  <c r="AP32" i="66"/>
  <c r="AT43" i="66"/>
  <c r="Y44" i="66"/>
  <c r="AP44" i="66"/>
  <c r="G56" i="66"/>
  <c r="AP56" i="66"/>
  <c r="AT69" i="66"/>
  <c r="AP70" i="66"/>
  <c r="AQ70" i="66" s="1"/>
  <c r="G106" i="66"/>
  <c r="AQ14" i="67"/>
  <c r="AQ19" i="67"/>
  <c r="AM44" i="67"/>
  <c r="AP44" i="67" s="1"/>
  <c r="AQ45" i="67"/>
  <c r="AR56" i="67"/>
  <c r="AO56" i="67"/>
  <c r="Y56" i="67"/>
  <c r="AP56" i="67"/>
  <c r="AT62" i="67"/>
  <c r="AT70" i="67"/>
  <c r="AK80" i="67"/>
  <c r="AS104" i="67"/>
  <c r="AQ106" i="67"/>
  <c r="AT110" i="67"/>
  <c r="AP116" i="67"/>
  <c r="AS116" i="67"/>
  <c r="AK116" i="67"/>
  <c r="AQ24" i="68"/>
  <c r="AS39" i="68"/>
  <c r="V29" i="65"/>
  <c r="AD46" i="68"/>
  <c r="AK32" i="66"/>
  <c r="AE56" i="66"/>
  <c r="AE106" i="66"/>
  <c r="AO44" i="67"/>
  <c r="AP104" i="67"/>
  <c r="AQ104" i="67" s="1"/>
  <c r="G14" i="65"/>
  <c r="M14" i="65"/>
  <c r="AE14" i="65"/>
  <c r="AS14" i="65"/>
  <c r="D21" i="65"/>
  <c r="P21" i="65"/>
  <c r="C34" i="65"/>
  <c r="L34" i="65"/>
  <c r="AO34" i="65"/>
  <c r="AR41" i="68"/>
  <c r="AP45" i="68"/>
  <c r="AT19" i="66"/>
  <c r="I46" i="68"/>
  <c r="U46" i="68"/>
  <c r="AN20" i="66"/>
  <c r="M94" i="66"/>
  <c r="AS106" i="66"/>
  <c r="AT106" i="66" s="1"/>
  <c r="AR44" i="67"/>
  <c r="C46" i="68"/>
  <c r="D46" i="68" s="1"/>
  <c r="AK14" i="65"/>
  <c r="AP14" i="65"/>
  <c r="Y21" i="65"/>
  <c r="AO21" i="65"/>
  <c r="AO29" i="65"/>
  <c r="AQ31" i="65"/>
  <c r="U34" i="65"/>
  <c r="AJ34" i="65"/>
  <c r="AQ42" i="65"/>
  <c r="AQ12" i="66"/>
  <c r="AR42" i="68"/>
  <c r="AQ17" i="66"/>
  <c r="AO44" i="68"/>
  <c r="AQ19" i="66"/>
  <c r="AS20" i="66"/>
  <c r="AP20" i="66"/>
  <c r="L46" i="68"/>
  <c r="X46" i="68"/>
  <c r="Y20" i="66"/>
  <c r="AS48" i="68"/>
  <c r="AQ25" i="66"/>
  <c r="AN44" i="66"/>
  <c r="AP82" i="66"/>
  <c r="AQ83" i="66"/>
  <c r="Y106" i="66"/>
  <c r="AP20" i="67"/>
  <c r="W46" i="68"/>
  <c r="AO20" i="67"/>
  <c r="Y20" i="67"/>
  <c r="AS56" i="67"/>
  <c r="AN56" i="67"/>
  <c r="AR80" i="67"/>
  <c r="AO80" i="67"/>
  <c r="AS80" i="67"/>
  <c r="AQ108" i="67"/>
  <c r="S47" i="68"/>
  <c r="AP39" i="68"/>
  <c r="AS40" i="68"/>
  <c r="AO42" i="68"/>
  <c r="AR43" i="68"/>
  <c r="AP44" i="68"/>
  <c r="O46" i="68"/>
  <c r="AA46" i="68"/>
  <c r="AB46" i="68" s="1"/>
  <c r="AO47" i="68"/>
  <c r="AQ21" i="66"/>
  <c r="AR48" i="68"/>
  <c r="AQ43" i="66"/>
  <c r="H46" i="68"/>
  <c r="AO44" i="66"/>
  <c r="P44" i="66"/>
  <c r="AS56" i="66"/>
  <c r="AT56" i="66" s="1"/>
  <c r="AS70" i="66"/>
  <c r="AT70" i="66" s="1"/>
  <c r="AQ72" i="66"/>
  <c r="AT88" i="66"/>
  <c r="AT95" i="66"/>
  <c r="AQ100" i="66"/>
  <c r="AT103" i="66"/>
  <c r="AK106" i="66"/>
  <c r="AT12" i="67"/>
  <c r="AQ38" i="67"/>
  <c r="AQ41" i="67"/>
  <c r="AQ91" i="67"/>
  <c r="AK92" i="67"/>
  <c r="AT92" i="67"/>
  <c r="AQ101" i="67"/>
  <c r="AQ32" i="68"/>
  <c r="AP94" i="66"/>
  <c r="AP68" i="67"/>
  <c r="AO116" i="67"/>
  <c r="AQ123" i="67"/>
  <c r="AB130" i="67"/>
  <c r="J32" i="68"/>
  <c r="G39" i="68"/>
  <c r="AO39" i="68"/>
  <c r="AO41" i="68"/>
  <c r="AS41" i="68"/>
  <c r="AO43" i="68"/>
  <c r="AR45" i="68"/>
  <c r="F46" i="68"/>
  <c r="AJ46" i="68"/>
  <c r="AO48" i="68"/>
  <c r="AS32" i="66"/>
  <c r="AS44" i="66"/>
  <c r="AS94" i="66"/>
  <c r="AT94" i="66" s="1"/>
  <c r="AP106" i="66"/>
  <c r="AS20" i="67"/>
  <c r="AT20" i="67" s="1"/>
  <c r="AO68" i="67"/>
  <c r="AS68" i="67"/>
  <c r="AT68" i="67" s="1"/>
  <c r="AP92" i="67"/>
  <c r="AQ92" i="67" s="1"/>
  <c r="AT127" i="67"/>
  <c r="AS130" i="67"/>
  <c r="AP130" i="67"/>
  <c r="AQ130" i="67" s="1"/>
  <c r="AT138" i="67"/>
  <c r="M38" i="68"/>
  <c r="S40" i="68"/>
  <c r="AQ138" i="67"/>
  <c r="AQ14" i="68"/>
  <c r="AT17" i="68"/>
  <c r="AN32" i="68"/>
  <c r="AB38" i="68"/>
  <c r="AK38" i="68"/>
  <c r="Y41" i="68"/>
  <c r="AQ135" i="67"/>
  <c r="AE47" i="68"/>
  <c r="D20" i="68"/>
  <c r="J20" i="68"/>
  <c r="P20" i="68"/>
  <c r="AK20" i="68"/>
  <c r="D32" i="68"/>
  <c r="S39" i="68"/>
  <c r="AN42" i="68"/>
  <c r="AP20" i="68"/>
  <c r="AQ20" i="68" s="1"/>
  <c r="AS32" i="68"/>
  <c r="V40" i="68"/>
  <c r="G47" i="68"/>
  <c r="G32" i="68"/>
  <c r="Y32" i="68"/>
  <c r="R29" i="62"/>
  <c r="G27" i="62"/>
  <c r="F29" i="62"/>
  <c r="AB27" i="62"/>
  <c r="J27" i="62"/>
  <c r="I29" i="62"/>
  <c r="AJ29" i="62"/>
  <c r="AK27" i="62"/>
  <c r="L29" i="62"/>
  <c r="V27" i="62"/>
  <c r="U29" i="62"/>
  <c r="AE29" i="62"/>
  <c r="U45" i="62"/>
  <c r="V35" i="62"/>
  <c r="AP16" i="62"/>
  <c r="AQ16" i="62" s="1"/>
  <c r="AQ34" i="62"/>
  <c r="I45" i="62"/>
  <c r="R45" i="62"/>
  <c r="S35" i="62"/>
  <c r="M39" i="62"/>
  <c r="AK39" i="62"/>
  <c r="AS16" i="62"/>
  <c r="AT16" i="62" s="1"/>
  <c r="D20" i="62"/>
  <c r="AS20" i="62"/>
  <c r="AT20" i="62" s="1"/>
  <c r="F45" i="62"/>
  <c r="X45" i="62"/>
  <c r="Y35" i="62"/>
  <c r="G39" i="62"/>
  <c r="AN39" i="62"/>
  <c r="AP39" i="62"/>
  <c r="D39" i="62"/>
  <c r="AA45" i="62"/>
  <c r="AB35" i="62"/>
  <c r="J39" i="62"/>
  <c r="L45" i="62"/>
  <c r="AM45" i="62"/>
  <c r="AP50" i="62"/>
  <c r="U60" i="62"/>
  <c r="AP79" i="62"/>
  <c r="F91" i="62"/>
  <c r="R91" i="62"/>
  <c r="X91" i="62"/>
  <c r="AD91" i="62"/>
  <c r="AJ91" i="62"/>
  <c r="AO91" i="62"/>
  <c r="AS35" i="62"/>
  <c r="V54" i="62"/>
  <c r="AS54" i="62"/>
  <c r="C60" i="62"/>
  <c r="I60" i="62"/>
  <c r="AD60" i="62"/>
  <c r="AJ60" i="62"/>
  <c r="G79" i="62"/>
  <c r="M79" i="62"/>
  <c r="S79" i="62"/>
  <c r="Y79" i="62"/>
  <c r="G85" i="62"/>
  <c r="M85" i="62"/>
  <c r="AN85" i="62"/>
  <c r="O91" i="62"/>
  <c r="C45" i="62"/>
  <c r="AJ45" i="62"/>
  <c r="AP54" i="62"/>
  <c r="R60" i="62"/>
  <c r="X60" i="62"/>
  <c r="AS85" i="62"/>
  <c r="C91" i="62"/>
  <c r="L91" i="62"/>
  <c r="U91" i="62"/>
  <c r="AA91" i="62"/>
  <c r="AM91" i="62"/>
  <c r="S50" i="62"/>
  <c r="AS50" i="62"/>
  <c r="S54" i="62"/>
  <c r="Y54" i="62"/>
  <c r="F60" i="62"/>
  <c r="L60" i="62"/>
  <c r="AM60" i="62"/>
  <c r="D79" i="62"/>
  <c r="J79" i="62"/>
  <c r="P79" i="62"/>
  <c r="V79" i="62"/>
  <c r="AB79" i="62"/>
  <c r="AS79" i="62"/>
  <c r="D85" i="62"/>
  <c r="J85" i="62"/>
  <c r="AE85" i="62"/>
  <c r="AK85" i="62"/>
  <c r="AP85" i="62"/>
  <c r="I91" i="62"/>
  <c r="AR91" i="62"/>
  <c r="AT43" i="68" l="1"/>
  <c r="AT47" i="68"/>
  <c r="C29" i="62"/>
  <c r="AN53" i="69"/>
  <c r="AN50" i="69"/>
  <c r="AN51" i="69"/>
  <c r="AN11" i="69"/>
  <c r="AL36" i="70"/>
  <c r="AN48" i="69"/>
  <c r="AL37" i="70"/>
  <c r="AN49" i="69"/>
  <c r="D47" i="69"/>
  <c r="AL40" i="70"/>
  <c r="AN52" i="69"/>
  <c r="AM36" i="70"/>
  <c r="AP27" i="62"/>
  <c r="AQ27" i="62" s="1"/>
  <c r="S27" i="62"/>
  <c r="AQ45" i="68"/>
  <c r="AM46" i="68"/>
  <c r="AN46" i="68" s="1"/>
  <c r="AE34" i="65"/>
  <c r="Y27" i="62"/>
  <c r="AT44" i="68"/>
  <c r="AT20" i="68"/>
  <c r="P46" i="68"/>
  <c r="AT14" i="65"/>
  <c r="AT45" i="68"/>
  <c r="AQ47" i="68"/>
  <c r="AM29" i="62"/>
  <c r="AM40" i="70"/>
  <c r="AN40" i="70" s="1"/>
  <c r="AS27" i="62"/>
  <c r="AT27" i="62" s="1"/>
  <c r="AQ42" i="68"/>
  <c r="AT116" i="67"/>
  <c r="AK16" i="70"/>
  <c r="AQ79" i="62"/>
  <c r="AS44" i="67"/>
  <c r="AT44" i="67" s="1"/>
  <c r="AQ43" i="68"/>
  <c r="M35" i="70"/>
  <c r="P91" i="62"/>
  <c r="AT79" i="62"/>
  <c r="AQ41" i="68"/>
  <c r="AT36" i="67"/>
  <c r="AT40" i="68"/>
  <c r="AM37" i="70"/>
  <c r="AM39" i="70"/>
  <c r="S91" i="62"/>
  <c r="AQ44" i="68"/>
  <c r="Y35" i="70"/>
  <c r="AK11" i="70"/>
  <c r="G47" i="69"/>
  <c r="AL47" i="69"/>
  <c r="D35" i="70"/>
  <c r="AJ35" i="70"/>
  <c r="AM47" i="69"/>
  <c r="AL41" i="70"/>
  <c r="AN41" i="70" s="1"/>
  <c r="G35" i="70"/>
  <c r="AL42" i="70"/>
  <c r="AN42" i="70" s="1"/>
  <c r="AL38" i="70"/>
  <c r="AN38" i="70" s="1"/>
  <c r="AL39" i="70"/>
  <c r="G46" i="68"/>
  <c r="AQ44" i="66"/>
  <c r="AT80" i="67"/>
  <c r="AQ20" i="67"/>
  <c r="AT32" i="66"/>
  <c r="AT38" i="68"/>
  <c r="P34" i="65"/>
  <c r="O41" i="65"/>
  <c r="J34" i="65"/>
  <c r="I41" i="65"/>
  <c r="F43" i="65"/>
  <c r="G41" i="65"/>
  <c r="AQ48" i="68"/>
  <c r="AQ39" i="68"/>
  <c r="AQ116" i="67"/>
  <c r="J46" i="68"/>
  <c r="AT42" i="68"/>
  <c r="AQ29" i="65"/>
  <c r="AT20" i="66"/>
  <c r="AQ44" i="67"/>
  <c r="AQ56" i="66"/>
  <c r="AQ14" i="65"/>
  <c r="S46" i="68"/>
  <c r="AP38" i="68"/>
  <c r="AQ38" i="68" s="1"/>
  <c r="AD43" i="65"/>
  <c r="AE41" i="65"/>
  <c r="AT32" i="68"/>
  <c r="AQ68" i="67"/>
  <c r="AO46" i="68"/>
  <c r="AQ94" i="66"/>
  <c r="AQ82" i="66"/>
  <c r="M46" i="68"/>
  <c r="AK34" i="65"/>
  <c r="AJ41" i="65"/>
  <c r="AQ21" i="65"/>
  <c r="V46" i="68"/>
  <c r="M34" i="65"/>
  <c r="L41" i="65"/>
  <c r="AE46" i="68"/>
  <c r="AQ56" i="67"/>
  <c r="AQ32" i="66"/>
  <c r="AT39" i="68"/>
  <c r="AB41" i="65"/>
  <c r="AA43" i="65"/>
  <c r="AM41" i="65"/>
  <c r="AN34" i="65"/>
  <c r="AT142" i="67"/>
  <c r="AT82" i="66"/>
  <c r="AK46" i="68"/>
  <c r="AT130" i="67"/>
  <c r="AT48" i="68"/>
  <c r="AQ80" i="67"/>
  <c r="Y46" i="68"/>
  <c r="AP46" i="68"/>
  <c r="AQ20" i="66"/>
  <c r="V34" i="65"/>
  <c r="U41" i="65"/>
  <c r="AT44" i="66"/>
  <c r="AT41" i="68"/>
  <c r="D34" i="65"/>
  <c r="AP34" i="65"/>
  <c r="C41" i="65"/>
  <c r="AT104" i="67"/>
  <c r="AT56" i="67"/>
  <c r="AQ106" i="66"/>
  <c r="X41" i="65"/>
  <c r="Y34" i="65"/>
  <c r="AQ142" i="67"/>
  <c r="AQ40" i="68"/>
  <c r="AR46" i="68"/>
  <c r="S34" i="65"/>
  <c r="V60" i="62"/>
  <c r="AK29" i="62"/>
  <c r="AB29" i="62"/>
  <c r="AQ85" i="62"/>
  <c r="AN60" i="62"/>
  <c r="V91" i="62"/>
  <c r="AT85" i="62"/>
  <c r="AT54" i="62"/>
  <c r="Y91" i="62"/>
  <c r="AT50" i="62"/>
  <c r="AB45" i="62"/>
  <c r="AA62" i="62"/>
  <c r="V45" i="62"/>
  <c r="U62" i="62"/>
  <c r="J29" i="62"/>
  <c r="Y29" i="62"/>
  <c r="J91" i="62"/>
  <c r="D91" i="62"/>
  <c r="AP91" i="62"/>
  <c r="AS91" i="62"/>
  <c r="AP45" i="62"/>
  <c r="D45" i="62"/>
  <c r="C62" i="62"/>
  <c r="AS45" i="62"/>
  <c r="AE60" i="62"/>
  <c r="AE91" i="62"/>
  <c r="AM62" i="62"/>
  <c r="AM64" i="62" s="1"/>
  <c r="AN45" i="62"/>
  <c r="AN91" i="62"/>
  <c r="J60" i="62"/>
  <c r="AQ50" i="62"/>
  <c r="M45" i="62"/>
  <c r="L62" i="62"/>
  <c r="L64" i="62" s="1"/>
  <c r="X62" i="62"/>
  <c r="Y45" i="62"/>
  <c r="AQ54" i="62"/>
  <c r="R62" i="62"/>
  <c r="S45" i="62"/>
  <c r="AN29" i="62"/>
  <c r="M29" i="62"/>
  <c r="AP29" i="62"/>
  <c r="AQ29" i="62" s="1"/>
  <c r="D29" i="62"/>
  <c r="AS29" i="62"/>
  <c r="AT29" i="62" s="1"/>
  <c r="G29" i="62"/>
  <c r="R64" i="62"/>
  <c r="S29" i="62"/>
  <c r="G60" i="62"/>
  <c r="AB91" i="62"/>
  <c r="S60" i="62"/>
  <c r="M60" i="62"/>
  <c r="M91" i="62"/>
  <c r="Y60" i="62"/>
  <c r="AJ62" i="62"/>
  <c r="AJ64" i="62" s="1"/>
  <c r="AK45" i="62"/>
  <c r="AK60" i="62"/>
  <c r="AP60" i="62"/>
  <c r="D60" i="62"/>
  <c r="AS60" i="62"/>
  <c r="AK91" i="62"/>
  <c r="G91" i="62"/>
  <c r="AT35" i="62"/>
  <c r="G45" i="62"/>
  <c r="F62" i="62"/>
  <c r="AQ39" i="62"/>
  <c r="AD62" i="62"/>
  <c r="J45" i="62"/>
  <c r="I62" i="62"/>
  <c r="I64" i="62" s="1"/>
  <c r="U64" i="62"/>
  <c r="V29" i="62"/>
  <c r="AS46" i="68" l="1"/>
  <c r="AT46" i="68" s="1"/>
  <c r="AN37" i="70"/>
  <c r="AN47" i="69"/>
  <c r="AN36" i="70"/>
  <c r="AN39" i="70"/>
  <c r="AQ34" i="65"/>
  <c r="AQ91" i="62"/>
  <c r="AL35" i="70"/>
  <c r="AM35" i="70"/>
  <c r="AK35" i="70"/>
  <c r="V41" i="65"/>
  <c r="U43" i="65"/>
  <c r="AB43" i="65"/>
  <c r="AA45" i="65"/>
  <c r="L43" i="65"/>
  <c r="M41" i="65"/>
  <c r="F45" i="65"/>
  <c r="G43" i="65"/>
  <c r="J41" i="65"/>
  <c r="I43" i="65"/>
  <c r="R43" i="65"/>
  <c r="R45" i="65" s="1"/>
  <c r="S41" i="65"/>
  <c r="X43" i="65"/>
  <c r="Y41" i="65"/>
  <c r="AO45" i="65"/>
  <c r="D41" i="65"/>
  <c r="C43" i="65"/>
  <c r="AP41" i="65"/>
  <c r="AQ41" i="65" s="1"/>
  <c r="AJ43" i="65"/>
  <c r="AK41" i="65"/>
  <c r="AQ46" i="68"/>
  <c r="P41" i="65"/>
  <c r="O43" i="65"/>
  <c r="AN41" i="65"/>
  <c r="AM43" i="65"/>
  <c r="AD45" i="65"/>
  <c r="AE43" i="65"/>
  <c r="AK64" i="62"/>
  <c r="J64" i="62"/>
  <c r="AS62" i="62"/>
  <c r="D62" i="62"/>
  <c r="AP62" i="62"/>
  <c r="G62" i="62"/>
  <c r="O64" i="62"/>
  <c r="AQ60" i="62"/>
  <c r="F64" i="62"/>
  <c r="C64" i="62"/>
  <c r="AN64" i="62"/>
  <c r="M62" i="62"/>
  <c r="AN62" i="62"/>
  <c r="AB62" i="62"/>
  <c r="V64" i="62"/>
  <c r="AE62" i="62"/>
  <c r="AD64" i="62"/>
  <c r="AK62" i="62"/>
  <c r="AT91" i="62"/>
  <c r="AQ45" i="62"/>
  <c r="V62" i="62"/>
  <c r="J62" i="62"/>
  <c r="AT60" i="62"/>
  <c r="S64" i="62"/>
  <c r="M64" i="62"/>
  <c r="S62" i="62"/>
  <c r="Y62" i="62"/>
  <c r="AT45" i="62"/>
  <c r="X64" i="62"/>
  <c r="AA64" i="62"/>
  <c r="F33" i="4"/>
  <c r="E33" i="4"/>
  <c r="G33" i="4" s="1"/>
  <c r="C33" i="4"/>
  <c r="B33" i="4"/>
  <c r="D33" i="16"/>
  <c r="D26" i="16"/>
  <c r="I33" i="4" l="1"/>
  <c r="H33" i="4"/>
  <c r="J33" i="4" s="1"/>
  <c r="AN35" i="70"/>
  <c r="AM45" i="65"/>
  <c r="AN43" i="65"/>
  <c r="P43" i="65"/>
  <c r="O45" i="65"/>
  <c r="C45" i="65"/>
  <c r="AP43" i="65"/>
  <c r="AQ43" i="65" s="1"/>
  <c r="D43" i="65"/>
  <c r="S43" i="65"/>
  <c r="G45" i="65"/>
  <c r="L45" i="65"/>
  <c r="M43" i="65"/>
  <c r="I45" i="65"/>
  <c r="J43" i="65"/>
  <c r="AB45" i="65"/>
  <c r="V43" i="65"/>
  <c r="U45" i="65"/>
  <c r="AE45" i="65"/>
  <c r="AJ45" i="65"/>
  <c r="AK43" i="65"/>
  <c r="X45" i="65"/>
  <c r="Y43" i="65"/>
  <c r="AS64" i="62"/>
  <c r="D64" i="62"/>
  <c r="AP64" i="62"/>
  <c r="Y64" i="62"/>
  <c r="AE64" i="62"/>
  <c r="G64" i="62"/>
  <c r="AQ62" i="62"/>
  <c r="AB64" i="62"/>
  <c r="P64" i="62"/>
  <c r="AT62" i="62"/>
  <c r="Y45" i="65" l="1"/>
  <c r="M45" i="65"/>
  <c r="S45" i="65"/>
  <c r="P45" i="65"/>
  <c r="V45" i="65"/>
  <c r="AK45" i="65"/>
  <c r="J45" i="65"/>
  <c r="AP45" i="65"/>
  <c r="D45" i="65"/>
  <c r="AN45" i="65"/>
  <c r="AT64" i="62"/>
  <c r="AQ64" i="62"/>
  <c r="AQ45" i="65" l="1"/>
  <c r="C47" i="18"/>
  <c r="G119" i="18"/>
  <c r="H124" i="18"/>
  <c r="F119" i="18"/>
  <c r="H10" i="18"/>
  <c r="D7" i="18"/>
  <c r="D10" i="18"/>
  <c r="H116" i="18"/>
  <c r="H117" i="18"/>
  <c r="H121" i="18"/>
  <c r="J88" i="18"/>
  <c r="H109" i="18"/>
  <c r="H113" i="18"/>
  <c r="H125" i="18"/>
  <c r="K113" i="18"/>
  <c r="H7" i="18"/>
  <c r="J67" i="18"/>
  <c r="D99" i="18"/>
  <c r="J109" i="18"/>
  <c r="J112" i="18"/>
  <c r="J116" i="18"/>
  <c r="J121" i="18"/>
  <c r="D28" i="18"/>
  <c r="H34" i="18"/>
  <c r="H35" i="18"/>
  <c r="J113" i="18"/>
  <c r="K120" i="18"/>
  <c r="H108" i="18"/>
  <c r="J35" i="18"/>
  <c r="H11" i="18"/>
  <c r="J117" i="18"/>
  <c r="K112" i="18"/>
  <c r="G111" i="18"/>
  <c r="K117" i="18"/>
  <c r="H12" i="18"/>
  <c r="K35" i="18"/>
  <c r="F111" i="18"/>
  <c r="J124" i="18"/>
  <c r="H29" i="18"/>
  <c r="J34" i="18"/>
  <c r="D67" i="18"/>
  <c r="D88" i="18"/>
  <c r="J99" i="18"/>
  <c r="J120" i="18"/>
  <c r="K121" i="18"/>
  <c r="K124" i="18"/>
  <c r="K28" i="18"/>
  <c r="K34" i="18"/>
  <c r="D48" i="18"/>
  <c r="K67" i="18"/>
  <c r="D120" i="18"/>
  <c r="J108" i="18"/>
  <c r="D112" i="18"/>
  <c r="K116" i="18"/>
  <c r="D116" i="18"/>
  <c r="B119" i="18"/>
  <c r="H120" i="18"/>
  <c r="H22" i="18"/>
  <c r="D78" i="18"/>
  <c r="D87" i="18"/>
  <c r="D108" i="18"/>
  <c r="B111" i="18"/>
  <c r="J125" i="18"/>
  <c r="C111" i="18"/>
  <c r="D9" i="18"/>
  <c r="J28" i="18"/>
  <c r="J78" i="18"/>
  <c r="C119" i="18"/>
  <c r="K125" i="18"/>
  <c r="K29" i="18" l="1"/>
  <c r="D66" i="18"/>
  <c r="K22" i="18"/>
  <c r="B47" i="18"/>
  <c r="D47" i="18" s="1"/>
  <c r="J29" i="18"/>
  <c r="H119" i="18"/>
  <c r="K119" i="18"/>
  <c r="D77" i="18"/>
  <c r="L113" i="18"/>
  <c r="L12" i="18"/>
  <c r="L28" i="18"/>
  <c r="L88" i="18"/>
  <c r="L121" i="18"/>
  <c r="L109" i="18"/>
  <c r="L120" i="18"/>
  <c r="L99" i="18"/>
  <c r="L35" i="18"/>
  <c r="J111" i="18"/>
  <c r="H111" i="18"/>
  <c r="L117" i="18"/>
  <c r="L78" i="18"/>
  <c r="L7" i="18"/>
  <c r="L108" i="18"/>
  <c r="L116" i="18"/>
  <c r="L11" i="18"/>
  <c r="L67" i="18"/>
  <c r="K111" i="18"/>
  <c r="L112" i="18"/>
  <c r="L124" i="18"/>
  <c r="D98" i="18"/>
  <c r="L10" i="18"/>
  <c r="J119" i="18"/>
  <c r="D119" i="18"/>
  <c r="L34" i="18"/>
  <c r="L125" i="18"/>
  <c r="D111" i="18"/>
  <c r="C76" i="4"/>
  <c r="F76" i="4"/>
  <c r="E76" i="4"/>
  <c r="B76" i="4"/>
  <c r="F97" i="4"/>
  <c r="E97" i="4"/>
  <c r="C97" i="4"/>
  <c r="K97" i="37"/>
  <c r="J97" i="37"/>
  <c r="D97" i="16"/>
  <c r="D97" i="29"/>
  <c r="B97" i="4"/>
  <c r="K97" i="33"/>
  <c r="K97" i="29"/>
  <c r="J97" i="13"/>
  <c r="J97" i="33"/>
  <c r="L97" i="33" s="1"/>
  <c r="J97" i="29"/>
  <c r="L97" i="29" s="1"/>
  <c r="D97" i="37"/>
  <c r="D97" i="13"/>
  <c r="D97" i="33"/>
  <c r="K76" i="37"/>
  <c r="D76" i="16"/>
  <c r="D76" i="33"/>
  <c r="D76" i="37"/>
  <c r="K76" i="29"/>
  <c r="J76" i="13"/>
  <c r="J76" i="37"/>
  <c r="D76" i="29"/>
  <c r="K76" i="33"/>
  <c r="J76" i="33"/>
  <c r="L76" i="33" s="1"/>
  <c r="J76" i="29"/>
  <c r="L76" i="29" s="1"/>
  <c r="D76" i="13"/>
  <c r="J36" i="37"/>
  <c r="J37" i="37"/>
  <c r="L119" i="18" l="1"/>
  <c r="H68" i="18"/>
  <c r="J68" i="18"/>
  <c r="J66" i="18"/>
  <c r="L29" i="18"/>
  <c r="L22" i="18"/>
  <c r="B47" i="37"/>
  <c r="L76" i="13"/>
  <c r="D97" i="4"/>
  <c r="D76" i="4"/>
  <c r="L97" i="37"/>
  <c r="K68" i="18"/>
  <c r="L76" i="37"/>
  <c r="L97" i="13"/>
  <c r="H100" i="18"/>
  <c r="J100" i="18"/>
  <c r="L100" i="18" s="1"/>
  <c r="J89" i="18"/>
  <c r="H89" i="18"/>
  <c r="H79" i="18"/>
  <c r="J79" i="18"/>
  <c r="L79" i="18" s="1"/>
  <c r="I97" i="4"/>
  <c r="I76" i="4"/>
  <c r="L111" i="18"/>
  <c r="C47" i="37"/>
  <c r="H29" i="37"/>
  <c r="H34" i="37"/>
  <c r="D116" i="37"/>
  <c r="J124" i="37"/>
  <c r="C56" i="37"/>
  <c r="H76" i="4"/>
  <c r="J76" i="4" s="1"/>
  <c r="H97" i="4"/>
  <c r="C53" i="37"/>
  <c r="H113" i="37"/>
  <c r="H117" i="37"/>
  <c r="J88" i="37"/>
  <c r="K75" i="37"/>
  <c r="K108" i="37"/>
  <c r="K96" i="37"/>
  <c r="K67" i="37"/>
  <c r="J35" i="37"/>
  <c r="D7" i="37"/>
  <c r="K137" i="37"/>
  <c r="K135" i="37"/>
  <c r="K134" i="37"/>
  <c r="H112" i="37"/>
  <c r="J121" i="37"/>
  <c r="D137" i="37"/>
  <c r="B119" i="37"/>
  <c r="H121" i="37"/>
  <c r="K107" i="37"/>
  <c r="K99" i="37"/>
  <c r="J125" i="37"/>
  <c r="K116" i="37"/>
  <c r="K78" i="37"/>
  <c r="B53" i="37"/>
  <c r="H108" i="37"/>
  <c r="D67" i="37"/>
  <c r="K110" i="37"/>
  <c r="J86" i="37"/>
  <c r="K28" i="37"/>
  <c r="H7" i="37"/>
  <c r="D135" i="37"/>
  <c r="H124" i="37"/>
  <c r="G111" i="37"/>
  <c r="J110" i="37"/>
  <c r="D108" i="37"/>
  <c r="D28" i="37"/>
  <c r="D125" i="37"/>
  <c r="G119" i="37"/>
  <c r="K113" i="37"/>
  <c r="J108" i="37"/>
  <c r="D34" i="37"/>
  <c r="D12" i="37"/>
  <c r="K125" i="37"/>
  <c r="J117" i="37"/>
  <c r="J113" i="37"/>
  <c r="D110" i="37"/>
  <c r="K136" i="37"/>
  <c r="J134" i="37"/>
  <c r="C119" i="37"/>
  <c r="H35" i="37"/>
  <c r="J28" i="37"/>
  <c r="J116" i="37"/>
  <c r="K109" i="37"/>
  <c r="D35" i="37"/>
  <c r="D11" i="37"/>
  <c r="H75" i="37"/>
  <c r="D48" i="37"/>
  <c r="J137" i="37"/>
  <c r="K121" i="37"/>
  <c r="J67" i="37"/>
  <c r="H125" i="37"/>
  <c r="D124" i="37"/>
  <c r="H96" i="37"/>
  <c r="K88" i="37"/>
  <c r="H78" i="37"/>
  <c r="D55" i="37"/>
  <c r="J34" i="37"/>
  <c r="D9" i="37"/>
  <c r="J107" i="37"/>
  <c r="D107" i="37"/>
  <c r="K124" i="37"/>
  <c r="D99" i="37"/>
  <c r="D134" i="37"/>
  <c r="D120" i="37"/>
  <c r="C111" i="37"/>
  <c r="D100" i="37"/>
  <c r="J78" i="37"/>
  <c r="D78" i="37"/>
  <c r="J75" i="37"/>
  <c r="D75" i="37"/>
  <c r="F119" i="37"/>
  <c r="B111" i="37"/>
  <c r="J112" i="37"/>
  <c r="D112" i="37"/>
  <c r="J109" i="37"/>
  <c r="J135" i="37"/>
  <c r="D136" i="37"/>
  <c r="K120" i="37"/>
  <c r="J99" i="37"/>
  <c r="J96" i="37"/>
  <c r="D96" i="37"/>
  <c r="K86" i="37"/>
  <c r="J136" i="37"/>
  <c r="J120" i="37"/>
  <c r="H109" i="37"/>
  <c r="D86" i="37"/>
  <c r="B56" i="37"/>
  <c r="K117" i="37"/>
  <c r="K112" i="37"/>
  <c r="D88" i="37"/>
  <c r="F111" i="37"/>
  <c r="H11" i="37"/>
  <c r="D10" i="37"/>
  <c r="K35" i="37"/>
  <c r="D57" i="37"/>
  <c r="D54" i="37"/>
  <c r="K34" i="37"/>
  <c r="H12" i="37"/>
  <c r="K37" i="37"/>
  <c r="D37" i="37"/>
  <c r="H10" i="37"/>
  <c r="K36" i="37"/>
  <c r="D36" i="37"/>
  <c r="D106" i="16"/>
  <c r="D105" i="16"/>
  <c r="D103" i="16"/>
  <c r="D102" i="16"/>
  <c r="D95" i="16"/>
  <c r="D94" i="16"/>
  <c r="D92" i="16"/>
  <c r="D91" i="16"/>
  <c r="D85" i="16"/>
  <c r="D84" i="16"/>
  <c r="D82" i="16"/>
  <c r="D81" i="16"/>
  <c r="D74" i="16"/>
  <c r="D73" i="16"/>
  <c r="D71" i="16"/>
  <c r="D70" i="16"/>
  <c r="H39" i="16"/>
  <c r="H38" i="16"/>
  <c r="H37" i="16"/>
  <c r="H36" i="16"/>
  <c r="H9" i="16"/>
  <c r="H8" i="16"/>
  <c r="J29" i="37" l="1"/>
  <c r="L68" i="18"/>
  <c r="K87" i="37"/>
  <c r="L89" i="18"/>
  <c r="K98" i="37"/>
  <c r="H66" i="18"/>
  <c r="K66" i="18"/>
  <c r="L66" i="18" s="1"/>
  <c r="J79" i="37"/>
  <c r="L110" i="37"/>
  <c r="J97" i="4"/>
  <c r="J100" i="37"/>
  <c r="J66" i="37"/>
  <c r="H87" i="18"/>
  <c r="J87" i="18"/>
  <c r="L87" i="18" s="1"/>
  <c r="H77" i="18"/>
  <c r="J77" i="18"/>
  <c r="L77" i="18" s="1"/>
  <c r="J98" i="18"/>
  <c r="L98" i="18" s="1"/>
  <c r="H98" i="18"/>
  <c r="L116" i="37"/>
  <c r="D89" i="37"/>
  <c r="K22" i="37"/>
  <c r="D49" i="37"/>
  <c r="K77" i="37"/>
  <c r="J22" i="37"/>
  <c r="H22" i="37"/>
  <c r="K29" i="37"/>
  <c r="D29" i="37"/>
  <c r="D22" i="37"/>
  <c r="D87" i="37"/>
  <c r="D56" i="37"/>
  <c r="L88" i="37"/>
  <c r="L124" i="37"/>
  <c r="L12" i="37"/>
  <c r="L78" i="37"/>
  <c r="K111" i="37"/>
  <c r="L7" i="37"/>
  <c r="L135" i="37"/>
  <c r="D53" i="37"/>
  <c r="L28" i="37"/>
  <c r="L136" i="37"/>
  <c r="L96" i="37"/>
  <c r="L34" i="37"/>
  <c r="L109" i="37"/>
  <c r="L67" i="37"/>
  <c r="L99" i="37"/>
  <c r="L108" i="37"/>
  <c r="L134" i="37"/>
  <c r="L10" i="37"/>
  <c r="D47" i="37"/>
  <c r="L107" i="37"/>
  <c r="L75" i="37"/>
  <c r="K119" i="37"/>
  <c r="H111" i="37"/>
  <c r="L86" i="37"/>
  <c r="L121" i="37"/>
  <c r="H119" i="37"/>
  <c r="L137" i="37"/>
  <c r="L35" i="37"/>
  <c r="L120" i="37"/>
  <c r="L11" i="37"/>
  <c r="D119" i="37"/>
  <c r="L117" i="37"/>
  <c r="L125" i="37"/>
  <c r="L113" i="37"/>
  <c r="J111" i="37"/>
  <c r="D111" i="37"/>
  <c r="D66" i="37"/>
  <c r="D98" i="37"/>
  <c r="J119" i="37"/>
  <c r="L112" i="37"/>
  <c r="D77" i="37"/>
  <c r="L29" i="37" l="1"/>
  <c r="K100" i="37"/>
  <c r="K79" i="37"/>
  <c r="L79" i="37" s="1"/>
  <c r="K89" i="37"/>
  <c r="H68" i="37"/>
  <c r="H79" i="37"/>
  <c r="H100" i="37"/>
  <c r="H77" i="37"/>
  <c r="H98" i="37"/>
  <c r="L100" i="37"/>
  <c r="L22" i="37"/>
  <c r="J68" i="37"/>
  <c r="J98" i="37"/>
  <c r="L98" i="37" s="1"/>
  <c r="K68" i="37"/>
  <c r="H89" i="37"/>
  <c r="J89" i="37"/>
  <c r="L89" i="37" s="1"/>
  <c r="H87" i="37"/>
  <c r="L111" i="37"/>
  <c r="L119" i="37"/>
  <c r="J77" i="37" l="1"/>
  <c r="L77" i="37" s="1"/>
  <c r="L68" i="37"/>
  <c r="J87" i="37"/>
  <c r="L87" i="37" s="1"/>
  <c r="H66" i="37"/>
  <c r="K66" i="37"/>
  <c r="L66" i="37" s="1"/>
  <c r="G14" i="58" l="1"/>
  <c r="C14" i="58"/>
  <c r="B13" i="58"/>
  <c r="F13" i="58"/>
  <c r="F22" i="58"/>
  <c r="B22" i="58"/>
  <c r="G21" i="58"/>
  <c r="C21" i="58"/>
  <c r="F17" i="58"/>
  <c r="B17" i="58"/>
  <c r="F28" i="58"/>
  <c r="B28" i="58"/>
  <c r="C26" i="58"/>
  <c r="G26" i="58"/>
  <c r="F29" i="58"/>
  <c r="B29" i="58"/>
  <c r="F11" i="58"/>
  <c r="B11" i="58"/>
  <c r="C13" i="58"/>
  <c r="G13" i="58"/>
  <c r="F20" i="58"/>
  <c r="B20" i="58"/>
  <c r="G22" i="58"/>
  <c r="C22" i="58"/>
  <c r="G17" i="58"/>
  <c r="C17" i="58"/>
  <c r="G28" i="58"/>
  <c r="C28" i="58"/>
  <c r="G29" i="58"/>
  <c r="C29" i="58"/>
  <c r="G11" i="58"/>
  <c r="C11" i="58"/>
  <c r="B12" i="58"/>
  <c r="F12" i="58"/>
  <c r="B10" i="58"/>
  <c r="F10" i="58"/>
  <c r="F9" i="58"/>
  <c r="B9" i="58"/>
  <c r="F19" i="58"/>
  <c r="B19" i="58"/>
  <c r="G20" i="58"/>
  <c r="C20" i="58"/>
  <c r="F18" i="58"/>
  <c r="B18" i="58"/>
  <c r="F30" i="58"/>
  <c r="B30" i="58"/>
  <c r="F25" i="58"/>
  <c r="B25" i="58"/>
  <c r="C12" i="58"/>
  <c r="G12" i="58"/>
  <c r="F14" i="58"/>
  <c r="B14" i="58"/>
  <c r="G10" i="58"/>
  <c r="C10" i="58"/>
  <c r="C9" i="58"/>
  <c r="G9" i="58"/>
  <c r="G19" i="58"/>
  <c r="C19" i="58"/>
  <c r="G18" i="58"/>
  <c r="C18" i="58"/>
  <c r="F21" i="58"/>
  <c r="B21" i="58"/>
  <c r="G30" i="58"/>
  <c r="C30" i="58"/>
  <c r="F26" i="58"/>
  <c r="B26" i="58"/>
  <c r="G25" i="58"/>
  <c r="C25" i="58"/>
  <c r="C8" i="58" l="1"/>
  <c r="F123" i="4" l="1"/>
  <c r="E123" i="4"/>
  <c r="F115" i="4"/>
  <c r="E115" i="4"/>
  <c r="F105" i="4"/>
  <c r="E105" i="4"/>
  <c r="F94" i="4"/>
  <c r="E91" i="4"/>
  <c r="F84" i="4"/>
  <c r="E84" i="4"/>
  <c r="F73" i="4"/>
  <c r="E70" i="4"/>
  <c r="B104" i="4"/>
  <c r="E104" i="13" s="1"/>
  <c r="C101" i="4"/>
  <c r="B101" i="4"/>
  <c r="B93" i="4"/>
  <c r="B90" i="4"/>
  <c r="C83" i="4"/>
  <c r="B83" i="4"/>
  <c r="B80" i="4"/>
  <c r="C72" i="4"/>
  <c r="B72" i="4"/>
  <c r="B69" i="4"/>
  <c r="F32" i="4"/>
  <c r="F31" i="4"/>
  <c r="F30" i="4"/>
  <c r="E32" i="4"/>
  <c r="E31" i="4"/>
  <c r="E30" i="4"/>
  <c r="F25" i="4"/>
  <c r="E25" i="4"/>
  <c r="F24" i="4"/>
  <c r="E24" i="4"/>
  <c r="F23" i="4"/>
  <c r="E23" i="4"/>
  <c r="B25" i="4"/>
  <c r="B24" i="4"/>
  <c r="C23" i="4"/>
  <c r="B23" i="4"/>
  <c r="C30" i="4"/>
  <c r="B32" i="4"/>
  <c r="B31" i="4"/>
  <c r="B30" i="4"/>
  <c r="E83" i="20" l="1"/>
  <c r="E83" i="33"/>
  <c r="E83" i="29"/>
  <c r="E72" i="29"/>
  <c r="E72" i="33"/>
  <c r="E72" i="20"/>
  <c r="E30" i="20"/>
  <c r="E30" i="13"/>
  <c r="E30" i="37"/>
  <c r="E30" i="33"/>
  <c r="E30" i="29"/>
  <c r="E30" i="23"/>
  <c r="E23" i="29"/>
  <c r="E23" i="20"/>
  <c r="E23" i="37"/>
  <c r="E23" i="33"/>
  <c r="E23" i="23"/>
  <c r="E23" i="13"/>
  <c r="G31" i="4"/>
  <c r="G24" i="4"/>
  <c r="G30" i="4"/>
  <c r="G23" i="4"/>
  <c r="G25" i="4"/>
  <c r="G32" i="4"/>
  <c r="G115" i="4"/>
  <c r="C32" i="4"/>
  <c r="D32" i="4" s="1"/>
  <c r="C24" i="4"/>
  <c r="I23" i="37"/>
  <c r="I23" i="18"/>
  <c r="I25" i="37"/>
  <c r="I25" i="18"/>
  <c r="I30" i="37"/>
  <c r="I30" i="18"/>
  <c r="C69" i="4"/>
  <c r="C80" i="4"/>
  <c r="C90" i="4"/>
  <c r="C115" i="4"/>
  <c r="F70" i="4"/>
  <c r="G70" i="4" s="1"/>
  <c r="G84" i="4"/>
  <c r="F91" i="4"/>
  <c r="G91" i="4" s="1"/>
  <c r="G105" i="4"/>
  <c r="I31" i="37"/>
  <c r="I31" i="18"/>
  <c r="E27" i="4"/>
  <c r="D72" i="4"/>
  <c r="D83" i="4"/>
  <c r="B123" i="4"/>
  <c r="E71" i="4"/>
  <c r="E74" i="4"/>
  <c r="E85" i="4"/>
  <c r="E92" i="4"/>
  <c r="E95" i="4"/>
  <c r="E106" i="4"/>
  <c r="D23" i="4"/>
  <c r="C25" i="4"/>
  <c r="I24" i="37"/>
  <c r="I32" i="37"/>
  <c r="I32" i="18"/>
  <c r="F27" i="4"/>
  <c r="C93" i="4"/>
  <c r="D93" i="4" s="1"/>
  <c r="C104" i="4"/>
  <c r="D104" i="4" s="1"/>
  <c r="C123" i="4"/>
  <c r="F71" i="4"/>
  <c r="F74" i="4"/>
  <c r="F85" i="4"/>
  <c r="F92" i="4"/>
  <c r="F95" i="4"/>
  <c r="F106" i="4"/>
  <c r="D30" i="4"/>
  <c r="C31" i="4"/>
  <c r="B115" i="4"/>
  <c r="E73" i="4"/>
  <c r="G73" i="4" s="1"/>
  <c r="E94" i="4"/>
  <c r="G94" i="4" s="1"/>
  <c r="F72" i="4"/>
  <c r="F83" i="4"/>
  <c r="F93" i="4"/>
  <c r="F104" i="4"/>
  <c r="D31" i="16"/>
  <c r="D30" i="16"/>
  <c r="D23" i="16"/>
  <c r="D25" i="16"/>
  <c r="D69" i="16"/>
  <c r="D80" i="16"/>
  <c r="D90" i="16"/>
  <c r="D101" i="16"/>
  <c r="D115" i="16"/>
  <c r="D24" i="16"/>
  <c r="D27" i="16"/>
  <c r="D72" i="16"/>
  <c r="D83" i="16"/>
  <c r="D93" i="16"/>
  <c r="D104" i="16"/>
  <c r="D123" i="16"/>
  <c r="D32" i="16"/>
  <c r="C106" i="4"/>
  <c r="B106" i="4"/>
  <c r="C105" i="4"/>
  <c r="B105" i="4"/>
  <c r="C103" i="4"/>
  <c r="B103" i="4"/>
  <c r="C102" i="4"/>
  <c r="B102" i="4"/>
  <c r="C95" i="4"/>
  <c r="B95" i="4"/>
  <c r="C94" i="4"/>
  <c r="B94" i="4"/>
  <c r="C92" i="4"/>
  <c r="B92" i="4"/>
  <c r="C91" i="4"/>
  <c r="B91" i="4"/>
  <c r="C85" i="4"/>
  <c r="E85" i="20" s="1"/>
  <c r="B85" i="4"/>
  <c r="C84" i="4"/>
  <c r="B84" i="4"/>
  <c r="C82" i="4"/>
  <c r="B82" i="4"/>
  <c r="C81" i="4"/>
  <c r="B81" i="4"/>
  <c r="C74" i="4"/>
  <c r="E74" i="20" s="1"/>
  <c r="B74" i="4"/>
  <c r="C73" i="4"/>
  <c r="B73" i="4"/>
  <c r="C71" i="4"/>
  <c r="B71" i="4"/>
  <c r="C70" i="4"/>
  <c r="B70" i="4"/>
  <c r="F39" i="4"/>
  <c r="F38" i="4"/>
  <c r="F37" i="4"/>
  <c r="F36" i="4"/>
  <c r="E39" i="4"/>
  <c r="E38" i="4"/>
  <c r="E37" i="4"/>
  <c r="E36" i="4"/>
  <c r="E31" i="37" l="1"/>
  <c r="E31" i="29"/>
  <c r="E31" i="33"/>
  <c r="E31" i="24"/>
  <c r="D90" i="4"/>
  <c r="E90" i="29"/>
  <c r="D69" i="4"/>
  <c r="E69" i="29"/>
  <c r="D25" i="4"/>
  <c r="E25" i="20"/>
  <c r="E25" i="13"/>
  <c r="E25" i="29"/>
  <c r="D24" i="4"/>
  <c r="E24" i="37"/>
  <c r="E24" i="33"/>
  <c r="E24" i="29"/>
  <c r="E24" i="24"/>
  <c r="D31" i="4"/>
  <c r="E31" i="13"/>
  <c r="G106" i="4"/>
  <c r="G95" i="4"/>
  <c r="G85" i="4"/>
  <c r="G74" i="4"/>
  <c r="I26" i="4"/>
  <c r="M26" i="33" s="1"/>
  <c r="E93" i="4"/>
  <c r="G93" i="4" s="1"/>
  <c r="I72" i="37"/>
  <c r="I72" i="18"/>
  <c r="D115" i="4"/>
  <c r="D26" i="4"/>
  <c r="H26" i="4"/>
  <c r="I106" i="37"/>
  <c r="I106" i="18"/>
  <c r="I95" i="37"/>
  <c r="I95" i="18"/>
  <c r="I85" i="37"/>
  <c r="I85" i="18"/>
  <c r="I74" i="37"/>
  <c r="I74" i="18"/>
  <c r="D94" i="4"/>
  <c r="F26" i="10"/>
  <c r="E72" i="4"/>
  <c r="G72" i="4" s="1"/>
  <c r="F90" i="4"/>
  <c r="I104" i="37"/>
  <c r="I104" i="18"/>
  <c r="D27" i="4"/>
  <c r="F69" i="4"/>
  <c r="E104" i="4"/>
  <c r="G104" i="4" s="1"/>
  <c r="E90" i="4"/>
  <c r="I93" i="37"/>
  <c r="I93" i="18"/>
  <c r="G92" i="4"/>
  <c r="G71" i="4"/>
  <c r="F16" i="10"/>
  <c r="F34" i="10"/>
  <c r="D95" i="4"/>
  <c r="E83" i="4"/>
  <c r="G83" i="4" s="1"/>
  <c r="E69" i="4"/>
  <c r="I83" i="37"/>
  <c r="I83" i="18"/>
  <c r="I26" i="29"/>
  <c r="I26" i="20"/>
  <c r="I26" i="23"/>
  <c r="I26" i="33"/>
  <c r="I26" i="37"/>
  <c r="I26" i="35"/>
  <c r="I26" i="18"/>
  <c r="I36" i="37"/>
  <c r="I37" i="37"/>
  <c r="G16" i="10"/>
  <c r="I36" i="13"/>
  <c r="I36" i="16"/>
  <c r="I37" i="13"/>
  <c r="G26" i="10"/>
  <c r="I37" i="16"/>
  <c r="I39" i="16"/>
  <c r="I38" i="16"/>
  <c r="G34" i="10"/>
  <c r="F9" i="4"/>
  <c r="F8" i="4"/>
  <c r="E9" i="4"/>
  <c r="E8" i="4"/>
  <c r="G90" i="4" l="1"/>
  <c r="M26" i="20"/>
  <c r="M26" i="35"/>
  <c r="M26" i="37"/>
  <c r="M26" i="29"/>
  <c r="M26" i="23"/>
  <c r="J26" i="4"/>
  <c r="G69" i="4"/>
  <c r="M26" i="18"/>
  <c r="I8" i="37"/>
  <c r="I9" i="37"/>
  <c r="I9" i="16"/>
  <c r="I9" i="29"/>
  <c r="I8" i="16"/>
  <c r="I8" i="29"/>
  <c r="H30" i="58"/>
  <c r="H29" i="58"/>
  <c r="D29" i="58"/>
  <c r="H28" i="58"/>
  <c r="D28" i="58"/>
  <c r="H25" i="58"/>
  <c r="C24" i="58"/>
  <c r="D25" i="58"/>
  <c r="D22" i="58"/>
  <c r="H21" i="58"/>
  <c r="D20" i="58"/>
  <c r="H19" i="58"/>
  <c r="D18" i="58"/>
  <c r="G16" i="58"/>
  <c r="F16" i="58"/>
  <c r="H13" i="58"/>
  <c r="H12" i="58"/>
  <c r="H11" i="58"/>
  <c r="H10" i="58"/>
  <c r="H9" i="58"/>
  <c r="C38" i="58"/>
  <c r="C35" i="58"/>
  <c r="C34" i="58"/>
  <c r="B36" i="58"/>
  <c r="D11" i="58"/>
  <c r="D9" i="58"/>
  <c r="D30" i="58"/>
  <c r="D26" i="58"/>
  <c r="H22" i="58"/>
  <c r="H20" i="58"/>
  <c r="H18" i="58"/>
  <c r="H14" i="58"/>
  <c r="D13" i="58"/>
  <c r="G8" i="58"/>
  <c r="B24" i="58" l="1"/>
  <c r="D24" i="58" s="1"/>
  <c r="B37" i="58"/>
  <c r="B34" i="58"/>
  <c r="D34" i="58" s="1"/>
  <c r="B38" i="58"/>
  <c r="D38" i="58" s="1"/>
  <c r="C37" i="58"/>
  <c r="B35" i="58"/>
  <c r="D35" i="58" s="1"/>
  <c r="C36" i="58"/>
  <c r="H26" i="58"/>
  <c r="C33" i="58"/>
  <c r="C16" i="58"/>
  <c r="G24" i="58"/>
  <c r="H16" i="58"/>
  <c r="B8" i="58"/>
  <c r="D8" i="58" s="1"/>
  <c r="B33" i="58"/>
  <c r="D36" i="58"/>
  <c r="H17" i="58"/>
  <c r="D10" i="58"/>
  <c r="D12" i="58"/>
  <c r="D14" i="58"/>
  <c r="B16" i="58"/>
  <c r="D17" i="58"/>
  <c r="D19" i="58"/>
  <c r="D21" i="58"/>
  <c r="F8" i="58"/>
  <c r="H8" i="58" s="1"/>
  <c r="F24" i="58"/>
  <c r="D16" i="58" l="1"/>
  <c r="C32" i="58"/>
  <c r="G33" i="58" s="1"/>
  <c r="D37" i="58"/>
  <c r="D33" i="58"/>
  <c r="H24" i="58"/>
  <c r="B32" i="58"/>
  <c r="G34" i="58" l="1"/>
  <c r="G37" i="58"/>
  <c r="G35" i="58"/>
  <c r="G36" i="58"/>
  <c r="D32" i="58"/>
  <c r="G38" i="58"/>
  <c r="F36" i="58"/>
  <c r="F35" i="58"/>
  <c r="F33" i="58"/>
  <c r="H33" i="58" s="1"/>
  <c r="F37" i="58"/>
  <c r="F38" i="58"/>
  <c r="F34" i="58"/>
  <c r="H37" i="58" l="1"/>
  <c r="H34" i="58"/>
  <c r="H36" i="58"/>
  <c r="G32" i="58"/>
  <c r="H38" i="58"/>
  <c r="H35" i="58"/>
  <c r="F32" i="58"/>
  <c r="H32" i="58" l="1"/>
  <c r="B52" i="4"/>
  <c r="B51" i="4"/>
  <c r="B50" i="4"/>
  <c r="C51" i="4" l="1"/>
  <c r="D51" i="4" s="1"/>
  <c r="C50" i="4"/>
  <c r="D50" i="4" s="1"/>
  <c r="C52" i="4"/>
  <c r="D52" i="4" s="1"/>
  <c r="G56" i="10" l="1"/>
  <c r="G60" i="10"/>
  <c r="I69" i="29" l="1"/>
  <c r="F60" i="10"/>
  <c r="F56" i="10"/>
  <c r="K28" i="10" l="1"/>
  <c r="J28" i="10"/>
  <c r="C47" i="39" l="1"/>
  <c r="J36" i="13"/>
  <c r="K39" i="13"/>
  <c r="K37" i="13"/>
  <c r="J39" i="13"/>
  <c r="J37" i="13"/>
  <c r="K36" i="13"/>
  <c r="B29" i="4"/>
  <c r="C29" i="4"/>
  <c r="D22" i="16"/>
  <c r="C28" i="4"/>
  <c r="B34" i="4"/>
  <c r="C34" i="4"/>
  <c r="B28" i="4" l="1"/>
  <c r="D28" i="4" s="1"/>
  <c r="D29" i="4"/>
  <c r="C35" i="4"/>
  <c r="B35" i="4"/>
  <c r="B42" i="10" s="1"/>
  <c r="D34" i="4"/>
  <c r="K36" i="16"/>
  <c r="C36" i="4"/>
  <c r="J38" i="16"/>
  <c r="B38" i="4"/>
  <c r="J39" i="16"/>
  <c r="B39" i="4"/>
  <c r="J37" i="16"/>
  <c r="B37" i="4"/>
  <c r="B26" i="10" s="1"/>
  <c r="K37" i="16"/>
  <c r="C37" i="4"/>
  <c r="K38" i="16"/>
  <c r="C38" i="4"/>
  <c r="J36" i="16"/>
  <c r="B36" i="4"/>
  <c r="B16" i="10" s="1"/>
  <c r="K39" i="16"/>
  <c r="C39" i="4"/>
  <c r="K135" i="26"/>
  <c r="H29" i="29"/>
  <c r="K121" i="13"/>
  <c r="H121" i="33"/>
  <c r="J135" i="13"/>
  <c r="H29" i="20"/>
  <c r="H125" i="33"/>
  <c r="H68" i="29"/>
  <c r="K113" i="33"/>
  <c r="H68" i="35"/>
  <c r="D121" i="16"/>
  <c r="H120" i="23"/>
  <c r="D134" i="16"/>
  <c r="H29" i="13"/>
  <c r="K68" i="20"/>
  <c r="J86" i="29"/>
  <c r="K108" i="33"/>
  <c r="H22" i="33"/>
  <c r="K68" i="33"/>
  <c r="H35" i="29"/>
  <c r="D124" i="16"/>
  <c r="H34" i="13"/>
  <c r="D88" i="16"/>
  <c r="D37" i="16"/>
  <c r="D135" i="16"/>
  <c r="H121" i="27"/>
  <c r="H28" i="51"/>
  <c r="D55" i="39"/>
  <c r="H121" i="35"/>
  <c r="K135" i="34"/>
  <c r="K134" i="26"/>
  <c r="K113" i="29"/>
  <c r="H100" i="29"/>
  <c r="H42" i="9"/>
  <c r="K137" i="26"/>
  <c r="K116" i="29"/>
  <c r="J79" i="29"/>
  <c r="H126" i="16"/>
  <c r="D125" i="16"/>
  <c r="K28" i="51"/>
  <c r="C56" i="40"/>
  <c r="H89" i="29"/>
  <c r="K116" i="33"/>
  <c r="H134" i="16"/>
  <c r="C56" i="22"/>
  <c r="C47" i="40"/>
  <c r="H34" i="33"/>
  <c r="H121" i="16"/>
  <c r="H12" i="33"/>
  <c r="C53" i="13"/>
  <c r="H35" i="16"/>
  <c r="H79" i="27"/>
  <c r="H125" i="29"/>
  <c r="D137" i="16"/>
  <c r="H7" i="16"/>
  <c r="C47" i="20"/>
  <c r="K108" i="23"/>
  <c r="D55" i="22"/>
  <c r="K22" i="23"/>
  <c r="H40" i="9"/>
  <c r="K107" i="33"/>
  <c r="K100" i="33"/>
  <c r="K75" i="33"/>
  <c r="K122" i="33"/>
  <c r="D126" i="16"/>
  <c r="H86" i="35"/>
  <c r="K114" i="33"/>
  <c r="H136" i="16"/>
  <c r="H29" i="33"/>
  <c r="D58" i="39"/>
  <c r="D58" i="22"/>
  <c r="H75" i="33"/>
  <c r="H120" i="16"/>
  <c r="D36" i="16"/>
  <c r="D12" i="16"/>
  <c r="H11" i="16"/>
  <c r="D78" i="16"/>
  <c r="D112" i="16"/>
  <c r="D114" i="16"/>
  <c r="H67" i="16"/>
  <c r="D11" i="16"/>
  <c r="G111" i="13"/>
  <c r="D37" i="13"/>
  <c r="H100" i="20"/>
  <c r="K68" i="23"/>
  <c r="K124" i="23"/>
  <c r="H135" i="26"/>
  <c r="H22" i="29"/>
  <c r="K113" i="35"/>
  <c r="K109" i="35"/>
  <c r="H12" i="35"/>
  <c r="H96" i="33"/>
  <c r="H117" i="33"/>
  <c r="K28" i="25"/>
  <c r="C47" i="41"/>
  <c r="K96" i="33"/>
  <c r="H35" i="33"/>
  <c r="D49" i="33"/>
  <c r="K117" i="33"/>
  <c r="H100" i="27"/>
  <c r="H109" i="35"/>
  <c r="H41" i="9"/>
  <c r="C47" i="33"/>
  <c r="H114" i="33"/>
  <c r="K113" i="20"/>
  <c r="C56" i="25"/>
  <c r="K89" i="33"/>
  <c r="D58" i="33"/>
  <c r="H113" i="35"/>
  <c r="H137" i="16"/>
  <c r="D79" i="16"/>
  <c r="D75" i="16"/>
  <c r="D99" i="16"/>
  <c r="D57" i="16"/>
  <c r="D35" i="16"/>
  <c r="D28" i="16"/>
  <c r="H135" i="16"/>
  <c r="D29" i="16"/>
  <c r="D110" i="16"/>
  <c r="D118" i="16"/>
  <c r="D109" i="16"/>
  <c r="D117" i="16"/>
  <c r="D9" i="16"/>
  <c r="D10" i="16"/>
  <c r="D39" i="16"/>
  <c r="D58" i="16"/>
  <c r="D54" i="16"/>
  <c r="H88" i="16"/>
  <c r="D122" i="16"/>
  <c r="H10" i="16"/>
  <c r="D86" i="16"/>
  <c r="D113" i="16"/>
  <c r="D136" i="16"/>
  <c r="D49" i="16"/>
  <c r="D7" i="16"/>
  <c r="D55" i="16"/>
  <c r="D107" i="16"/>
  <c r="D34" i="16"/>
  <c r="H12" i="16"/>
  <c r="D38" i="16"/>
  <c r="D96" i="16"/>
  <c r="D48" i="16"/>
  <c r="D120" i="16"/>
  <c r="D67" i="16"/>
  <c r="D89" i="16"/>
  <c r="D68" i="16"/>
  <c r="D100" i="16"/>
  <c r="D108" i="16"/>
  <c r="H125" i="16"/>
  <c r="D116" i="16"/>
  <c r="H100" i="23"/>
  <c r="C37" i="9"/>
  <c r="B21" i="10"/>
  <c r="K109" i="23"/>
  <c r="H109" i="27"/>
  <c r="K34" i="13"/>
  <c r="K107" i="13"/>
  <c r="G119" i="13"/>
  <c r="K121" i="23"/>
  <c r="H109" i="23"/>
  <c r="G119" i="23"/>
  <c r="H22" i="23"/>
  <c r="C40" i="9"/>
  <c r="H89" i="35"/>
  <c r="C42" i="9"/>
  <c r="H100" i="33"/>
  <c r="H68" i="33"/>
  <c r="K125" i="33"/>
  <c r="C56" i="39"/>
  <c r="D49" i="39"/>
  <c r="H7" i="23"/>
  <c r="H7" i="29"/>
  <c r="H7" i="33"/>
  <c r="H10" i="13"/>
  <c r="H10" i="35"/>
  <c r="H11" i="13"/>
  <c r="H89" i="20"/>
  <c r="K22" i="13"/>
  <c r="H79" i="13"/>
  <c r="K116" i="13"/>
  <c r="H121" i="13"/>
  <c r="B47" i="22"/>
  <c r="C39" i="9"/>
  <c r="C53" i="22"/>
  <c r="K22" i="24"/>
  <c r="D49" i="26"/>
  <c r="H22" i="35"/>
  <c r="H113" i="29"/>
  <c r="H7" i="35"/>
  <c r="H11" i="35"/>
  <c r="H89" i="33"/>
  <c r="H107" i="33"/>
  <c r="K121" i="33"/>
  <c r="C47" i="38"/>
  <c r="H89" i="13"/>
  <c r="K109" i="13"/>
  <c r="K67" i="13"/>
  <c r="H22" i="20"/>
  <c r="H113" i="33"/>
  <c r="H107" i="35"/>
  <c r="H12" i="23"/>
  <c r="H136" i="26"/>
  <c r="H89" i="27"/>
  <c r="K28" i="29"/>
  <c r="K34" i="29"/>
  <c r="H134" i="26"/>
  <c r="K117" i="29"/>
  <c r="H35" i="35"/>
  <c r="H79" i="23"/>
  <c r="H89" i="23"/>
  <c r="H117" i="23"/>
  <c r="K35" i="29"/>
  <c r="H117" i="29"/>
  <c r="D49" i="13"/>
  <c r="C53" i="21"/>
  <c r="H38" i="9"/>
  <c r="C53" i="41"/>
  <c r="G119" i="35"/>
  <c r="H44" i="9"/>
  <c r="D39" i="13"/>
  <c r="C56" i="13"/>
  <c r="H22" i="13"/>
  <c r="H113" i="20"/>
  <c r="H7" i="13"/>
  <c r="B137" i="4"/>
  <c r="B44" i="10" s="1"/>
  <c r="K35" i="13"/>
  <c r="K108" i="13"/>
  <c r="H107" i="13"/>
  <c r="G111" i="20"/>
  <c r="C43" i="9"/>
  <c r="C44" i="9"/>
  <c r="H37" i="9"/>
  <c r="H39" i="9"/>
  <c r="C41" i="9"/>
  <c r="G119" i="33"/>
  <c r="D48" i="13"/>
  <c r="B47" i="13"/>
  <c r="D10" i="13"/>
  <c r="K68" i="13"/>
  <c r="K112" i="13"/>
  <c r="C111" i="13"/>
  <c r="K117" i="13"/>
  <c r="D135" i="13"/>
  <c r="K135" i="13"/>
  <c r="H35" i="13"/>
  <c r="B35" i="9"/>
  <c r="H109" i="13"/>
  <c r="F119" i="13"/>
  <c r="J89" i="13"/>
  <c r="D89" i="13"/>
  <c r="D11" i="13"/>
  <c r="D9" i="19"/>
  <c r="B34" i="9"/>
  <c r="K113" i="13"/>
  <c r="D9" i="13"/>
  <c r="H68" i="13"/>
  <c r="G11" i="9"/>
  <c r="J88" i="13"/>
  <c r="D88" i="13"/>
  <c r="H100" i="13"/>
  <c r="H12" i="13"/>
  <c r="C34" i="9"/>
  <c r="H34" i="9"/>
  <c r="G34" i="9"/>
  <c r="D78" i="13"/>
  <c r="J78" i="13"/>
  <c r="D12" i="13"/>
  <c r="H77" i="13"/>
  <c r="K120" i="13"/>
  <c r="C119" i="13"/>
  <c r="C35" i="9"/>
  <c r="H11" i="9"/>
  <c r="H35" i="9"/>
  <c r="F111" i="13"/>
  <c r="H117" i="13"/>
  <c r="H13" i="9"/>
  <c r="G119" i="20"/>
  <c r="B111" i="20"/>
  <c r="D35" i="13"/>
  <c r="J35" i="13"/>
  <c r="J68" i="13"/>
  <c r="J107" i="13"/>
  <c r="D107" i="13"/>
  <c r="D112" i="13"/>
  <c r="B111" i="13"/>
  <c r="J112" i="13"/>
  <c r="J117" i="13"/>
  <c r="D86" i="13"/>
  <c r="J86" i="13"/>
  <c r="J125" i="13"/>
  <c r="G10" i="9"/>
  <c r="J79" i="13"/>
  <c r="D99" i="13"/>
  <c r="J99" i="13"/>
  <c r="J124" i="13"/>
  <c r="D124" i="13"/>
  <c r="H108" i="13"/>
  <c r="H113" i="13"/>
  <c r="J68" i="20"/>
  <c r="D68" i="20"/>
  <c r="J100" i="20"/>
  <c r="D100" i="20"/>
  <c r="D36" i="13"/>
  <c r="D54" i="13"/>
  <c r="B53" i="13"/>
  <c r="D108" i="13"/>
  <c r="J108" i="13"/>
  <c r="J113" i="13"/>
  <c r="K124" i="13"/>
  <c r="H12" i="9"/>
  <c r="D7" i="20"/>
  <c r="D7" i="13"/>
  <c r="D22" i="13"/>
  <c r="J22" i="13"/>
  <c r="J29" i="13"/>
  <c r="D29" i="13"/>
  <c r="D57" i="13"/>
  <c r="B56" i="13"/>
  <c r="D109" i="13"/>
  <c r="J109" i="13"/>
  <c r="J120" i="13"/>
  <c r="D120" i="13"/>
  <c r="B119" i="13"/>
  <c r="H125" i="13"/>
  <c r="D10" i="20"/>
  <c r="D7" i="19"/>
  <c r="D10" i="19"/>
  <c r="B119" i="20"/>
  <c r="J28" i="20"/>
  <c r="D28" i="20"/>
  <c r="B36" i="9"/>
  <c r="H36" i="9"/>
  <c r="K121" i="20"/>
  <c r="G12" i="9"/>
  <c r="H77" i="20"/>
  <c r="F119" i="20"/>
  <c r="D54" i="22"/>
  <c r="B53" i="22"/>
  <c r="D22" i="23"/>
  <c r="J22" i="23"/>
  <c r="D28" i="24"/>
  <c r="J28" i="24"/>
  <c r="D28" i="25"/>
  <c r="J28" i="25"/>
  <c r="J100" i="27"/>
  <c r="J124" i="23"/>
  <c r="L124" i="23" s="1"/>
  <c r="D124" i="23"/>
  <c r="J112" i="23"/>
  <c r="D112" i="23"/>
  <c r="B111" i="23"/>
  <c r="J22" i="24"/>
  <c r="D22" i="24"/>
  <c r="G20" i="9"/>
  <c r="J88" i="27"/>
  <c r="D88" i="27"/>
  <c r="D29" i="23"/>
  <c r="J29" i="23"/>
  <c r="G37" i="9"/>
  <c r="C111" i="23"/>
  <c r="K112" i="23"/>
  <c r="D7" i="24"/>
  <c r="G21" i="9"/>
  <c r="K35" i="23"/>
  <c r="J117" i="23"/>
  <c r="D48" i="25"/>
  <c r="B47" i="25"/>
  <c r="G111" i="27"/>
  <c r="D9" i="22"/>
  <c r="K67" i="23"/>
  <c r="D78" i="23"/>
  <c r="J108" i="23"/>
  <c r="D108" i="23"/>
  <c r="H113" i="23"/>
  <c r="C47" i="25"/>
  <c r="J68" i="27"/>
  <c r="H20" i="9"/>
  <c r="G119" i="27"/>
  <c r="D67" i="29"/>
  <c r="K67" i="29"/>
  <c r="J75" i="33"/>
  <c r="D75" i="33"/>
  <c r="D48" i="26"/>
  <c r="B47" i="26"/>
  <c r="H19" i="9"/>
  <c r="K67" i="27"/>
  <c r="J79" i="27"/>
  <c r="J121" i="27"/>
  <c r="B47" i="51"/>
  <c r="D48" i="51"/>
  <c r="G23" i="9"/>
  <c r="J28" i="29"/>
  <c r="D28" i="29"/>
  <c r="B41" i="9"/>
  <c r="C47" i="26"/>
  <c r="D136" i="26"/>
  <c r="J136" i="26"/>
  <c r="H68" i="27"/>
  <c r="F111" i="27"/>
  <c r="H117" i="27"/>
  <c r="D7" i="29"/>
  <c r="D12" i="29"/>
  <c r="H12" i="29"/>
  <c r="J109" i="29"/>
  <c r="D109" i="29"/>
  <c r="C119" i="29"/>
  <c r="K120" i="29"/>
  <c r="D68" i="29"/>
  <c r="J68" i="29"/>
  <c r="D86" i="29"/>
  <c r="K86" i="29"/>
  <c r="K89" i="29"/>
  <c r="K107" i="29"/>
  <c r="J112" i="29"/>
  <c r="B111" i="29"/>
  <c r="D112" i="29"/>
  <c r="D116" i="29"/>
  <c r="J116" i="29"/>
  <c r="H121" i="29"/>
  <c r="L7" i="35"/>
  <c r="K22" i="35"/>
  <c r="K29" i="35"/>
  <c r="D10" i="33"/>
  <c r="J68" i="33"/>
  <c r="D68" i="33"/>
  <c r="B53" i="33"/>
  <c r="D54" i="33"/>
  <c r="J86" i="35"/>
  <c r="J89" i="35"/>
  <c r="J107" i="35"/>
  <c r="D57" i="33"/>
  <c r="B56" i="33"/>
  <c r="K78" i="33"/>
  <c r="K77" i="33"/>
  <c r="C111" i="33"/>
  <c r="K112" i="33"/>
  <c r="K121" i="35"/>
  <c r="H11" i="33"/>
  <c r="K35" i="33"/>
  <c r="D55" i="33"/>
  <c r="D96" i="33"/>
  <c r="J96" i="33"/>
  <c r="J108" i="33"/>
  <c r="D108" i="33"/>
  <c r="F111" i="33"/>
  <c r="K110" i="33"/>
  <c r="D116" i="33"/>
  <c r="J116" i="33"/>
  <c r="B53" i="39"/>
  <c r="D54" i="39"/>
  <c r="J28" i="13"/>
  <c r="D28" i="13"/>
  <c r="J34" i="13"/>
  <c r="D34" i="13"/>
  <c r="C47" i="13"/>
  <c r="D67" i="13"/>
  <c r="J67" i="13"/>
  <c r="G35" i="9"/>
  <c r="D100" i="13"/>
  <c r="J100" i="13"/>
  <c r="J116" i="13"/>
  <c r="D116" i="13"/>
  <c r="J121" i="13"/>
  <c r="D113" i="20"/>
  <c r="J113" i="20"/>
  <c r="K125" i="13"/>
  <c r="D79" i="20"/>
  <c r="J79" i="20"/>
  <c r="J121" i="20"/>
  <c r="D121" i="20"/>
  <c r="D57" i="22"/>
  <c r="B56" i="22"/>
  <c r="D9" i="20"/>
  <c r="H68" i="20"/>
  <c r="F111" i="20"/>
  <c r="K22" i="20"/>
  <c r="C36" i="9"/>
  <c r="H79" i="20"/>
  <c r="G13" i="9"/>
  <c r="H121" i="20"/>
  <c r="J113" i="23"/>
  <c r="J125" i="27"/>
  <c r="H120" i="27"/>
  <c r="F119" i="27"/>
  <c r="D49" i="22"/>
  <c r="J34" i="23"/>
  <c r="K113" i="23"/>
  <c r="J125" i="23"/>
  <c r="G17" i="9"/>
  <c r="M66" i="8" s="1"/>
  <c r="D7" i="25"/>
  <c r="D10" i="25"/>
  <c r="J78" i="23"/>
  <c r="F111" i="23"/>
  <c r="D10" i="24"/>
  <c r="H29" i="23"/>
  <c r="J68" i="23"/>
  <c r="J88" i="23"/>
  <c r="G16" i="9"/>
  <c r="M65" i="8" s="1"/>
  <c r="D88" i="23"/>
  <c r="J109" i="23"/>
  <c r="C119" i="23"/>
  <c r="K120" i="23"/>
  <c r="C38" i="9"/>
  <c r="D48" i="40"/>
  <c r="B47" i="40"/>
  <c r="J29" i="29"/>
  <c r="D29" i="29"/>
  <c r="G19" i="9"/>
  <c r="D112" i="27"/>
  <c r="J112" i="27"/>
  <c r="B111" i="27"/>
  <c r="J117" i="27"/>
  <c r="B47" i="41"/>
  <c r="D48" i="41"/>
  <c r="K68" i="27"/>
  <c r="C111" i="27"/>
  <c r="K117" i="27"/>
  <c r="D134" i="26"/>
  <c r="J134" i="26"/>
  <c r="D137" i="26"/>
  <c r="J137" i="26"/>
  <c r="H113" i="27"/>
  <c r="J78" i="29"/>
  <c r="D78" i="29"/>
  <c r="F111" i="29"/>
  <c r="H112" i="29"/>
  <c r="C56" i="41"/>
  <c r="J22" i="29"/>
  <c r="D22" i="29"/>
  <c r="K68" i="29"/>
  <c r="J88" i="29"/>
  <c r="G24" i="9"/>
  <c r="D88" i="29"/>
  <c r="J121" i="29"/>
  <c r="D121" i="29"/>
  <c r="J134" i="34"/>
  <c r="D134" i="34"/>
  <c r="H29" i="35"/>
  <c r="K108" i="29"/>
  <c r="G111" i="29"/>
  <c r="K124" i="29"/>
  <c r="B47" i="34"/>
  <c r="D48" i="34"/>
  <c r="G25" i="9"/>
  <c r="J22" i="35"/>
  <c r="J29" i="35"/>
  <c r="F119" i="35"/>
  <c r="H77" i="29"/>
  <c r="H107" i="29"/>
  <c r="K112" i="29"/>
  <c r="C111" i="29"/>
  <c r="J117" i="29"/>
  <c r="J135" i="34"/>
  <c r="D135" i="34"/>
  <c r="K34" i="35"/>
  <c r="J117" i="35"/>
  <c r="D9" i="33"/>
  <c r="J78" i="33"/>
  <c r="D78" i="33"/>
  <c r="H99" i="33"/>
  <c r="G111" i="35"/>
  <c r="J22" i="33"/>
  <c r="D22" i="33"/>
  <c r="J29" i="33"/>
  <c r="D29" i="33"/>
  <c r="J67" i="33"/>
  <c r="B43" i="9"/>
  <c r="K79" i="33"/>
  <c r="H43" i="9"/>
  <c r="K86" i="35"/>
  <c r="K89" i="35"/>
  <c r="K107" i="35"/>
  <c r="H117" i="35"/>
  <c r="C56" i="33"/>
  <c r="H78" i="33"/>
  <c r="H77" i="33"/>
  <c r="J99" i="33"/>
  <c r="D99" i="33"/>
  <c r="D109" i="33"/>
  <c r="J109" i="33"/>
  <c r="D48" i="38"/>
  <c r="B47" i="38"/>
  <c r="G44" i="9"/>
  <c r="G111" i="33"/>
  <c r="H30" i="9"/>
  <c r="J112" i="33"/>
  <c r="B111" i="33"/>
  <c r="D112" i="33"/>
  <c r="D117" i="33"/>
  <c r="J117" i="33"/>
  <c r="D48" i="39"/>
  <c r="B47" i="39"/>
  <c r="D47" i="39" s="1"/>
  <c r="C53" i="39"/>
  <c r="C111" i="20"/>
  <c r="J89" i="20"/>
  <c r="D89" i="20"/>
  <c r="C47" i="21"/>
  <c r="J28" i="23"/>
  <c r="D28" i="23"/>
  <c r="D48" i="21"/>
  <c r="B47" i="21"/>
  <c r="B56" i="25"/>
  <c r="D57" i="25"/>
  <c r="J35" i="23"/>
  <c r="D9" i="51"/>
  <c r="J67" i="23"/>
  <c r="D67" i="23"/>
  <c r="J79" i="23"/>
  <c r="J99" i="23"/>
  <c r="D99" i="23"/>
  <c r="J120" i="23"/>
  <c r="B119" i="23"/>
  <c r="D120" i="23"/>
  <c r="K125" i="23"/>
  <c r="C53" i="25"/>
  <c r="D48" i="22"/>
  <c r="C47" i="22"/>
  <c r="H10" i="23"/>
  <c r="H34" i="23"/>
  <c r="J89" i="23"/>
  <c r="K116" i="23"/>
  <c r="J121" i="23"/>
  <c r="H125" i="23"/>
  <c r="D9" i="24"/>
  <c r="B53" i="25"/>
  <c r="D54" i="25"/>
  <c r="D99" i="27"/>
  <c r="J99" i="27"/>
  <c r="J113" i="27"/>
  <c r="D57" i="41"/>
  <c r="B56" i="41"/>
  <c r="L7" i="51"/>
  <c r="D7" i="51"/>
  <c r="D10" i="51"/>
  <c r="L10" i="51"/>
  <c r="H22" i="9"/>
  <c r="J34" i="29"/>
  <c r="D34" i="29"/>
  <c r="C119" i="27"/>
  <c r="K120" i="27"/>
  <c r="H125" i="27"/>
  <c r="D10" i="29"/>
  <c r="J89" i="29"/>
  <c r="D89" i="29"/>
  <c r="H23" i="9"/>
  <c r="H10" i="29"/>
  <c r="K22" i="29"/>
  <c r="K29" i="29"/>
  <c r="B119" i="29"/>
  <c r="J120" i="29"/>
  <c r="D120" i="29"/>
  <c r="J107" i="29"/>
  <c r="D107" i="29"/>
  <c r="H34" i="35"/>
  <c r="K78" i="29"/>
  <c r="K99" i="29"/>
  <c r="K109" i="29"/>
  <c r="F119" i="29"/>
  <c r="J125" i="29"/>
  <c r="D125" i="29"/>
  <c r="K134" i="34"/>
  <c r="J34" i="35"/>
  <c r="J68" i="35"/>
  <c r="H28" i="9"/>
  <c r="H79" i="29"/>
  <c r="J113" i="29"/>
  <c r="K125" i="29"/>
  <c r="K35" i="35"/>
  <c r="K68" i="35"/>
  <c r="D48" i="33"/>
  <c r="B47" i="33"/>
  <c r="F111" i="35"/>
  <c r="K117" i="35"/>
  <c r="G26" i="9"/>
  <c r="D67" i="33"/>
  <c r="K67" i="33"/>
  <c r="J79" i="33"/>
  <c r="D79" i="33"/>
  <c r="J28" i="33"/>
  <c r="D28" i="33"/>
  <c r="J34" i="33"/>
  <c r="D34" i="33"/>
  <c r="K86" i="33"/>
  <c r="D122" i="33"/>
  <c r="J122" i="33"/>
  <c r="J113" i="35"/>
  <c r="K22" i="33"/>
  <c r="K29" i="33"/>
  <c r="H79" i="33"/>
  <c r="J88" i="33"/>
  <c r="D88" i="33"/>
  <c r="G27" i="9"/>
  <c r="J100" i="33"/>
  <c r="D100" i="33"/>
  <c r="K120" i="33"/>
  <c r="C119" i="33"/>
  <c r="D113" i="33"/>
  <c r="J113" i="33"/>
  <c r="C30" i="9"/>
  <c r="B56" i="39"/>
  <c r="D57" i="39"/>
  <c r="D54" i="21"/>
  <c r="B53" i="21"/>
  <c r="D53" i="21" s="1"/>
  <c r="J22" i="20"/>
  <c r="D22" i="20"/>
  <c r="J29" i="20"/>
  <c r="D29" i="20"/>
  <c r="B47" i="20"/>
  <c r="D48" i="20"/>
  <c r="C119" i="20"/>
  <c r="G15" i="9"/>
  <c r="G14" i="9"/>
  <c r="J35" i="29"/>
  <c r="D35" i="29"/>
  <c r="D7" i="22"/>
  <c r="D10" i="22"/>
  <c r="L10" i="22"/>
  <c r="F119" i="23"/>
  <c r="H121" i="23"/>
  <c r="J29" i="24"/>
  <c r="D29" i="24"/>
  <c r="H18" i="9"/>
  <c r="J89" i="27"/>
  <c r="K34" i="23"/>
  <c r="H68" i="23"/>
  <c r="J100" i="23"/>
  <c r="D116" i="23"/>
  <c r="J116" i="23"/>
  <c r="J108" i="27"/>
  <c r="D108" i="27"/>
  <c r="J28" i="51"/>
  <c r="L28" i="51" s="1"/>
  <c r="D28" i="51"/>
  <c r="H11" i="23"/>
  <c r="H35" i="23"/>
  <c r="G111" i="23"/>
  <c r="K117" i="23"/>
  <c r="D9" i="25"/>
  <c r="H77" i="27"/>
  <c r="J109" i="27"/>
  <c r="D67" i="27"/>
  <c r="J67" i="27"/>
  <c r="K125" i="27"/>
  <c r="G22" i="9"/>
  <c r="K136" i="26"/>
  <c r="J78" i="27"/>
  <c r="D78" i="27"/>
  <c r="D120" i="27"/>
  <c r="B119" i="27"/>
  <c r="J120" i="27"/>
  <c r="G18" i="9"/>
  <c r="D135" i="26"/>
  <c r="J135" i="26"/>
  <c r="K121" i="27"/>
  <c r="C47" i="51"/>
  <c r="B56" i="40"/>
  <c r="D57" i="40"/>
  <c r="D54" i="41"/>
  <c r="B53" i="41"/>
  <c r="D53" i="41" s="1"/>
  <c r="D11" i="29"/>
  <c r="B40" i="9"/>
  <c r="J99" i="29"/>
  <c r="D99" i="29"/>
  <c r="D120" i="33"/>
  <c r="B119" i="33"/>
  <c r="J120" i="33"/>
  <c r="D9" i="29"/>
  <c r="H11" i="29"/>
  <c r="H34" i="29"/>
  <c r="J100" i="29"/>
  <c r="D100" i="29"/>
  <c r="J108" i="29"/>
  <c r="D108" i="29"/>
  <c r="D124" i="29"/>
  <c r="J124" i="29"/>
  <c r="D125" i="33"/>
  <c r="J125" i="33"/>
  <c r="J67" i="29"/>
  <c r="D79" i="29"/>
  <c r="K79" i="29"/>
  <c r="K88" i="29"/>
  <c r="K100" i="29"/>
  <c r="K121" i="29"/>
  <c r="J35" i="35"/>
  <c r="K99" i="33"/>
  <c r="K98" i="33"/>
  <c r="H86" i="29"/>
  <c r="H109" i="29"/>
  <c r="G119" i="29"/>
  <c r="C47" i="34"/>
  <c r="K88" i="33"/>
  <c r="J86" i="33"/>
  <c r="D121" i="33"/>
  <c r="J121" i="33"/>
  <c r="J121" i="35"/>
  <c r="J35" i="33"/>
  <c r="D35" i="33"/>
  <c r="C53" i="33"/>
  <c r="J109" i="35"/>
  <c r="D7" i="33"/>
  <c r="H10" i="33"/>
  <c r="K28" i="33"/>
  <c r="K34" i="33"/>
  <c r="H86" i="33"/>
  <c r="J89" i="33"/>
  <c r="D89" i="33"/>
  <c r="J107" i="33"/>
  <c r="J110" i="33"/>
  <c r="L110" i="33" s="1"/>
  <c r="D110" i="33"/>
  <c r="K109" i="33"/>
  <c r="F119" i="33"/>
  <c r="H120" i="33"/>
  <c r="H109" i="33"/>
  <c r="J114" i="33"/>
  <c r="D114" i="33"/>
  <c r="G28" i="9"/>
  <c r="G29" i="9"/>
  <c r="G30" i="9"/>
  <c r="B10" i="4"/>
  <c r="B20" i="10" s="1"/>
  <c r="C57" i="4"/>
  <c r="B109" i="4"/>
  <c r="B75" i="4"/>
  <c r="B134" i="4"/>
  <c r="B15" i="10" s="1"/>
  <c r="C113" i="4"/>
  <c r="C136" i="4"/>
  <c r="C10" i="4"/>
  <c r="C22" i="4"/>
  <c r="B7" i="4"/>
  <c r="B9" i="10" s="1"/>
  <c r="F108" i="4"/>
  <c r="B114" i="4"/>
  <c r="C75" i="4"/>
  <c r="F113" i="4"/>
  <c r="F28" i="4"/>
  <c r="F117" i="4"/>
  <c r="C122" i="4"/>
  <c r="C120" i="4"/>
  <c r="E120" i="18" s="1"/>
  <c r="F86" i="4"/>
  <c r="B22" i="4"/>
  <c r="B10" i="10" s="1"/>
  <c r="B12" i="4"/>
  <c r="B41" i="10" s="1"/>
  <c r="B112" i="4"/>
  <c r="C55" i="4"/>
  <c r="C121" i="4"/>
  <c r="F110" i="4"/>
  <c r="C114" i="4"/>
  <c r="B118" i="4"/>
  <c r="F96" i="4"/>
  <c r="B107" i="4"/>
  <c r="B125" i="4"/>
  <c r="F78" i="4"/>
  <c r="C12" i="4"/>
  <c r="C107" i="4"/>
  <c r="C116" i="4"/>
  <c r="E116" i="18" s="1"/>
  <c r="C134" i="4"/>
  <c r="B11" i="4"/>
  <c r="B30" i="10" s="1"/>
  <c r="C96" i="4"/>
  <c r="F112" i="4"/>
  <c r="F121" i="4"/>
  <c r="F137" i="4"/>
  <c r="B96" i="4"/>
  <c r="B113" i="4"/>
  <c r="B124" i="4"/>
  <c r="C100" i="4"/>
  <c r="F22" i="4"/>
  <c r="C89" i="4"/>
  <c r="E89" i="4"/>
  <c r="F23" i="10" s="1"/>
  <c r="F122" i="4"/>
  <c r="C7" i="4"/>
  <c r="F34" i="4"/>
  <c r="C110" i="4"/>
  <c r="B135" i="4"/>
  <c r="B25" i="10" s="1"/>
  <c r="F88" i="4"/>
  <c r="B57" i="4"/>
  <c r="F124" i="4"/>
  <c r="C108" i="4"/>
  <c r="E108" i="18" s="1"/>
  <c r="F67" i="4"/>
  <c r="C109" i="4"/>
  <c r="C135" i="4"/>
  <c r="F100" i="4"/>
  <c r="F114" i="4"/>
  <c r="F125" i="4"/>
  <c r="E112" i="4"/>
  <c r="G112" i="4" s="1"/>
  <c r="C54" i="4"/>
  <c r="E96" i="4"/>
  <c r="B117" i="4"/>
  <c r="B126" i="4"/>
  <c r="C49" i="4"/>
  <c r="B67" i="4"/>
  <c r="B100" i="4"/>
  <c r="C124" i="4"/>
  <c r="F11" i="4"/>
  <c r="E7" i="4"/>
  <c r="F9" i="10" s="1"/>
  <c r="F75" i="4"/>
  <c r="F99" i="4"/>
  <c r="C112" i="4"/>
  <c r="E112" i="18" s="1"/>
  <c r="C137" i="4"/>
  <c r="F10" i="4"/>
  <c r="E134" i="4"/>
  <c r="F15" i="10" s="1"/>
  <c r="F107" i="4"/>
  <c r="F134" i="4"/>
  <c r="F12" i="4"/>
  <c r="B48" i="4"/>
  <c r="C11" i="4"/>
  <c r="E28" i="18"/>
  <c r="E86" i="4"/>
  <c r="B108" i="4"/>
  <c r="B120" i="4"/>
  <c r="B89" i="4"/>
  <c r="B23" i="10" s="1"/>
  <c r="C117" i="4"/>
  <c r="B8" i="4"/>
  <c r="E35" i="4"/>
  <c r="F42" i="10" s="1"/>
  <c r="C86" i="4"/>
  <c r="B54" i="4"/>
  <c r="F35" i="4"/>
  <c r="B110" i="4"/>
  <c r="B122" i="4"/>
  <c r="B136" i="4"/>
  <c r="B33" i="10" s="1"/>
  <c r="F89" i="4"/>
  <c r="E29" i="4"/>
  <c r="F21" i="10" s="1"/>
  <c r="E79" i="4"/>
  <c r="B9" i="4"/>
  <c r="F120" i="4"/>
  <c r="C58" i="4"/>
  <c r="E135" i="4"/>
  <c r="F25" i="10" s="1"/>
  <c r="B79" i="4"/>
  <c r="B116" i="4"/>
  <c r="E120" i="4"/>
  <c r="F116" i="4"/>
  <c r="E22" i="4"/>
  <c r="F10" i="10" s="1"/>
  <c r="B49" i="4"/>
  <c r="C67" i="4"/>
  <c r="E67" i="18" s="1"/>
  <c r="C126" i="4"/>
  <c r="C118" i="4"/>
  <c r="E116" i="4"/>
  <c r="F7" i="4"/>
  <c r="F79" i="4"/>
  <c r="B121" i="4"/>
  <c r="B86" i="4"/>
  <c r="F118" i="4"/>
  <c r="F135" i="4"/>
  <c r="C48" i="4"/>
  <c r="C79" i="4"/>
  <c r="F29" i="4"/>
  <c r="E113" i="4"/>
  <c r="E122" i="4"/>
  <c r="E136" i="4"/>
  <c r="E34" i="4"/>
  <c r="F31" i="10" s="1"/>
  <c r="K136" i="16"/>
  <c r="F136" i="4"/>
  <c r="E67" i="4"/>
  <c r="E75" i="4"/>
  <c r="B55" i="4"/>
  <c r="C9" i="4"/>
  <c r="E9" i="18" s="1"/>
  <c r="C99" i="4"/>
  <c r="E99" i="18" s="1"/>
  <c r="E99" i="4"/>
  <c r="E11" i="4"/>
  <c r="F30" i="10" s="1"/>
  <c r="B99" i="4"/>
  <c r="E28" i="4"/>
  <c r="E10" i="4"/>
  <c r="F20" i="10" s="1"/>
  <c r="E12" i="4"/>
  <c r="F41" i="10" s="1"/>
  <c r="B58" i="4"/>
  <c r="E107" i="4"/>
  <c r="E137" i="4"/>
  <c r="B78" i="4"/>
  <c r="B87" i="16"/>
  <c r="B88" i="4"/>
  <c r="E100" i="4"/>
  <c r="E114" i="4"/>
  <c r="G114" i="4" s="1"/>
  <c r="E121" i="4"/>
  <c r="C78" i="4"/>
  <c r="E78" i="18" s="1"/>
  <c r="C87" i="16"/>
  <c r="H9" i="9" s="1"/>
  <c r="C88" i="4"/>
  <c r="E88" i="18" s="1"/>
  <c r="C8" i="4"/>
  <c r="E8" i="18" s="1"/>
  <c r="E78" i="4"/>
  <c r="G78" i="4" s="1"/>
  <c r="E88" i="4"/>
  <c r="C66" i="16"/>
  <c r="C68" i="4"/>
  <c r="F66" i="16"/>
  <c r="E68" i="4"/>
  <c r="F13" i="10" s="1"/>
  <c r="B66" i="16"/>
  <c r="B68" i="4"/>
  <c r="B13" i="10" s="1"/>
  <c r="G66" i="16"/>
  <c r="F68" i="4"/>
  <c r="E125" i="4"/>
  <c r="K125" i="16"/>
  <c r="C125" i="4"/>
  <c r="E124" i="4"/>
  <c r="E118" i="4"/>
  <c r="E117" i="4"/>
  <c r="E110" i="4"/>
  <c r="E109" i="4"/>
  <c r="E108" i="4"/>
  <c r="K126" i="16"/>
  <c r="C119" i="16"/>
  <c r="K137" i="16"/>
  <c r="K88" i="16"/>
  <c r="K134" i="16"/>
  <c r="K67" i="16"/>
  <c r="K135" i="16"/>
  <c r="J35" i="16"/>
  <c r="B47" i="16"/>
  <c r="J125" i="16"/>
  <c r="C47" i="16"/>
  <c r="J135" i="16"/>
  <c r="B119" i="16"/>
  <c r="J120" i="16"/>
  <c r="J136" i="16"/>
  <c r="K120" i="16"/>
  <c r="G119" i="16"/>
  <c r="B111" i="16"/>
  <c r="J67" i="16"/>
  <c r="J121" i="16"/>
  <c r="K35" i="16"/>
  <c r="J88" i="16"/>
  <c r="K121" i="16"/>
  <c r="J126" i="16"/>
  <c r="J134" i="16"/>
  <c r="C111" i="16"/>
  <c r="F119" i="16"/>
  <c r="J137" i="16"/>
  <c r="E39" i="13" l="1"/>
  <c r="E39" i="16"/>
  <c r="L38" i="16"/>
  <c r="L37" i="16"/>
  <c r="L39" i="16"/>
  <c r="D35" i="4"/>
  <c r="B34" i="10"/>
  <c r="L36" i="16"/>
  <c r="D37" i="4"/>
  <c r="L10" i="19"/>
  <c r="D36" i="4"/>
  <c r="D39" i="4"/>
  <c r="I33" i="18"/>
  <c r="I33" i="37"/>
  <c r="I33" i="33"/>
  <c r="I33" i="35"/>
  <c r="I33" i="29"/>
  <c r="I33" i="23"/>
  <c r="I33" i="20"/>
  <c r="B31" i="10"/>
  <c r="H119" i="20"/>
  <c r="D110" i="4"/>
  <c r="L117" i="35"/>
  <c r="L10" i="25"/>
  <c r="L122" i="33"/>
  <c r="L135" i="26"/>
  <c r="H111" i="35"/>
  <c r="L113" i="35"/>
  <c r="D122" i="4"/>
  <c r="H119" i="35"/>
  <c r="D47" i="34"/>
  <c r="L121" i="13"/>
  <c r="L108" i="33"/>
  <c r="L121" i="35"/>
  <c r="E48" i="37"/>
  <c r="E48" i="18"/>
  <c r="E35" i="37"/>
  <c r="I11" i="37"/>
  <c r="I11" i="18"/>
  <c r="E54" i="37"/>
  <c r="I34" i="37"/>
  <c r="I34" i="18"/>
  <c r="I117" i="37"/>
  <c r="I117" i="18"/>
  <c r="E22" i="37"/>
  <c r="I109" i="37"/>
  <c r="I109" i="18"/>
  <c r="E7" i="37"/>
  <c r="E7" i="18"/>
  <c r="E134" i="37"/>
  <c r="E55" i="37"/>
  <c r="I89" i="37"/>
  <c r="I89" i="18"/>
  <c r="I10" i="37"/>
  <c r="I10" i="18"/>
  <c r="I125" i="37"/>
  <c r="I125" i="18"/>
  <c r="I124" i="37"/>
  <c r="I124" i="18"/>
  <c r="I113" i="37"/>
  <c r="I113" i="18"/>
  <c r="I68" i="37"/>
  <c r="I68" i="18"/>
  <c r="E11" i="37"/>
  <c r="E137" i="37"/>
  <c r="I96" i="37"/>
  <c r="E75" i="37"/>
  <c r="E36" i="37"/>
  <c r="I120" i="18"/>
  <c r="E49" i="37"/>
  <c r="I100" i="37"/>
  <c r="I100" i="18"/>
  <c r="E89" i="37"/>
  <c r="D114" i="4"/>
  <c r="I12" i="37"/>
  <c r="I12" i="18"/>
  <c r="E37" i="37"/>
  <c r="E34" i="37"/>
  <c r="I22" i="37"/>
  <c r="I22" i="18"/>
  <c r="I121" i="37"/>
  <c r="I121" i="18"/>
  <c r="E12" i="37"/>
  <c r="E29" i="37"/>
  <c r="I29" i="37"/>
  <c r="I29" i="18"/>
  <c r="I79" i="37"/>
  <c r="I79" i="18"/>
  <c r="I116" i="18"/>
  <c r="I35" i="37"/>
  <c r="I35" i="18"/>
  <c r="I75" i="37"/>
  <c r="E135" i="37"/>
  <c r="I112" i="37"/>
  <c r="I108" i="37"/>
  <c r="I108" i="18"/>
  <c r="E10" i="37"/>
  <c r="E10" i="18"/>
  <c r="E57" i="37"/>
  <c r="I7" i="37"/>
  <c r="I7" i="18"/>
  <c r="E96" i="37"/>
  <c r="I78" i="37"/>
  <c r="E136" i="37"/>
  <c r="L114" i="33"/>
  <c r="H77" i="23"/>
  <c r="F77" i="4"/>
  <c r="L125" i="16"/>
  <c r="D47" i="21"/>
  <c r="D47" i="20"/>
  <c r="D119" i="16"/>
  <c r="L107" i="29"/>
  <c r="L134" i="26"/>
  <c r="L109" i="23"/>
  <c r="L113" i="33"/>
  <c r="L12" i="33"/>
  <c r="D56" i="22"/>
  <c r="H111" i="20"/>
  <c r="D56" i="41"/>
  <c r="G124" i="4"/>
  <c r="E100" i="37"/>
  <c r="E78" i="37"/>
  <c r="E9" i="37"/>
  <c r="E28" i="37"/>
  <c r="E124" i="37"/>
  <c r="E8" i="37"/>
  <c r="E67" i="37"/>
  <c r="E116" i="37"/>
  <c r="E125" i="37"/>
  <c r="E99" i="37"/>
  <c r="E112" i="37"/>
  <c r="E110" i="37"/>
  <c r="E107" i="37"/>
  <c r="E88" i="37"/>
  <c r="E86" i="37"/>
  <c r="E108" i="37"/>
  <c r="E120" i="37"/>
  <c r="G116" i="4"/>
  <c r="H66" i="27"/>
  <c r="D47" i="38"/>
  <c r="L96" i="33"/>
  <c r="L113" i="29"/>
  <c r="L89" i="23"/>
  <c r="L75" i="33"/>
  <c r="L68" i="20"/>
  <c r="H98" i="20"/>
  <c r="L68" i="33"/>
  <c r="L68" i="23"/>
  <c r="L28" i="24"/>
  <c r="H98" i="29"/>
  <c r="K98" i="29"/>
  <c r="L89" i="20"/>
  <c r="L22" i="23"/>
  <c r="L120" i="33"/>
  <c r="K87" i="29"/>
  <c r="L137" i="26"/>
  <c r="D47" i="40"/>
  <c r="L89" i="27"/>
  <c r="K66" i="27"/>
  <c r="L113" i="20"/>
  <c r="L28" i="23"/>
  <c r="L12" i="29"/>
  <c r="D53" i="13"/>
  <c r="K87" i="33"/>
  <c r="L89" i="33"/>
  <c r="H87" i="29"/>
  <c r="L135" i="34"/>
  <c r="L109" i="27"/>
  <c r="L10" i="29"/>
  <c r="L7" i="33"/>
  <c r="H98" i="27"/>
  <c r="H66" i="23"/>
  <c r="L35" i="29"/>
  <c r="D56" i="39"/>
  <c r="L11" i="35"/>
  <c r="H87" i="35"/>
  <c r="L116" i="29"/>
  <c r="L11" i="29"/>
  <c r="D47" i="41"/>
  <c r="H111" i="13"/>
  <c r="L108" i="27"/>
  <c r="L35" i="23"/>
  <c r="N141" i="8"/>
  <c r="C12" i="9"/>
  <c r="N115" i="8"/>
  <c r="C24" i="9"/>
  <c r="C13" i="9"/>
  <c r="C22" i="9"/>
  <c r="C27" i="9"/>
  <c r="K119" i="20"/>
  <c r="K111" i="13"/>
  <c r="L107" i="33"/>
  <c r="L100" i="33"/>
  <c r="L100" i="20"/>
  <c r="N144" i="8"/>
  <c r="M115" i="8"/>
  <c r="L108" i="13"/>
  <c r="D56" i="40"/>
  <c r="L136" i="16"/>
  <c r="N146" i="8"/>
  <c r="L109" i="35"/>
  <c r="H119" i="23"/>
  <c r="L116" i="33"/>
  <c r="L100" i="27"/>
  <c r="C19" i="9"/>
  <c r="D53" i="22"/>
  <c r="L35" i="33"/>
  <c r="L67" i="29"/>
  <c r="L29" i="20"/>
  <c r="L116" i="23"/>
  <c r="L12" i="35"/>
  <c r="H87" i="27"/>
  <c r="L135" i="16"/>
  <c r="L108" i="23"/>
  <c r="L28" i="25"/>
  <c r="L134" i="16"/>
  <c r="H98" i="13"/>
  <c r="K111" i="29"/>
  <c r="N145" i="8"/>
  <c r="L7" i="16"/>
  <c r="D98" i="16"/>
  <c r="D53" i="16"/>
  <c r="D47" i="33"/>
  <c r="D56" i="25"/>
  <c r="L117" i="33"/>
  <c r="L10" i="35"/>
  <c r="L12" i="13"/>
  <c r="L126" i="16"/>
  <c r="K66" i="35"/>
  <c r="D56" i="16"/>
  <c r="N139" i="8"/>
  <c r="L99" i="23"/>
  <c r="H119" i="16"/>
  <c r="L7" i="20"/>
  <c r="K119" i="13"/>
  <c r="M117" i="8"/>
  <c r="K66" i="23"/>
  <c r="K87" i="35"/>
  <c r="M112" i="8"/>
  <c r="L11" i="33"/>
  <c r="H119" i="13"/>
  <c r="D66" i="16"/>
  <c r="C14" i="9"/>
  <c r="D77" i="16"/>
  <c r="D111" i="16"/>
  <c r="L35" i="16"/>
  <c r="L10" i="16"/>
  <c r="L121" i="16"/>
  <c r="L67" i="16"/>
  <c r="G9" i="9"/>
  <c r="D87" i="16"/>
  <c r="E136" i="16"/>
  <c r="H66" i="16"/>
  <c r="L88" i="16"/>
  <c r="D47" i="16"/>
  <c r="L137" i="16"/>
  <c r="L12" i="16"/>
  <c r="L11" i="16"/>
  <c r="L120" i="16"/>
  <c r="N143" i="8"/>
  <c r="M142" i="8"/>
  <c r="N138" i="8"/>
  <c r="B28" i="9"/>
  <c r="M119" i="8"/>
  <c r="M143" i="8"/>
  <c r="N114" i="8"/>
  <c r="N140" i="8"/>
  <c r="N147" i="8"/>
  <c r="C9" i="9"/>
  <c r="C28" i="9"/>
  <c r="C21" i="9"/>
  <c r="C17" i="9"/>
  <c r="M114" i="8"/>
  <c r="B11" i="9"/>
  <c r="B15" i="9"/>
  <c r="B9" i="9"/>
  <c r="M120" i="8"/>
  <c r="H119" i="33"/>
  <c r="L125" i="33"/>
  <c r="M145" i="8"/>
  <c r="L121" i="23"/>
  <c r="M116" i="8"/>
  <c r="M141" i="8"/>
  <c r="L116" i="13"/>
  <c r="N119" i="8"/>
  <c r="C26" i="9"/>
  <c r="L10" i="33"/>
  <c r="C18" i="9"/>
  <c r="B18" i="9"/>
  <c r="L22" i="13"/>
  <c r="L107" i="13"/>
  <c r="B10" i="9"/>
  <c r="L10" i="13"/>
  <c r="L121" i="33"/>
  <c r="C25" i="9"/>
  <c r="H87" i="23"/>
  <c r="L29" i="24"/>
  <c r="L7" i="23"/>
  <c r="H87" i="33"/>
  <c r="L120" i="29"/>
  <c r="D47" i="22"/>
  <c r="L11" i="23"/>
  <c r="M118" i="8"/>
  <c r="L117" i="29"/>
  <c r="B23" i="9"/>
  <c r="N116" i="8"/>
  <c r="K119" i="23"/>
  <c r="L34" i="13"/>
  <c r="M146" i="8"/>
  <c r="B21" i="9"/>
  <c r="B19" i="9"/>
  <c r="N142" i="8"/>
  <c r="L22" i="24"/>
  <c r="L7" i="19"/>
  <c r="N112" i="8"/>
  <c r="M113" i="8"/>
  <c r="C10" i="9"/>
  <c r="L11" i="13"/>
  <c r="C11" i="9"/>
  <c r="M138" i="8"/>
  <c r="C29" i="9"/>
  <c r="G75" i="4"/>
  <c r="F14" i="10"/>
  <c r="E48" i="39"/>
  <c r="I73" i="27"/>
  <c r="I73" i="29"/>
  <c r="I73" i="35"/>
  <c r="I89" i="20"/>
  <c r="I89" i="13"/>
  <c r="I89" i="29"/>
  <c r="I89" i="35"/>
  <c r="I89" i="33"/>
  <c r="I89" i="27"/>
  <c r="I89" i="23"/>
  <c r="G23" i="10"/>
  <c r="I35" i="23"/>
  <c r="I35" i="29"/>
  <c r="I35" i="35"/>
  <c r="I35" i="33"/>
  <c r="I35" i="13"/>
  <c r="I35" i="16"/>
  <c r="G42" i="10"/>
  <c r="I134" i="26"/>
  <c r="G15" i="10"/>
  <c r="I134" i="16"/>
  <c r="I10" i="23"/>
  <c r="I10" i="35"/>
  <c r="I10" i="29"/>
  <c r="I10" i="33"/>
  <c r="I10" i="13"/>
  <c r="G20" i="10"/>
  <c r="I10" i="16"/>
  <c r="E49" i="39"/>
  <c r="I23" i="33"/>
  <c r="I23" i="13"/>
  <c r="I23" i="23"/>
  <c r="I23" i="29"/>
  <c r="I23" i="35"/>
  <c r="E54" i="39"/>
  <c r="E54" i="16"/>
  <c r="I114" i="33"/>
  <c r="C25" i="10"/>
  <c r="C31" i="10"/>
  <c r="C9" i="10"/>
  <c r="C23" i="10"/>
  <c r="G44" i="10"/>
  <c r="I137" i="16"/>
  <c r="C41" i="10"/>
  <c r="I86" i="29"/>
  <c r="I86" i="33"/>
  <c r="I86" i="35"/>
  <c r="I28" i="51"/>
  <c r="C21" i="10"/>
  <c r="C33" i="10"/>
  <c r="C16" i="10"/>
  <c r="N118" i="8"/>
  <c r="H16" i="9"/>
  <c r="N65" i="8" s="1"/>
  <c r="B14" i="9"/>
  <c r="M147" i="8"/>
  <c r="B12" i="9"/>
  <c r="H26" i="9"/>
  <c r="H17" i="9"/>
  <c r="N66" i="8" s="1"/>
  <c r="M140" i="8"/>
  <c r="N113" i="8"/>
  <c r="B42" i="9"/>
  <c r="G39" i="9"/>
  <c r="I29" i="33"/>
  <c r="I29" i="20"/>
  <c r="I29" i="23"/>
  <c r="I29" i="29"/>
  <c r="I29" i="13"/>
  <c r="I29" i="35"/>
  <c r="G21" i="10"/>
  <c r="I25" i="20"/>
  <c r="I25" i="23"/>
  <c r="I25" i="29"/>
  <c r="I25" i="33"/>
  <c r="I25" i="13"/>
  <c r="I30" i="23"/>
  <c r="I30" i="29"/>
  <c r="I30" i="35"/>
  <c r="I30" i="33"/>
  <c r="I30" i="13"/>
  <c r="C30" i="10"/>
  <c r="I107" i="13"/>
  <c r="I107" i="29"/>
  <c r="I107" i="35"/>
  <c r="I107" i="33"/>
  <c r="C44" i="10"/>
  <c r="I75" i="33"/>
  <c r="G14" i="10"/>
  <c r="I32" i="13"/>
  <c r="I32" i="20"/>
  <c r="I32" i="23"/>
  <c r="I32" i="29"/>
  <c r="I32" i="33"/>
  <c r="I100" i="13"/>
  <c r="I100" i="20"/>
  <c r="I100" i="23"/>
  <c r="I100" i="27"/>
  <c r="I100" i="29"/>
  <c r="I100" i="33"/>
  <c r="I22" i="23"/>
  <c r="I22" i="29"/>
  <c r="I22" i="35"/>
  <c r="I22" i="33"/>
  <c r="I22" i="20"/>
  <c r="I22" i="13"/>
  <c r="G10" i="10"/>
  <c r="C34" i="10"/>
  <c r="I121" i="20"/>
  <c r="I121" i="13"/>
  <c r="I121" i="23"/>
  <c r="I121" i="35"/>
  <c r="I121" i="27"/>
  <c r="I121" i="33"/>
  <c r="I121" i="29"/>
  <c r="I121" i="16"/>
  <c r="I113" i="20"/>
  <c r="I113" i="23"/>
  <c r="I113" i="13"/>
  <c r="I113" i="27"/>
  <c r="I113" i="35"/>
  <c r="I113" i="33"/>
  <c r="I113" i="29"/>
  <c r="I108" i="13"/>
  <c r="B26" i="9"/>
  <c r="M144" i="8"/>
  <c r="N117" i="8"/>
  <c r="B38" i="9"/>
  <c r="B13" i="9"/>
  <c r="B30" i="9"/>
  <c r="G43" i="9"/>
  <c r="B39" i="9"/>
  <c r="H21" i="9"/>
  <c r="C15" i="9"/>
  <c r="B29" i="9"/>
  <c r="H27" i="9"/>
  <c r="G42" i="9"/>
  <c r="B37" i="9"/>
  <c r="B17" i="9"/>
  <c r="I71" i="29"/>
  <c r="I106" i="20"/>
  <c r="I106" i="23"/>
  <c r="I106" i="13"/>
  <c r="I106" i="29"/>
  <c r="I106" i="33"/>
  <c r="I106" i="27"/>
  <c r="I136" i="26"/>
  <c r="I136" i="16"/>
  <c r="G33" i="10"/>
  <c r="I7" i="29"/>
  <c r="I7" i="33"/>
  <c r="I7" i="23"/>
  <c r="I7" i="35"/>
  <c r="I7" i="13"/>
  <c r="G9" i="10"/>
  <c r="I7" i="16"/>
  <c r="I92" i="29"/>
  <c r="B45" i="10"/>
  <c r="I91" i="13"/>
  <c r="I91" i="29"/>
  <c r="I31" i="35"/>
  <c r="I31" i="13"/>
  <c r="I31" i="33"/>
  <c r="I31" i="23"/>
  <c r="I31" i="29"/>
  <c r="C45" i="10"/>
  <c r="I105" i="27"/>
  <c r="I105" i="29"/>
  <c r="C42" i="10"/>
  <c r="I24" i="13"/>
  <c r="I24" i="33"/>
  <c r="I24" i="29"/>
  <c r="I67" i="16"/>
  <c r="I94" i="27"/>
  <c r="I94" i="29"/>
  <c r="I94" i="35"/>
  <c r="C15" i="10"/>
  <c r="I78" i="33"/>
  <c r="B27" i="9"/>
  <c r="B20" i="9"/>
  <c r="H15" i="9"/>
  <c r="M139" i="8"/>
  <c r="B44" i="9"/>
  <c r="G41" i="9"/>
  <c r="C23" i="9"/>
  <c r="H10" i="9"/>
  <c r="N120" i="8"/>
  <c r="C16" i="9"/>
  <c r="H29" i="9"/>
  <c r="I70" i="29"/>
  <c r="I74" i="13"/>
  <c r="I74" i="20"/>
  <c r="I74" i="23"/>
  <c r="I74" i="27"/>
  <c r="I74" i="29"/>
  <c r="I74" i="33"/>
  <c r="C13" i="10"/>
  <c r="I85" i="20"/>
  <c r="I85" i="13"/>
  <c r="I85" i="27"/>
  <c r="I85" i="29"/>
  <c r="I85" i="23"/>
  <c r="I85" i="33"/>
  <c r="F44" i="10"/>
  <c r="I135" i="26"/>
  <c r="G25" i="10"/>
  <c r="I135" i="16"/>
  <c r="E58" i="39"/>
  <c r="E58" i="16"/>
  <c r="I112" i="29"/>
  <c r="I96" i="33"/>
  <c r="G24" i="10"/>
  <c r="E55" i="39"/>
  <c r="E55" i="16"/>
  <c r="C14" i="10"/>
  <c r="I126" i="16"/>
  <c r="I68" i="20"/>
  <c r="I68" i="23"/>
  <c r="I68" i="27"/>
  <c r="I68" i="29"/>
  <c r="I68" i="35"/>
  <c r="I68" i="33"/>
  <c r="I68" i="13"/>
  <c r="G13" i="10"/>
  <c r="I95" i="13"/>
  <c r="I95" i="20"/>
  <c r="I95" i="23"/>
  <c r="I95" i="27"/>
  <c r="I95" i="29"/>
  <c r="I95" i="33"/>
  <c r="G136" i="4"/>
  <c r="F33" i="10"/>
  <c r="I79" i="13"/>
  <c r="I79" i="20"/>
  <c r="I79" i="23"/>
  <c r="I79" i="33"/>
  <c r="I79" i="27"/>
  <c r="I79" i="29"/>
  <c r="I120" i="27"/>
  <c r="I120" i="23"/>
  <c r="I120" i="33"/>
  <c r="I120" i="16"/>
  <c r="I115" i="27"/>
  <c r="I109" i="13"/>
  <c r="I109" i="27"/>
  <c r="I109" i="35"/>
  <c r="I109" i="29"/>
  <c r="I109" i="23"/>
  <c r="I109" i="33"/>
  <c r="I12" i="29"/>
  <c r="I12" i="33"/>
  <c r="I12" i="35"/>
  <c r="I12" i="23"/>
  <c r="I12" i="13"/>
  <c r="I12" i="16"/>
  <c r="G41" i="10"/>
  <c r="I99" i="33"/>
  <c r="I11" i="13"/>
  <c r="I11" i="23"/>
  <c r="I11" i="35"/>
  <c r="I11" i="33"/>
  <c r="I11" i="16"/>
  <c r="G30" i="10"/>
  <c r="I11" i="29"/>
  <c r="I84" i="27"/>
  <c r="I84" i="29"/>
  <c r="G96" i="4"/>
  <c r="F24" i="10"/>
  <c r="I125" i="13"/>
  <c r="I125" i="27"/>
  <c r="I125" i="23"/>
  <c r="I125" i="29"/>
  <c r="I125" i="33"/>
  <c r="I125" i="16"/>
  <c r="C26" i="10"/>
  <c r="I88" i="16"/>
  <c r="I34" i="13"/>
  <c r="I34" i="35"/>
  <c r="I34" i="23"/>
  <c r="I34" i="29"/>
  <c r="I34" i="33"/>
  <c r="G31" i="10"/>
  <c r="D96" i="4"/>
  <c r="B24" i="10"/>
  <c r="C24" i="10"/>
  <c r="I117" i="13"/>
  <c r="I117" i="23"/>
  <c r="I117" i="35"/>
  <c r="I117" i="29"/>
  <c r="I117" i="33"/>
  <c r="I117" i="27"/>
  <c r="C10" i="10"/>
  <c r="C20" i="10"/>
  <c r="D75" i="4"/>
  <c r="B14" i="10"/>
  <c r="E57" i="39"/>
  <c r="E57" i="16"/>
  <c r="L124" i="29"/>
  <c r="L120" i="27"/>
  <c r="K119" i="27"/>
  <c r="L120" i="23"/>
  <c r="L67" i="23"/>
  <c r="H98" i="33"/>
  <c r="L22" i="35"/>
  <c r="H87" i="20"/>
  <c r="L100" i="13"/>
  <c r="D53" i="39"/>
  <c r="D56" i="33"/>
  <c r="L109" i="29"/>
  <c r="L7" i="29"/>
  <c r="L28" i="29"/>
  <c r="L117" i="23"/>
  <c r="H98" i="23"/>
  <c r="L10" i="20"/>
  <c r="L29" i="13"/>
  <c r="G38" i="9"/>
  <c r="B16" i="9"/>
  <c r="G40" i="9"/>
  <c r="B22" i="9"/>
  <c r="H14" i="9"/>
  <c r="B25" i="9"/>
  <c r="C20" i="9"/>
  <c r="G36" i="9"/>
  <c r="H25" i="9"/>
  <c r="B24" i="9"/>
  <c r="H24" i="9"/>
  <c r="L22" i="20"/>
  <c r="L109" i="33"/>
  <c r="L99" i="33"/>
  <c r="H111" i="29"/>
  <c r="L10" i="23"/>
  <c r="L28" i="13"/>
  <c r="L89" i="35"/>
  <c r="D56" i="13"/>
  <c r="F87" i="4"/>
  <c r="L35" i="35"/>
  <c r="L99" i="29"/>
  <c r="K119" i="33"/>
  <c r="L88" i="33"/>
  <c r="L28" i="33"/>
  <c r="L79" i="33"/>
  <c r="L34" i="29"/>
  <c r="H66" i="33"/>
  <c r="L78" i="33"/>
  <c r="L67" i="13"/>
  <c r="H66" i="35"/>
  <c r="L109" i="13"/>
  <c r="L112" i="13"/>
  <c r="L35" i="13"/>
  <c r="L79" i="29"/>
  <c r="L7" i="22"/>
  <c r="L78" i="27"/>
  <c r="K66" i="33"/>
  <c r="L112" i="27"/>
  <c r="L12" i="23"/>
  <c r="H87" i="13"/>
  <c r="L120" i="13"/>
  <c r="L68" i="13"/>
  <c r="L7" i="25"/>
  <c r="K66" i="20"/>
  <c r="L134" i="34"/>
  <c r="L125" i="27"/>
  <c r="F66" i="4"/>
  <c r="B77" i="4"/>
  <c r="L108" i="29"/>
  <c r="L67" i="27"/>
  <c r="L34" i="35"/>
  <c r="D53" i="25"/>
  <c r="L112" i="33"/>
  <c r="L29" i="33"/>
  <c r="L121" i="29"/>
  <c r="L29" i="29"/>
  <c r="H111" i="23"/>
  <c r="L86" i="35"/>
  <c r="D53" i="33"/>
  <c r="L112" i="29"/>
  <c r="L68" i="29"/>
  <c r="L136" i="26"/>
  <c r="L79" i="27"/>
  <c r="D47" i="25"/>
  <c r="L88" i="27"/>
  <c r="L112" i="23"/>
  <c r="H66" i="20"/>
  <c r="L113" i="13"/>
  <c r="L117" i="13"/>
  <c r="L68" i="35"/>
  <c r="L86" i="33"/>
  <c r="H119" i="29"/>
  <c r="L100" i="29"/>
  <c r="L34" i="33"/>
  <c r="L125" i="29"/>
  <c r="L99" i="27"/>
  <c r="L29" i="35"/>
  <c r="L78" i="29"/>
  <c r="L88" i="23"/>
  <c r="L125" i="23"/>
  <c r="L113" i="23"/>
  <c r="L79" i="20"/>
  <c r="H111" i="33"/>
  <c r="L107" i="35"/>
  <c r="D47" i="51"/>
  <c r="D47" i="26"/>
  <c r="L7" i="24"/>
  <c r="L29" i="23"/>
  <c r="L28" i="20"/>
  <c r="L121" i="27"/>
  <c r="K119" i="35"/>
  <c r="L100" i="23"/>
  <c r="L113" i="27"/>
  <c r="L79" i="23"/>
  <c r="L67" i="33"/>
  <c r="L22" i="33"/>
  <c r="L22" i="29"/>
  <c r="J77" i="29"/>
  <c r="L117" i="27"/>
  <c r="L10" i="24"/>
  <c r="L78" i="23"/>
  <c r="L34" i="23"/>
  <c r="L121" i="20"/>
  <c r="H111" i="27"/>
  <c r="L68" i="27"/>
  <c r="K111" i="20"/>
  <c r="C98" i="4"/>
  <c r="B66" i="4"/>
  <c r="C66" i="4"/>
  <c r="E66" i="18" s="1"/>
  <c r="C87" i="4"/>
  <c r="E87" i="18" s="1"/>
  <c r="B87" i="4"/>
  <c r="B22" i="10" s="1"/>
  <c r="F98" i="4"/>
  <c r="B98" i="4"/>
  <c r="L124" i="13"/>
  <c r="L79" i="13"/>
  <c r="L89" i="13"/>
  <c r="L135" i="13"/>
  <c r="L99" i="13"/>
  <c r="L125" i="13"/>
  <c r="L78" i="13"/>
  <c r="K66" i="13"/>
  <c r="L86" i="13"/>
  <c r="J77" i="13"/>
  <c r="L88" i="13"/>
  <c r="H66" i="13"/>
  <c r="D47" i="13"/>
  <c r="J87" i="35"/>
  <c r="D66" i="33"/>
  <c r="J66" i="33"/>
  <c r="D77" i="27"/>
  <c r="J77" i="27"/>
  <c r="L77" i="27" s="1"/>
  <c r="J98" i="23"/>
  <c r="D98" i="23"/>
  <c r="D111" i="33"/>
  <c r="J111" i="33"/>
  <c r="J111" i="35"/>
  <c r="D87" i="20"/>
  <c r="J87" i="20"/>
  <c r="D66" i="13"/>
  <c r="J66" i="13"/>
  <c r="K111" i="33"/>
  <c r="K111" i="35"/>
  <c r="J111" i="29"/>
  <c r="D111" i="29"/>
  <c r="J111" i="23"/>
  <c r="D111" i="23"/>
  <c r="J77" i="20"/>
  <c r="L77" i="20" s="1"/>
  <c r="D77" i="20"/>
  <c r="J87" i="13"/>
  <c r="D87" i="13"/>
  <c r="J119" i="33"/>
  <c r="D119" i="33"/>
  <c r="J119" i="27"/>
  <c r="D119" i="27"/>
  <c r="J66" i="27"/>
  <c r="D66" i="27"/>
  <c r="D77" i="29"/>
  <c r="K77" i="29"/>
  <c r="D98" i="27"/>
  <c r="J98" i="27"/>
  <c r="J66" i="35"/>
  <c r="D77" i="13"/>
  <c r="D98" i="20"/>
  <c r="J98" i="20"/>
  <c r="J66" i="29"/>
  <c r="J87" i="33"/>
  <c r="D87" i="33"/>
  <c r="D119" i="29"/>
  <c r="J119" i="29"/>
  <c r="D98" i="33"/>
  <c r="J98" i="33"/>
  <c r="L98" i="33" s="1"/>
  <c r="J87" i="29"/>
  <c r="L87" i="29" s="1"/>
  <c r="D87" i="29"/>
  <c r="J111" i="27"/>
  <c r="D111" i="27"/>
  <c r="J87" i="23"/>
  <c r="D87" i="23"/>
  <c r="K119" i="29"/>
  <c r="H119" i="27"/>
  <c r="K111" i="23"/>
  <c r="D119" i="13"/>
  <c r="J119" i="13"/>
  <c r="D98" i="13"/>
  <c r="J98" i="13"/>
  <c r="D111" i="13"/>
  <c r="J111" i="13"/>
  <c r="J98" i="29"/>
  <c r="D98" i="29"/>
  <c r="J119" i="35"/>
  <c r="H66" i="29"/>
  <c r="D119" i="23"/>
  <c r="J119" i="23"/>
  <c r="J66" i="23"/>
  <c r="D66" i="23"/>
  <c r="D77" i="33"/>
  <c r="J77" i="33"/>
  <c r="L77" i="33" s="1"/>
  <c r="J77" i="23"/>
  <c r="D77" i="23"/>
  <c r="D66" i="29"/>
  <c r="K66" i="29"/>
  <c r="D87" i="27"/>
  <c r="J87" i="27"/>
  <c r="D119" i="20"/>
  <c r="J119" i="20"/>
  <c r="J111" i="20"/>
  <c r="D111" i="20"/>
  <c r="D66" i="20"/>
  <c r="J66" i="20"/>
  <c r="E48" i="38"/>
  <c r="E88" i="33"/>
  <c r="E108" i="33"/>
  <c r="E22" i="33"/>
  <c r="E57" i="33"/>
  <c r="E99" i="33"/>
  <c r="E9" i="33"/>
  <c r="E48" i="33"/>
  <c r="E117" i="33"/>
  <c r="E110" i="33"/>
  <c r="E55" i="33"/>
  <c r="E122" i="33"/>
  <c r="E75" i="33"/>
  <c r="E28" i="33"/>
  <c r="E116" i="33"/>
  <c r="E10" i="33"/>
  <c r="E79" i="33"/>
  <c r="E58" i="33"/>
  <c r="E35" i="33"/>
  <c r="E49" i="33"/>
  <c r="E54" i="33"/>
  <c r="E34" i="33"/>
  <c r="E7" i="33"/>
  <c r="E89" i="33"/>
  <c r="E100" i="33"/>
  <c r="E29" i="33"/>
  <c r="E125" i="33"/>
  <c r="E68" i="33"/>
  <c r="E96" i="33"/>
  <c r="E8" i="33"/>
  <c r="E78" i="33"/>
  <c r="E67" i="33"/>
  <c r="E112" i="33"/>
  <c r="E109" i="33"/>
  <c r="E114" i="33"/>
  <c r="E121" i="33"/>
  <c r="E120" i="33"/>
  <c r="E113" i="33"/>
  <c r="G117" i="4"/>
  <c r="E99" i="29"/>
  <c r="E9" i="29"/>
  <c r="E48" i="34"/>
  <c r="E86" i="29"/>
  <c r="E134" i="34"/>
  <c r="E125" i="29"/>
  <c r="E68" i="29"/>
  <c r="E88" i="29"/>
  <c r="E28" i="29"/>
  <c r="E124" i="29"/>
  <c r="E108" i="29"/>
  <c r="E116" i="29"/>
  <c r="E22" i="29"/>
  <c r="E10" i="29"/>
  <c r="E79" i="29"/>
  <c r="E35" i="29"/>
  <c r="E11" i="29"/>
  <c r="E135" i="34"/>
  <c r="E34" i="29"/>
  <c r="E7" i="29"/>
  <c r="E89" i="29"/>
  <c r="E100" i="29"/>
  <c r="E107" i="29"/>
  <c r="E12" i="29"/>
  <c r="E29" i="29"/>
  <c r="E8" i="29"/>
  <c r="E78" i="29"/>
  <c r="E67" i="29"/>
  <c r="E112" i="29"/>
  <c r="E109" i="29"/>
  <c r="E121" i="29"/>
  <c r="E120" i="29"/>
  <c r="E48" i="40"/>
  <c r="E48" i="41"/>
  <c r="E57" i="40"/>
  <c r="E57" i="41"/>
  <c r="E54" i="41"/>
  <c r="E99" i="27"/>
  <c r="E9" i="51"/>
  <c r="E48" i="51"/>
  <c r="E88" i="27"/>
  <c r="E28" i="51"/>
  <c r="E108" i="27"/>
  <c r="E10" i="51"/>
  <c r="E7" i="51"/>
  <c r="E8" i="51"/>
  <c r="E78" i="27"/>
  <c r="E67" i="27"/>
  <c r="E112" i="27"/>
  <c r="E120" i="27"/>
  <c r="E9" i="25"/>
  <c r="E28" i="25"/>
  <c r="E10" i="25"/>
  <c r="E57" i="25"/>
  <c r="E48" i="25"/>
  <c r="E48" i="26"/>
  <c r="E137" i="26"/>
  <c r="E49" i="26"/>
  <c r="E54" i="25"/>
  <c r="E135" i="26"/>
  <c r="E7" i="25"/>
  <c r="E136" i="26"/>
  <c r="E134" i="26"/>
  <c r="E8" i="25"/>
  <c r="E99" i="23"/>
  <c r="E9" i="24"/>
  <c r="E88" i="23"/>
  <c r="E28" i="23"/>
  <c r="E28" i="24"/>
  <c r="E124" i="23"/>
  <c r="E108" i="23"/>
  <c r="E116" i="23"/>
  <c r="E22" i="23"/>
  <c r="E22" i="24"/>
  <c r="E10" i="24"/>
  <c r="E7" i="24"/>
  <c r="E29" i="23"/>
  <c r="E29" i="24"/>
  <c r="E8" i="24"/>
  <c r="E78" i="23"/>
  <c r="E67" i="23"/>
  <c r="E112" i="23"/>
  <c r="E120" i="23"/>
  <c r="E9" i="22"/>
  <c r="E48" i="21"/>
  <c r="E48" i="22"/>
  <c r="E55" i="22"/>
  <c r="E10" i="22"/>
  <c r="E57" i="22"/>
  <c r="E58" i="22"/>
  <c r="E49" i="22"/>
  <c r="E54" i="21"/>
  <c r="E54" i="22"/>
  <c r="E7" i="22"/>
  <c r="E8" i="22"/>
  <c r="E68" i="20"/>
  <c r="E28" i="20"/>
  <c r="E22" i="20"/>
  <c r="E10" i="19"/>
  <c r="E10" i="20"/>
  <c r="E79" i="20"/>
  <c r="E7" i="19"/>
  <c r="E7" i="20"/>
  <c r="E89" i="20"/>
  <c r="E100" i="20"/>
  <c r="E29" i="20"/>
  <c r="E9" i="19"/>
  <c r="E9" i="20"/>
  <c r="E48" i="20"/>
  <c r="E8" i="19"/>
  <c r="E8" i="20"/>
  <c r="E121" i="20"/>
  <c r="E113" i="20"/>
  <c r="E99" i="13"/>
  <c r="E9" i="13"/>
  <c r="E48" i="13"/>
  <c r="E86" i="13"/>
  <c r="E88" i="13"/>
  <c r="E28" i="13"/>
  <c r="E124" i="13"/>
  <c r="E37" i="13"/>
  <c r="E108" i="13"/>
  <c r="E116" i="13"/>
  <c r="E22" i="13"/>
  <c r="E10" i="13"/>
  <c r="E57" i="13"/>
  <c r="E35" i="13"/>
  <c r="E11" i="13"/>
  <c r="E49" i="13"/>
  <c r="E54" i="13"/>
  <c r="E135" i="13"/>
  <c r="E34" i="13"/>
  <c r="E7" i="13"/>
  <c r="E89" i="13"/>
  <c r="E100" i="13"/>
  <c r="E107" i="13"/>
  <c r="E12" i="13"/>
  <c r="E29" i="13"/>
  <c r="E36" i="13"/>
  <c r="E8" i="13"/>
  <c r="E78" i="13"/>
  <c r="E67" i="13"/>
  <c r="E112" i="13"/>
  <c r="E109" i="13"/>
  <c r="E120" i="13"/>
  <c r="G125" i="4"/>
  <c r="D116" i="4"/>
  <c r="D108" i="4"/>
  <c r="G108" i="4"/>
  <c r="G109" i="4"/>
  <c r="D117" i="4"/>
  <c r="D124" i="4"/>
  <c r="D125" i="4"/>
  <c r="D109" i="4"/>
  <c r="E67" i="16"/>
  <c r="E135" i="16"/>
  <c r="E9" i="16"/>
  <c r="D22" i="4"/>
  <c r="E125" i="16"/>
  <c r="E88" i="16"/>
  <c r="E126" i="16"/>
  <c r="D136" i="4"/>
  <c r="D57" i="4"/>
  <c r="E12" i="16"/>
  <c r="E10" i="16"/>
  <c r="E11" i="16"/>
  <c r="E121" i="16"/>
  <c r="E120" i="16"/>
  <c r="G22" i="4"/>
  <c r="E77" i="4"/>
  <c r="D113" i="4"/>
  <c r="E98" i="4"/>
  <c r="E87" i="4"/>
  <c r="D137" i="4"/>
  <c r="E137" i="16"/>
  <c r="D10" i="4"/>
  <c r="D112" i="4"/>
  <c r="D55" i="4"/>
  <c r="D120" i="4"/>
  <c r="D7" i="4"/>
  <c r="E7" i="16"/>
  <c r="D68" i="4"/>
  <c r="D8" i="4"/>
  <c r="E8" i="16"/>
  <c r="D134" i="4"/>
  <c r="E134" i="16"/>
  <c r="E35" i="16"/>
  <c r="G7" i="4"/>
  <c r="D48" i="4"/>
  <c r="G86" i="4"/>
  <c r="G107" i="4"/>
  <c r="G113" i="4"/>
  <c r="D54" i="4"/>
  <c r="D49" i="4"/>
  <c r="D12" i="4"/>
  <c r="D11" i="4"/>
  <c r="G121" i="4"/>
  <c r="G100" i="4"/>
  <c r="G12" i="4"/>
  <c r="G34" i="4"/>
  <c r="D121" i="4"/>
  <c r="G11" i="4"/>
  <c r="H22" i="4"/>
  <c r="G29" i="4"/>
  <c r="D67" i="4"/>
  <c r="D100" i="4"/>
  <c r="D58" i="4"/>
  <c r="G10" i="4"/>
  <c r="G79" i="4"/>
  <c r="D89" i="4"/>
  <c r="G35" i="4"/>
  <c r="D99" i="4"/>
  <c r="D86" i="4"/>
  <c r="D107" i="4"/>
  <c r="D135" i="4"/>
  <c r="G89" i="4"/>
  <c r="G135" i="4"/>
  <c r="G134" i="4"/>
  <c r="C111" i="4"/>
  <c r="B53" i="4"/>
  <c r="B38" i="10" s="1"/>
  <c r="F119" i="4"/>
  <c r="J66" i="16"/>
  <c r="C119" i="4"/>
  <c r="D78" i="4"/>
  <c r="C53" i="4"/>
  <c r="C56" i="4"/>
  <c r="G68" i="4"/>
  <c r="D88" i="4"/>
  <c r="D79" i="4"/>
  <c r="C77" i="4"/>
  <c r="K66" i="16"/>
  <c r="E66" i="4"/>
  <c r="D9" i="4"/>
  <c r="E119" i="4"/>
  <c r="F43" i="10" s="1"/>
  <c r="B111" i="4"/>
  <c r="B32" i="10" s="1"/>
  <c r="B119" i="4"/>
  <c r="B43" i="10" s="1"/>
  <c r="E111" i="4"/>
  <c r="F32" i="10" s="1"/>
  <c r="F111" i="4"/>
  <c r="B56" i="4"/>
  <c r="B49" i="10" s="1"/>
  <c r="B47" i="4"/>
  <c r="B11" i="10" s="1"/>
  <c r="C47" i="4"/>
  <c r="K119" i="16"/>
  <c r="J119" i="16"/>
  <c r="L119" i="35" l="1"/>
  <c r="L77" i="23"/>
  <c r="I77" i="27"/>
  <c r="I77" i="29"/>
  <c r="I77" i="20"/>
  <c r="G77" i="4"/>
  <c r="I77" i="23"/>
  <c r="I77" i="13"/>
  <c r="I77" i="33"/>
  <c r="L111" i="35"/>
  <c r="E56" i="37"/>
  <c r="I111" i="37"/>
  <c r="I111" i="18"/>
  <c r="I98" i="18"/>
  <c r="E77" i="18"/>
  <c r="I77" i="18"/>
  <c r="E119" i="37"/>
  <c r="E119" i="18"/>
  <c r="I119" i="37"/>
  <c r="I119" i="18"/>
  <c r="E47" i="37"/>
  <c r="E47" i="18"/>
  <c r="E98" i="18"/>
  <c r="I87" i="37"/>
  <c r="I87" i="18"/>
  <c r="E111" i="37"/>
  <c r="E111" i="18"/>
  <c r="E53" i="37"/>
  <c r="I66" i="37"/>
  <c r="I66" i="18"/>
  <c r="I77" i="37"/>
  <c r="L98" i="27"/>
  <c r="E97" i="33"/>
  <c r="E97" i="29"/>
  <c r="E97" i="37"/>
  <c r="E97" i="13"/>
  <c r="I98" i="37"/>
  <c r="L119" i="13"/>
  <c r="E76" i="33"/>
  <c r="E76" i="29"/>
  <c r="E76" i="37"/>
  <c r="E76" i="13"/>
  <c r="E66" i="37"/>
  <c r="E87" i="33"/>
  <c r="E87" i="37"/>
  <c r="E98" i="37"/>
  <c r="E77" i="37"/>
  <c r="L98" i="20"/>
  <c r="L111" i="29"/>
  <c r="L66" i="27"/>
  <c r="L111" i="13"/>
  <c r="L87" i="33"/>
  <c r="L98" i="29"/>
  <c r="L87" i="20"/>
  <c r="L119" i="23"/>
  <c r="L87" i="23"/>
  <c r="L98" i="23"/>
  <c r="L119" i="20"/>
  <c r="L111" i="27"/>
  <c r="E66" i="20"/>
  <c r="E66" i="16"/>
  <c r="E87" i="13"/>
  <c r="E87" i="23"/>
  <c r="D98" i="4"/>
  <c r="L66" i="35"/>
  <c r="E98" i="29"/>
  <c r="E98" i="33"/>
  <c r="L87" i="27"/>
  <c r="L119" i="33"/>
  <c r="L98" i="13"/>
  <c r="L66" i="33"/>
  <c r="G98" i="4"/>
  <c r="L87" i="35"/>
  <c r="L66" i="23"/>
  <c r="L66" i="13"/>
  <c r="L119" i="16"/>
  <c r="E66" i="23"/>
  <c r="E66" i="13"/>
  <c r="E66" i="27"/>
  <c r="E66" i="29"/>
  <c r="E66" i="33"/>
  <c r="L66" i="16"/>
  <c r="L111" i="33"/>
  <c r="D87" i="4"/>
  <c r="E98" i="20"/>
  <c r="E98" i="23"/>
  <c r="E87" i="27"/>
  <c r="E98" i="27"/>
  <c r="E87" i="29"/>
  <c r="L119" i="27"/>
  <c r="I90" i="13"/>
  <c r="I90" i="29"/>
  <c r="C43" i="10"/>
  <c r="I119" i="13"/>
  <c r="I119" i="20"/>
  <c r="I119" i="23"/>
  <c r="I119" i="27"/>
  <c r="I119" i="29"/>
  <c r="I119" i="35"/>
  <c r="I119" i="33"/>
  <c r="G43" i="10"/>
  <c r="I119" i="16"/>
  <c r="G87" i="4"/>
  <c r="F22" i="10"/>
  <c r="I98" i="20"/>
  <c r="I98" i="13"/>
  <c r="I98" i="23"/>
  <c r="I98" i="29"/>
  <c r="I98" i="27"/>
  <c r="I98" i="33"/>
  <c r="D66" i="4"/>
  <c r="B12" i="10"/>
  <c r="I66" i="13"/>
  <c r="I66" i="20"/>
  <c r="I66" i="27"/>
  <c r="I66" i="29"/>
  <c r="I66" i="35"/>
  <c r="I66" i="33"/>
  <c r="G12" i="10"/>
  <c r="I66" i="23"/>
  <c r="I66" i="16"/>
  <c r="G66" i="4"/>
  <c r="F12" i="10"/>
  <c r="E53" i="39"/>
  <c r="C38" i="10"/>
  <c r="I72" i="13"/>
  <c r="I72" i="20"/>
  <c r="I72" i="23"/>
  <c r="I72" i="27"/>
  <c r="I72" i="29"/>
  <c r="I72" i="33"/>
  <c r="I72" i="35"/>
  <c r="I83" i="13"/>
  <c r="I83" i="20"/>
  <c r="I83" i="23"/>
  <c r="I83" i="27"/>
  <c r="I83" i="29"/>
  <c r="I83" i="33"/>
  <c r="I93" i="20"/>
  <c r="I93" i="13"/>
  <c r="I93" i="23"/>
  <c r="I93" i="35"/>
  <c r="I93" i="27"/>
  <c r="I93" i="33"/>
  <c r="I93" i="29"/>
  <c r="I104" i="13"/>
  <c r="I104" i="20"/>
  <c r="I104" i="27"/>
  <c r="I104" i="23"/>
  <c r="I104" i="29"/>
  <c r="I104" i="33"/>
  <c r="I111" i="13"/>
  <c r="I111" i="20"/>
  <c r="I111" i="23"/>
  <c r="I111" i="27"/>
  <c r="I111" i="29"/>
  <c r="I111" i="35"/>
  <c r="I111" i="33"/>
  <c r="G32" i="10"/>
  <c r="E56" i="39"/>
  <c r="E56" i="16"/>
  <c r="C49" i="10"/>
  <c r="C32" i="10"/>
  <c r="C22" i="10"/>
  <c r="E47" i="39"/>
  <c r="C11" i="10"/>
  <c r="E47" i="16"/>
  <c r="C12" i="10"/>
  <c r="I87" i="13"/>
  <c r="I87" i="20"/>
  <c r="I87" i="27"/>
  <c r="I87" i="29"/>
  <c r="I87" i="23"/>
  <c r="I87" i="33"/>
  <c r="I87" i="35"/>
  <c r="G22" i="10"/>
  <c r="L66" i="20"/>
  <c r="L111" i="20"/>
  <c r="L87" i="13"/>
  <c r="L119" i="29"/>
  <c r="L66" i="29"/>
  <c r="L77" i="29"/>
  <c r="L111" i="23"/>
  <c r="E98" i="13"/>
  <c r="E87" i="20"/>
  <c r="L77" i="13"/>
  <c r="E47" i="38"/>
  <c r="E77" i="33"/>
  <c r="E111" i="33"/>
  <c r="E47" i="33"/>
  <c r="E119" i="33"/>
  <c r="E53" i="33"/>
  <c r="E56" i="33"/>
  <c r="E47" i="34"/>
  <c r="E119" i="29"/>
  <c r="E77" i="29"/>
  <c r="E111" i="29"/>
  <c r="E53" i="41"/>
  <c r="E56" i="40"/>
  <c r="E56" i="41"/>
  <c r="E47" i="40"/>
  <c r="E47" i="41"/>
  <c r="E77" i="27"/>
  <c r="E111" i="27"/>
  <c r="E47" i="51"/>
  <c r="E119" i="27"/>
  <c r="E53" i="25"/>
  <c r="E47" i="25"/>
  <c r="E47" i="26"/>
  <c r="E56" i="25"/>
  <c r="E119" i="23"/>
  <c r="E77" i="23"/>
  <c r="E111" i="23"/>
  <c r="E56" i="22"/>
  <c r="E47" i="21"/>
  <c r="E47" i="22"/>
  <c r="E53" i="21"/>
  <c r="E53" i="22"/>
  <c r="E119" i="20"/>
  <c r="E47" i="20"/>
  <c r="E77" i="20"/>
  <c r="E111" i="20"/>
  <c r="E53" i="13"/>
  <c r="E77" i="13"/>
  <c r="E56" i="13"/>
  <c r="E111" i="13"/>
  <c r="E47" i="13"/>
  <c r="E119" i="13"/>
  <c r="E119" i="16"/>
  <c r="D111" i="4"/>
  <c r="D77" i="4"/>
  <c r="D119" i="4"/>
  <c r="G111" i="4"/>
  <c r="D53" i="4"/>
  <c r="G119" i="4"/>
  <c r="D56" i="4"/>
  <c r="D47" i="4"/>
  <c r="I73" i="4"/>
  <c r="I84" i="4"/>
  <c r="M73" i="27" l="1"/>
  <c r="M73" i="35"/>
  <c r="M73" i="29"/>
  <c r="M84" i="27"/>
  <c r="M84" i="29"/>
  <c r="C60" i="10"/>
  <c r="H84" i="4"/>
  <c r="J84" i="4" s="1"/>
  <c r="H71" i="4"/>
  <c r="H92" i="4"/>
  <c r="H107" i="4"/>
  <c r="H106" i="4"/>
  <c r="H85" i="4"/>
  <c r="H73" i="4"/>
  <c r="J73" i="4" s="1"/>
  <c r="H114" i="4"/>
  <c r="H116" i="4"/>
  <c r="H95" i="4"/>
  <c r="H74" i="4"/>
  <c r="H94" i="4"/>
  <c r="H91" i="4"/>
  <c r="H104" i="4"/>
  <c r="H105" i="4"/>
  <c r="H93" i="4"/>
  <c r="H123" i="4"/>
  <c r="H28" i="4"/>
  <c r="H70" i="4"/>
  <c r="H115" i="4"/>
  <c r="H98" i="4" l="1"/>
  <c r="H117" i="4"/>
  <c r="H99" i="4"/>
  <c r="H24" i="4"/>
  <c r="H90" i="4"/>
  <c r="H72" i="4"/>
  <c r="H118" i="4"/>
  <c r="H27" i="4"/>
  <c r="H78" i="4"/>
  <c r="D9" i="10"/>
  <c r="H124" i="4"/>
  <c r="H112" i="4"/>
  <c r="H88" i="4"/>
  <c r="H9" i="4"/>
  <c r="H8" i="4"/>
  <c r="H79" i="4"/>
  <c r="H83" i="4"/>
  <c r="H122" i="4"/>
  <c r="H14" i="10"/>
  <c r="H37" i="4"/>
  <c r="H121" i="4"/>
  <c r="I121" i="4"/>
  <c r="I112" i="4"/>
  <c r="I9" i="4"/>
  <c r="I109" i="4"/>
  <c r="K49" i="10"/>
  <c r="H113" i="4"/>
  <c r="I105" i="4"/>
  <c r="J105" i="4" s="1"/>
  <c r="I93" i="4"/>
  <c r="J93" i="4" s="1"/>
  <c r="I108" i="4"/>
  <c r="H11" i="4"/>
  <c r="I85" i="4"/>
  <c r="J85" i="4" s="1"/>
  <c r="I122" i="4"/>
  <c r="I79" i="4"/>
  <c r="I100" i="4"/>
  <c r="I104" i="4"/>
  <c r="J104" i="4" s="1"/>
  <c r="H110" i="4"/>
  <c r="H25" i="4"/>
  <c r="H125" i="4"/>
  <c r="H86" i="4"/>
  <c r="H42" i="10"/>
  <c r="H21" i="10"/>
  <c r="I120" i="4"/>
  <c r="I28" i="4"/>
  <c r="H109" i="4"/>
  <c r="I32" i="4"/>
  <c r="I67" i="4"/>
  <c r="K11" i="10"/>
  <c r="I23" i="4"/>
  <c r="H22" i="10"/>
  <c r="H108" i="4"/>
  <c r="I95" i="4"/>
  <c r="J95" i="4" s="1"/>
  <c r="H10" i="4"/>
  <c r="H38" i="4"/>
  <c r="I77" i="4"/>
  <c r="I88" i="4"/>
  <c r="I91" i="4"/>
  <c r="J91" i="4" s="1"/>
  <c r="I117" i="4"/>
  <c r="H67" i="4"/>
  <c r="H12" i="10"/>
  <c r="I116" i="4"/>
  <c r="I118" i="4"/>
  <c r="H120" i="4"/>
  <c r="I110" i="4"/>
  <c r="I113" i="4"/>
  <c r="I69" i="4"/>
  <c r="I90" i="4"/>
  <c r="I78" i="4"/>
  <c r="I115" i="4"/>
  <c r="J115" i="4" s="1"/>
  <c r="K26" i="10"/>
  <c r="I98" i="4"/>
  <c r="I99" i="4"/>
  <c r="K9" i="10"/>
  <c r="H77" i="4"/>
  <c r="I92" i="4"/>
  <c r="J92" i="4" s="1"/>
  <c r="H24" i="10"/>
  <c r="I31" i="4"/>
  <c r="I24" i="4"/>
  <c r="H69" i="4"/>
  <c r="K16" i="10"/>
  <c r="I72" i="4"/>
  <c r="I30" i="4"/>
  <c r="H36" i="4"/>
  <c r="I123" i="4"/>
  <c r="K45" i="10"/>
  <c r="H39" i="4"/>
  <c r="I94" i="4"/>
  <c r="J94" i="4" s="1"/>
  <c r="I107" i="4"/>
  <c r="I74" i="4"/>
  <c r="J74" i="4" s="1"/>
  <c r="I8" i="4"/>
  <c r="I114" i="4"/>
  <c r="I83" i="4"/>
  <c r="I86" i="4"/>
  <c r="I106" i="4"/>
  <c r="J106" i="4" s="1"/>
  <c r="H10" i="10"/>
  <c r="I124" i="4"/>
  <c r="I70" i="4"/>
  <c r="J70" i="4" s="1"/>
  <c r="H100" i="4"/>
  <c r="H7" i="4"/>
  <c r="H23" i="4"/>
  <c r="H15" i="10"/>
  <c r="I71" i="4"/>
  <c r="J71" i="4" s="1"/>
  <c r="I125" i="4"/>
  <c r="J69" i="4" l="1"/>
  <c r="J83" i="4"/>
  <c r="J23" i="4"/>
  <c r="J72" i="4"/>
  <c r="J90" i="4"/>
  <c r="J24" i="4"/>
  <c r="J110" i="4"/>
  <c r="M67" i="37"/>
  <c r="M67" i="18"/>
  <c r="M106" i="37"/>
  <c r="M106" i="18"/>
  <c r="M107" i="37"/>
  <c r="M32" i="37"/>
  <c r="M32" i="18"/>
  <c r="M79" i="37"/>
  <c r="M79" i="18"/>
  <c r="M124" i="37"/>
  <c r="M124" i="18"/>
  <c r="M88" i="37"/>
  <c r="M88" i="18"/>
  <c r="M78" i="37"/>
  <c r="M78" i="18"/>
  <c r="M100" i="37"/>
  <c r="M100" i="18"/>
  <c r="M86" i="37"/>
  <c r="M109" i="37"/>
  <c r="M109" i="18"/>
  <c r="M74" i="37"/>
  <c r="M74" i="18"/>
  <c r="M83" i="37"/>
  <c r="M83" i="18"/>
  <c r="M99" i="37"/>
  <c r="M99" i="18"/>
  <c r="M113" i="37"/>
  <c r="M113" i="18"/>
  <c r="M117" i="37"/>
  <c r="M117" i="18"/>
  <c r="M95" i="37"/>
  <c r="M95" i="18"/>
  <c r="M28" i="37"/>
  <c r="M28" i="18"/>
  <c r="M85" i="37"/>
  <c r="M85" i="18"/>
  <c r="M72" i="37"/>
  <c r="M72" i="18"/>
  <c r="M98" i="18"/>
  <c r="M110" i="37"/>
  <c r="M9" i="37"/>
  <c r="M9" i="18"/>
  <c r="M31" i="37"/>
  <c r="M31" i="18"/>
  <c r="M8" i="37"/>
  <c r="M8" i="18"/>
  <c r="M24" i="37"/>
  <c r="M108" i="37"/>
  <c r="M108" i="18"/>
  <c r="M112" i="37"/>
  <c r="M112" i="18"/>
  <c r="J122" i="4"/>
  <c r="M23" i="37"/>
  <c r="M23" i="18"/>
  <c r="M93" i="37"/>
  <c r="M93" i="18"/>
  <c r="M121" i="37"/>
  <c r="M121" i="18"/>
  <c r="M125" i="37"/>
  <c r="M125" i="18"/>
  <c r="M30" i="37"/>
  <c r="M30" i="18"/>
  <c r="M116" i="37"/>
  <c r="M116" i="18"/>
  <c r="M77" i="18"/>
  <c r="M120" i="37"/>
  <c r="M120" i="18"/>
  <c r="M104" i="37"/>
  <c r="M104" i="18"/>
  <c r="J114" i="4"/>
  <c r="M98" i="37"/>
  <c r="M97" i="37"/>
  <c r="M97" i="13"/>
  <c r="M97" i="29"/>
  <c r="M97" i="33"/>
  <c r="M97" i="16"/>
  <c r="M77" i="37"/>
  <c r="M76" i="37"/>
  <c r="M76" i="33"/>
  <c r="M76" i="29"/>
  <c r="M76" i="13"/>
  <c r="M70" i="29"/>
  <c r="M106" i="20"/>
  <c r="M106" i="13"/>
  <c r="M106" i="23"/>
  <c r="M106" i="27"/>
  <c r="M106" i="29"/>
  <c r="M106" i="33"/>
  <c r="M106" i="16"/>
  <c r="M83" i="13"/>
  <c r="M83" i="20"/>
  <c r="M83" i="27"/>
  <c r="M83" i="33"/>
  <c r="M83" i="23"/>
  <c r="M83" i="29"/>
  <c r="M74" i="13"/>
  <c r="M74" i="20"/>
  <c r="M74" i="27"/>
  <c r="M74" i="33"/>
  <c r="M74" i="23"/>
  <c r="M74" i="29"/>
  <c r="M94" i="27"/>
  <c r="M94" i="35"/>
  <c r="M94" i="29"/>
  <c r="M94" i="16"/>
  <c r="M24" i="13"/>
  <c r="M24" i="24"/>
  <c r="M24" i="33"/>
  <c r="M24" i="29"/>
  <c r="M69" i="29"/>
  <c r="M118" i="16"/>
  <c r="M103" i="16"/>
  <c r="M88" i="13"/>
  <c r="M88" i="27"/>
  <c r="M88" i="29"/>
  <c r="M88" i="23"/>
  <c r="M88" i="16"/>
  <c r="M88" i="33"/>
  <c r="J28" i="4"/>
  <c r="M28" i="20"/>
  <c r="M28" i="25"/>
  <c r="M28" i="23"/>
  <c r="M28" i="24"/>
  <c r="M28" i="51"/>
  <c r="M28" i="29"/>
  <c r="M28" i="13"/>
  <c r="M28" i="33"/>
  <c r="M85" i="20"/>
  <c r="M85" i="13"/>
  <c r="M85" i="27"/>
  <c r="M85" i="23"/>
  <c r="M85" i="29"/>
  <c r="M85" i="33"/>
  <c r="M105" i="27"/>
  <c r="M105" i="29"/>
  <c r="M105" i="16"/>
  <c r="M121" i="23"/>
  <c r="M121" i="13"/>
  <c r="M121" i="27"/>
  <c r="M121" i="29"/>
  <c r="M121" i="33"/>
  <c r="M121" i="20"/>
  <c r="M121" i="35"/>
  <c r="M121" i="16"/>
  <c r="M71" i="29"/>
  <c r="M125" i="23"/>
  <c r="M125" i="27"/>
  <c r="M125" i="13"/>
  <c r="M125" i="29"/>
  <c r="M125" i="33"/>
  <c r="M125" i="16"/>
  <c r="M124" i="13"/>
  <c r="M124" i="23"/>
  <c r="M124" i="29"/>
  <c r="M124" i="16"/>
  <c r="M114" i="16"/>
  <c r="M114" i="33"/>
  <c r="M102" i="16"/>
  <c r="M72" i="20"/>
  <c r="M72" i="13"/>
  <c r="M72" i="23"/>
  <c r="M72" i="27"/>
  <c r="M72" i="33"/>
  <c r="M72" i="29"/>
  <c r="M72" i="35"/>
  <c r="M31" i="23"/>
  <c r="M31" i="13"/>
  <c r="M31" i="24"/>
  <c r="M31" i="35"/>
  <c r="M31" i="29"/>
  <c r="M31" i="33"/>
  <c r="M78" i="23"/>
  <c r="M78" i="27"/>
  <c r="M78" i="13"/>
  <c r="M78" i="29"/>
  <c r="M78" i="33"/>
  <c r="M113" i="23"/>
  <c r="M113" i="13"/>
  <c r="M113" i="27"/>
  <c r="M113" i="20"/>
  <c r="M113" i="29"/>
  <c r="M113" i="33"/>
  <c r="M113" i="16"/>
  <c r="M113" i="35"/>
  <c r="J116" i="4"/>
  <c r="M116" i="13"/>
  <c r="M116" i="23"/>
  <c r="M116" i="29"/>
  <c r="M116" i="33"/>
  <c r="M116" i="16"/>
  <c r="M117" i="23"/>
  <c r="M117" i="27"/>
  <c r="M117" i="13"/>
  <c r="M117" i="29"/>
  <c r="M117" i="33"/>
  <c r="M117" i="35"/>
  <c r="M117" i="16"/>
  <c r="M23" i="20"/>
  <c r="M23" i="23"/>
  <c r="M23" i="13"/>
  <c r="M23" i="35"/>
  <c r="M23" i="29"/>
  <c r="M23" i="33"/>
  <c r="M32" i="13"/>
  <c r="M32" i="20"/>
  <c r="M32" i="33"/>
  <c r="M32" i="23"/>
  <c r="M32" i="29"/>
  <c r="M104" i="13"/>
  <c r="M104" i="20"/>
  <c r="M104" i="23"/>
  <c r="M104" i="27"/>
  <c r="M104" i="33"/>
  <c r="M104" i="29"/>
  <c r="M104" i="16"/>
  <c r="M79" i="13"/>
  <c r="M79" i="20"/>
  <c r="M79" i="23"/>
  <c r="M79" i="33"/>
  <c r="M79" i="29"/>
  <c r="M79" i="27"/>
  <c r="M8" i="20"/>
  <c r="M8" i="13"/>
  <c r="M8" i="22"/>
  <c r="M8" i="24"/>
  <c r="M8" i="51"/>
  <c r="M8" i="25"/>
  <c r="M8" i="29"/>
  <c r="M8" i="33"/>
  <c r="M8" i="19"/>
  <c r="M8" i="16"/>
  <c r="M30" i="20"/>
  <c r="M30" i="13"/>
  <c r="M30" i="23"/>
  <c r="M30" i="33"/>
  <c r="M30" i="29"/>
  <c r="M30" i="35"/>
  <c r="M99" i="23"/>
  <c r="M99" i="27"/>
  <c r="M99" i="16"/>
  <c r="M99" i="29"/>
  <c r="M99" i="13"/>
  <c r="M99" i="33"/>
  <c r="M110" i="33"/>
  <c r="M110" i="16"/>
  <c r="M95" i="13"/>
  <c r="M95" i="20"/>
  <c r="M95" i="23"/>
  <c r="M95" i="27"/>
  <c r="M95" i="33"/>
  <c r="M95" i="29"/>
  <c r="M95" i="16"/>
  <c r="M120" i="13"/>
  <c r="M120" i="23"/>
  <c r="M120" i="27"/>
  <c r="M120" i="29"/>
  <c r="M120" i="33"/>
  <c r="M120" i="16"/>
  <c r="M100" i="13"/>
  <c r="M100" i="20"/>
  <c r="M100" i="29"/>
  <c r="M100" i="33"/>
  <c r="M100" i="27"/>
  <c r="M100" i="23"/>
  <c r="M100" i="16"/>
  <c r="M122" i="16"/>
  <c r="M122" i="33"/>
  <c r="M108" i="13"/>
  <c r="M108" i="23"/>
  <c r="M108" i="33"/>
  <c r="M108" i="29"/>
  <c r="M108" i="27"/>
  <c r="M108" i="16"/>
  <c r="M9" i="19"/>
  <c r="M9" i="25"/>
  <c r="M9" i="20"/>
  <c r="M9" i="22"/>
  <c r="M9" i="51"/>
  <c r="M9" i="13"/>
  <c r="M9" i="16"/>
  <c r="M9" i="29"/>
  <c r="M9" i="24"/>
  <c r="M9" i="33"/>
  <c r="M86" i="35"/>
  <c r="M86" i="29"/>
  <c r="M86" i="13"/>
  <c r="M86" i="33"/>
  <c r="J107" i="4"/>
  <c r="M107" i="13"/>
  <c r="M107" i="35"/>
  <c r="M107" i="16"/>
  <c r="M107" i="29"/>
  <c r="M107" i="33"/>
  <c r="M123" i="16"/>
  <c r="M92" i="29"/>
  <c r="M92" i="16"/>
  <c r="M98" i="20"/>
  <c r="M98" i="13"/>
  <c r="M98" i="23"/>
  <c r="M98" i="27"/>
  <c r="M98" i="29"/>
  <c r="M98" i="33"/>
  <c r="M98" i="16"/>
  <c r="M115" i="27"/>
  <c r="M115" i="16"/>
  <c r="M115" i="29"/>
  <c r="M115" i="33"/>
  <c r="M90" i="13"/>
  <c r="M90" i="16"/>
  <c r="M90" i="29"/>
  <c r="M91" i="13"/>
  <c r="M91" i="29"/>
  <c r="M91" i="16"/>
  <c r="M77" i="20"/>
  <c r="M77" i="13"/>
  <c r="M77" i="27"/>
  <c r="M77" i="23"/>
  <c r="M77" i="29"/>
  <c r="M77" i="33"/>
  <c r="M126" i="16"/>
  <c r="M67" i="13"/>
  <c r="M67" i="23"/>
  <c r="M67" i="27"/>
  <c r="M67" i="29"/>
  <c r="M67" i="16"/>
  <c r="M67" i="33"/>
  <c r="M101" i="16"/>
  <c r="M93" i="20"/>
  <c r="M93" i="13"/>
  <c r="M93" i="23"/>
  <c r="M93" i="29"/>
  <c r="M93" i="35"/>
  <c r="M93" i="27"/>
  <c r="M93" i="33"/>
  <c r="M93" i="16"/>
  <c r="M109" i="27"/>
  <c r="M109" i="13"/>
  <c r="M109" i="23"/>
  <c r="M109" i="29"/>
  <c r="M109" i="35"/>
  <c r="M109" i="16"/>
  <c r="M109" i="33"/>
  <c r="M112" i="13"/>
  <c r="M112" i="23"/>
  <c r="M112" i="27"/>
  <c r="M112" i="33"/>
  <c r="M112" i="29"/>
  <c r="M112" i="16"/>
  <c r="J108" i="4"/>
  <c r="M42" i="8"/>
  <c r="D40" i="9"/>
  <c r="N71" i="8"/>
  <c r="H65" i="9"/>
  <c r="B66" i="9"/>
  <c r="M43" i="8"/>
  <c r="D41" i="9"/>
  <c r="M38" i="8"/>
  <c r="D36" i="9"/>
  <c r="C53" i="9"/>
  <c r="N13" i="8"/>
  <c r="H52" i="9"/>
  <c r="N62" i="8"/>
  <c r="N46" i="8"/>
  <c r="G55" i="9"/>
  <c r="I15" i="9"/>
  <c r="G49" i="9"/>
  <c r="G31" i="9"/>
  <c r="M29" i="8"/>
  <c r="B71" i="9"/>
  <c r="D30" i="9"/>
  <c r="D14" i="9"/>
  <c r="B54" i="9"/>
  <c r="M14" i="8"/>
  <c r="M22" i="8"/>
  <c r="D22" i="9"/>
  <c r="B62" i="9"/>
  <c r="M36" i="8"/>
  <c r="B45" i="9"/>
  <c r="D34" i="9"/>
  <c r="G52" i="9"/>
  <c r="I12" i="9"/>
  <c r="M62" i="8"/>
  <c r="G50" i="9"/>
  <c r="M60" i="8"/>
  <c r="I10" i="9"/>
  <c r="M70" i="8"/>
  <c r="G64" i="9"/>
  <c r="I24" i="9"/>
  <c r="H54" i="9"/>
  <c r="N64" i="8"/>
  <c r="G63" i="9"/>
  <c r="N10" i="8"/>
  <c r="C50" i="9"/>
  <c r="B70" i="9"/>
  <c r="D29" i="9"/>
  <c r="M28" i="8"/>
  <c r="M87" i="8"/>
  <c r="I36" i="9"/>
  <c r="M69" i="8"/>
  <c r="G60" i="9"/>
  <c r="I20" i="9"/>
  <c r="N42" i="8"/>
  <c r="N12" i="8"/>
  <c r="C52" i="9"/>
  <c r="N22" i="8"/>
  <c r="C62" i="9"/>
  <c r="M19" i="8"/>
  <c r="B59" i="9"/>
  <c r="D19" i="9"/>
  <c r="H55" i="9"/>
  <c r="N40" i="8"/>
  <c r="D39" i="9"/>
  <c r="M41" i="8"/>
  <c r="N39" i="8"/>
  <c r="N27" i="8"/>
  <c r="C69" i="9"/>
  <c r="N63" i="8"/>
  <c r="H53" i="9"/>
  <c r="N45" i="8"/>
  <c r="M46" i="8"/>
  <c r="D44" i="9"/>
  <c r="B69" i="9"/>
  <c r="H31" i="9"/>
  <c r="J24" i="9" s="1"/>
  <c r="H49" i="9"/>
  <c r="I19" i="9"/>
  <c r="M68" i="8"/>
  <c r="G59" i="9"/>
  <c r="N93" i="8"/>
  <c r="N11" i="8"/>
  <c r="C51" i="9"/>
  <c r="M86" i="8"/>
  <c r="I35" i="9"/>
  <c r="G54" i="9"/>
  <c r="M64" i="8"/>
  <c r="H58" i="9"/>
  <c r="N67" i="8"/>
  <c r="D43" i="9"/>
  <c r="M45" i="8"/>
  <c r="H62" i="9"/>
  <c r="I21" i="9"/>
  <c r="G61" i="9"/>
  <c r="D13" i="9"/>
  <c r="M13" i="8"/>
  <c r="B53" i="9"/>
  <c r="N87" i="8"/>
  <c r="M93" i="8"/>
  <c r="B65" i="9"/>
  <c r="M25" i="8"/>
  <c r="D25" i="9"/>
  <c r="N19" i="8"/>
  <c r="C59" i="9"/>
  <c r="H59" i="9"/>
  <c r="N68" i="8"/>
  <c r="M20" i="8"/>
  <c r="D20" i="9"/>
  <c r="B60" i="9"/>
  <c r="N20" i="8"/>
  <c r="C60" i="9"/>
  <c r="D11" i="9"/>
  <c r="M11" i="8"/>
  <c r="B51" i="9"/>
  <c r="G67" i="9"/>
  <c r="M72" i="8"/>
  <c r="M88" i="8"/>
  <c r="I37" i="9"/>
  <c r="H57" i="9"/>
  <c r="G62" i="9"/>
  <c r="I27" i="9"/>
  <c r="M73" i="8"/>
  <c r="G68" i="9"/>
  <c r="G71" i="9"/>
  <c r="N73" i="8"/>
  <c r="H68" i="9"/>
  <c r="N74" i="8"/>
  <c r="H69" i="9"/>
  <c r="N95" i="8"/>
  <c r="B50" i="9"/>
  <c r="D10" i="9"/>
  <c r="M10" i="8"/>
  <c r="N43" i="8"/>
  <c r="C66" i="9"/>
  <c r="H64" i="9"/>
  <c r="N70" i="8"/>
  <c r="N88" i="8"/>
  <c r="H51" i="9"/>
  <c r="N61" i="8"/>
  <c r="C55" i="9"/>
  <c r="N15" i="8"/>
  <c r="I40" i="9"/>
  <c r="M91" i="8"/>
  <c r="B57" i="9"/>
  <c r="M17" i="8"/>
  <c r="D17" i="9"/>
  <c r="C49" i="9"/>
  <c r="C31" i="9"/>
  <c r="E16" i="9" s="1"/>
  <c r="N9" i="8"/>
  <c r="N91" i="8"/>
  <c r="C71" i="9"/>
  <c r="N29" i="8"/>
  <c r="G66" i="9"/>
  <c r="I41" i="9"/>
  <c r="M92" i="8"/>
  <c r="C68" i="9"/>
  <c r="N26" i="8"/>
  <c r="N90" i="8"/>
  <c r="D21" i="9"/>
  <c r="B61" i="9"/>
  <c r="M21" i="8"/>
  <c r="N16" i="8"/>
  <c r="C56" i="9"/>
  <c r="N94" i="8"/>
  <c r="C45" i="9"/>
  <c r="E34" i="9" s="1"/>
  <c r="N36" i="8"/>
  <c r="M40" i="8"/>
  <c r="D38" i="9"/>
  <c r="M71" i="8"/>
  <c r="I25" i="9"/>
  <c r="G65" i="9"/>
  <c r="N38" i="8"/>
  <c r="B64" i="9"/>
  <c r="D24" i="9"/>
  <c r="M24" i="8"/>
  <c r="H60" i="9"/>
  <c r="N69" i="8"/>
  <c r="D35" i="9"/>
  <c r="M37" i="8"/>
  <c r="N89" i="8"/>
  <c r="D28" i="9"/>
  <c r="M27" i="8"/>
  <c r="M61" i="8"/>
  <c r="I11" i="9"/>
  <c r="G51" i="9"/>
  <c r="H45" i="9"/>
  <c r="J38" i="9" s="1"/>
  <c r="N85" i="8"/>
  <c r="C65" i="9"/>
  <c r="N25" i="8"/>
  <c r="N37" i="8"/>
  <c r="B56" i="9"/>
  <c r="D16" i="9"/>
  <c r="M16" i="8"/>
  <c r="N21" i="8"/>
  <c r="C61" i="9"/>
  <c r="H71" i="9"/>
  <c r="N86" i="8"/>
  <c r="N23" i="8"/>
  <c r="C63" i="9"/>
  <c r="N28" i="8"/>
  <c r="C70" i="9"/>
  <c r="H50" i="9"/>
  <c r="N60" i="8"/>
  <c r="I38" i="9"/>
  <c r="M89" i="8"/>
  <c r="D12" i="9"/>
  <c r="M12" i="8"/>
  <c r="B52" i="9"/>
  <c r="C54" i="9"/>
  <c r="N14" i="8"/>
  <c r="I34" i="9"/>
  <c r="G45" i="9"/>
  <c r="F27" i="10" s="1"/>
  <c r="M85" i="8"/>
  <c r="N17" i="8"/>
  <c r="C57" i="9"/>
  <c r="H66" i="9"/>
  <c r="N92" i="8"/>
  <c r="M44" i="8"/>
  <c r="B67" i="9"/>
  <c r="M26" i="8"/>
  <c r="D27" i="9"/>
  <c r="B68" i="9"/>
  <c r="H56" i="9"/>
  <c r="M94" i="8"/>
  <c r="I43" i="9"/>
  <c r="H61" i="9"/>
  <c r="D18" i="9"/>
  <c r="M18" i="8"/>
  <c r="B58" i="9"/>
  <c r="H70" i="9"/>
  <c r="N18" i="8"/>
  <c r="C58" i="9"/>
  <c r="M95" i="8"/>
  <c r="I44" i="9"/>
  <c r="B31" i="9"/>
  <c r="B17" i="10" s="1"/>
  <c r="B49" i="9"/>
  <c r="M9" i="8"/>
  <c r="N41" i="8"/>
  <c r="M67" i="8"/>
  <c r="G58" i="9"/>
  <c r="I18" i="9"/>
  <c r="M39" i="8"/>
  <c r="D37" i="9"/>
  <c r="B55" i="9"/>
  <c r="M15" i="8"/>
  <c r="D15" i="9"/>
  <c r="D23" i="9"/>
  <c r="M23" i="8"/>
  <c r="B63" i="9"/>
  <c r="G70" i="9"/>
  <c r="C67" i="9"/>
  <c r="H63" i="9"/>
  <c r="N44" i="8"/>
  <c r="I13" i="9"/>
  <c r="G53" i="9"/>
  <c r="M63" i="8"/>
  <c r="H67" i="9"/>
  <c r="N72" i="8"/>
  <c r="I28" i="9"/>
  <c r="M74" i="8"/>
  <c r="G69" i="9"/>
  <c r="G56" i="9"/>
  <c r="I16" i="9"/>
  <c r="N24" i="8"/>
  <c r="C64" i="9"/>
  <c r="G57" i="9"/>
  <c r="I17" i="9"/>
  <c r="M90" i="8"/>
  <c r="I39" i="9"/>
  <c r="J109" i="4"/>
  <c r="J117" i="4"/>
  <c r="J125" i="4"/>
  <c r="J124" i="4"/>
  <c r="J120" i="4"/>
  <c r="J8" i="4"/>
  <c r="J112" i="4"/>
  <c r="J78" i="4"/>
  <c r="J9" i="4"/>
  <c r="J67" i="4"/>
  <c r="J86" i="4"/>
  <c r="J113" i="4"/>
  <c r="J88" i="4"/>
  <c r="J99" i="4"/>
  <c r="J100" i="4"/>
  <c r="J121" i="4"/>
  <c r="J77" i="4"/>
  <c r="J79" i="4"/>
  <c r="J98" i="4"/>
  <c r="K21" i="10"/>
  <c r="H75" i="4"/>
  <c r="H25" i="10"/>
  <c r="G55" i="10"/>
  <c r="H136" i="4"/>
  <c r="H96" i="4"/>
  <c r="K42" i="10"/>
  <c r="G53" i="10"/>
  <c r="H29" i="4"/>
  <c r="H89" i="4"/>
  <c r="K12" i="10"/>
  <c r="K14" i="10"/>
  <c r="K23" i="10"/>
  <c r="H87" i="4"/>
  <c r="H111" i="4"/>
  <c r="K44" i="10"/>
  <c r="K24" i="10"/>
  <c r="G46" i="10"/>
  <c r="H43" i="10"/>
  <c r="H31" i="4"/>
  <c r="J31" i="4" s="1"/>
  <c r="H32" i="4"/>
  <c r="J32" i="4" s="1"/>
  <c r="J10" i="10"/>
  <c r="D10" i="10"/>
  <c r="J24" i="10"/>
  <c r="D24" i="10"/>
  <c r="I25" i="4"/>
  <c r="J25" i="4" s="1"/>
  <c r="B60" i="10"/>
  <c r="D38" i="10"/>
  <c r="J38" i="10"/>
  <c r="I37" i="4"/>
  <c r="E37" i="16"/>
  <c r="F55" i="10"/>
  <c r="H33" i="10"/>
  <c r="D23" i="10"/>
  <c r="J23" i="10"/>
  <c r="H34" i="4"/>
  <c r="H134" i="4"/>
  <c r="J14" i="10"/>
  <c r="D14" i="10"/>
  <c r="I87" i="4"/>
  <c r="J11" i="10"/>
  <c r="L11" i="10" s="1"/>
  <c r="D11" i="10"/>
  <c r="K32" i="10"/>
  <c r="C54" i="10"/>
  <c r="K15" i="10"/>
  <c r="H41" i="10"/>
  <c r="F46" i="10"/>
  <c r="D42" i="10"/>
  <c r="J42" i="10"/>
  <c r="C52" i="10"/>
  <c r="C35" i="10"/>
  <c r="K30" i="10"/>
  <c r="H23" i="10"/>
  <c r="K25" i="10"/>
  <c r="D33" i="10"/>
  <c r="B55" i="10"/>
  <c r="J33" i="10"/>
  <c r="D45" i="10"/>
  <c r="J45" i="10"/>
  <c r="L45" i="10" s="1"/>
  <c r="J16" i="10"/>
  <c r="L16" i="10" s="1"/>
  <c r="D16" i="10"/>
  <c r="I75" i="4"/>
  <c r="I137" i="4"/>
  <c r="D22" i="10"/>
  <c r="J22" i="10"/>
  <c r="G54" i="10"/>
  <c r="J31" i="10"/>
  <c r="B53" i="10"/>
  <c r="D31" i="10"/>
  <c r="J15" i="10"/>
  <c r="D15" i="10"/>
  <c r="I96" i="4"/>
  <c r="H20" i="10"/>
  <c r="K22" i="10"/>
  <c r="K10" i="10"/>
  <c r="D44" i="10"/>
  <c r="J44" i="10"/>
  <c r="I111" i="4"/>
  <c r="C55" i="10"/>
  <c r="K33" i="10"/>
  <c r="J13" i="10"/>
  <c r="D13" i="10"/>
  <c r="K13" i="10"/>
  <c r="H35" i="4"/>
  <c r="C56" i="10"/>
  <c r="K56" i="10" s="1"/>
  <c r="K34" i="10"/>
  <c r="I119" i="4"/>
  <c r="F35" i="10"/>
  <c r="F52" i="10"/>
  <c r="H30" i="10"/>
  <c r="I135" i="4"/>
  <c r="I29" i="4"/>
  <c r="H31" i="10"/>
  <c r="F53" i="10"/>
  <c r="I89" i="4"/>
  <c r="J32" i="10"/>
  <c r="D32" i="10"/>
  <c r="B54" i="10"/>
  <c r="I66" i="4"/>
  <c r="J20" i="10"/>
  <c r="D20" i="10"/>
  <c r="B56" i="10"/>
  <c r="J34" i="10"/>
  <c r="H66" i="4"/>
  <c r="H32" i="10"/>
  <c r="F54" i="10"/>
  <c r="I22" i="4"/>
  <c r="M22" i="51" s="1"/>
  <c r="K41" i="10"/>
  <c r="C46" i="10"/>
  <c r="H119" i="4"/>
  <c r="H137" i="4"/>
  <c r="I136" i="4"/>
  <c r="H68" i="4"/>
  <c r="I68" i="4"/>
  <c r="I38" i="4"/>
  <c r="K43" i="10"/>
  <c r="I10" i="4"/>
  <c r="H135" i="4"/>
  <c r="H12" i="4"/>
  <c r="J26" i="10"/>
  <c r="L26" i="10" s="1"/>
  <c r="D26" i="10"/>
  <c r="I34" i="4"/>
  <c r="H9" i="10"/>
  <c r="J9" i="10"/>
  <c r="L9" i="10" s="1"/>
  <c r="J49" i="10"/>
  <c r="L49" i="10" s="1"/>
  <c r="D49" i="10"/>
  <c r="D21" i="10"/>
  <c r="J21" i="10"/>
  <c r="I39" i="4"/>
  <c r="M39" i="13" s="1"/>
  <c r="I27" i="4"/>
  <c r="J27" i="4" s="1"/>
  <c r="I36" i="4"/>
  <c r="E36" i="16"/>
  <c r="B35" i="10"/>
  <c r="J30" i="10"/>
  <c r="B52" i="10"/>
  <c r="D30" i="10"/>
  <c r="I7" i="4"/>
  <c r="K60" i="10"/>
  <c r="K38" i="10"/>
  <c r="H13" i="10"/>
  <c r="G35" i="10"/>
  <c r="G52" i="10"/>
  <c r="I35" i="4"/>
  <c r="D12" i="10"/>
  <c r="J12" i="10"/>
  <c r="I12" i="4"/>
  <c r="D43" i="10"/>
  <c r="J43" i="10"/>
  <c r="I134" i="4"/>
  <c r="I11" i="4"/>
  <c r="K20" i="10"/>
  <c r="D25" i="10"/>
  <c r="J25" i="10"/>
  <c r="D41" i="10"/>
  <c r="J41" i="10"/>
  <c r="B46" i="10"/>
  <c r="K31" i="10"/>
  <c r="C53" i="10"/>
  <c r="O21" i="9"/>
  <c r="O35" i="9"/>
  <c r="M17" i="9"/>
  <c r="N41" i="9"/>
  <c r="N38" i="9"/>
  <c r="O19" i="9"/>
  <c r="M41" i="9"/>
  <c r="L16" i="9"/>
  <c r="L27" i="9"/>
  <c r="N35" i="9"/>
  <c r="M38" i="9"/>
  <c r="M19" i="9"/>
  <c r="O22" i="9"/>
  <c r="L23" i="9"/>
  <c r="N39" i="9"/>
  <c r="L13" i="9"/>
  <c r="O42" i="9"/>
  <c r="L30" i="9"/>
  <c r="N26" i="9"/>
  <c r="N12" i="9"/>
  <c r="O26" i="9"/>
  <c r="M11" i="9"/>
  <c r="M28" i="9"/>
  <c r="O41" i="9"/>
  <c r="M25" i="9"/>
  <c r="N28" i="9"/>
  <c r="O34" i="9"/>
  <c r="O40" i="9"/>
  <c r="M43" i="9"/>
  <c r="M10" i="9"/>
  <c r="L17" i="9"/>
  <c r="L38" i="9"/>
  <c r="O44" i="9"/>
  <c r="M20" i="9"/>
  <c r="M29" i="9"/>
  <c r="O12" i="9"/>
  <c r="L36" i="9"/>
  <c r="O38" i="9"/>
  <c r="N13" i="9"/>
  <c r="M16" i="9"/>
  <c r="N43" i="9"/>
  <c r="M12" i="9"/>
  <c r="O17" i="9"/>
  <c r="O25" i="9"/>
  <c r="O15" i="9"/>
  <c r="O37" i="9"/>
  <c r="O16" i="9"/>
  <c r="M9" i="9"/>
  <c r="L11" i="9"/>
  <c r="L19" i="9"/>
  <c r="M24" i="9"/>
  <c r="M13" i="9"/>
  <c r="L25" i="9"/>
  <c r="L35" i="9"/>
  <c r="M39" i="9"/>
  <c r="L21" i="9"/>
  <c r="L9" i="9"/>
  <c r="N29" i="9"/>
  <c r="O30" i="9"/>
  <c r="N24" i="9"/>
  <c r="L43" i="9"/>
  <c r="N16" i="9"/>
  <c r="L18" i="9"/>
  <c r="M42" i="9"/>
  <c r="M22" i="9"/>
  <c r="N14" i="9"/>
  <c r="N21" i="9"/>
  <c r="L24" i="9"/>
  <c r="L28" i="9"/>
  <c r="N44" i="9"/>
  <c r="N10" i="9"/>
  <c r="N34" i="9"/>
  <c r="M23" i="9"/>
  <c r="O11" i="9"/>
  <c r="N22" i="9"/>
  <c r="L29" i="9"/>
  <c r="M37" i="9"/>
  <c r="O18" i="9"/>
  <c r="M40" i="9"/>
  <c r="M44" i="9"/>
  <c r="N27" i="9"/>
  <c r="M35" i="9"/>
  <c r="O27" i="9"/>
  <c r="N23" i="9"/>
  <c r="L15" i="9"/>
  <c r="O13" i="9"/>
  <c r="O39" i="9"/>
  <c r="O23" i="9"/>
  <c r="N30" i="9"/>
  <c r="L22" i="9"/>
  <c r="N40" i="9"/>
  <c r="N19" i="9"/>
  <c r="O14" i="9"/>
  <c r="O43" i="9"/>
  <c r="O10" i="9"/>
  <c r="L10" i="9"/>
  <c r="O36" i="9"/>
  <c r="L44" i="9"/>
  <c r="L20" i="9"/>
  <c r="M30" i="9"/>
  <c r="N17" i="9"/>
  <c r="N9" i="9"/>
  <c r="L41" i="9"/>
  <c r="L34" i="9"/>
  <c r="M34" i="9"/>
  <c r="L39" i="9"/>
  <c r="L42" i="9"/>
  <c r="N11" i="9"/>
  <c r="N18" i="9"/>
  <c r="N36" i="9"/>
  <c r="M36" i="9"/>
  <c r="N20" i="9"/>
  <c r="N42" i="9"/>
  <c r="O29" i="9"/>
  <c r="M21" i="9"/>
  <c r="M27" i="9"/>
  <c r="L12" i="9"/>
  <c r="O20" i="9"/>
  <c r="L14" i="9"/>
  <c r="M26" i="9"/>
  <c r="O9" i="9"/>
  <c r="O28" i="9"/>
  <c r="N37" i="9"/>
  <c r="M14" i="9"/>
  <c r="M15" i="9"/>
  <c r="O24" i="9"/>
  <c r="M18" i="9"/>
  <c r="L37" i="9"/>
  <c r="N15" i="9"/>
  <c r="L40" i="9"/>
  <c r="N25" i="9"/>
  <c r="L26" i="9"/>
  <c r="M33" i="18" l="1"/>
  <c r="M33" i="35"/>
  <c r="M33" i="23"/>
  <c r="M33" i="33"/>
  <c r="M33" i="20"/>
  <c r="M33" i="37"/>
  <c r="M33" i="29"/>
  <c r="M35" i="37"/>
  <c r="M35" i="18"/>
  <c r="M22" i="37"/>
  <c r="M22" i="18"/>
  <c r="M29" i="37"/>
  <c r="M29" i="18"/>
  <c r="M135" i="37"/>
  <c r="M37" i="37"/>
  <c r="M137" i="37"/>
  <c r="M66" i="37"/>
  <c r="M66" i="18"/>
  <c r="M111" i="37"/>
  <c r="M111" i="18"/>
  <c r="M10" i="37"/>
  <c r="M10" i="18"/>
  <c r="M136" i="37"/>
  <c r="M75" i="37"/>
  <c r="M134" i="37"/>
  <c r="M36" i="37"/>
  <c r="M12" i="37"/>
  <c r="M12" i="18"/>
  <c r="M89" i="37"/>
  <c r="M89" i="18"/>
  <c r="M87" i="37"/>
  <c r="M87" i="18"/>
  <c r="M25" i="37"/>
  <c r="M25" i="18"/>
  <c r="M11" i="37"/>
  <c r="M11" i="18"/>
  <c r="M7" i="37"/>
  <c r="M7" i="18"/>
  <c r="M34" i="37"/>
  <c r="M34" i="18"/>
  <c r="M119" i="37"/>
  <c r="M119" i="18"/>
  <c r="M68" i="37"/>
  <c r="M68" i="18"/>
  <c r="M96" i="37"/>
  <c r="L24" i="10"/>
  <c r="L14" i="10"/>
  <c r="J39" i="4"/>
  <c r="J75" i="4"/>
  <c r="J96" i="4"/>
  <c r="L15" i="10"/>
  <c r="L51" i="9"/>
  <c r="L71" i="9"/>
  <c r="N58" i="9"/>
  <c r="M45" i="9"/>
  <c r="M69" i="9"/>
  <c r="O68" i="9"/>
  <c r="L54" i="9"/>
  <c r="M51" i="9"/>
  <c r="M56" i="9"/>
  <c r="O56" i="9"/>
  <c r="N61" i="9"/>
  <c r="O71" i="9"/>
  <c r="O55" i="9"/>
  <c r="M61" i="9"/>
  <c r="N56" i="9"/>
  <c r="N53" i="9"/>
  <c r="O70" i="9"/>
  <c r="M68" i="9"/>
  <c r="L56" i="9"/>
  <c r="L65" i="9"/>
  <c r="M67" i="9"/>
  <c r="L58" i="9"/>
  <c r="L64" i="9"/>
  <c r="M60" i="9"/>
  <c r="L70" i="9"/>
  <c r="M49" i="9"/>
  <c r="M31" i="9"/>
  <c r="O54" i="9"/>
  <c r="L45" i="9"/>
  <c r="L53" i="9"/>
  <c r="O66" i="9"/>
  <c r="L50" i="9"/>
  <c r="N67" i="9"/>
  <c r="N63" i="9"/>
  <c r="M71" i="9"/>
  <c r="N49" i="9"/>
  <c r="N31" i="9"/>
  <c r="M62" i="9"/>
  <c r="O45" i="9"/>
  <c r="N55" i="9"/>
  <c r="O51" i="9"/>
  <c r="O50" i="9"/>
  <c r="L61" i="9"/>
  <c r="M63" i="9"/>
  <c r="N66" i="9"/>
  <c r="N71" i="9"/>
  <c r="M64" i="9"/>
  <c r="O64" i="9"/>
  <c r="N69" i="9"/>
  <c r="O59" i="9"/>
  <c r="L62" i="9"/>
  <c r="L69" i="9"/>
  <c r="L57" i="9"/>
  <c r="N65" i="9"/>
  <c r="N54" i="9"/>
  <c r="L66" i="9"/>
  <c r="O61" i="9"/>
  <c r="O60" i="9"/>
  <c r="O69" i="9"/>
  <c r="L59" i="9"/>
  <c r="O65" i="9"/>
  <c r="N51" i="9"/>
  <c r="L60" i="9"/>
  <c r="N50" i="9"/>
  <c r="M70" i="9"/>
  <c r="N64" i="9"/>
  <c r="M54" i="9"/>
  <c r="M66" i="9"/>
  <c r="O49" i="9"/>
  <c r="O31" i="9"/>
  <c r="O67" i="9"/>
  <c r="M58" i="9"/>
  <c r="M59" i="9"/>
  <c r="L63" i="9"/>
  <c r="M50" i="9"/>
  <c r="N70" i="9"/>
  <c r="O63" i="9"/>
  <c r="N52" i="9"/>
  <c r="O57" i="9"/>
  <c r="M57" i="9"/>
  <c r="L68" i="9"/>
  <c r="M53" i="9"/>
  <c r="M55" i="9"/>
  <c r="N45" i="9"/>
  <c r="N62" i="9"/>
  <c r="N57" i="9"/>
  <c r="L67" i="9"/>
  <c r="M52" i="9"/>
  <c r="N60" i="9"/>
  <c r="N59" i="9"/>
  <c r="L31" i="9"/>
  <c r="L49" i="9"/>
  <c r="M65" i="9"/>
  <c r="L55" i="9"/>
  <c r="O58" i="9"/>
  <c r="O53" i="9"/>
  <c r="O52" i="9"/>
  <c r="N68" i="9"/>
  <c r="O62" i="9"/>
  <c r="L52" i="9"/>
  <c r="L42" i="10"/>
  <c r="J11" i="4"/>
  <c r="M11" i="13"/>
  <c r="M11" i="33"/>
  <c r="M11" i="23"/>
  <c r="M11" i="29"/>
  <c r="M11" i="35"/>
  <c r="M11" i="16"/>
  <c r="M27" i="29"/>
  <c r="J10" i="4"/>
  <c r="M10" i="19"/>
  <c r="M10" i="20"/>
  <c r="M10" i="25"/>
  <c r="M10" i="23"/>
  <c r="M10" i="22"/>
  <c r="M10" i="13"/>
  <c r="M10" i="24"/>
  <c r="M10" i="35"/>
  <c r="M10" i="51"/>
  <c r="M10" i="16"/>
  <c r="M10" i="29"/>
  <c r="M10" i="33"/>
  <c r="M68" i="20"/>
  <c r="M68" i="13"/>
  <c r="M68" i="27"/>
  <c r="M68" i="23"/>
  <c r="M68" i="29"/>
  <c r="M68" i="35"/>
  <c r="M68" i="33"/>
  <c r="M136" i="26"/>
  <c r="M136" i="16"/>
  <c r="M119" i="23"/>
  <c r="M119" i="20"/>
  <c r="M119" i="27"/>
  <c r="M119" i="13"/>
  <c r="M119" i="35"/>
  <c r="M119" i="16"/>
  <c r="M119" i="29"/>
  <c r="M119" i="33"/>
  <c r="M111" i="23"/>
  <c r="M111" i="20"/>
  <c r="M111" i="27"/>
  <c r="M111" i="35"/>
  <c r="M111" i="29"/>
  <c r="M111" i="16"/>
  <c r="M111" i="13"/>
  <c r="M111" i="33"/>
  <c r="J7" i="4"/>
  <c r="M7" i="19"/>
  <c r="M7" i="13"/>
  <c r="M7" i="23"/>
  <c r="M7" i="22"/>
  <c r="M7" i="25"/>
  <c r="M7" i="20"/>
  <c r="M7" i="24"/>
  <c r="M7" i="29"/>
  <c r="M7" i="16"/>
  <c r="M7" i="51"/>
  <c r="M7" i="35"/>
  <c r="M7" i="33"/>
  <c r="J22" i="4"/>
  <c r="M22" i="20"/>
  <c r="M22" i="13"/>
  <c r="M22" i="24"/>
  <c r="M22" i="23"/>
  <c r="M22" i="29"/>
  <c r="M22" i="35"/>
  <c r="M22" i="33"/>
  <c r="M29" i="23"/>
  <c r="M29" i="13"/>
  <c r="M29" i="29"/>
  <c r="M29" i="35"/>
  <c r="M29" i="24"/>
  <c r="M29" i="20"/>
  <c r="M29" i="33"/>
  <c r="M137" i="26"/>
  <c r="M137" i="16"/>
  <c r="M87" i="13"/>
  <c r="M87" i="20"/>
  <c r="M87" i="23"/>
  <c r="M87" i="27"/>
  <c r="M87" i="33"/>
  <c r="M87" i="29"/>
  <c r="M87" i="35"/>
  <c r="J9" i="9"/>
  <c r="M35" i="13"/>
  <c r="M35" i="23"/>
  <c r="M35" i="29"/>
  <c r="M35" i="35"/>
  <c r="M35" i="33"/>
  <c r="M35" i="16"/>
  <c r="M39" i="16"/>
  <c r="M34" i="13"/>
  <c r="M34" i="23"/>
  <c r="M34" i="29"/>
  <c r="M34" i="35"/>
  <c r="M34" i="33"/>
  <c r="M38" i="16"/>
  <c r="M66" i="13"/>
  <c r="M66" i="20"/>
  <c r="M66" i="27"/>
  <c r="M66" i="35"/>
  <c r="M66" i="33"/>
  <c r="M66" i="23"/>
  <c r="M66" i="29"/>
  <c r="M66" i="16"/>
  <c r="M89" i="20"/>
  <c r="M89" i="13"/>
  <c r="M89" i="23"/>
  <c r="M89" i="27"/>
  <c r="M89" i="29"/>
  <c r="M89" i="35"/>
  <c r="M89" i="33"/>
  <c r="M89" i="16"/>
  <c r="M96" i="16"/>
  <c r="M96" i="33"/>
  <c r="M75" i="33"/>
  <c r="J37" i="4"/>
  <c r="M37" i="13"/>
  <c r="M37" i="16"/>
  <c r="I69" i="9"/>
  <c r="M134" i="26"/>
  <c r="M134" i="16"/>
  <c r="M134" i="34"/>
  <c r="M12" i="13"/>
  <c r="M12" i="23"/>
  <c r="M12" i="29"/>
  <c r="M12" i="35"/>
  <c r="M12" i="16"/>
  <c r="M12" i="33"/>
  <c r="J36" i="4"/>
  <c r="M36" i="13"/>
  <c r="M36" i="16"/>
  <c r="L21" i="10"/>
  <c r="H53" i="10"/>
  <c r="M135" i="13"/>
  <c r="M135" i="26"/>
  <c r="M135" i="34"/>
  <c r="M135" i="16"/>
  <c r="M25" i="23"/>
  <c r="M25" i="13"/>
  <c r="M25" i="20"/>
  <c r="M25" i="29"/>
  <c r="M25" i="33"/>
  <c r="L31" i="10"/>
  <c r="L22" i="10"/>
  <c r="L12" i="10"/>
  <c r="L10" i="10"/>
  <c r="I66" i="9"/>
  <c r="I64" i="9"/>
  <c r="I60" i="9"/>
  <c r="I56" i="9"/>
  <c r="I53" i="9"/>
  <c r="I31" i="9"/>
  <c r="I50" i="9"/>
  <c r="D66" i="9"/>
  <c r="D45" i="9"/>
  <c r="D50" i="9"/>
  <c r="G17" i="10"/>
  <c r="E37" i="9"/>
  <c r="E41" i="9"/>
  <c r="E35" i="9"/>
  <c r="E36" i="9"/>
  <c r="E44" i="9"/>
  <c r="D31" i="9"/>
  <c r="E43" i="9"/>
  <c r="E40" i="9"/>
  <c r="E42" i="9"/>
  <c r="F17" i="10"/>
  <c r="J17" i="10" s="1"/>
  <c r="E39" i="9"/>
  <c r="E38" i="9"/>
  <c r="B27" i="10"/>
  <c r="J27" i="10" s="1"/>
  <c r="J34" i="9"/>
  <c r="E20" i="9"/>
  <c r="C72" i="9"/>
  <c r="E70" i="9" s="1"/>
  <c r="D70" i="9" s="1"/>
  <c r="E11" i="9"/>
  <c r="J40" i="9"/>
  <c r="E23" i="9"/>
  <c r="J12" i="9"/>
  <c r="E15" i="9"/>
  <c r="G27" i="10"/>
  <c r="H27" i="10" s="1"/>
  <c r="J26" i="9"/>
  <c r="E19" i="9"/>
  <c r="E13" i="9"/>
  <c r="J20" i="9"/>
  <c r="J14" i="9"/>
  <c r="H72" i="9"/>
  <c r="J71" i="9" s="1"/>
  <c r="E29" i="9"/>
  <c r="E22" i="9"/>
  <c r="E17" i="9"/>
  <c r="E18" i="9"/>
  <c r="J10" i="9"/>
  <c r="J18" i="9"/>
  <c r="J30" i="9"/>
  <c r="J13" i="9"/>
  <c r="J11" i="9"/>
  <c r="J15" i="9"/>
  <c r="B72" i="9"/>
  <c r="E25" i="9"/>
  <c r="E9" i="9"/>
  <c r="E14" i="9"/>
  <c r="E10" i="9"/>
  <c r="C17" i="10"/>
  <c r="D17" i="10" s="1"/>
  <c r="J27" i="9"/>
  <c r="C27" i="10"/>
  <c r="J22" i="9"/>
  <c r="J16" i="9"/>
  <c r="J19" i="9"/>
  <c r="J17" i="9"/>
  <c r="J25" i="9"/>
  <c r="E30" i="9"/>
  <c r="E12" i="9"/>
  <c r="E21" i="9"/>
  <c r="E24" i="9"/>
  <c r="E26" i="9"/>
  <c r="E27" i="9"/>
  <c r="E28" i="9"/>
  <c r="J23" i="9"/>
  <c r="J28" i="9"/>
  <c r="J29" i="9"/>
  <c r="J21" i="9"/>
  <c r="J41" i="9"/>
  <c r="J43" i="9"/>
  <c r="J42" i="9"/>
  <c r="G72" i="9"/>
  <c r="J35" i="9"/>
  <c r="J36" i="9"/>
  <c r="J39" i="9"/>
  <c r="I45" i="9"/>
  <c r="J37" i="9"/>
  <c r="J44" i="9"/>
  <c r="J119" i="4"/>
  <c r="J137" i="4"/>
  <c r="J135" i="4"/>
  <c r="J111" i="4"/>
  <c r="J12" i="4"/>
  <c r="J66" i="4"/>
  <c r="J35" i="4"/>
  <c r="J134" i="4"/>
  <c r="J34" i="4"/>
  <c r="J136" i="4"/>
  <c r="J68" i="4"/>
  <c r="J89" i="4"/>
  <c r="J87" i="4"/>
  <c r="J29" i="4"/>
  <c r="K53" i="10"/>
  <c r="K55" i="10"/>
  <c r="L44" i="10"/>
  <c r="L23" i="10"/>
  <c r="H55" i="10"/>
  <c r="L30" i="10"/>
  <c r="G57" i="10"/>
  <c r="L32" i="10"/>
  <c r="H54" i="10"/>
  <c r="L43" i="10"/>
  <c r="K46" i="10"/>
  <c r="H46" i="10"/>
  <c r="L41" i="10"/>
  <c r="L13" i="10"/>
  <c r="L25" i="10"/>
  <c r="H30" i="4"/>
  <c r="J30" i="4" s="1"/>
  <c r="K54" i="10"/>
  <c r="L38" i="10"/>
  <c r="D46" i="10"/>
  <c r="J46" i="10"/>
  <c r="D52" i="10"/>
  <c r="J52" i="10"/>
  <c r="B57" i="10"/>
  <c r="J54" i="10"/>
  <c r="D54" i="10"/>
  <c r="F57" i="10"/>
  <c r="H52" i="10"/>
  <c r="L33" i="10"/>
  <c r="K35" i="10"/>
  <c r="L20" i="10"/>
  <c r="H35" i="10"/>
  <c r="J53" i="10"/>
  <c r="D53" i="10"/>
  <c r="D55" i="10"/>
  <c r="J55" i="10"/>
  <c r="K52" i="10"/>
  <c r="C57" i="10"/>
  <c r="J60" i="10"/>
  <c r="L60" i="10" s="1"/>
  <c r="D60" i="10"/>
  <c r="J35" i="10"/>
  <c r="D35" i="10"/>
  <c r="D56" i="10"/>
  <c r="J56" i="10"/>
  <c r="L56" i="10" s="1"/>
  <c r="L55" i="10" l="1"/>
  <c r="M72" i="9"/>
  <c r="O72" i="9"/>
  <c r="L72" i="9"/>
  <c r="N72" i="9"/>
  <c r="L53" i="10"/>
  <c r="J45" i="9"/>
  <c r="J31" i="9"/>
  <c r="I72" i="9"/>
  <c r="E45" i="9"/>
  <c r="D72" i="9"/>
  <c r="H17" i="10"/>
  <c r="E55" i="9"/>
  <c r="D55" i="9" s="1"/>
  <c r="E61" i="9"/>
  <c r="D61" i="9" s="1"/>
  <c r="E54" i="9"/>
  <c r="D54" i="9" s="1"/>
  <c r="E53" i="9"/>
  <c r="D53" i="9" s="1"/>
  <c r="J56" i="9"/>
  <c r="J55" i="9"/>
  <c r="I55" i="9" s="1"/>
  <c r="D27" i="10"/>
  <c r="E57" i="9"/>
  <c r="D57" i="9" s="1"/>
  <c r="E63" i="9"/>
  <c r="D63" i="9" s="1"/>
  <c r="E58" i="9"/>
  <c r="D58" i="9" s="1"/>
  <c r="E64" i="9"/>
  <c r="D64" i="9" s="1"/>
  <c r="K27" i="10"/>
  <c r="L27" i="10" s="1"/>
  <c r="J66" i="9"/>
  <c r="J63" i="9"/>
  <c r="J52" i="9"/>
  <c r="I52" i="9" s="1"/>
  <c r="J59" i="9"/>
  <c r="I59" i="9" s="1"/>
  <c r="E59" i="9"/>
  <c r="D59" i="9" s="1"/>
  <c r="E51" i="9"/>
  <c r="D51" i="9" s="1"/>
  <c r="E50" i="9"/>
  <c r="E49" i="9"/>
  <c r="E66" i="9"/>
  <c r="E71" i="9"/>
  <c r="D71" i="9" s="1"/>
  <c r="E68" i="9"/>
  <c r="D68" i="9" s="1"/>
  <c r="E62" i="9"/>
  <c r="D62" i="9" s="1"/>
  <c r="K17" i="10"/>
  <c r="L17" i="10" s="1"/>
  <c r="J62" i="9"/>
  <c r="J51" i="9"/>
  <c r="I51" i="9" s="1"/>
  <c r="J57" i="9"/>
  <c r="I57" i="9" s="1"/>
  <c r="J64" i="9"/>
  <c r="J58" i="9"/>
  <c r="I58" i="9" s="1"/>
  <c r="J65" i="9"/>
  <c r="I65" i="9" s="1"/>
  <c r="J53" i="9"/>
  <c r="J60" i="9"/>
  <c r="J70" i="9"/>
  <c r="J50" i="9"/>
  <c r="J61" i="9"/>
  <c r="I61" i="9" s="1"/>
  <c r="J54" i="9"/>
  <c r="J68" i="9"/>
  <c r="I68" i="9" s="1"/>
  <c r="J69" i="9"/>
  <c r="J49" i="9"/>
  <c r="J67" i="9"/>
  <c r="E60" i="9"/>
  <c r="D60" i="9" s="1"/>
  <c r="E65" i="9"/>
  <c r="D65" i="9" s="1"/>
  <c r="E52" i="9"/>
  <c r="D52" i="9" s="1"/>
  <c r="E56" i="9"/>
  <c r="D56" i="9" s="1"/>
  <c r="E67" i="9"/>
  <c r="E69" i="9"/>
  <c r="D69" i="9" s="1"/>
  <c r="E31" i="9"/>
  <c r="K57" i="10"/>
  <c r="H57" i="10"/>
  <c r="L46" i="10"/>
  <c r="L35" i="10"/>
  <c r="L54" i="10"/>
  <c r="J57" i="10"/>
  <c r="D57" i="10"/>
  <c r="L52" i="10"/>
  <c r="J72" i="9" l="1"/>
  <c r="E72" i="9"/>
  <c r="L57" i="10"/>
</calcChain>
</file>

<file path=xl/connections.xml><?xml version="1.0" encoding="utf-8"?>
<connections xmlns="http://schemas.openxmlformats.org/spreadsheetml/2006/main">
  <connection id="1" keepAlive="1" name="Spørring - Data" description="Tilkobling til spørringen Data i arbeidsboken." type="5" refreshedVersion="6" background="1" refreshOnLoad="1">
    <dbPr connection="Provider=Microsoft.Mashup.OleDb.1;Data Source=$Workbook$;Location=Data;Extended Properties=&quot;&quot;" command="SELECT * FROM [Data]"/>
  </connection>
</connections>
</file>

<file path=xl/sharedStrings.xml><?xml version="1.0" encoding="utf-8"?>
<sst xmlns="http://schemas.openxmlformats.org/spreadsheetml/2006/main" count="6148" uniqueCount="506">
  <si>
    <t>Produkter uten investeringsvalg</t>
  </si>
  <si>
    <t>Produkter med investeringsvalg</t>
  </si>
  <si>
    <t>Totalt</t>
  </si>
  <si>
    <t>Endring</t>
  </si>
  <si>
    <t>i %</t>
  </si>
  <si>
    <t xml:space="preserve">                     </t>
  </si>
  <si>
    <t xml:space="preserve">      Gjeldsgruppeliv</t>
  </si>
  <si>
    <t xml:space="preserve">      Foreningsgruppeliv</t>
  </si>
  <si>
    <t xml:space="preserve">      Andre grupper</t>
  </si>
  <si>
    <t xml:space="preserve">   Ytelsesbasert</t>
  </si>
  <si>
    <t xml:space="preserve">   Innskuddsbasert</t>
  </si>
  <si>
    <t xml:space="preserve">      herav kapitaliseringsprodukt IPA+IPS</t>
  </si>
  <si>
    <t xml:space="preserve">        Inv.valg foretak</t>
  </si>
  <si>
    <t xml:space="preserve">        Inv.valg kontohaver</t>
  </si>
  <si>
    <t xml:space="preserve">    Til pensjonskasser</t>
  </si>
  <si>
    <t xml:space="preserve">    Fra pensjonskasser</t>
  </si>
  <si>
    <t>Noter til tabellene</t>
  </si>
  <si>
    <t>Gruppeliv bedrift tilsvarer tjenestegruppeliv.</t>
  </si>
  <si>
    <t>Gruppeliv privat består av foreningsgruppeliv, gjeldsgruppeliv og annet.</t>
  </si>
  <si>
    <t xml:space="preserve">Engangsbetalt alderspensjon er innskuddsbasert pensjon med dødelighetsarv. </t>
  </si>
  <si>
    <t>LOF/LOI betyr lov om foretakspensjon og lov om innskuddspensjon.</t>
  </si>
  <si>
    <t>Overførte reserver fra andre tilsvarer post 1.3 i resultatregnskapet samt overførte tilleggsavsetninger som tilsvarer post 6.6 i  resultatregnskapet.</t>
  </si>
  <si>
    <t>Flytting av en gruppelivsordning fra andre eller til andre måles i brutto årlig premie (ikke brutto forfalt premie).</t>
  </si>
  <si>
    <r>
      <t>Overførte reserver til andre</t>
    </r>
    <r>
      <rPr>
        <b/>
        <vertAlign val="superscript"/>
        <sz val="10"/>
        <rFont val="Times New Roman"/>
        <family val="1"/>
      </rPr>
      <t xml:space="preserve"> 7</t>
    </r>
  </si>
  <si>
    <r>
      <t xml:space="preserve">Overførte reserver fra andre </t>
    </r>
    <r>
      <rPr>
        <b/>
        <vertAlign val="superscript"/>
        <sz val="10"/>
        <rFont val="Times New Roman"/>
        <family val="1"/>
      </rPr>
      <t>6</t>
    </r>
  </si>
  <si>
    <r>
      <t xml:space="preserve">Forsikringsforpliktelser </t>
    </r>
    <r>
      <rPr>
        <b/>
        <vertAlign val="superscript"/>
        <sz val="10"/>
        <rFont val="Times New Roman"/>
        <family val="1"/>
      </rPr>
      <t>5</t>
    </r>
  </si>
  <si>
    <r>
      <t xml:space="preserve">Brutto forfalt premie </t>
    </r>
    <r>
      <rPr>
        <b/>
        <vertAlign val="superscript"/>
        <sz val="10"/>
        <rFont val="Times New Roman"/>
        <family val="1"/>
      </rPr>
      <t>1</t>
    </r>
  </si>
  <si>
    <r>
      <t xml:space="preserve">    Herav brutto risikopremie uførekapital </t>
    </r>
    <r>
      <rPr>
        <vertAlign val="superscript"/>
        <sz val="10"/>
        <rFont val="Times New Roman"/>
        <family val="1"/>
      </rPr>
      <t>2</t>
    </r>
  </si>
  <si>
    <r>
      <t xml:space="preserve">    Herav brutto risikopremie død </t>
    </r>
    <r>
      <rPr>
        <vertAlign val="superscript"/>
        <sz val="10"/>
        <rFont val="Times New Roman"/>
        <family val="1"/>
      </rPr>
      <t>2</t>
    </r>
  </si>
  <si>
    <t xml:space="preserve">   Etter tjenestepensjonsloven</t>
  </si>
  <si>
    <t>Tabell 5: Kommunale ordninger</t>
  </si>
  <si>
    <t>Tabell 1 : Individuell kapitalforsikring*</t>
  </si>
  <si>
    <t>Markeds-</t>
  </si>
  <si>
    <t>andel</t>
  </si>
  <si>
    <t>INNHOLDSFORTEGNELSE</t>
  </si>
  <si>
    <t>FIGURER</t>
  </si>
  <si>
    <t>Figur 1</t>
  </si>
  <si>
    <t>Brutto forfalt premie livprodukter - produkter uten investeringsvalg</t>
  </si>
  <si>
    <t>Figur 2</t>
  </si>
  <si>
    <t>Brutto forfalt premie livprodukter - produkter med investeringsvalg</t>
  </si>
  <si>
    <t>Figur 3</t>
  </si>
  <si>
    <t>Figur 4</t>
  </si>
  <si>
    <t>Figur 5</t>
  </si>
  <si>
    <t>Forsikringsforpliktelser livprodukter - produkter uten investeringsvalg</t>
  </si>
  <si>
    <t>Figur 6</t>
  </si>
  <si>
    <t>Forsikringsforpliktelser livprodukter - produkter med investeringsvalg</t>
  </si>
  <si>
    <t>Netto tilflytting livprodukter - produkter uten investeringsvalg</t>
  </si>
  <si>
    <t>Netto tilflytting livprodukter - produkter med investeringsvalg</t>
  </si>
  <si>
    <t>TABELLER</t>
  </si>
  <si>
    <t>MARKEDSDEL</t>
  </si>
  <si>
    <t>Tabell 1.1</t>
  </si>
  <si>
    <t>Hovedtall - produkter uten  og med investeringsvalg</t>
  </si>
  <si>
    <t>Tabell 1.2</t>
  </si>
  <si>
    <t>Hovedtall - fordelt på bransjer</t>
  </si>
  <si>
    <t>NOTER OG KOMMENTARER</t>
  </si>
  <si>
    <t>Tilbake</t>
  </si>
  <si>
    <t xml:space="preserve">Brutto forfalt premie livprodukter </t>
  </si>
  <si>
    <t>ACE</t>
  </si>
  <si>
    <t>Danica Pensjon</t>
  </si>
  <si>
    <t>DNB Liv</t>
  </si>
  <si>
    <t>Eika Forsikring</t>
  </si>
  <si>
    <t>Frende Livsfors</t>
  </si>
  <si>
    <t>Frende Skade</t>
  </si>
  <si>
    <t>Gjensidige Fors</t>
  </si>
  <si>
    <t>Gjensidige Pensj</t>
  </si>
  <si>
    <t>Handelsb Liv</t>
  </si>
  <si>
    <t>If Skadefors</t>
  </si>
  <si>
    <t>KLP</t>
  </si>
  <si>
    <t>KLP Bedriftsp</t>
  </si>
  <si>
    <t>KLP Skadef</t>
  </si>
  <si>
    <t>Landbruksfors.</t>
  </si>
  <si>
    <t>NEMI</t>
  </si>
  <si>
    <t>Nordea Liv</t>
  </si>
  <si>
    <t>OPF</t>
  </si>
  <si>
    <t>SpareBank 1</t>
  </si>
  <si>
    <t xml:space="preserve">Storebrand </t>
  </si>
  <si>
    <t>Telenor Fors</t>
  </si>
  <si>
    <t>Tryg Fors</t>
  </si>
  <si>
    <t>SHB Liv</t>
  </si>
  <si>
    <t>Silver</t>
  </si>
  <si>
    <t>Storebrand</t>
  </si>
  <si>
    <t>Forsikringsforpliktelser i livsforsikring</t>
  </si>
  <si>
    <t xml:space="preserve">Netto tilflytting </t>
  </si>
  <si>
    <t>Netto tilflytting</t>
  </si>
  <si>
    <t>Markedsdel, endelig år</t>
  </si>
  <si>
    <t>Tabell 1.1 Hovedtall</t>
  </si>
  <si>
    <t>Produkter med og uten investeringsvalg</t>
  </si>
  <si>
    <r>
      <t>Brutto forfalt premie</t>
    </r>
    <r>
      <rPr>
        <sz val="14"/>
        <rFont val="Times New Roman"/>
        <family val="1"/>
      </rPr>
      <t xml:space="preserve"> </t>
    </r>
    <r>
      <rPr>
        <vertAlign val="superscript"/>
        <sz val="14"/>
        <rFont val="Times New Roman"/>
        <family val="1"/>
      </rPr>
      <t>1)</t>
    </r>
  </si>
  <si>
    <r>
      <t>Forsikringsforpliktelser</t>
    </r>
    <r>
      <rPr>
        <sz val="14"/>
        <rFont val="Times New Roman"/>
        <family val="1"/>
      </rPr>
      <t xml:space="preserve"> </t>
    </r>
    <r>
      <rPr>
        <vertAlign val="superscript"/>
        <sz val="14"/>
        <rFont val="Times New Roman"/>
        <family val="1"/>
      </rPr>
      <t>9)</t>
    </r>
  </si>
  <si>
    <t>%-</t>
  </si>
  <si>
    <t>Beløp i 1000  kroner</t>
  </si>
  <si>
    <t>endring</t>
  </si>
  <si>
    <t>ACE European Group</t>
  </si>
  <si>
    <t>Danica Pensjonsforsikring</t>
  </si>
  <si>
    <t>DNB Livsforsikring</t>
  </si>
  <si>
    <t>Eika Forsikring AS</t>
  </si>
  <si>
    <t>Frende Livsforsikring</t>
  </si>
  <si>
    <t>Frende Skadeforsikring</t>
  </si>
  <si>
    <t>Gjensidige Forsikring</t>
  </si>
  <si>
    <t>Gjensidige Pensjon</t>
  </si>
  <si>
    <t>Handelsbanken Liv</t>
  </si>
  <si>
    <t>If Skadeforsikring NUF</t>
  </si>
  <si>
    <t>KLP Bedriftspensjon AS</t>
  </si>
  <si>
    <t>KLP Skadeforsikring AS</t>
  </si>
  <si>
    <t>Landbruksforsikring AS</t>
  </si>
  <si>
    <t>NEMI Forsikring</t>
  </si>
  <si>
    <t xml:space="preserve">Nordea Liv </t>
  </si>
  <si>
    <t>Oslo Pensjonsforsikring</t>
  </si>
  <si>
    <t>Silver Pensjonsforsikring AS</t>
  </si>
  <si>
    <t>Storebrand Livsforsikring</t>
  </si>
  <si>
    <t>Telenor Forsikring</t>
  </si>
  <si>
    <t>Tryg Forsikring</t>
  </si>
  <si>
    <t>Totalt uten investeringsvalg</t>
  </si>
  <si>
    <t>Totalt med investeringsvalg</t>
  </si>
  <si>
    <t>Alle produkter</t>
  </si>
  <si>
    <t>Noter : Se "Noter og kommentarer"</t>
  </si>
  <si>
    <t>Tabell 1.2 Hovedtall</t>
  </si>
  <si>
    <t>Fordelt på bransjer</t>
  </si>
  <si>
    <t>Totalt alle produkter</t>
  </si>
  <si>
    <t>%</t>
  </si>
  <si>
    <t>Beløp i 1000 kr.</t>
  </si>
  <si>
    <r>
      <t xml:space="preserve">Brutto forfalt premie </t>
    </r>
    <r>
      <rPr>
        <vertAlign val="superscript"/>
        <sz val="14"/>
        <rFont val="Times New Roman"/>
        <family val="1"/>
      </rPr>
      <t>1)</t>
    </r>
  </si>
  <si>
    <t xml:space="preserve">   Individuell kapitalforsikring</t>
  </si>
  <si>
    <t xml:space="preserve">   Individuell pensjonsforsikring</t>
  </si>
  <si>
    <t xml:space="preserve">   Gruppeliv</t>
  </si>
  <si>
    <t xml:space="preserve">   Privat kollektiv pensjon</t>
  </si>
  <si>
    <t xml:space="preserve">     - herav innskuddsbasert *</t>
  </si>
  <si>
    <t xml:space="preserve">     - herav etter tjenestepensjonsloven</t>
  </si>
  <si>
    <t xml:space="preserve">   Foreningskollektiv</t>
  </si>
  <si>
    <t>Totalt brutto forfalt premie</t>
  </si>
  <si>
    <r>
      <t xml:space="preserve">     - herav innskuddsbasert </t>
    </r>
    <r>
      <rPr>
        <vertAlign val="superscript"/>
        <sz val="14"/>
        <rFont val="Times New Roman"/>
        <family val="1"/>
      </rPr>
      <t>*</t>
    </r>
  </si>
  <si>
    <t>Totalt forsikringsforpliktelser</t>
  </si>
  <si>
    <t>Totalt overførte reserver fra andre</t>
  </si>
  <si>
    <t>Totalt overførte reserver til andre</t>
  </si>
  <si>
    <t>Totalt netto overførte reserver fra andre</t>
  </si>
  <si>
    <t xml:space="preserve">* "Innskuddsbasert" er summen av "Engangsbetalt" og "Innskuddspensjon". </t>
  </si>
  <si>
    <t>** Bokført verdi, se tabell 6 i statistikken.</t>
  </si>
  <si>
    <t>ACE European Group Ltd</t>
  </si>
  <si>
    <t>DNB Livsforsikring ASA</t>
  </si>
  <si>
    <t>Eika Gruppen AS</t>
  </si>
  <si>
    <t>Frende Livsforsikring AS</t>
  </si>
  <si>
    <t>Frende Skadeforsikring AS</t>
  </si>
  <si>
    <t>Gjensidige Forsikring ASA</t>
  </si>
  <si>
    <t>Gjensidige Pensjon og Sparing</t>
  </si>
  <si>
    <t>If Skadeforsikring nuf</t>
  </si>
  <si>
    <t>NEMI Forsikring AS</t>
  </si>
  <si>
    <t>Livsforsikringsselskapet Nordea Liv Norge AS</t>
  </si>
  <si>
    <t>Silver Pensjonsforsikring  AS</t>
  </si>
  <si>
    <t>Telenor Forsikring AS</t>
  </si>
  <si>
    <t>SpareBank 1 Forsikring AS</t>
  </si>
  <si>
    <t>Storebrand ASA</t>
  </si>
  <si>
    <t>KLP Skadeforsikring</t>
  </si>
  <si>
    <t>Selskap</t>
  </si>
  <si>
    <t>Flytting fra andre</t>
  </si>
  <si>
    <t>Flytting til andre</t>
  </si>
  <si>
    <t>Q8</t>
  </si>
  <si>
    <t>Q9</t>
  </si>
  <si>
    <t>Q10</t>
  </si>
  <si>
    <t>Q14</t>
  </si>
  <si>
    <t>Q15</t>
  </si>
  <si>
    <t>Q16</t>
  </si>
  <si>
    <t>Q7</t>
  </si>
  <si>
    <t>R7</t>
  </si>
  <si>
    <t>R8</t>
  </si>
  <si>
    <t>R9</t>
  </si>
  <si>
    <t>R10</t>
  </si>
  <si>
    <t>R14</t>
  </si>
  <si>
    <t>R15</t>
  </si>
  <si>
    <t>R16</t>
  </si>
  <si>
    <t>Q11</t>
  </si>
  <si>
    <t>Q17</t>
  </si>
  <si>
    <t>Q18</t>
  </si>
  <si>
    <t>R17</t>
  </si>
  <si>
    <t>R18</t>
  </si>
  <si>
    <t>R11</t>
  </si>
  <si>
    <t>Tabell 1.3 Hovedtall</t>
  </si>
  <si>
    <t>Aktivaposter (aggregert)</t>
  </si>
  <si>
    <t>i mill. kr</t>
  </si>
  <si>
    <t>prosentvis andel</t>
  </si>
  <si>
    <t>Selskapsporteføljen</t>
  </si>
  <si>
    <t xml:space="preserve">   Aksjer</t>
  </si>
  <si>
    <t xml:space="preserve">   Obligasjoner</t>
  </si>
  <si>
    <t xml:space="preserve">   Eiendom</t>
  </si>
  <si>
    <t xml:space="preserve">   Datterforetak m.m.</t>
  </si>
  <si>
    <t xml:space="preserve">   Utlån</t>
  </si>
  <si>
    <t xml:space="preserve">   Annet</t>
  </si>
  <si>
    <t>Kollektivporteføljen</t>
  </si>
  <si>
    <t>Investeringsvalgporteføljen</t>
  </si>
  <si>
    <t>Tallene er hentet fra tabell 6 Balanse.</t>
  </si>
  <si>
    <t>Regnskapsdel, endelig år</t>
  </si>
  <si>
    <t>Tabell 6</t>
  </si>
  <si>
    <t>Balanse</t>
  </si>
  <si>
    <t>Danica</t>
  </si>
  <si>
    <t>DNB</t>
  </si>
  <si>
    <t>Frende</t>
  </si>
  <si>
    <t>Gjensidige</t>
  </si>
  <si>
    <t xml:space="preserve"> </t>
  </si>
  <si>
    <t>Oslo</t>
  </si>
  <si>
    <t>Pensjonsforsikring</t>
  </si>
  <si>
    <t>Livsforsikring</t>
  </si>
  <si>
    <t>Pensjon</t>
  </si>
  <si>
    <t>Bedriftspensjon AS</t>
  </si>
  <si>
    <t>Pensjonsforsikring AS</t>
  </si>
  <si>
    <r>
      <t>norske livselskaper</t>
    </r>
    <r>
      <rPr>
        <b/>
        <vertAlign val="superscript"/>
        <sz val="14"/>
        <rFont val="Times New Roman"/>
        <family val="1"/>
      </rPr>
      <t xml:space="preserve"> </t>
    </r>
  </si>
  <si>
    <r>
      <t>alle livselskaper</t>
    </r>
    <r>
      <rPr>
        <b/>
        <vertAlign val="superscript"/>
        <sz val="14"/>
        <rFont val="Times New Roman"/>
        <family val="1"/>
      </rPr>
      <t xml:space="preserve"> </t>
    </r>
  </si>
  <si>
    <t>Beløp i millioner kroner</t>
  </si>
  <si>
    <t>EIENDELER</t>
  </si>
  <si>
    <t>EIENDELER I SELSKAPSPORTEFØLJEN</t>
  </si>
  <si>
    <t>2. Investeringer i selskapsporteføljen</t>
  </si>
  <si>
    <t xml:space="preserve">    2.1 Bygninger og andre faste eiendommer</t>
  </si>
  <si>
    <t xml:space="preserve">    2.2 Datterforetak, tilknyttede foretak og felleskontrollerte foretak</t>
  </si>
  <si>
    <t xml:space="preserve">    2.3 Finansielle eiendeler som måles til amortisert kost</t>
  </si>
  <si>
    <t xml:space="preserve">         2.3.1 Investeringer som holdes til forfall</t>
  </si>
  <si>
    <t xml:space="preserve">            - Obligasjoner</t>
  </si>
  <si>
    <t xml:space="preserve">         2.3.2 Utlån og fordringer</t>
  </si>
  <si>
    <t xml:space="preserve">    2.4 Finansielle eiendeler som måles til virkelig verdi</t>
  </si>
  <si>
    <t xml:space="preserve">         2.4.1 Aksjer og andeler (inkl. aksjer og andeler målt til kost)</t>
  </si>
  <si>
    <t xml:space="preserve">         2.4.2 Obligasjoner og andre verdipapirer med fast avkastning</t>
  </si>
  <si>
    <t xml:space="preserve">         2.4.3 Utlån og fordringer</t>
  </si>
  <si>
    <t xml:space="preserve">         2.4.4 Finansielle derivater</t>
  </si>
  <si>
    <t xml:space="preserve">         2.4.5 Andre finansielle eiendeler</t>
  </si>
  <si>
    <t xml:space="preserve">    2.5 Gjenforsikringsdepoter</t>
  </si>
  <si>
    <t xml:space="preserve">    Sum investeringer i selskapsporteføljen</t>
  </si>
  <si>
    <t>Annet - postene 1, 3, 4 og 5</t>
  </si>
  <si>
    <t>Sum eiendeler i selskapsporteføljen</t>
  </si>
  <si>
    <t>EIENDELER I KUNDEPORTEFØLJENE</t>
  </si>
  <si>
    <t>6. Investeringer i kollektivporteføljen</t>
  </si>
  <si>
    <t xml:space="preserve">    6.1 Bygninger og andre faste eiendommer</t>
  </si>
  <si>
    <t xml:space="preserve">    6.2 Datterforetak, tilknyttede foretak og felleskontrollerte foretak</t>
  </si>
  <si>
    <t xml:space="preserve">    6.3 Finansielle eiendeler som måles til amortisert kost</t>
  </si>
  <si>
    <t xml:space="preserve">         6.3.1 Investeringer som holdes til forfall</t>
  </si>
  <si>
    <t xml:space="preserve">         6.3.2 Utlån og fordringer</t>
  </si>
  <si>
    <t xml:space="preserve">    6.4 Finansielle eiendeler som måles til virkelig verdi</t>
  </si>
  <si>
    <t xml:space="preserve">         6.4.1 Aksjer og andeler (inkl. aksjer og andeler målt til kost)</t>
  </si>
  <si>
    <t xml:space="preserve">         6.4.2 Obligasjoner og andre verdipapirer med fast avkastning</t>
  </si>
  <si>
    <t xml:space="preserve">         6.4.3 Utlån og fordringer</t>
  </si>
  <si>
    <t xml:space="preserve">         6.4.4 Finansielle derivater</t>
  </si>
  <si>
    <t xml:space="preserve">         6.4.5 Andre finansielle eiendeler</t>
  </si>
  <si>
    <t xml:space="preserve">    Sum investeringer i kollektivporteføljen</t>
  </si>
  <si>
    <t>8. Investeringer i investeringsvalgporteføljen</t>
  </si>
  <si>
    <t xml:space="preserve">    8.1 Bygninger og andre faste eiendommer</t>
  </si>
  <si>
    <t xml:space="preserve">    8.2 Datterforetak, tilknyttede foretak og felleskontrollerte foretak</t>
  </si>
  <si>
    <t xml:space="preserve">    8.3 Finansielle eiendeler som måles til amortisert kost</t>
  </si>
  <si>
    <t xml:space="preserve">         8.3.1 Investeringer som holdes til forfall</t>
  </si>
  <si>
    <t xml:space="preserve">         8.3.2 Utlån og fordringer</t>
  </si>
  <si>
    <t xml:space="preserve">    8.4 Finansielle eiendeler som måles til virkelig verdi</t>
  </si>
  <si>
    <t xml:space="preserve">         8.4.1 Aksjer og andeler (inkl. aksjer og andeler målt til kost)</t>
  </si>
  <si>
    <t xml:space="preserve">         8.4.2 Obligasjoner og andre verdipapirer med fast avkastning</t>
  </si>
  <si>
    <t xml:space="preserve">         8.4.3 Utlån og fordringer</t>
  </si>
  <si>
    <t xml:space="preserve">         8.4.4 Finansielle derivater</t>
  </si>
  <si>
    <t xml:space="preserve">         8.4.5 Andre finansielle eiendeler</t>
  </si>
  <si>
    <t xml:space="preserve">    Sum investeringer i investeringsvalgsporteføljen</t>
  </si>
  <si>
    <t>Sum eiendeler i kundeporteføljene</t>
  </si>
  <si>
    <t>SUM EIENDELER</t>
  </si>
  <si>
    <t>EGENKAPITAL OG FORPLIKTELSER</t>
  </si>
  <si>
    <t>10. Innskutt egenkapital</t>
  </si>
  <si>
    <t>11. Opptjent egenkapital</t>
  </si>
  <si>
    <t xml:space="preserve">    11.1 Risikoutjevningsfond</t>
  </si>
  <si>
    <t>12. Ansvarlig lånekapital mv.</t>
  </si>
  <si>
    <t>13. Forsikringsforpliktelser i livsforsikring - KF</t>
  </si>
  <si>
    <t xml:space="preserve">    13.1 Premiereserve</t>
  </si>
  <si>
    <t xml:space="preserve">    13.2 Tilleggsavsetninger</t>
  </si>
  <si>
    <t xml:space="preserve">    13.3 Kursreguleringsfond</t>
  </si>
  <si>
    <t xml:space="preserve">    Ufordelte overskuddsmidler til forsikringskontraktene</t>
  </si>
  <si>
    <t>Sum forsikringsforpliktelser i livsforsikring - KF</t>
  </si>
  <si>
    <t>14. Forsikringsforpliktelser i livsforsikring - SI</t>
  </si>
  <si>
    <t xml:space="preserve">    14.1 Premiereserve</t>
  </si>
  <si>
    <t>Sum forsikringsforpliktelser i livsforsikring - SI</t>
  </si>
  <si>
    <t>15. Avsetninger for forpliktelser</t>
  </si>
  <si>
    <t>16. Premiedepot fra gjenforsikringsselskaper</t>
  </si>
  <si>
    <t>17. Forpliktelser</t>
  </si>
  <si>
    <t>18. Påløpte kostnader og mottatte ikke opptjente inntekter</t>
  </si>
  <si>
    <t>SUM EGENKAPTAL OG FORPLIKTELSER</t>
  </si>
  <si>
    <t>Noter: Se "Noter og kommentarer"</t>
  </si>
  <si>
    <t>KF=Kontraktsfastsatte forpliktelser</t>
  </si>
  <si>
    <t>SI=Særskilt investeringsportefølje</t>
  </si>
  <si>
    <t>REGNSKAPSDEL</t>
  </si>
  <si>
    <t>Tabell 4</t>
  </si>
  <si>
    <t>Resultatregnskap - alle produkter</t>
  </si>
  <si>
    <t>Tabell 5.1</t>
  </si>
  <si>
    <t>Resultatanalyse - Individuell kapital og individuell pensjon - alle produkter</t>
  </si>
  <si>
    <t>Tabell 5.2</t>
  </si>
  <si>
    <t>Resultatanalyse - Kollektiv pensjon - alle produkter</t>
  </si>
  <si>
    <t>Tabell 5.3</t>
  </si>
  <si>
    <t>Resultatanalyse - Gruppeliv, ulykke o.a. og total - alle produkter</t>
  </si>
  <si>
    <t>Balanse - alle produkter</t>
  </si>
  <si>
    <t>Tabell 7a</t>
  </si>
  <si>
    <t>Spesifikasjon av post 12 - forsikringsforpliktelser - produkter uten investeringsvalg</t>
  </si>
  <si>
    <t>Tabell 7b</t>
  </si>
  <si>
    <t>Spesifikasjon post 13 forsikringsforpliktelser - produkter med investeringsvalg</t>
  </si>
  <si>
    <t>Tabell 8</t>
  </si>
  <si>
    <t>Diverse nøkkeltall - produkter uten investeringsvalg</t>
  </si>
  <si>
    <t>Totalt - alle produkter</t>
  </si>
  <si>
    <t>Tabell 2: Individuell  pensjonsforsikring, herunder foreningskollektiv</t>
  </si>
  <si>
    <t>Tabell 3: Gruppelivsforsikring</t>
  </si>
  <si>
    <t>Tabell 4: Privat kollektiv pensjonsforsikring, herunder fripoliser, pensjonskapitalbevis og pensjonsbevis</t>
  </si>
  <si>
    <t>* Brutto risiokopremie for invidiuell uførepensjon fremkommer i tabell 2.</t>
  </si>
  <si>
    <r>
      <t xml:space="preserve">Brutto risikopremie for individuell uførepensjon </t>
    </r>
    <r>
      <rPr>
        <vertAlign val="superscript"/>
        <sz val="10"/>
        <rFont val="Times New Roman"/>
        <family val="1"/>
      </rPr>
      <t>3</t>
    </r>
  </si>
  <si>
    <t>Brutto risikopremie rapporteres for produkter både med og uten sparing. Risikopremie for tilknyttede dekninger, som kritisk sykdom, ulykke m.m. skal ikke tas med. For Brutto risikopremie for individuell uførepensjon, se note 3.</t>
  </si>
  <si>
    <t xml:space="preserve">Risikopremie for individuell uførepensjon blir i noen selskap regnskapsført under Individuell kapital, mens den for de fleste regnskapsføres under Individuell pensjon. Brutto risikopremie for uførepensjon er derfor ikke en heravpost for verken Individuell kapital eller Individuell pensjon, men gjelder som en heravpost samlet for disse. </t>
  </si>
  <si>
    <t xml:space="preserve">Forsikringsforpliktelser i livsforsikring tilsvarer post 13 i balansen, ekskl. post 13.3 Kursreguleringsfond for produkter uten investeringsvalg og post 14 i balansen for produkter med investeringsvalg. Gjenforsikringsandel skal ikke tas hensyn til i markedsdelen. </t>
  </si>
  <si>
    <t>Herav fripoliser med investeringsvalg betraktes som innskuddsbasert.</t>
  </si>
  <si>
    <t>Innskuddspensjon er innskuddsbasert pensjon uten dødelighetsarv.</t>
  </si>
  <si>
    <t>Herav fripoliser, herav pensjonskapitalbevis og herav pensjonsbevis omfatter også fortsettelsesforsikringer. Herav-postene er uttrekk fra hovedpostene i tabellen Privat kollektiv pensjonsforsikring, uansett om det er Innenfor LOF/LOI eller Utenfor LOF/LOI - Livrenter.</t>
  </si>
  <si>
    <t>Gjelder ikke ordninger etter lov om tjenestepensjon</t>
  </si>
  <si>
    <r>
      <t xml:space="preserve">    Livrenter </t>
    </r>
    <r>
      <rPr>
        <vertAlign val="superscript"/>
        <sz val="10"/>
        <rFont val="Times New Roman"/>
        <family val="1"/>
      </rPr>
      <t>11</t>
    </r>
  </si>
  <si>
    <r>
      <t xml:space="preserve">    IPA </t>
    </r>
    <r>
      <rPr>
        <vertAlign val="superscript"/>
        <sz val="10"/>
        <rFont val="Times New Roman"/>
        <family val="1"/>
      </rPr>
      <t>11</t>
    </r>
  </si>
  <si>
    <r>
      <t xml:space="preserve">    IPS </t>
    </r>
    <r>
      <rPr>
        <vertAlign val="superscript"/>
        <sz val="10"/>
        <rFont val="Times New Roman"/>
        <family val="1"/>
      </rPr>
      <t>11</t>
    </r>
  </si>
  <si>
    <r>
      <t xml:space="preserve">Brutto forfalt premie - Foreningskollektiv </t>
    </r>
    <r>
      <rPr>
        <b/>
        <vertAlign val="superscript"/>
        <sz val="10"/>
        <rFont val="Times New Roman"/>
        <family val="1"/>
      </rPr>
      <t>1</t>
    </r>
  </si>
  <si>
    <r>
      <t xml:space="preserve">Forsikringsforpliktelser  - Foreningskollektiv </t>
    </r>
    <r>
      <rPr>
        <b/>
        <vertAlign val="superscript"/>
        <sz val="10"/>
        <rFont val="Times New Roman"/>
        <family val="1"/>
      </rPr>
      <t>5</t>
    </r>
  </si>
  <si>
    <r>
      <t xml:space="preserve">Overførte reserver fra andre - Foreningskollektiv </t>
    </r>
    <r>
      <rPr>
        <b/>
        <vertAlign val="superscript"/>
        <sz val="10"/>
        <rFont val="Times New Roman"/>
        <family val="1"/>
      </rPr>
      <t>6</t>
    </r>
  </si>
  <si>
    <r>
      <t xml:space="preserve">Overførte reserver til andre - Foreningskollektiv </t>
    </r>
    <r>
      <rPr>
        <b/>
        <vertAlign val="superscript"/>
        <sz val="10"/>
        <rFont val="Times New Roman"/>
        <family val="1"/>
      </rPr>
      <t>7</t>
    </r>
  </si>
  <si>
    <r>
      <t xml:space="preserve">    Bedrift </t>
    </r>
    <r>
      <rPr>
        <vertAlign val="superscript"/>
        <sz val="10"/>
        <rFont val="Times New Roman"/>
        <family val="1"/>
      </rPr>
      <t>8</t>
    </r>
  </si>
  <si>
    <r>
      <t xml:space="preserve">    Privat </t>
    </r>
    <r>
      <rPr>
        <vertAlign val="superscript"/>
        <sz val="10"/>
        <rFont val="Times New Roman"/>
        <family val="1"/>
      </rPr>
      <t>9</t>
    </r>
  </si>
  <si>
    <r>
      <t xml:space="preserve">Flytting fra andre </t>
    </r>
    <r>
      <rPr>
        <b/>
        <vertAlign val="superscript"/>
        <sz val="10"/>
        <rFont val="Times New Roman"/>
        <family val="1"/>
      </rPr>
      <t>10</t>
    </r>
  </si>
  <si>
    <r>
      <t xml:space="preserve">Flytting til andre </t>
    </r>
    <r>
      <rPr>
        <b/>
        <vertAlign val="superscript"/>
        <sz val="10"/>
        <rFont val="Times New Roman"/>
        <family val="1"/>
      </rPr>
      <t>10</t>
    </r>
  </si>
  <si>
    <r>
      <t xml:space="preserve">      Engangsbetalt </t>
    </r>
    <r>
      <rPr>
        <vertAlign val="superscript"/>
        <sz val="10"/>
        <rFont val="Times New Roman"/>
        <family val="1"/>
      </rPr>
      <t>12</t>
    </r>
  </si>
  <si>
    <r>
      <t xml:space="preserve">      Innskuddspensjon </t>
    </r>
    <r>
      <rPr>
        <vertAlign val="superscript"/>
        <sz val="10"/>
        <rFont val="Times New Roman"/>
        <family val="1"/>
      </rPr>
      <t>13</t>
    </r>
  </si>
  <si>
    <r>
      <t xml:space="preserve">  Innenfor LOF/LOI </t>
    </r>
    <r>
      <rPr>
        <vertAlign val="superscript"/>
        <sz val="10"/>
        <rFont val="Times New Roman"/>
        <family val="1"/>
      </rPr>
      <t>14</t>
    </r>
  </si>
  <si>
    <r>
      <t xml:space="preserve">  Herav fripoliser </t>
    </r>
    <r>
      <rPr>
        <vertAlign val="superscript"/>
        <sz val="10"/>
        <rFont val="Times New Roman"/>
        <family val="1"/>
      </rPr>
      <t>15</t>
    </r>
  </si>
  <si>
    <r>
      <t xml:space="preserve">  Herav pensjonskapitalbevis </t>
    </r>
    <r>
      <rPr>
        <vertAlign val="superscript"/>
        <sz val="10"/>
        <rFont val="Times New Roman"/>
        <family val="1"/>
      </rPr>
      <t>15</t>
    </r>
  </si>
  <si>
    <r>
      <t xml:space="preserve">  Herav pensjonsbevis</t>
    </r>
    <r>
      <rPr>
        <vertAlign val="superscript"/>
        <sz val="10"/>
        <rFont val="Times New Roman"/>
        <family val="1"/>
      </rPr>
      <t>15</t>
    </r>
  </si>
  <si>
    <r>
      <t xml:space="preserve">   Herav pensjonskapitalbevis </t>
    </r>
    <r>
      <rPr>
        <vertAlign val="superscript"/>
        <sz val="10"/>
        <rFont val="Times New Roman"/>
        <family val="1"/>
      </rPr>
      <t>15</t>
    </r>
  </si>
  <si>
    <r>
      <t xml:space="preserve">Brutto forfalt premie </t>
    </r>
    <r>
      <rPr>
        <b/>
        <vertAlign val="superscript"/>
        <sz val="10"/>
        <rFont val="Times New Roman"/>
        <family val="1"/>
      </rPr>
      <t>1, 16</t>
    </r>
  </si>
  <si>
    <r>
      <t xml:space="preserve">Forsikringsforpliktelser </t>
    </r>
    <r>
      <rPr>
        <b/>
        <vertAlign val="superscript"/>
        <sz val="10"/>
        <rFont val="Times New Roman"/>
        <family val="1"/>
      </rPr>
      <t>5, 16</t>
    </r>
  </si>
  <si>
    <r>
      <t xml:space="preserve">Overførte reserver fra andre </t>
    </r>
    <r>
      <rPr>
        <b/>
        <vertAlign val="superscript"/>
        <sz val="10"/>
        <rFont val="Times New Roman"/>
        <family val="1"/>
      </rPr>
      <t>6, 16</t>
    </r>
  </si>
  <si>
    <r>
      <t>Overførte reserver til andre</t>
    </r>
    <r>
      <rPr>
        <b/>
        <vertAlign val="superscript"/>
        <sz val="10"/>
        <rFont val="Times New Roman"/>
        <family val="1"/>
      </rPr>
      <t xml:space="preserve"> 7, 16</t>
    </r>
  </si>
  <si>
    <r>
      <t xml:space="preserve">  Utenfor LOF/LOI - Livrenter </t>
    </r>
    <r>
      <rPr>
        <vertAlign val="superscript"/>
        <sz val="10"/>
        <rFont val="Times New Roman"/>
        <family val="1"/>
      </rPr>
      <t>14,18</t>
    </r>
  </si>
  <si>
    <r>
      <t xml:space="preserve">  Herav fripoliser </t>
    </r>
    <r>
      <rPr>
        <vertAlign val="superscript"/>
        <sz val="10"/>
        <rFont val="Times New Roman"/>
        <family val="1"/>
      </rPr>
      <t>15,17</t>
    </r>
  </si>
  <si>
    <r>
      <t xml:space="preserve">   Herav fripoliser </t>
    </r>
    <r>
      <rPr>
        <vertAlign val="superscript"/>
        <sz val="10"/>
        <rFont val="Times New Roman"/>
        <family val="1"/>
      </rPr>
      <t>15,17</t>
    </r>
  </si>
  <si>
    <t>Regnskapsdel, endelig kvartal</t>
  </si>
  <si>
    <t>Resultatregnskap</t>
  </si>
  <si>
    <t xml:space="preserve">Totalt </t>
  </si>
  <si>
    <t>norske livselskaper</t>
  </si>
  <si>
    <t>alle livselskaper</t>
  </si>
  <si>
    <t xml:space="preserve">Beløp i millioner kroner </t>
  </si>
  <si>
    <t>TEKNISK REGNSKAP FOR LIVSFORSIKRING</t>
  </si>
  <si>
    <t>1. Premieinntekter f.e.r.</t>
  </si>
  <si>
    <t xml:space="preserve">    1.1 Forfalt premier, brutto</t>
  </si>
  <si>
    <t xml:space="preserve">    1.2 - Avgitte gjenforsikringspremier</t>
  </si>
  <si>
    <t xml:space="preserve">    1.3 Overføring av premiereserve fra andre selskap/kasser</t>
  </si>
  <si>
    <t xml:space="preserve">    Sum premieinntekter f.e.r.</t>
  </si>
  <si>
    <t>2. Netto inntekter fra investeringer i kollektivporteføljen</t>
  </si>
  <si>
    <t>3. Netto inntekter fra investeringer i investeringsvalgporteføljen</t>
  </si>
  <si>
    <t>4. Andre forsikringsrelaterte inntekter</t>
  </si>
  <si>
    <t>5. Erstatninger</t>
  </si>
  <si>
    <t xml:space="preserve">    5.1 Utbetalte erstatninger</t>
  </si>
  <si>
    <t>Sum erstatninger f.e.r.</t>
  </si>
  <si>
    <t>6. Resultatførte endringer i forsikringsforpliktelser - KF</t>
  </si>
  <si>
    <t xml:space="preserve">    6.1 Endring i premiereserve</t>
  </si>
  <si>
    <t xml:space="preserve">    6.2 Endring i tilleggsavsetninger</t>
  </si>
  <si>
    <t xml:space="preserve">    6.3 Endring i kursreguleringsfond</t>
  </si>
  <si>
    <t xml:space="preserve">    6.4 Endring i premie-, innskudds- og pensjonistenes overskuddsfond</t>
  </si>
  <si>
    <t xml:space="preserve">    6.5 Endring i tekniske avsetninger for skadeforsikringsvirksomhet</t>
  </si>
  <si>
    <t xml:space="preserve">    6.6 Overføring av tilleggsavsetninger fra andre fors.selskap/pensj.kasser</t>
  </si>
  <si>
    <t>Sum resultatførte endringer i forsikringsforpliktelser - KF</t>
  </si>
  <si>
    <t>7. Resultatførte endringer i forsikringsforpliktelser - SI</t>
  </si>
  <si>
    <t>8. Midler tilordnet forsikringskontrakter -KF</t>
  </si>
  <si>
    <t>9. Forsikringsrelaterte driftskostnader</t>
  </si>
  <si>
    <t>10. Andre forsikringsrelaterte kostnader</t>
  </si>
  <si>
    <t>11.Resultat av teknisk regnskap</t>
  </si>
  <si>
    <t>IKKE-TEKNISK REGNSKAP FOR LIVSFORSIKRING</t>
  </si>
  <si>
    <t>12. Netto inntekter fra investeringer i selskapsporteføljen</t>
  </si>
  <si>
    <t>13. Andre inntekter</t>
  </si>
  <si>
    <t>14. Forvaltningskostnader og andre kostnader knyttet til selskapsporteføljen</t>
  </si>
  <si>
    <t>15. Resultat av ikke-teknisk regnskap</t>
  </si>
  <si>
    <t>16. Resultat før skattekostnad</t>
  </si>
  <si>
    <t>17. Skattekostnader</t>
  </si>
  <si>
    <t>18. Resultat før andre resultatkomponenter</t>
  </si>
  <si>
    <t>19. Andre resultatkomponenter</t>
  </si>
  <si>
    <t>20. TOTALRESULTAT</t>
  </si>
  <si>
    <t>Overføringer og disponeringer</t>
  </si>
  <si>
    <t xml:space="preserve">    Overføringer</t>
  </si>
  <si>
    <t xml:space="preserve">        Mottatt konsernbidrag</t>
  </si>
  <si>
    <t xml:space="preserve">        Overført fra annen egenkapital</t>
  </si>
  <si>
    <t xml:space="preserve">    Sum overføringer</t>
  </si>
  <si>
    <t xml:space="preserve">    Disponeringer</t>
  </si>
  <si>
    <t xml:space="preserve">        Utbytte</t>
  </si>
  <si>
    <t xml:space="preserve">        Avgitt konsernbidrag</t>
  </si>
  <si>
    <t xml:space="preserve">        Overført til annen egenkapital</t>
  </si>
  <si>
    <t xml:space="preserve">    Sum disponeringer</t>
  </si>
  <si>
    <t>Sum overføringer og disponeringer</t>
  </si>
  <si>
    <t>Diverse nøkkeltall</t>
  </si>
  <si>
    <t>7. Gjenforsikringsandel av forsikringsforpliktelser i kollektivporteføljen</t>
  </si>
  <si>
    <t>9. Gjenforsikringsandel av forsikringsforpliktelser i investeringsvalgporteføljen</t>
  </si>
  <si>
    <t xml:space="preserve">Med kommunal kollektiv pensjon menes kollektive pensjonsordninger som definert i lov om forsikringsvirksomhet § 4-1 og § 4-2.   </t>
  </si>
  <si>
    <t>Tabell 1.3</t>
  </si>
  <si>
    <t>Hovedtall - aktivaposter</t>
  </si>
  <si>
    <t>Skjema total MA</t>
  </si>
  <si>
    <t>Tall pr. selskap - alle produkter</t>
  </si>
  <si>
    <t>Selskapsnavn</t>
  </si>
  <si>
    <t>Kursreguleringsfond</t>
  </si>
  <si>
    <t xml:space="preserve">   Etter tjenestepensjonsloven - Uførepensjon</t>
  </si>
  <si>
    <t xml:space="preserve">   Etter tjenestepensjonsloven - Alderspensjon</t>
  </si>
  <si>
    <t xml:space="preserve">  Etter tjenestepensjonsloven - Uførepensjon</t>
  </si>
  <si>
    <t xml:space="preserve">  Etter tjenestepensjonsloven - Alderspensjon</t>
  </si>
  <si>
    <t>Brutto forfalt premie tilsvarer post 1.1 i resultatregnskapet, jf. forskrift til årsregnskap for livsforsikringsfortak.</t>
  </si>
  <si>
    <t>Overførte reserver til andre tilsvarer post 5.2 i resultatregnskapet.</t>
  </si>
  <si>
    <r>
      <t xml:space="preserve">   Kommunal kollektiv pensjon </t>
    </r>
    <r>
      <rPr>
        <vertAlign val="superscript"/>
        <sz val="14"/>
        <rFont val="Times New Roman"/>
        <family val="1"/>
      </rPr>
      <t>15)</t>
    </r>
  </si>
  <si>
    <r>
      <t xml:space="preserve">Forsikringsforpliktelser </t>
    </r>
    <r>
      <rPr>
        <vertAlign val="superscript"/>
        <sz val="14"/>
        <rFont val="Times New Roman"/>
        <family val="1"/>
      </rPr>
      <t>4)</t>
    </r>
  </si>
  <si>
    <r>
      <t xml:space="preserve">Overførte reserver fra andre </t>
    </r>
    <r>
      <rPr>
        <vertAlign val="superscript"/>
        <sz val="14"/>
        <rFont val="Times New Roman"/>
        <family val="1"/>
      </rPr>
      <t>5)</t>
    </r>
  </si>
  <si>
    <r>
      <t xml:space="preserve">Flytting fra andre </t>
    </r>
    <r>
      <rPr>
        <vertAlign val="superscript"/>
        <sz val="14"/>
        <rFont val="Times New Roman"/>
        <family val="1"/>
      </rPr>
      <t>9)</t>
    </r>
  </si>
  <si>
    <r>
      <t xml:space="preserve">Overførte reserver til andre </t>
    </r>
    <r>
      <rPr>
        <vertAlign val="superscript"/>
        <sz val="14"/>
        <rFont val="Times New Roman"/>
        <family val="1"/>
      </rPr>
      <t>6)</t>
    </r>
  </si>
  <si>
    <r>
      <t xml:space="preserve">Flytting til andre </t>
    </r>
    <r>
      <rPr>
        <vertAlign val="superscript"/>
        <sz val="14"/>
        <rFont val="Times New Roman"/>
        <family val="1"/>
      </rPr>
      <t>9)</t>
    </r>
  </si>
  <si>
    <r>
      <t xml:space="preserve">Netto overførte reserver fra andre </t>
    </r>
    <r>
      <rPr>
        <b/>
        <vertAlign val="superscript"/>
        <sz val="14"/>
        <rFont val="Times New Roman"/>
        <family val="1"/>
      </rPr>
      <t>9)</t>
    </r>
  </si>
  <si>
    <r>
      <t xml:space="preserve">Netto flytting fra andre </t>
    </r>
    <r>
      <rPr>
        <vertAlign val="superscript"/>
        <sz val="14"/>
        <rFont val="Times New Roman"/>
        <family val="1"/>
      </rPr>
      <t>9)</t>
    </r>
  </si>
  <si>
    <r>
      <t xml:space="preserve">    IPS 2008 </t>
    </r>
    <r>
      <rPr>
        <vertAlign val="superscript"/>
        <sz val="10"/>
        <rFont val="Times New Roman"/>
        <family val="1"/>
      </rPr>
      <t>11</t>
    </r>
  </si>
  <si>
    <t>Livrenter, IPA og IPS er individuelle pensjonsspareavtaler etter skattereglene (kun i årsstatistikken / 4.kvartal). IPS forsikring etablert før 1.11.2017 defineres som IPS forsikring 2008, etter lov om individuell pensjonsordning vedtatt i 2008. Nye ordningen for skattefavorisert individuell pensjonssparing fra 1. november 2017 defineres som IPS forsikring.</t>
  </si>
  <si>
    <t>Figur 1  Brutto forfalt premie livprodukter  -  produkter uten investeringsvalg pr. 31.12.</t>
  </si>
  <si>
    <t>Figur 2  Brutto forfalt premie livprodukter  -  produkter med investeringsvalg pr. 31.12.</t>
  </si>
  <si>
    <t>Figur 5  Forsikringsforpliktelser i livsforsikring  -  produkter uten investeringsvalg pr. 31.12.</t>
  </si>
  <si>
    <t>Figur 6  Forsikringsforpliktelser i livsforsikring -  produkter med investeringsvalg pr. 31.12.</t>
  </si>
  <si>
    <t>Figur 7  Netto tilflytting livprodukter  -  produkter uten investeringsvalg pr. 31.12.</t>
  </si>
  <si>
    <t>Figur 8  Netto tilflytting livprodukter  -  produkter med investeringsvalg pr. 31.12.</t>
  </si>
  <si>
    <t>31.12.</t>
  </si>
  <si>
    <t xml:space="preserve">    13.4 Premiefond, innskuddsfond og pensjonistenes overskuddsfond</t>
  </si>
  <si>
    <t xml:space="preserve">    13.5 Andre tekniske avsetninger for skadeforsikringsvirksomheten</t>
  </si>
  <si>
    <t xml:space="preserve">    14.2 Erstatningsavsetning</t>
  </si>
  <si>
    <t xml:space="preserve">    14.3 Premiefond, innskuddsfond og pensjonistenes overskuddsfond</t>
  </si>
  <si>
    <t xml:space="preserve">    5.2 Overføring av premieres., tilleggsavsetn. til andre selskap/kasser</t>
  </si>
  <si>
    <t>25,147</t>
  </si>
  <si>
    <t xml:space="preserve">Resultatanalyse - Individuell kapital og </t>
  </si>
  <si>
    <t>individuell pensjon</t>
  </si>
  <si>
    <t>Individuell kapital - gml. overskuddsmodell</t>
  </si>
  <si>
    <t>Avkastningresultat før fra/til tilleggsreserver</t>
  </si>
  <si>
    <t>Fra/til tilleggsreserver</t>
  </si>
  <si>
    <t>Administrasjonsresultat</t>
  </si>
  <si>
    <t>Fortjenesteelement for risiko</t>
  </si>
  <si>
    <t>Vederlag for rentegaranti</t>
  </si>
  <si>
    <t>Risikoresultat</t>
  </si>
  <si>
    <t xml:space="preserve">   -Herav til risikoutjevningsfond</t>
  </si>
  <si>
    <t>Annet</t>
  </si>
  <si>
    <t>Resultat til fordeling</t>
  </si>
  <si>
    <t>Herav kundetildeling</t>
  </si>
  <si>
    <t>Herav til selskap</t>
  </si>
  <si>
    <t>Individuell kapital - ny overskuddsmodell</t>
  </si>
  <si>
    <t>Individuell kapital - u. rett til andel overskudd</t>
  </si>
  <si>
    <t>Individuell kapital - med investeringsvalg</t>
  </si>
  <si>
    <t>Individuell pensjon - gml. overskuddsmodell</t>
  </si>
  <si>
    <t>Individuell pensjon - ny overskuddsmodell</t>
  </si>
  <si>
    <t>Individuell pensjon - u. rett til andel overskudd</t>
  </si>
  <si>
    <t>Individuell pensjon - med investeringsvalg</t>
  </si>
  <si>
    <t xml:space="preserve">Resultatanalyse - Kollektiv pensjon, </t>
  </si>
  <si>
    <t>privat og kommunal</t>
  </si>
  <si>
    <t>Privat - ytelsesbasert uten investeringsvalg</t>
  </si>
  <si>
    <t>Privat - ytelsesbasert med investeringsvalg</t>
  </si>
  <si>
    <t>Privat - innskuddsbasert uten investeringsvalg</t>
  </si>
  <si>
    <t>Privat - innskuddsbasert med investeringsvalg</t>
  </si>
  <si>
    <t>Privat - etter tjenestepensjonsloven uten investeringsvalg</t>
  </si>
  <si>
    <t>Privat - etter tjenestepensjonsloven med investeringsvalg</t>
  </si>
  <si>
    <t>Fripoliser (modifisert overskuddsdeling)</t>
  </si>
  <si>
    <t>Privat - u. rett til andel overskudd</t>
  </si>
  <si>
    <t>Pensjonsbevis med garanti</t>
  </si>
  <si>
    <t>Kommunal - ytelsesbaserte uten investeringsvalg</t>
  </si>
  <si>
    <t>Kommunal - ytelsesbaserte med investeringsvalg</t>
  </si>
  <si>
    <t xml:space="preserve">Resultatanalyse - Gruppeliv, ulykke o.a. </t>
  </si>
  <si>
    <t>skadebransjer og total</t>
  </si>
  <si>
    <t>Gruppeliv</t>
  </si>
  <si>
    <t>Ulykkesforsikring og andre skadebransjer</t>
  </si>
  <si>
    <t>Total</t>
  </si>
  <si>
    <t>Tabell 7.a</t>
  </si>
  <si>
    <t>Spesifikasjon av post 13. Forsikringsforpliktelser - KF</t>
  </si>
  <si>
    <t>Produkter uten</t>
  </si>
  <si>
    <t>Totalt produkter</t>
  </si>
  <si>
    <t>investeringsvalg</t>
  </si>
  <si>
    <t>uten investeringsvalg</t>
  </si>
  <si>
    <t>13. Forsikringsmessige avsetninger</t>
  </si>
  <si>
    <t>13.1 Premiereserve brutto</t>
  </si>
  <si>
    <t xml:space="preserve">         Individuell kapital</t>
  </si>
  <si>
    <t xml:space="preserve">         - Herav med gammel overskuddsmodell</t>
  </si>
  <si>
    <t xml:space="preserve">         - Herav med modifisert/ny overskuddsmodell</t>
  </si>
  <si>
    <t xml:space="preserve">         Individuell pensjon</t>
  </si>
  <si>
    <t xml:space="preserve">         Gruppeliv</t>
  </si>
  <si>
    <r>
      <t xml:space="preserve">         Privat kollektiv pensjon </t>
    </r>
    <r>
      <rPr>
        <vertAlign val="superscript"/>
        <sz val="14"/>
        <rFont val="Times New Roman"/>
        <family val="1"/>
      </rPr>
      <t>24)</t>
    </r>
  </si>
  <si>
    <t xml:space="preserve">         - Herav fripoliser med modifisert/ny overskuddsmodell</t>
  </si>
  <si>
    <r>
      <t xml:space="preserve">         Kommunal kollektiv pensjon </t>
    </r>
    <r>
      <rPr>
        <vertAlign val="superscript"/>
        <sz val="14"/>
        <rFont val="Times New Roman"/>
        <family val="1"/>
      </rPr>
      <t>25)</t>
    </r>
    <r>
      <rPr>
        <sz val="14"/>
        <rFont val="Times New Roman"/>
        <family val="1"/>
      </rPr>
      <t xml:space="preserve">            </t>
    </r>
  </si>
  <si>
    <t xml:space="preserve">         Ulykke/andre</t>
  </si>
  <si>
    <t xml:space="preserve">        Premiereserve for egen regning</t>
  </si>
  <si>
    <t xml:space="preserve">13.2 Tilleggsavsetninger </t>
  </si>
  <si>
    <t>13.3 Kursreguleringsfond</t>
  </si>
  <si>
    <t>13.4 Premie-, innskudds- og pensjonistenes overskuddsfond</t>
  </si>
  <si>
    <t>13.5 Andre tekniske avsetninger for skadeforsikringsvirksomheten</t>
  </si>
  <si>
    <t>Sum avsetning til forsikringsforpliktelser - KF</t>
  </si>
  <si>
    <t xml:space="preserve">         Annet (post 13.3 og 13.5)</t>
  </si>
  <si>
    <t>Tabell 7.b</t>
  </si>
  <si>
    <t>Spesifikasjon av post 13. Forsikringsforpliktelser -SI</t>
  </si>
  <si>
    <t>Produkter med</t>
  </si>
  <si>
    <t>med investeringsvalg</t>
  </si>
  <si>
    <t>alle produkter KF + SI</t>
  </si>
  <si>
    <t>14. Forsikringsmessige avsetninger</t>
  </si>
  <si>
    <t>14.1 Premiereserve brutto</t>
  </si>
  <si>
    <t>14.2 Supplerende avsetninger</t>
  </si>
  <si>
    <t>14.3 Tilleggsavsetninger</t>
  </si>
  <si>
    <t>14.4 Premie-, innskudds- og pensjonistenes overskuddsfond</t>
  </si>
  <si>
    <t>Sum avsetning til forsikringsforpliktelser - SI</t>
  </si>
  <si>
    <t xml:space="preserve">         Annet (post 14.3 og 14.6)</t>
  </si>
  <si>
    <r>
      <t>Soliditetskapital</t>
    </r>
    <r>
      <rPr>
        <sz val="14"/>
        <rFont val="Times New Roman"/>
        <family val="1"/>
      </rPr>
      <t xml:space="preserve"> (%)</t>
    </r>
  </si>
  <si>
    <r>
      <t xml:space="preserve">Mer/mindre-verdier </t>
    </r>
    <r>
      <rPr>
        <vertAlign val="superscript"/>
        <sz val="14"/>
        <rFont val="Times New Roman"/>
        <family val="1"/>
      </rPr>
      <t>20)</t>
    </r>
  </si>
  <si>
    <t>Avkastningstall</t>
  </si>
  <si>
    <r>
      <t xml:space="preserve">Kapitalavkastning I </t>
    </r>
    <r>
      <rPr>
        <b/>
        <sz val="14"/>
        <rFont val="Times New Roman"/>
        <family val="1"/>
      </rPr>
      <t>(%)</t>
    </r>
  </si>
  <si>
    <t>Gjennomsnitt 2013 - 2017</t>
  </si>
  <si>
    <t>Gammel overskuddsmodell</t>
  </si>
  <si>
    <t>Modifisert/ny overskuddsmodell</t>
  </si>
  <si>
    <r>
      <t xml:space="preserve">Kapitalavkastning II </t>
    </r>
    <r>
      <rPr>
        <b/>
        <sz val="14"/>
        <rFont val="Times New Roman"/>
        <family val="1"/>
      </rPr>
      <t xml:space="preserve"> (%)</t>
    </r>
  </si>
  <si>
    <t>31.12.2016</t>
  </si>
  <si>
    <t>31.12.2017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</si>
</sst>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 #,##0.00_ ;_ * \-#,##0.00_ ;_ * &quot;-&quot;??_ ;_ @_ "/>
    <numFmt numFmtId="164" formatCode="#,##0.0"/>
    <numFmt numFmtId="165" formatCode="_ * #,##0_ ;_ * \-#,##0_ ;_ * &quot;-&quot;??_ ;_ @_ "/>
    <numFmt numFmtId="166" formatCode="dd/mm/yy;@"/>
    <numFmt numFmtId="167" formatCode="0;\-0;;@"/>
    <numFmt numFmtId="168" formatCode="0.0"/>
    <numFmt numFmtId="169" formatCode="#,##0_ ;\-#,##0\ "/>
    <numFmt numFmtId="170" formatCode="_ * #,##0_ ;_ * \-#,##0_ ;_ * &quot;&quot;??_ ;_ @_ "/>
    <numFmt numFmtId="171" formatCode="_ * #,##0.0_ ;_ * \-#,##0.0_ ;_ * &quot;&quot;??_ ;_ @_ "/>
  </numFmts>
  <fonts count="7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Times New Roman"/>
      <family val="1"/>
    </font>
    <font>
      <sz val="12"/>
      <name val="Times New Roman"/>
      <family val="1"/>
    </font>
    <font>
      <b/>
      <sz val="10"/>
      <name val="Times New Roman"/>
      <family val="1"/>
    </font>
    <font>
      <b/>
      <sz val="9"/>
      <name val="Times New Roman"/>
      <family val="1"/>
    </font>
    <font>
      <sz val="10"/>
      <name val="Times New Roman"/>
      <family val="1"/>
    </font>
    <font>
      <sz val="10"/>
      <color rgb="FFFF0000"/>
      <name val="Times New Roman"/>
      <family val="1"/>
    </font>
    <font>
      <sz val="10"/>
      <name val="Arial"/>
      <family val="2"/>
    </font>
    <font>
      <b/>
      <vertAlign val="superscript"/>
      <sz val="10"/>
      <name val="Times New Roman"/>
      <family val="1"/>
    </font>
    <font>
      <sz val="12"/>
      <color rgb="FFFF0000"/>
      <name val="Times New Roman"/>
      <family val="1"/>
    </font>
    <font>
      <sz val="10"/>
      <color theme="1"/>
      <name val="Times New Roman"/>
      <family val="1"/>
    </font>
    <font>
      <i/>
      <sz val="10"/>
      <name val="Times New Roman"/>
      <family val="1"/>
    </font>
    <font>
      <vertAlign val="superscript"/>
      <sz val="10"/>
      <name val="Times New Roman"/>
      <family val="1"/>
    </font>
    <font>
      <sz val="10"/>
      <name val="Arial"/>
      <family val="2"/>
    </font>
    <font>
      <sz val="10"/>
      <color indexed="23"/>
      <name val="Arial"/>
      <family val="2"/>
    </font>
    <font>
      <sz val="18"/>
      <color indexed="23"/>
      <name val="Times New Roman"/>
      <family val="1"/>
    </font>
    <font>
      <b/>
      <sz val="28"/>
      <color rgb="FF3B6E8F"/>
      <name val="Cambria"/>
      <family val="1"/>
      <scheme val="major"/>
    </font>
    <font>
      <b/>
      <sz val="26"/>
      <color rgb="FF3B6E8F"/>
      <name val="Cambria"/>
      <family val="1"/>
      <scheme val="major"/>
    </font>
    <font>
      <sz val="14"/>
      <name val="Times New Roman"/>
      <family val="1"/>
    </font>
    <font>
      <sz val="12"/>
      <name val="Arial"/>
      <family val="2"/>
    </font>
    <font>
      <sz val="20"/>
      <color theme="1"/>
      <name val="Calibri"/>
      <family val="2"/>
      <scheme val="minor"/>
    </font>
    <font>
      <sz val="14"/>
      <color theme="1"/>
      <name val="Calibri"/>
      <family val="2"/>
      <scheme val="minor"/>
    </font>
    <font>
      <b/>
      <sz val="28"/>
      <color rgb="FF54758C"/>
      <name val="Arial"/>
      <family val="2"/>
    </font>
    <font>
      <sz val="26"/>
      <color rgb="FF54758C"/>
      <name val="Arial"/>
      <family val="2"/>
    </font>
    <font>
      <sz val="14"/>
      <name val="Arial"/>
      <family val="2"/>
    </font>
    <font>
      <sz val="14"/>
      <color indexed="23"/>
      <name val="Times New Roman"/>
      <family val="1"/>
    </font>
    <font>
      <sz val="20"/>
      <name val="Arial"/>
      <family val="2"/>
    </font>
    <font>
      <sz val="18"/>
      <name val="Times New Roman"/>
      <family val="1"/>
    </font>
    <font>
      <sz val="18"/>
      <name val="Arial"/>
      <family val="2"/>
    </font>
    <font>
      <b/>
      <sz val="16"/>
      <name val="Times New Roman"/>
      <family val="1"/>
    </font>
    <font>
      <sz val="16"/>
      <name val="Times New Roman"/>
      <family val="1"/>
    </font>
    <font>
      <u/>
      <sz val="10"/>
      <color indexed="12"/>
      <name val="Arial"/>
      <family val="2"/>
    </font>
    <font>
      <sz val="20"/>
      <name val="Times New Roman"/>
      <family val="1"/>
    </font>
    <font>
      <b/>
      <sz val="14"/>
      <name val="Times New Roman"/>
      <family val="1"/>
    </font>
    <font>
      <sz val="14"/>
      <color rgb="FFFF0000"/>
      <name val="Times New Roman"/>
      <family val="1"/>
    </font>
    <font>
      <vertAlign val="superscript"/>
      <sz val="14"/>
      <name val="Times New Roman"/>
      <family val="1"/>
    </font>
    <font>
      <b/>
      <i/>
      <sz val="12"/>
      <color indexed="63"/>
      <name val="Times New Roman"/>
      <family val="1"/>
    </font>
    <font>
      <b/>
      <sz val="10"/>
      <name val="Arial"/>
      <family val="2"/>
    </font>
    <font>
      <b/>
      <i/>
      <sz val="12"/>
      <name val="Times New Roman"/>
      <family val="1"/>
    </font>
    <font>
      <sz val="14"/>
      <color theme="1"/>
      <name val="Times New Roman"/>
      <family val="1"/>
    </font>
    <font>
      <sz val="14"/>
      <color rgb="FFFF0000"/>
      <name val="Arial"/>
      <family val="2"/>
    </font>
    <font>
      <b/>
      <sz val="14"/>
      <name val="Arial"/>
      <family val="2"/>
    </font>
    <font>
      <b/>
      <vertAlign val="superscript"/>
      <sz val="14"/>
      <name val="Times New Roman"/>
      <family val="1"/>
    </font>
    <font>
      <b/>
      <sz val="10"/>
      <color rgb="FFFF0000"/>
      <name val="Times New Roman"/>
      <family val="1"/>
    </font>
    <font>
      <b/>
      <sz val="16"/>
      <color indexed="10"/>
      <name val="Times New Roman"/>
      <family val="1"/>
    </font>
    <font>
      <b/>
      <sz val="14"/>
      <color indexed="8"/>
      <name val="Times New Roman"/>
      <family val="1"/>
    </font>
    <font>
      <b/>
      <sz val="10"/>
      <color indexed="8"/>
      <name val="Times New Roman"/>
      <family val="1"/>
    </font>
    <font>
      <b/>
      <sz val="14"/>
      <color indexed="63"/>
      <name val="Times New Roman"/>
      <family val="1"/>
    </font>
    <font>
      <sz val="14"/>
      <color indexed="10"/>
      <name val="Times New Roman"/>
      <family val="1"/>
    </font>
    <font>
      <b/>
      <sz val="14"/>
      <color indexed="10"/>
      <name val="Times New Roman"/>
      <family val="1"/>
    </font>
    <font>
      <sz val="12"/>
      <color indexed="10"/>
      <name val="Times New Roman"/>
      <family val="1"/>
    </font>
    <font>
      <sz val="20"/>
      <color rgb="FFFF0000"/>
      <name val="Times New Roman"/>
      <family val="1"/>
    </font>
    <font>
      <sz val="20"/>
      <color rgb="FFFF0000"/>
      <name val="Arial"/>
      <family val="2"/>
    </font>
    <font>
      <sz val="16"/>
      <color theme="1"/>
      <name val="Times New Roman"/>
      <family val="1"/>
    </font>
    <font>
      <b/>
      <sz val="10"/>
      <color theme="1"/>
      <name val="Times New Roman"/>
      <family val="1"/>
    </font>
    <font>
      <sz val="12"/>
      <color theme="1"/>
      <name val="Times New Roman"/>
      <family val="1"/>
    </font>
    <font>
      <b/>
      <sz val="14"/>
      <color rgb="FFFF0000"/>
      <name val="Times New Roman"/>
      <family val="1"/>
    </font>
    <font>
      <sz val="10"/>
      <color rgb="FFFF0000"/>
      <name val="Arial"/>
      <family val="2"/>
    </font>
    <font>
      <u/>
      <sz val="12"/>
      <name val="Times New Roman"/>
      <family val="1"/>
    </font>
    <font>
      <b/>
      <sz val="12"/>
      <color rgb="FFFF0000"/>
      <name val="Times New Roman"/>
      <family val="1"/>
    </font>
    <font>
      <sz val="10"/>
      <color theme="0"/>
      <name val="Times New Roman"/>
      <family val="1"/>
    </font>
    <font>
      <b/>
      <i/>
      <sz val="10"/>
      <name val="Times New Roman"/>
      <family val="1"/>
    </font>
    <font>
      <b/>
      <sz val="14"/>
      <color theme="1"/>
      <name val="Times New Roman"/>
      <family val="1"/>
    </font>
    <font>
      <sz val="10"/>
      <color indexed="10"/>
      <name val="Arial"/>
      <family val="2"/>
    </font>
    <font>
      <sz val="11"/>
      <name val="Times New Roman"/>
      <family val="1"/>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indexed="9"/>
        <bgColor indexed="64"/>
      </patternFill>
    </fill>
    <fill>
      <patternFill patternType="solid">
        <fgColor rgb="FFFFFFCC"/>
      </patternFill>
    </fill>
    <fill>
      <patternFill patternType="solid">
        <fgColor theme="7" tint="0.59999389629810485"/>
        <bgColor indexed="65"/>
      </patternFill>
    </fill>
    <fill>
      <patternFill patternType="solid">
        <fgColor theme="5" tint="0.79998168889431442"/>
        <bgColor indexed="65"/>
      </patternFill>
    </fill>
    <fill>
      <patternFill patternType="solid">
        <fgColor theme="2"/>
        <bgColor indexed="64"/>
      </patternFill>
    </fill>
    <fill>
      <patternFill patternType="solid">
        <fgColor indexed="9"/>
        <bgColor indexed="9"/>
      </patternFill>
    </fill>
    <fill>
      <patternFill patternType="solid">
        <fgColor theme="0"/>
        <bgColor indexed="64"/>
      </patternFill>
    </fill>
  </fills>
  <borders count="17">
    <border>
      <left/>
      <right/>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s>
  <cellStyleXfs count="849">
    <xf numFmtId="0" fontId="0" fillId="0" borderId="0"/>
    <xf numFmtId="0" fontId="19" fillId="0" borderId="0"/>
    <xf numFmtId="43" fontId="25" fillId="0" borderId="0" applyFont="0" applyFill="0" applyBorder="0" applyAlignment="0" applyProtection="0"/>
    <xf numFmtId="0" fontId="43" fillId="0" borderId="0" applyNumberFormat="0" applyFill="0" applyBorder="0" applyAlignment="0" applyProtection="0">
      <alignment vertical="top"/>
      <protection locked="0"/>
    </xf>
    <xf numFmtId="0" fontId="12" fillId="0" borderId="0"/>
    <xf numFmtId="0" fontId="19" fillId="0" borderId="0"/>
    <xf numFmtId="0" fontId="11" fillId="0" borderId="0"/>
    <xf numFmtId="0" fontId="19" fillId="0" borderId="0"/>
    <xf numFmtId="0" fontId="10" fillId="0" borderId="0"/>
    <xf numFmtId="0" fontId="19" fillId="0" borderId="0"/>
    <xf numFmtId="0" fontId="25" fillId="0" borderId="0"/>
    <xf numFmtId="0" fontId="10"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0" fontId="10" fillId="0" borderId="0"/>
    <xf numFmtId="0" fontId="19" fillId="0" borderId="0"/>
    <xf numFmtId="0" fontId="19" fillId="0" borderId="0"/>
    <xf numFmtId="43" fontId="19"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9"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6" borderId="0" applyNumberFormat="0" applyBorder="0" applyAlignment="0" applyProtection="0"/>
    <xf numFmtId="0" fontId="19" fillId="0" borderId="0"/>
    <xf numFmtId="43" fontId="19"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9"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9" fillId="0" borderId="0"/>
    <xf numFmtId="43" fontId="19"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6"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9" fillId="5" borderId="16" applyNumberFormat="0" applyFont="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25" fillId="0" borderId="0" applyFont="0" applyFill="0" applyBorder="0" applyAlignment="0" applyProtection="0"/>
    <xf numFmtId="0" fontId="10"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6"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6"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6"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6"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6"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6"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6"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6"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6"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6"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6"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6"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6"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6"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2" fillId="0" borderId="0"/>
    <xf numFmtId="0" fontId="2"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0" fontId="2" fillId="0" borderId="0"/>
    <xf numFmtId="43" fontId="19"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6" borderId="0" applyNumberFormat="0" applyBorder="0" applyAlignment="0" applyProtection="0"/>
    <xf numFmtId="43" fontId="19"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19"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6"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1" fillId="7" borderId="0" applyNumberFormat="0" applyBorder="0" applyAlignment="0" applyProtection="0"/>
    <xf numFmtId="0" fontId="14" fillId="0" borderId="0"/>
    <xf numFmtId="170" fontId="15" fillId="0" borderId="7" applyFont="0" applyFill="0" applyBorder="0" applyAlignment="0" applyProtection="0">
      <alignment horizontal="right"/>
    </xf>
    <xf numFmtId="43" fontId="19" fillId="0" borderId="0" applyFont="0" applyFill="0" applyBorder="0" applyAlignment="0" applyProtection="0"/>
    <xf numFmtId="0" fontId="14" fillId="0" borderId="0"/>
  </cellStyleXfs>
  <cellXfs count="1009">
    <xf numFmtId="0" fontId="0" fillId="0" borderId="0" xfId="0"/>
    <xf numFmtId="0" fontId="17" fillId="0" borderId="0" xfId="1" applyFont="1"/>
    <xf numFmtId="0" fontId="23" fillId="0" borderId="0" xfId="1" applyFont="1"/>
    <xf numFmtId="0" fontId="17" fillId="0" borderId="0" xfId="1" applyFont="1" applyFill="1"/>
    <xf numFmtId="0" fontId="17" fillId="0" borderId="0" xfId="1" applyFont="1" applyBorder="1"/>
    <xf numFmtId="49" fontId="17" fillId="0" borderId="0" xfId="1" applyNumberFormat="1" applyFont="1" applyFill="1" applyBorder="1" applyAlignment="1">
      <alignment horizontal="center"/>
    </xf>
    <xf numFmtId="164" fontId="17" fillId="0" borderId="0" xfId="1" applyNumberFormat="1" applyFont="1" applyFill="1" applyBorder="1"/>
    <xf numFmtId="0" fontId="17" fillId="0" borderId="0" xfId="1" applyFont="1" applyFill="1" applyBorder="1"/>
    <xf numFmtId="0" fontId="17" fillId="0" borderId="0" xfId="1" applyFont="1" applyFill="1" applyAlignment="1">
      <alignment horizontal="left"/>
    </xf>
    <xf numFmtId="164" fontId="15" fillId="3" borderId="5" xfId="1" applyNumberFormat="1" applyFont="1" applyFill="1" applyBorder="1" applyAlignment="1">
      <alignment horizontal="right"/>
    </xf>
    <xf numFmtId="0" fontId="17" fillId="0" borderId="6" xfId="1" applyFont="1" applyBorder="1"/>
    <xf numFmtId="164" fontId="15" fillId="3" borderId="2" xfId="1" applyNumberFormat="1" applyFont="1" applyFill="1" applyBorder="1" applyAlignment="1">
      <alignment horizontal="right"/>
    </xf>
    <xf numFmtId="0" fontId="15" fillId="0" borderId="4" xfId="1" applyFont="1" applyBorder="1"/>
    <xf numFmtId="0" fontId="15" fillId="0" borderId="3" xfId="1" applyFont="1" applyBorder="1"/>
    <xf numFmtId="0" fontId="15" fillId="0" borderId="7" xfId="1" applyFont="1" applyBorder="1"/>
    <xf numFmtId="0" fontId="15" fillId="0" borderId="6" xfId="1" applyFont="1" applyBorder="1" applyAlignment="1">
      <alignment horizontal="center"/>
    </xf>
    <xf numFmtId="0" fontId="15" fillId="0" borderId="11" xfId="1" applyFont="1" applyBorder="1" applyAlignment="1">
      <alignment horizontal="center"/>
    </xf>
    <xf numFmtId="0" fontId="15" fillId="0" borderId="5" xfId="1" applyFont="1" applyBorder="1" applyAlignment="1">
      <alignment horizontal="center"/>
    </xf>
    <xf numFmtId="0" fontId="15" fillId="0" borderId="11" xfId="1" applyFont="1" applyBorder="1"/>
    <xf numFmtId="0" fontId="15" fillId="0" borderId="7" xfId="1" applyFont="1" applyBorder="1" applyAlignment="1">
      <alignment horizontal="center"/>
    </xf>
    <xf numFmtId="0" fontId="17" fillId="0" borderId="3" xfId="1" applyFont="1" applyBorder="1"/>
    <xf numFmtId="164" fontId="17" fillId="3" borderId="6" xfId="1" applyNumberFormat="1" applyFont="1" applyFill="1" applyBorder="1" applyAlignment="1">
      <alignment horizontal="right"/>
    </xf>
    <xf numFmtId="164" fontId="17" fillId="3" borderId="3" xfId="1" applyNumberFormat="1" applyFont="1" applyFill="1" applyBorder="1" applyAlignment="1">
      <alignment horizontal="right"/>
    </xf>
    <xf numFmtId="164" fontId="15" fillId="3" borderId="3" xfId="1" applyNumberFormat="1" applyFont="1" applyFill="1" applyBorder="1" applyAlignment="1">
      <alignment horizontal="right"/>
    </xf>
    <xf numFmtId="164" fontId="17" fillId="0" borderId="0" xfId="1" applyNumberFormat="1" applyFont="1" applyBorder="1"/>
    <xf numFmtId="3" fontId="17" fillId="0" borderId="0" xfId="1" applyNumberFormat="1" applyFont="1" applyBorder="1"/>
    <xf numFmtId="164" fontId="17" fillId="3" borderId="2" xfId="1" applyNumberFormat="1" applyFont="1" applyFill="1" applyBorder="1" applyAlignment="1">
      <alignment horizontal="right"/>
    </xf>
    <xf numFmtId="0" fontId="14" fillId="0" borderId="0" xfId="1" applyFont="1"/>
    <xf numFmtId="0" fontId="21" fillId="0" borderId="0" xfId="1" applyFont="1"/>
    <xf numFmtId="0" fontId="14" fillId="0" borderId="0" xfId="1" applyFont="1" applyFill="1"/>
    <xf numFmtId="0" fontId="14" fillId="0" borderId="0" xfId="1" applyFont="1" applyFill="1" applyBorder="1"/>
    <xf numFmtId="164" fontId="15" fillId="0" borderId="0" xfId="1" applyNumberFormat="1" applyFont="1" applyFill="1" applyBorder="1" applyAlignment="1">
      <alignment horizontal="right"/>
    </xf>
    <xf numFmtId="3" fontId="17" fillId="0" borderId="0" xfId="1" applyNumberFormat="1" applyFont="1" applyFill="1" applyBorder="1" applyAlignment="1">
      <alignment horizontal="center"/>
    </xf>
    <xf numFmtId="164" fontId="17" fillId="0" borderId="0" xfId="1" applyNumberFormat="1" applyFont="1" applyFill="1" applyBorder="1" applyAlignment="1">
      <alignment horizontal="right"/>
    </xf>
    <xf numFmtId="49" fontId="17" fillId="0" borderId="0" xfId="1" applyNumberFormat="1" applyFont="1" applyFill="1" applyBorder="1" applyAlignment="1">
      <alignment horizontal="right"/>
    </xf>
    <xf numFmtId="164" fontId="15" fillId="3" borderId="6" xfId="1" applyNumberFormat="1" applyFont="1" applyFill="1" applyBorder="1" applyAlignment="1">
      <alignment horizontal="right"/>
    </xf>
    <xf numFmtId="3" fontId="17" fillId="0" borderId="0" xfId="1" quotePrefix="1" applyNumberFormat="1" applyFont="1" applyFill="1" applyBorder="1" applyAlignment="1">
      <alignment horizontal="center"/>
    </xf>
    <xf numFmtId="0" fontId="17" fillId="0" borderId="3" xfId="1" applyFont="1" applyFill="1" applyBorder="1"/>
    <xf numFmtId="0" fontId="15" fillId="0" borderId="3" xfId="1" applyFont="1" applyFill="1" applyBorder="1"/>
    <xf numFmtId="0" fontId="15" fillId="0" borderId="0" xfId="1" applyFont="1" applyFill="1" applyBorder="1" applyAlignment="1">
      <alignment horizontal="center"/>
    </xf>
    <xf numFmtId="0" fontId="15" fillId="0" borderId="6" xfId="1" applyFont="1" applyBorder="1"/>
    <xf numFmtId="14" fontId="16" fillId="0" borderId="0" xfId="1" applyNumberFormat="1" applyFont="1" applyFill="1" applyBorder="1" applyAlignment="1">
      <alignment horizontal="center"/>
    </xf>
    <xf numFmtId="0" fontId="15" fillId="0" borderId="0" xfId="1" applyFont="1"/>
    <xf numFmtId="3" fontId="17" fillId="0" borderId="3" xfId="1" applyNumberFormat="1" applyFont="1" applyFill="1" applyBorder="1" applyAlignment="1">
      <alignment horizontal="right"/>
    </xf>
    <xf numFmtId="3" fontId="17" fillId="0" borderId="6" xfId="1" applyNumberFormat="1" applyFont="1" applyFill="1" applyBorder="1" applyAlignment="1">
      <alignment horizontal="right"/>
    </xf>
    <xf numFmtId="0" fontId="17" fillId="0" borderId="6" xfId="1" applyFont="1" applyFill="1" applyBorder="1"/>
    <xf numFmtId="0" fontId="15" fillId="0" borderId="0" xfId="1" applyFont="1" applyBorder="1"/>
    <xf numFmtId="3" fontId="18" fillId="0" borderId="0" xfId="1" applyNumberFormat="1" applyFont="1" applyFill="1" applyBorder="1" applyAlignment="1">
      <alignment horizontal="right"/>
    </xf>
    <xf numFmtId="0" fontId="17" fillId="0" borderId="4" xfId="1" applyFont="1" applyFill="1" applyBorder="1"/>
    <xf numFmtId="0" fontId="17" fillId="0" borderId="0" xfId="1" applyFont="1" applyFill="1" applyAlignment="1">
      <alignment horizontal="right"/>
    </xf>
    <xf numFmtId="0" fontId="19" fillId="0" borderId="0" xfId="1"/>
    <xf numFmtId="0" fontId="26" fillId="0" borderId="0" xfId="1" applyFont="1"/>
    <xf numFmtId="0" fontId="0" fillId="0" borderId="0" xfId="1" applyFont="1"/>
    <xf numFmtId="0" fontId="27" fillId="0" borderId="0" xfId="1" applyFont="1" applyAlignment="1">
      <alignment horizontal="right"/>
    </xf>
    <xf numFmtId="0" fontId="28" fillId="0" borderId="0" xfId="1" applyFont="1" applyAlignment="1">
      <alignment horizontal="left"/>
    </xf>
    <xf numFmtId="0" fontId="29" fillId="0" borderId="0" xfId="1" applyFont="1" applyAlignment="1">
      <alignment horizontal="left"/>
    </xf>
    <xf numFmtId="0" fontId="30" fillId="0" borderId="0" xfId="1" applyFont="1" applyAlignment="1">
      <alignment horizontal="left"/>
    </xf>
    <xf numFmtId="0" fontId="31" fillId="0" borderId="0" xfId="1" applyFont="1" applyAlignment="1">
      <alignment horizontal="right"/>
    </xf>
    <xf numFmtId="0" fontId="19" fillId="0" borderId="0" xfId="1" applyAlignment="1">
      <alignment horizontal="right"/>
    </xf>
    <xf numFmtId="0" fontId="32" fillId="0" borderId="0" xfId="1" applyFont="1" applyAlignment="1">
      <alignment horizontal="left"/>
    </xf>
    <xf numFmtId="14" fontId="33" fillId="0" borderId="0" xfId="1" applyNumberFormat="1" applyFont="1" applyAlignment="1">
      <alignment horizontal="left"/>
    </xf>
    <xf numFmtId="0" fontId="33" fillId="0" borderId="0" xfId="1" applyFont="1" applyAlignment="1">
      <alignment horizontal="left"/>
    </xf>
    <xf numFmtId="0" fontId="34" fillId="0" borderId="0" xfId="1" applyFont="1" applyAlignment="1">
      <alignment vertical="center"/>
    </xf>
    <xf numFmtId="0" fontId="35" fillId="0" borderId="0" xfId="1" applyFont="1" applyAlignment="1">
      <alignment vertical="center"/>
    </xf>
    <xf numFmtId="0" fontId="36" fillId="0" borderId="0" xfId="1" applyFont="1"/>
    <xf numFmtId="14" fontId="37" fillId="0" borderId="0" xfId="1" applyNumberFormat="1" applyFont="1"/>
    <xf numFmtId="0" fontId="38" fillId="0" borderId="0" xfId="0" applyFont="1"/>
    <xf numFmtId="0" fontId="39" fillId="0" borderId="0" xfId="0" applyFont="1"/>
    <xf numFmtId="0" fontId="40" fillId="0" borderId="0" xfId="0" applyFont="1"/>
    <xf numFmtId="0" fontId="42" fillId="0" borderId="0" xfId="0" applyFont="1"/>
    <xf numFmtId="0" fontId="42" fillId="0" borderId="0" xfId="3" applyFont="1" applyAlignment="1" applyProtection="1"/>
    <xf numFmtId="0" fontId="44" fillId="0" borderId="0" xfId="0" applyFont="1"/>
    <xf numFmtId="0" fontId="17" fillId="0" borderId="0" xfId="3" applyFont="1" applyFill="1" applyAlignment="1" applyProtection="1"/>
    <xf numFmtId="0" fontId="30" fillId="0" borderId="0" xfId="0" applyFont="1"/>
    <xf numFmtId="0" fontId="45" fillId="0" borderId="0" xfId="0" applyFont="1"/>
    <xf numFmtId="0" fontId="46" fillId="0" borderId="0" xfId="0" applyFont="1"/>
    <xf numFmtId="3" fontId="30" fillId="0" borderId="0" xfId="0" applyNumberFormat="1" applyFont="1"/>
    <xf numFmtId="3" fontId="30" fillId="0" borderId="0" xfId="0" applyNumberFormat="1" applyFont="1" applyFill="1"/>
    <xf numFmtId="0" fontId="30" fillId="0" borderId="0" xfId="0" applyFont="1" applyFill="1"/>
    <xf numFmtId="0" fontId="41" fillId="0" borderId="0" xfId="0" applyFont="1"/>
    <xf numFmtId="0" fontId="36" fillId="0" borderId="0" xfId="0" applyFont="1"/>
    <xf numFmtId="14" fontId="13" fillId="0" borderId="13" xfId="0" applyNumberFormat="1" applyFont="1" applyFill="1" applyBorder="1" applyAlignment="1">
      <alignment horizontal="left"/>
    </xf>
    <xf numFmtId="0" fontId="30" fillId="0" borderId="10" xfId="0" applyFont="1" applyBorder="1"/>
    <xf numFmtId="0" fontId="30" fillId="0" borderId="8" xfId="0" applyFont="1" applyBorder="1"/>
    <xf numFmtId="0" fontId="30" fillId="0" borderId="9" xfId="0" applyFont="1" applyBorder="1"/>
    <xf numFmtId="0" fontId="30" fillId="0" borderId="3" xfId="0" applyFont="1" applyBorder="1"/>
    <xf numFmtId="0" fontId="17" fillId="0" borderId="0" xfId="0" applyFont="1"/>
    <xf numFmtId="3" fontId="45" fillId="0" borderId="7" xfId="0" applyNumberFormat="1" applyFont="1" applyFill="1" applyBorder="1"/>
    <xf numFmtId="0" fontId="45" fillId="0" borderId="0" xfId="0" applyFont="1" applyBorder="1" applyAlignment="1">
      <alignment horizontal="center"/>
    </xf>
    <xf numFmtId="0" fontId="45" fillId="0" borderId="3" xfId="0" applyFont="1" applyBorder="1" applyAlignment="1">
      <alignment horizontal="center"/>
    </xf>
    <xf numFmtId="3" fontId="45" fillId="0" borderId="3" xfId="0" applyNumberFormat="1" applyFont="1" applyFill="1" applyBorder="1"/>
    <xf numFmtId="0" fontId="15" fillId="0" borderId="4" xfId="0" applyFont="1" applyBorder="1" applyAlignment="1">
      <alignment horizontal="center"/>
    </xf>
    <xf numFmtId="0" fontId="15" fillId="0" borderId="1" xfId="0" applyFont="1" applyBorder="1" applyAlignment="1">
      <alignment horizontal="center"/>
    </xf>
    <xf numFmtId="0" fontId="15" fillId="0" borderId="7" xfId="0" applyFont="1" applyBorder="1" applyAlignment="1">
      <alignment horizontal="center"/>
    </xf>
    <xf numFmtId="0" fontId="15" fillId="0" borderId="3" xfId="0" applyFont="1" applyBorder="1" applyAlignment="1">
      <alignment horizontal="center"/>
    </xf>
    <xf numFmtId="3" fontId="48" fillId="4" borderId="6" xfId="0" applyNumberFormat="1" applyFont="1" applyFill="1" applyBorder="1"/>
    <xf numFmtId="0" fontId="13" fillId="0" borderId="11" xfId="0" applyFont="1" applyBorder="1" applyAlignment="1">
      <alignment horizontal="center"/>
    </xf>
    <xf numFmtId="0" fontId="15" fillId="0" borderId="11" xfId="0" applyFont="1" applyBorder="1" applyAlignment="1">
      <alignment horizontal="center"/>
    </xf>
    <xf numFmtId="0" fontId="15" fillId="0" borderId="6" xfId="0" applyFont="1" applyBorder="1" applyAlignment="1">
      <alignment horizontal="center"/>
    </xf>
    <xf numFmtId="0" fontId="15" fillId="0" borderId="0" xfId="0" applyFont="1" applyBorder="1" applyAlignment="1">
      <alignment horizontal="center"/>
    </xf>
    <xf numFmtId="0" fontId="45" fillId="0" borderId="3" xfId="0" applyFont="1" applyBorder="1"/>
    <xf numFmtId="0" fontId="30" fillId="0" borderId="1" xfId="0" applyFont="1" applyBorder="1"/>
    <xf numFmtId="3" fontId="30" fillId="0" borderId="4" xfId="0" applyNumberFormat="1" applyFont="1" applyBorder="1"/>
    <xf numFmtId="3" fontId="30" fillId="0" borderId="4" xfId="0" applyNumberFormat="1" applyFont="1" applyBorder="1" applyAlignment="1">
      <alignment horizontal="right"/>
    </xf>
    <xf numFmtId="3" fontId="30" fillId="0" borderId="4" xfId="0" applyNumberFormat="1" applyFont="1" applyFill="1" applyBorder="1"/>
    <xf numFmtId="3" fontId="30" fillId="0" borderId="4" xfId="0" applyNumberFormat="1" applyFont="1" applyFill="1" applyBorder="1" applyAlignment="1">
      <alignment horizontal="right"/>
    </xf>
    <xf numFmtId="0" fontId="30" fillId="0" borderId="3" xfId="0" applyFont="1" applyFill="1" applyBorder="1"/>
    <xf numFmtId="0" fontId="30" fillId="0" borderId="4" xfId="0" applyFont="1" applyFill="1" applyBorder="1"/>
    <xf numFmtId="3" fontId="45" fillId="0" borderId="4" xfId="0" applyNumberFormat="1" applyFont="1" applyBorder="1"/>
    <xf numFmtId="3" fontId="45" fillId="0" borderId="4" xfId="0" applyNumberFormat="1" applyFont="1" applyBorder="1" applyAlignment="1">
      <alignment horizontal="right"/>
    </xf>
    <xf numFmtId="0" fontId="15" fillId="0" borderId="0" xfId="0" applyFont="1"/>
    <xf numFmtId="0" fontId="30" fillId="0" borderId="0" xfId="0" applyFont="1" applyBorder="1"/>
    <xf numFmtId="0" fontId="45" fillId="0" borderId="6" xfId="0" applyFont="1" applyBorder="1"/>
    <xf numFmtId="3" fontId="45" fillId="0" borderId="11" xfId="0" applyNumberFormat="1" applyFont="1" applyBorder="1"/>
    <xf numFmtId="3" fontId="45" fillId="0" borderId="11" xfId="0" applyNumberFormat="1" applyFont="1" applyBorder="1" applyAlignment="1">
      <alignment horizontal="right"/>
    </xf>
    <xf numFmtId="0" fontId="30" fillId="0" borderId="0" xfId="0" applyFont="1" applyAlignment="1">
      <alignment horizontal="left"/>
    </xf>
    <xf numFmtId="0" fontId="45" fillId="0" borderId="0" xfId="0" applyFont="1" applyAlignment="1">
      <alignment horizontal="left"/>
    </xf>
    <xf numFmtId="0" fontId="30" fillId="0" borderId="14" xfId="0" applyFont="1" applyBorder="1"/>
    <xf numFmtId="0" fontId="30" fillId="0" borderId="15" xfId="0" applyFont="1" applyBorder="1"/>
    <xf numFmtId="166" fontId="45" fillId="0" borderId="7" xfId="0" applyNumberFormat="1" applyFont="1" applyBorder="1" applyAlignment="1">
      <alignment horizontal="left"/>
    </xf>
    <xf numFmtId="0" fontId="45" fillId="0" borderId="2" xfId="0" applyFont="1" applyBorder="1" applyAlignment="1">
      <alignment horizontal="center"/>
    </xf>
    <xf numFmtId="166" fontId="45" fillId="0" borderId="3" xfId="0" applyNumberFormat="1" applyFont="1" applyBorder="1" applyAlignment="1">
      <alignment horizontal="left"/>
    </xf>
    <xf numFmtId="0" fontId="45" fillId="0" borderId="4" xfId="0" applyFont="1" applyBorder="1" applyAlignment="1">
      <alignment horizontal="center"/>
    </xf>
    <xf numFmtId="0" fontId="45" fillId="0" borderId="1" xfId="0" applyFont="1" applyBorder="1" applyAlignment="1">
      <alignment horizontal="center"/>
    </xf>
    <xf numFmtId="0" fontId="15" fillId="0" borderId="2" xfId="0" applyFont="1" applyBorder="1" applyAlignment="1">
      <alignment horizontal="center"/>
    </xf>
    <xf numFmtId="166" fontId="50" fillId="0" borderId="6" xfId="0" applyNumberFormat="1" applyFont="1" applyBorder="1" applyAlignment="1">
      <alignment horizontal="left"/>
    </xf>
    <xf numFmtId="0" fontId="13" fillId="0" borderId="6" xfId="0" applyFont="1" applyBorder="1" applyAlignment="1">
      <alignment horizontal="center"/>
    </xf>
    <xf numFmtId="0" fontId="15" fillId="0" borderId="12" xfId="0" applyFont="1" applyBorder="1" applyAlignment="1">
      <alignment horizontal="center"/>
    </xf>
    <xf numFmtId="3" fontId="30" fillId="0" borderId="1" xfId="0" applyNumberFormat="1" applyFont="1" applyBorder="1"/>
    <xf numFmtId="3" fontId="30" fillId="0" borderId="2" xfId="0" applyNumberFormat="1" applyFont="1" applyBorder="1"/>
    <xf numFmtId="3" fontId="51" fillId="0" borderId="4" xfId="0" applyNumberFormat="1" applyFont="1" applyFill="1" applyBorder="1" applyAlignment="1">
      <alignment horizontal="right"/>
    </xf>
    <xf numFmtId="0" fontId="46" fillId="0" borderId="0" xfId="0" applyFont="1" applyFill="1"/>
    <xf numFmtId="0" fontId="52" fillId="0" borderId="0" xfId="0" applyFont="1" applyFill="1"/>
    <xf numFmtId="3" fontId="53" fillId="0" borderId="0" xfId="0" applyNumberFormat="1" applyFont="1"/>
    <xf numFmtId="0" fontId="53" fillId="0" borderId="0" xfId="0" applyFont="1"/>
    <xf numFmtId="0" fontId="53" fillId="0" borderId="0" xfId="0" applyFont="1" applyFill="1"/>
    <xf numFmtId="0" fontId="45" fillId="0" borderId="4" xfId="0" applyFont="1" applyBorder="1"/>
    <xf numFmtId="3" fontId="45" fillId="0" borderId="0" xfId="0" applyNumberFormat="1" applyFont="1" applyBorder="1" applyAlignment="1">
      <alignment horizontal="right"/>
    </xf>
    <xf numFmtId="3" fontId="30" fillId="0" borderId="0" xfId="0" applyNumberFormat="1" applyFont="1" applyBorder="1"/>
    <xf numFmtId="3" fontId="15" fillId="0" borderId="4" xfId="1" applyNumberFormat="1" applyFont="1" applyBorder="1"/>
    <xf numFmtId="3" fontId="14" fillId="0" borderId="0" xfId="1" applyNumberFormat="1" applyFont="1" applyFill="1" applyBorder="1"/>
    <xf numFmtId="3" fontId="15" fillId="0" borderId="0" xfId="1" applyNumberFormat="1" applyFont="1"/>
    <xf numFmtId="3" fontId="15" fillId="0" borderId="1" xfId="1" applyNumberFormat="1" applyFont="1" applyBorder="1"/>
    <xf numFmtId="3" fontId="17" fillId="0" borderId="0" xfId="1" applyNumberFormat="1" applyFont="1" applyFill="1" applyBorder="1" applyAlignment="1">
      <alignment horizontal="right"/>
    </xf>
    <xf numFmtId="3" fontId="17" fillId="0" borderId="0" xfId="1" applyNumberFormat="1" applyFont="1" applyFill="1" applyBorder="1"/>
    <xf numFmtId="3" fontId="13" fillId="0" borderId="0" xfId="1" applyNumberFormat="1" applyFont="1"/>
    <xf numFmtId="3" fontId="17" fillId="0" borderId="0" xfId="1" applyNumberFormat="1" applyFont="1" applyFill="1"/>
    <xf numFmtId="3" fontId="17" fillId="0" borderId="0" xfId="1" applyNumberFormat="1" applyFont="1"/>
    <xf numFmtId="3" fontId="15" fillId="0" borderId="5" xfId="1" applyNumberFormat="1" applyFont="1" applyBorder="1" applyAlignment="1">
      <alignment horizontal="center"/>
    </xf>
    <xf numFmtId="3" fontId="21" fillId="0" borderId="0" xfId="1" applyNumberFormat="1" applyFont="1"/>
    <xf numFmtId="3" fontId="16" fillId="0" borderId="4" xfId="1" applyNumberFormat="1" applyFont="1" applyBorder="1" applyAlignment="1">
      <alignment horizontal="center"/>
    </xf>
    <xf numFmtId="3" fontId="17" fillId="0" borderId="4" xfId="1" applyNumberFormat="1" applyFont="1" applyFill="1" applyBorder="1"/>
    <xf numFmtId="3" fontId="14" fillId="0" borderId="0" xfId="1" applyNumberFormat="1" applyFont="1" applyFill="1"/>
    <xf numFmtId="3" fontId="17" fillId="0" borderId="0" xfId="1" applyNumberFormat="1" applyFont="1" applyAlignment="1">
      <alignment horizontal="left"/>
    </xf>
    <xf numFmtId="3" fontId="15" fillId="0" borderId="6" xfId="1" applyNumberFormat="1" applyFont="1" applyBorder="1" applyAlignment="1">
      <alignment horizontal="center"/>
    </xf>
    <xf numFmtId="3" fontId="14" fillId="0" borderId="0" xfId="1" applyNumberFormat="1" applyFont="1"/>
    <xf numFmtId="3" fontId="15" fillId="0" borderId="3" xfId="1" applyNumberFormat="1" applyFont="1" applyBorder="1"/>
    <xf numFmtId="3" fontId="15" fillId="0" borderId="0" xfId="1" applyNumberFormat="1" applyFont="1" applyFill="1" applyBorder="1" applyAlignment="1">
      <alignment horizontal="right"/>
    </xf>
    <xf numFmtId="3" fontId="15" fillId="3" borderId="2" xfId="1" applyNumberFormat="1" applyFont="1" applyFill="1" applyBorder="1" applyAlignment="1">
      <alignment horizontal="right"/>
    </xf>
    <xf numFmtId="3" fontId="15" fillId="0" borderId="11" xfId="1" applyNumberFormat="1" applyFont="1" applyBorder="1" applyAlignment="1">
      <alignment horizontal="center"/>
    </xf>
    <xf numFmtId="3" fontId="15" fillId="0" borderId="7" xfId="1" applyNumberFormat="1" applyFont="1" applyBorder="1" applyAlignment="1">
      <alignment horizontal="center"/>
    </xf>
    <xf numFmtId="3" fontId="13" fillId="0" borderId="12" xfId="1" applyNumberFormat="1" applyFont="1" applyBorder="1"/>
    <xf numFmtId="3" fontId="17" fillId="0" borderId="0" xfId="1" applyNumberFormat="1" applyFont="1" applyFill="1" applyAlignment="1">
      <alignment horizontal="left"/>
    </xf>
    <xf numFmtId="3" fontId="13" fillId="0" borderId="0" xfId="1" applyNumberFormat="1" applyFont="1" applyBorder="1"/>
    <xf numFmtId="3" fontId="17" fillId="3" borderId="3" xfId="1" applyNumberFormat="1" applyFont="1" applyFill="1" applyBorder="1" applyAlignment="1">
      <alignment horizontal="right"/>
    </xf>
    <xf numFmtId="3" fontId="17" fillId="3" borderId="6" xfId="1" applyNumberFormat="1" applyFont="1" applyFill="1" applyBorder="1" applyAlignment="1">
      <alignment horizontal="right"/>
    </xf>
    <xf numFmtId="3" fontId="15" fillId="0" borderId="0" xfId="1" applyNumberFormat="1" applyFont="1" applyBorder="1"/>
    <xf numFmtId="3" fontId="15" fillId="3" borderId="6" xfId="1" applyNumberFormat="1" applyFont="1" applyFill="1" applyBorder="1" applyAlignment="1">
      <alignment horizontal="right"/>
    </xf>
    <xf numFmtId="3" fontId="15" fillId="3" borderId="5" xfId="1" applyNumberFormat="1" applyFont="1" applyFill="1" applyBorder="1" applyAlignment="1">
      <alignment horizontal="right"/>
    </xf>
    <xf numFmtId="3" fontId="15" fillId="3" borderId="3" xfId="1" applyNumberFormat="1" applyFont="1" applyFill="1" applyBorder="1" applyAlignment="1">
      <alignment horizontal="right"/>
    </xf>
    <xf numFmtId="3" fontId="17" fillId="0" borderId="10" xfId="1" applyNumberFormat="1" applyFont="1" applyBorder="1" applyAlignment="1">
      <alignment horizontal="left"/>
    </xf>
    <xf numFmtId="3" fontId="16" fillId="0" borderId="7" xfId="1" applyNumberFormat="1" applyFont="1" applyBorder="1" applyAlignment="1">
      <alignment horizontal="center"/>
    </xf>
    <xf numFmtId="3" fontId="15" fillId="0" borderId="0" xfId="1" applyNumberFormat="1" applyFont="1" applyFill="1" applyBorder="1" applyAlignment="1">
      <alignment horizontal="center"/>
    </xf>
    <xf numFmtId="3" fontId="16" fillId="0" borderId="0" xfId="1" applyNumberFormat="1" applyFont="1" applyFill="1" applyBorder="1" applyAlignment="1">
      <alignment horizontal="center"/>
    </xf>
    <xf numFmtId="3" fontId="17" fillId="3" borderId="2" xfId="1" applyNumberFormat="1" applyFont="1" applyFill="1" applyBorder="1" applyAlignment="1">
      <alignment horizontal="right"/>
    </xf>
    <xf numFmtId="3" fontId="30" fillId="0" borderId="3" xfId="0" applyNumberFormat="1" applyFont="1" applyBorder="1"/>
    <xf numFmtId="3" fontId="30" fillId="0" borderId="3" xfId="0" applyNumberFormat="1" applyFont="1" applyFill="1" applyBorder="1"/>
    <xf numFmtId="3" fontId="45" fillId="0" borderId="3" xfId="0" applyNumberFormat="1" applyFont="1" applyBorder="1"/>
    <xf numFmtId="3" fontId="45" fillId="0" borderId="0" xfId="0" applyNumberFormat="1" applyFont="1" applyBorder="1"/>
    <xf numFmtId="3" fontId="30" fillId="0" borderId="4" xfId="2" applyNumberFormat="1" applyFont="1" applyBorder="1"/>
    <xf numFmtId="3" fontId="45" fillId="0" borderId="6" xfId="0" applyNumberFormat="1" applyFont="1" applyBorder="1"/>
    <xf numFmtId="3" fontId="30" fillId="0" borderId="0" xfId="0" applyNumberFormat="1" applyFont="1" applyBorder="1" applyAlignment="1">
      <alignment horizontal="right"/>
    </xf>
    <xf numFmtId="3" fontId="51" fillId="0" borderId="0" xfId="0" applyNumberFormat="1" applyFont="1" applyFill="1" applyBorder="1" applyAlignment="1">
      <alignment horizontal="right"/>
    </xf>
    <xf numFmtId="0" fontId="13" fillId="0" borderId="3" xfId="0" applyFont="1" applyBorder="1" applyAlignment="1">
      <alignment horizontal="center"/>
    </xf>
    <xf numFmtId="0" fontId="30" fillId="0" borderId="0" xfId="0" applyFont="1" applyFill="1" applyBorder="1"/>
    <xf numFmtId="3" fontId="17" fillId="2" borderId="3" xfId="1" applyNumberFormat="1" applyFont="1" applyFill="1" applyBorder="1" applyAlignment="1">
      <alignment horizontal="right"/>
    </xf>
    <xf numFmtId="0" fontId="17" fillId="0" borderId="0" xfId="0" applyFont="1" applyFill="1" applyBorder="1"/>
    <xf numFmtId="3" fontId="22" fillId="0" borderId="4" xfId="1" applyNumberFormat="1" applyFont="1" applyFill="1" applyBorder="1" applyAlignment="1">
      <alignment horizontal="right"/>
    </xf>
    <xf numFmtId="3" fontId="22" fillId="0" borderId="3" xfId="1" applyNumberFormat="1" applyFont="1" applyFill="1" applyBorder="1" applyAlignment="1">
      <alignment horizontal="right"/>
    </xf>
    <xf numFmtId="3" fontId="17" fillId="0" borderId="4" xfId="1" quotePrefix="1" applyNumberFormat="1" applyFont="1" applyFill="1" applyBorder="1" applyAlignment="1">
      <alignment horizontal="right"/>
    </xf>
    <xf numFmtId="166" fontId="45" fillId="0" borderId="4" xfId="0" applyNumberFormat="1" applyFont="1" applyBorder="1" applyAlignment="1">
      <alignment horizontal="left"/>
    </xf>
    <xf numFmtId="0" fontId="30" fillId="0" borderId="4" xfId="0" applyFont="1" applyBorder="1"/>
    <xf numFmtId="0" fontId="51" fillId="0" borderId="4" xfId="0" applyFont="1" applyFill="1" applyBorder="1"/>
    <xf numFmtId="0" fontId="45" fillId="0" borderId="11" xfId="0" applyFont="1" applyBorder="1"/>
    <xf numFmtId="3" fontId="30" fillId="0" borderId="3" xfId="0" applyNumberFormat="1" applyFont="1" applyBorder="1" applyAlignment="1">
      <alignment horizontal="right"/>
    </xf>
    <xf numFmtId="3" fontId="51" fillId="0" borderId="3" xfId="0" applyNumberFormat="1" applyFont="1" applyFill="1" applyBorder="1" applyAlignment="1">
      <alignment horizontal="right"/>
    </xf>
    <xf numFmtId="3" fontId="45" fillId="0" borderId="3" xfId="0" applyNumberFormat="1" applyFont="1" applyBorder="1" applyAlignment="1">
      <alignment horizontal="right"/>
    </xf>
    <xf numFmtId="3" fontId="45" fillId="0" borderId="6" xfId="0" applyNumberFormat="1" applyFont="1" applyBorder="1" applyAlignment="1">
      <alignment horizontal="right"/>
    </xf>
    <xf numFmtId="0" fontId="36" fillId="0" borderId="4" xfId="0" applyFont="1" applyBorder="1" applyAlignment="1">
      <alignment horizontal="right"/>
    </xf>
    <xf numFmtId="3" fontId="30" fillId="0" borderId="7" xfId="0" applyNumberFormat="1" applyFont="1" applyBorder="1" applyAlignment="1">
      <alignment horizontal="right"/>
    </xf>
    <xf numFmtId="3" fontId="30" fillId="0" borderId="14" xfId="0" applyNumberFormat="1" applyFont="1" applyBorder="1" applyAlignment="1">
      <alignment horizontal="right"/>
    </xf>
    <xf numFmtId="0" fontId="36" fillId="0" borderId="3" xfId="0" applyFont="1" applyBorder="1" applyAlignment="1">
      <alignment horizontal="right"/>
    </xf>
    <xf numFmtId="3" fontId="30" fillId="0" borderId="6" xfId="0" applyNumberFormat="1" applyFont="1" applyBorder="1" applyAlignment="1">
      <alignment horizontal="right"/>
    </xf>
    <xf numFmtId="3" fontId="15" fillId="0" borderId="0" xfId="0" applyNumberFormat="1" applyFont="1"/>
    <xf numFmtId="3" fontId="15" fillId="0" borderId="4" xfId="1" applyNumberFormat="1" applyFont="1" applyBorder="1" applyAlignment="1">
      <alignment horizontal="center"/>
    </xf>
    <xf numFmtId="3" fontId="17" fillId="0" borderId="0" xfId="0" applyNumberFormat="1" applyFont="1" applyBorder="1"/>
    <xf numFmtId="3" fontId="17" fillId="0" borderId="0" xfId="0" applyNumberFormat="1" applyFont="1"/>
    <xf numFmtId="3" fontId="15" fillId="0" borderId="0" xfId="0" applyNumberFormat="1" applyFont="1" applyBorder="1"/>
    <xf numFmtId="3" fontId="17" fillId="0" borderId="0" xfId="0" applyNumberFormat="1" applyFont="1" applyFill="1" applyBorder="1"/>
    <xf numFmtId="0" fontId="17" fillId="8" borderId="1" xfId="0" applyFont="1" applyFill="1" applyBorder="1"/>
    <xf numFmtId="0" fontId="17" fillId="8" borderId="15" xfId="0" applyFont="1" applyFill="1" applyBorder="1"/>
    <xf numFmtId="0" fontId="17" fillId="8" borderId="14" xfId="0" applyFont="1" applyFill="1" applyBorder="1"/>
    <xf numFmtId="0" fontId="15" fillId="8" borderId="1" xfId="0" applyFont="1" applyFill="1" applyBorder="1" applyAlignment="1">
      <alignment horizontal="center"/>
    </xf>
    <xf numFmtId="0" fontId="15" fillId="8" borderId="15" xfId="0" applyFont="1" applyFill="1" applyBorder="1" applyAlignment="1">
      <alignment horizontal="center"/>
    </xf>
    <xf numFmtId="0" fontId="15" fillId="8" borderId="14" xfId="0" applyFont="1" applyFill="1" applyBorder="1" applyAlignment="1">
      <alignment horizontal="center"/>
    </xf>
    <xf numFmtId="0" fontId="15" fillId="8" borderId="11" xfId="0" applyFont="1" applyFill="1" applyBorder="1" applyAlignment="1">
      <alignment horizontal="center"/>
    </xf>
    <xf numFmtId="0" fontId="15" fillId="8" borderId="5" xfId="0" applyFont="1" applyFill="1" applyBorder="1" applyAlignment="1">
      <alignment horizontal="center"/>
    </xf>
    <xf numFmtId="0" fontId="15" fillId="8" borderId="12" xfId="0" applyFont="1" applyFill="1" applyBorder="1" applyAlignment="1">
      <alignment horizontal="center"/>
    </xf>
    <xf numFmtId="0" fontId="15" fillId="8" borderId="3" xfId="0" applyFont="1" applyFill="1" applyBorder="1"/>
    <xf numFmtId="3" fontId="17" fillId="8" borderId="2" xfId="0" applyNumberFormat="1" applyFont="1" applyFill="1" applyBorder="1"/>
    <xf numFmtId="3" fontId="17" fillId="8" borderId="7" xfId="0" applyNumberFormat="1" applyFont="1" applyFill="1" applyBorder="1"/>
    <xf numFmtId="3" fontId="17" fillId="8" borderId="3" xfId="0" applyNumberFormat="1" applyFont="1" applyFill="1" applyBorder="1"/>
    <xf numFmtId="0" fontId="15" fillId="8" borderId="3" xfId="0" applyFont="1" applyFill="1" applyBorder="1" applyAlignment="1">
      <alignment horizontal="center"/>
    </xf>
    <xf numFmtId="0" fontId="15" fillId="8" borderId="2" xfId="0" applyFont="1" applyFill="1" applyBorder="1" applyAlignment="1">
      <alignment horizontal="center"/>
    </xf>
    <xf numFmtId="0" fontId="17" fillId="8" borderId="2" xfId="0" applyFont="1" applyFill="1" applyBorder="1"/>
    <xf numFmtId="0" fontId="17" fillId="8" borderId="3" xfId="0" applyFont="1" applyFill="1" applyBorder="1"/>
    <xf numFmtId="3" fontId="17" fillId="8" borderId="2" xfId="2" applyNumberFormat="1" applyFont="1" applyFill="1" applyBorder="1"/>
    <xf numFmtId="3" fontId="15" fillId="8" borderId="6" xfId="0" applyNumberFormat="1" applyFont="1" applyFill="1" applyBorder="1"/>
    <xf numFmtId="3" fontId="15" fillId="8" borderId="5" xfId="0" applyNumberFormat="1" applyFont="1" applyFill="1" applyBorder="1"/>
    <xf numFmtId="3" fontId="30" fillId="0" borderId="2" xfId="0" quotePrefix="1" applyNumberFormat="1" applyFont="1" applyBorder="1" applyAlignment="1">
      <alignment horizontal="right"/>
    </xf>
    <xf numFmtId="0" fontId="36" fillId="0" borderId="1" xfId="0" applyFont="1" applyBorder="1" applyAlignment="1">
      <alignment horizontal="right"/>
    </xf>
    <xf numFmtId="3" fontId="30" fillId="0" borderId="3" xfId="0" quotePrefix="1" applyNumberFormat="1" applyFont="1" applyBorder="1" applyAlignment="1">
      <alignment horizontal="right"/>
    </xf>
    <xf numFmtId="3" fontId="17" fillId="0" borderId="2" xfId="1" applyNumberFormat="1" applyFont="1" applyFill="1" applyBorder="1" applyAlignment="1">
      <alignment horizontal="right"/>
    </xf>
    <xf numFmtId="3" fontId="17" fillId="2" borderId="2" xfId="1" applyNumberFormat="1" applyFont="1" applyFill="1" applyBorder="1" applyAlignment="1">
      <alignment horizontal="right"/>
    </xf>
    <xf numFmtId="3" fontId="15" fillId="0" borderId="3" xfId="1" applyNumberFormat="1" applyFont="1" applyFill="1" applyBorder="1" applyAlignment="1">
      <alignment horizontal="right"/>
    </xf>
    <xf numFmtId="3" fontId="17" fillId="0" borderId="2" xfId="1" quotePrefix="1" applyNumberFormat="1" applyFont="1" applyFill="1" applyBorder="1" applyAlignment="1">
      <alignment horizontal="right"/>
    </xf>
    <xf numFmtId="3" fontId="17" fillId="0" borderId="6" xfId="1" quotePrefix="1" applyNumberFormat="1" applyFont="1" applyFill="1" applyBorder="1" applyAlignment="1">
      <alignment horizontal="right"/>
    </xf>
    <xf numFmtId="3" fontId="17" fillId="0" borderId="5" xfId="1" quotePrefix="1" applyNumberFormat="1" applyFont="1" applyFill="1" applyBorder="1" applyAlignment="1">
      <alignment horizontal="right"/>
    </xf>
    <xf numFmtId="3" fontId="17" fillId="3" borderId="0" xfId="1" applyNumberFormat="1" applyFont="1" applyFill="1" applyBorder="1" applyAlignment="1">
      <alignment horizontal="right"/>
    </xf>
    <xf numFmtId="3" fontId="45" fillId="0" borderId="2" xfId="0" applyNumberFormat="1" applyFont="1" applyBorder="1"/>
    <xf numFmtId="3" fontId="16" fillId="0" borderId="1" xfId="1" applyNumberFormat="1" applyFont="1" applyBorder="1" applyAlignment="1">
      <alignment horizontal="center"/>
    </xf>
    <xf numFmtId="3" fontId="13" fillId="0" borderId="9" xfId="1" applyNumberFormat="1" applyFont="1" applyBorder="1" applyAlignment="1">
      <alignment horizontal="center"/>
    </xf>
    <xf numFmtId="3" fontId="16" fillId="0" borderId="6" xfId="1" applyNumberFormat="1" applyFont="1" applyBorder="1" applyAlignment="1">
      <alignment horizontal="center"/>
    </xf>
    <xf numFmtId="3" fontId="15" fillId="0" borderId="3" xfId="1" applyNumberFormat="1" applyFont="1" applyBorder="1" applyAlignment="1">
      <alignment horizontal="center"/>
    </xf>
    <xf numFmtId="3" fontId="16" fillId="0" borderId="3" xfId="1" applyNumberFormat="1" applyFont="1" applyBorder="1" applyAlignment="1">
      <alignment horizontal="center"/>
    </xf>
    <xf numFmtId="3" fontId="15" fillId="0" borderId="2" xfId="1" applyNumberFormat="1" applyFont="1" applyBorder="1" applyAlignment="1">
      <alignment horizontal="center"/>
    </xf>
    <xf numFmtId="3" fontId="13" fillId="0" borderId="1" xfId="1" applyNumberFormat="1" applyFont="1" applyBorder="1"/>
    <xf numFmtId="0" fontId="17" fillId="0" borderId="6" xfId="0" applyFont="1" applyBorder="1"/>
    <xf numFmtId="0" fontId="15" fillId="0" borderId="3" xfId="1" applyFont="1" applyBorder="1" applyAlignment="1">
      <alignment horizontal="center"/>
    </xf>
    <xf numFmtId="0" fontId="15" fillId="0" borderId="15" xfId="1" applyFont="1" applyBorder="1" applyAlignment="1">
      <alignment horizontal="center"/>
    </xf>
    <xf numFmtId="0" fontId="17" fillId="0" borderId="5" xfId="1" applyFont="1" applyFill="1" applyBorder="1"/>
    <xf numFmtId="0" fontId="17" fillId="0" borderId="9" xfId="1" applyFont="1" applyFill="1" applyBorder="1"/>
    <xf numFmtId="167" fontId="17" fillId="0" borderId="0" xfId="1" applyNumberFormat="1" applyFont="1" applyFill="1" applyBorder="1" applyAlignment="1">
      <alignment horizontal="center"/>
    </xf>
    <xf numFmtId="167" fontId="17" fillId="3" borderId="3" xfId="1" applyNumberFormat="1" applyFont="1" applyFill="1" applyBorder="1" applyAlignment="1">
      <alignment horizontal="right"/>
    </xf>
    <xf numFmtId="167" fontId="17" fillId="3" borderId="6" xfId="1" applyNumberFormat="1" applyFont="1" applyFill="1" applyBorder="1" applyAlignment="1">
      <alignment horizontal="right"/>
    </xf>
    <xf numFmtId="0" fontId="45" fillId="0" borderId="0" xfId="0" applyFont="1" applyBorder="1"/>
    <xf numFmtId="0" fontId="45" fillId="0" borderId="7" xfId="0" applyFont="1" applyBorder="1"/>
    <xf numFmtId="14" fontId="13" fillId="0" borderId="6" xfId="0" applyNumberFormat="1" applyFont="1" applyFill="1" applyBorder="1" applyAlignment="1">
      <alignment horizontal="left"/>
    </xf>
    <xf numFmtId="14" fontId="13" fillId="0" borderId="3" xfId="0" applyNumberFormat="1" applyFont="1" applyFill="1" applyBorder="1" applyAlignment="1">
      <alignment horizontal="center"/>
    </xf>
    <xf numFmtId="166" fontId="15" fillId="0" borderId="4" xfId="0" applyNumberFormat="1" applyFont="1" applyBorder="1" applyAlignment="1">
      <alignment horizontal="center"/>
    </xf>
    <xf numFmtId="166" fontId="15" fillId="0" borderId="11" xfId="0" applyNumberFormat="1" applyFont="1" applyBorder="1" applyAlignment="1">
      <alignment horizontal="center"/>
    </xf>
    <xf numFmtId="0" fontId="15" fillId="0" borderId="5" xfId="0" applyFont="1" applyBorder="1" applyAlignment="1">
      <alignment horizontal="center"/>
    </xf>
    <xf numFmtId="164" fontId="45" fillId="0" borderId="4" xfId="0" applyNumberFormat="1" applyFont="1" applyBorder="1" applyAlignment="1">
      <alignment horizontal="right"/>
    </xf>
    <xf numFmtId="164" fontId="45" fillId="0" borderId="3" xfId="0" applyNumberFormat="1" applyFont="1" applyBorder="1" applyAlignment="1">
      <alignment horizontal="right"/>
    </xf>
    <xf numFmtId="164" fontId="30" fillId="0" borderId="4" xfId="0" applyNumberFormat="1" applyFont="1" applyBorder="1" applyAlignment="1">
      <alignment horizontal="right"/>
    </xf>
    <xf numFmtId="164" fontId="30" fillId="0" borderId="3" xfId="0" applyNumberFormat="1" applyFont="1" applyBorder="1" applyAlignment="1">
      <alignment horizontal="right"/>
    </xf>
    <xf numFmtId="164" fontId="30" fillId="0" borderId="4" xfId="0" applyNumberFormat="1" applyFont="1" applyFill="1" applyBorder="1" applyAlignment="1">
      <alignment horizontal="right"/>
    </xf>
    <xf numFmtId="0" fontId="30" fillId="0" borderId="11" xfId="0" applyFont="1" applyBorder="1"/>
    <xf numFmtId="3" fontId="30" fillId="0" borderId="11" xfId="0" applyNumberFormat="1" applyFont="1" applyBorder="1"/>
    <xf numFmtId="164" fontId="30" fillId="0" borderId="11" xfId="0" applyNumberFormat="1" applyFont="1" applyBorder="1" applyAlignment="1">
      <alignment horizontal="right"/>
    </xf>
    <xf numFmtId="164" fontId="30" fillId="0" borderId="6" xfId="0" applyNumberFormat="1" applyFont="1" applyBorder="1" applyAlignment="1">
      <alignment horizontal="right"/>
    </xf>
    <xf numFmtId="3" fontId="45" fillId="0" borderId="3" xfId="0" applyNumberFormat="1" applyFont="1" applyFill="1" applyBorder="1" applyAlignment="1">
      <alignment horizontal="right"/>
    </xf>
    <xf numFmtId="0" fontId="65" fillId="0" borderId="0" xfId="3" applyFont="1" applyAlignment="1" applyProtection="1"/>
    <xf numFmtId="0" fontId="41" fillId="0" borderId="0" xfId="0" applyFont="1" applyFill="1" applyAlignment="1">
      <alignment horizontal="center"/>
    </xf>
    <xf numFmtId="3" fontId="15" fillId="0" borderId="6" xfId="1" applyNumberFormat="1" applyFont="1" applyFill="1" applyBorder="1" applyAlignment="1">
      <alignment horizontal="right"/>
    </xf>
    <xf numFmtId="3" fontId="66" fillId="0" borderId="4" xfId="1" applyNumberFormat="1" applyFont="1" applyFill="1" applyBorder="1" applyAlignment="1">
      <alignment horizontal="right"/>
    </xf>
    <xf numFmtId="3" fontId="66" fillId="0" borderId="3" xfId="1" applyNumberFormat="1" applyFont="1" applyFill="1" applyBorder="1" applyAlignment="1">
      <alignment horizontal="right"/>
    </xf>
    <xf numFmtId="3" fontId="66" fillId="0" borderId="11" xfId="1" applyNumberFormat="1" applyFont="1" applyFill="1" applyBorder="1" applyAlignment="1">
      <alignment horizontal="right"/>
    </xf>
    <xf numFmtId="3" fontId="66" fillId="0" borderId="6" xfId="1" applyNumberFormat="1" applyFont="1" applyFill="1" applyBorder="1" applyAlignment="1">
      <alignment horizontal="right"/>
    </xf>
    <xf numFmtId="3" fontId="17" fillId="0" borderId="3" xfId="2" applyNumberFormat="1" applyFont="1" applyFill="1" applyBorder="1" applyAlignment="1">
      <alignment horizontal="right"/>
    </xf>
    <xf numFmtId="3" fontId="17" fillId="0" borderId="4" xfId="2" applyNumberFormat="1" applyFont="1" applyFill="1" applyBorder="1" applyAlignment="1">
      <alignment horizontal="right"/>
    </xf>
    <xf numFmtId="3" fontId="17" fillId="0" borderId="6" xfId="2" applyNumberFormat="1" applyFont="1" applyFill="1" applyBorder="1" applyAlignment="1">
      <alignment horizontal="right"/>
    </xf>
    <xf numFmtId="3" fontId="17" fillId="0" borderId="11" xfId="2" applyNumberFormat="1" applyFont="1" applyFill="1" applyBorder="1" applyAlignment="1">
      <alignment horizontal="right"/>
    </xf>
    <xf numFmtId="3" fontId="17" fillId="2" borderId="3" xfId="2" applyNumberFormat="1" applyFont="1" applyFill="1" applyBorder="1" applyAlignment="1">
      <alignment horizontal="right"/>
    </xf>
    <xf numFmtId="3" fontId="17" fillId="2" borderId="4" xfId="2" applyNumberFormat="1" applyFont="1" applyFill="1" applyBorder="1" applyAlignment="1">
      <alignment horizontal="right"/>
    </xf>
    <xf numFmtId="3" fontId="17" fillId="0" borderId="4" xfId="1" applyNumberFormat="1" applyFont="1" applyFill="1" applyBorder="1" applyAlignment="1">
      <alignment horizontal="right"/>
    </xf>
    <xf numFmtId="3" fontId="17" fillId="0" borderId="11" xfId="1" applyNumberFormat="1" applyFont="1" applyFill="1" applyBorder="1" applyAlignment="1">
      <alignment horizontal="right"/>
    </xf>
    <xf numFmtId="3" fontId="17" fillId="2" borderId="0" xfId="1" applyNumberFormat="1" applyFont="1" applyFill="1" applyBorder="1" applyAlignment="1">
      <alignment horizontal="right"/>
    </xf>
    <xf numFmtId="3" fontId="17" fillId="0" borderId="3" xfId="2" applyNumberFormat="1" applyFont="1" applyBorder="1" applyAlignment="1">
      <alignment horizontal="right"/>
    </xf>
    <xf numFmtId="3" fontId="17" fillId="0" borderId="4" xfId="2" applyNumberFormat="1" applyFont="1" applyBorder="1" applyAlignment="1">
      <alignment horizontal="right"/>
    </xf>
    <xf numFmtId="3" fontId="22" fillId="0" borderId="2" xfId="1" applyNumberFormat="1" applyFont="1" applyFill="1" applyBorder="1" applyAlignment="1">
      <alignment horizontal="right"/>
    </xf>
    <xf numFmtId="3" fontId="22" fillId="0" borderId="0" xfId="1" applyNumberFormat="1" applyFont="1" applyFill="1" applyBorder="1" applyAlignment="1">
      <alignment horizontal="right"/>
    </xf>
    <xf numFmtId="3" fontId="18" fillId="2" borderId="2" xfId="1" applyNumberFormat="1" applyFont="1" applyFill="1" applyBorder="1" applyAlignment="1">
      <alignment horizontal="right"/>
    </xf>
    <xf numFmtId="3" fontId="18" fillId="2" borderId="0" xfId="1" applyNumberFormat="1" applyFont="1" applyFill="1" applyBorder="1" applyAlignment="1">
      <alignment horizontal="right"/>
    </xf>
    <xf numFmtId="3" fontId="17" fillId="0" borderId="3" xfId="2" applyNumberFormat="1" applyFont="1" applyBorder="1" applyAlignment="1">
      <alignment horizontal="left"/>
    </xf>
    <xf numFmtId="0" fontId="13" fillId="0" borderId="0" xfId="1" applyFont="1" applyBorder="1" applyAlignment="1">
      <alignment horizontal="center"/>
    </xf>
    <xf numFmtId="0" fontId="13" fillId="0" borderId="0" xfId="1" applyFont="1" applyFill="1" applyBorder="1" applyAlignment="1">
      <alignment horizontal="center"/>
    </xf>
    <xf numFmtId="3" fontId="13" fillId="0" borderId="0" xfId="1" applyNumberFormat="1" applyFont="1" applyBorder="1" applyAlignment="1">
      <alignment horizontal="center"/>
    </xf>
    <xf numFmtId="3" fontId="15" fillId="0" borderId="10" xfId="1" applyNumberFormat="1" applyFont="1" applyBorder="1" applyAlignment="1">
      <alignment horizontal="center"/>
    </xf>
    <xf numFmtId="3" fontId="15" fillId="0" borderId="8" xfId="1" applyNumberFormat="1" applyFont="1" applyBorder="1" applyAlignment="1">
      <alignment horizontal="center"/>
    </xf>
    <xf numFmtId="3" fontId="13" fillId="0" borderId="0" xfId="1" applyNumberFormat="1" applyFont="1" applyFill="1" applyBorder="1" applyAlignment="1">
      <alignment horizontal="center"/>
    </xf>
    <xf numFmtId="3" fontId="13" fillId="0" borderId="12" xfId="1" applyNumberFormat="1" applyFont="1" applyBorder="1" applyAlignment="1">
      <alignment horizontal="center"/>
    </xf>
    <xf numFmtId="3" fontId="15" fillId="0" borderId="9" xfId="1" applyNumberFormat="1" applyFont="1" applyBorder="1" applyAlignment="1">
      <alignment horizontal="center"/>
    </xf>
    <xf numFmtId="3" fontId="15" fillId="0" borderId="1" xfId="1" applyNumberFormat="1" applyFont="1" applyBorder="1" applyAlignment="1">
      <alignment horizontal="center"/>
    </xf>
    <xf numFmtId="3" fontId="15" fillId="0" borderId="7" xfId="2" applyNumberFormat="1" applyFont="1" applyFill="1" applyBorder="1" applyAlignment="1">
      <alignment horizontal="right"/>
    </xf>
    <xf numFmtId="3" fontId="15" fillId="0" borderId="1" xfId="2" applyNumberFormat="1" applyFont="1" applyFill="1" applyBorder="1" applyAlignment="1">
      <alignment horizontal="right"/>
    </xf>
    <xf numFmtId="3" fontId="15" fillId="0" borderId="2" xfId="1" applyNumberFormat="1" applyFont="1" applyFill="1" applyBorder="1" applyAlignment="1">
      <alignment horizontal="right"/>
    </xf>
    <xf numFmtId="3" fontId="15" fillId="0" borderId="4" xfId="1" applyNumberFormat="1" applyFont="1" applyFill="1" applyBorder="1" applyAlignment="1">
      <alignment horizontal="right"/>
    </xf>
    <xf numFmtId="3" fontId="15" fillId="0" borderId="3" xfId="2" applyNumberFormat="1" applyFont="1" applyFill="1" applyBorder="1" applyAlignment="1">
      <alignment horizontal="right"/>
    </xf>
    <xf numFmtId="3" fontId="15" fillId="0" borderId="4" xfId="2" applyNumberFormat="1" applyFont="1" applyFill="1" applyBorder="1" applyAlignment="1">
      <alignment horizontal="right"/>
    </xf>
    <xf numFmtId="3" fontId="15" fillId="0" borderId="6" xfId="2" applyNumberFormat="1" applyFont="1" applyFill="1" applyBorder="1" applyAlignment="1">
      <alignment horizontal="right"/>
    </xf>
    <xf numFmtId="3" fontId="15" fillId="0" borderId="11" xfId="2" applyNumberFormat="1" applyFont="1" applyFill="1" applyBorder="1" applyAlignment="1">
      <alignment horizontal="right"/>
    </xf>
    <xf numFmtId="3" fontId="15" fillId="0" borderId="5" xfId="1" applyNumberFormat="1" applyFont="1" applyFill="1" applyBorder="1" applyAlignment="1">
      <alignment horizontal="right"/>
    </xf>
    <xf numFmtId="3" fontId="15" fillId="0" borderId="11" xfId="1" applyNumberFormat="1" applyFont="1" applyFill="1" applyBorder="1" applyAlignment="1">
      <alignment horizontal="right"/>
    </xf>
    <xf numFmtId="3" fontId="15" fillId="0" borderId="7" xfId="1" applyNumberFormat="1" applyFont="1" applyFill="1" applyBorder="1" applyAlignment="1">
      <alignment horizontal="right"/>
    </xf>
    <xf numFmtId="3" fontId="15" fillId="0" borderId="1" xfId="1" applyNumberFormat="1" applyFont="1" applyFill="1" applyBorder="1" applyAlignment="1">
      <alignment horizontal="right"/>
    </xf>
    <xf numFmtId="3" fontId="15" fillId="0" borderId="15" xfId="1" applyNumberFormat="1" applyFont="1" applyFill="1" applyBorder="1" applyAlignment="1">
      <alignment horizontal="right"/>
    </xf>
    <xf numFmtId="3" fontId="15" fillId="2" borderId="2" xfId="1" applyNumberFormat="1" applyFont="1" applyFill="1" applyBorder="1" applyAlignment="1">
      <alignment horizontal="right"/>
    </xf>
    <xf numFmtId="3" fontId="15" fillId="2" borderId="0" xfId="1" applyNumberFormat="1" applyFont="1" applyFill="1" applyBorder="1" applyAlignment="1">
      <alignment horizontal="right"/>
    </xf>
    <xf numFmtId="3" fontId="15" fillId="2" borderId="4" xfId="1" applyNumberFormat="1" applyFont="1" applyFill="1" applyBorder="1" applyAlignment="1">
      <alignment horizontal="right"/>
    </xf>
    <xf numFmtId="3" fontId="15" fillId="2" borderId="5" xfId="1" applyNumberFormat="1" applyFont="1" applyFill="1" applyBorder="1" applyAlignment="1">
      <alignment horizontal="right"/>
    </xf>
    <xf numFmtId="3" fontId="15" fillId="2" borderId="11" xfId="1" applyNumberFormat="1" applyFont="1" applyFill="1" applyBorder="1" applyAlignment="1">
      <alignment horizontal="right"/>
    </xf>
    <xf numFmtId="3" fontId="15" fillId="2" borderId="3" xfId="1" applyNumberFormat="1" applyFont="1" applyFill="1" applyBorder="1" applyAlignment="1">
      <alignment horizontal="right"/>
    </xf>
    <xf numFmtId="3" fontId="15" fillId="2" borderId="2" xfId="1" quotePrefix="1" applyNumberFormat="1" applyFont="1" applyFill="1" applyBorder="1" applyAlignment="1">
      <alignment horizontal="right"/>
    </xf>
    <xf numFmtId="3" fontId="15" fillId="2" borderId="6" xfId="1" applyNumberFormat="1" applyFont="1" applyFill="1" applyBorder="1" applyAlignment="1">
      <alignment horizontal="right"/>
    </xf>
    <xf numFmtId="14" fontId="16" fillId="0" borderId="10" xfId="1" applyNumberFormat="1" applyFont="1" applyBorder="1" applyAlignment="1"/>
    <xf numFmtId="0" fontId="0" fillId="0" borderId="8" xfId="0" applyBorder="1" applyAlignment="1"/>
    <xf numFmtId="3" fontId="15" fillId="0" borderId="4" xfId="1" quotePrefix="1" applyNumberFormat="1" applyFont="1" applyFill="1" applyBorder="1" applyAlignment="1">
      <alignment horizontal="right"/>
    </xf>
    <xf numFmtId="3" fontId="15" fillId="0" borderId="2" xfId="1" quotePrefix="1" applyNumberFormat="1" applyFont="1" applyFill="1" applyBorder="1" applyAlignment="1">
      <alignment horizontal="right"/>
    </xf>
    <xf numFmtId="0" fontId="55" fillId="0" borderId="0" xfId="1" applyFont="1" applyFill="1"/>
    <xf numFmtId="0" fontId="14" fillId="0" borderId="0" xfId="1" applyFont="1" applyFill="1" applyAlignment="1">
      <alignment horizontal="right" vertical="top"/>
    </xf>
    <xf numFmtId="0" fontId="14" fillId="0" borderId="0" xfId="1" applyFont="1" applyAlignment="1">
      <alignment vertical="top" wrapText="1"/>
    </xf>
    <xf numFmtId="0" fontId="14" fillId="0" borderId="0" xfId="1" applyFont="1" applyFill="1" applyAlignment="1">
      <alignment horizontal="right"/>
    </xf>
    <xf numFmtId="0" fontId="14" fillId="0" borderId="0" xfId="1" applyFont="1" applyFill="1" applyAlignment="1">
      <alignment vertical="top" wrapText="1"/>
    </xf>
    <xf numFmtId="0" fontId="23" fillId="0" borderId="0" xfId="1" applyFont="1" applyFill="1"/>
    <xf numFmtId="0" fontId="14" fillId="0" borderId="0" xfId="1" applyFont="1" applyFill="1" applyAlignment="1">
      <alignment wrapText="1"/>
    </xf>
    <xf numFmtId="0" fontId="13" fillId="0" borderId="0" xfId="1" applyFont="1" applyFill="1" applyAlignment="1">
      <alignment horizontal="left"/>
    </xf>
    <xf numFmtId="3" fontId="30" fillId="4" borderId="3" xfId="0" applyNumberFormat="1" applyFont="1" applyFill="1" applyBorder="1" applyAlignment="1" applyProtection="1">
      <alignment horizontal="right"/>
      <protection locked="0"/>
    </xf>
    <xf numFmtId="0" fontId="67" fillId="0" borderId="0" xfId="0" applyFont="1" applyAlignment="1">
      <alignment horizontal="left" vertical="center" readingOrder="1"/>
    </xf>
    <xf numFmtId="0" fontId="17" fillId="0" borderId="0" xfId="1" applyFont="1" applyFill="1" applyBorder="1" applyAlignment="1">
      <alignment horizontal="left"/>
    </xf>
    <xf numFmtId="0" fontId="70" fillId="0" borderId="0" xfId="1" applyFont="1" applyFill="1" applyAlignment="1">
      <alignment horizontal="left"/>
    </xf>
    <xf numFmtId="0" fontId="18" fillId="0" borderId="0" xfId="1" applyFont="1" applyFill="1"/>
    <xf numFmtId="0" fontId="63" fillId="0" borderId="0" xfId="0" applyFont="1" applyFill="1"/>
    <xf numFmtId="0" fontId="64" fillId="0" borderId="0" xfId="0" applyFont="1" applyFill="1"/>
    <xf numFmtId="0" fontId="42" fillId="0" borderId="0" xfId="0" applyFont="1" applyFill="1"/>
    <xf numFmtId="0" fontId="40" fillId="0" borderId="0" xfId="0" applyFont="1" applyFill="1"/>
    <xf numFmtId="0" fontId="38" fillId="0" borderId="0" xfId="0" applyFont="1" applyFill="1"/>
    <xf numFmtId="0" fontId="42" fillId="0" borderId="0" xfId="3" applyFont="1" applyFill="1" applyAlignment="1" applyProtection="1"/>
    <xf numFmtId="3" fontId="15" fillId="3" borderId="7" xfId="1" applyNumberFormat="1" applyFont="1" applyFill="1" applyBorder="1" applyAlignment="1">
      <alignment horizontal="right"/>
    </xf>
    <xf numFmtId="0" fontId="72" fillId="0" borderId="0" xfId="1" applyFont="1" applyBorder="1" applyAlignment="1">
      <alignment horizontal="left"/>
    </xf>
    <xf numFmtId="3" fontId="58" fillId="0" borderId="2" xfId="1" applyNumberFormat="1" applyFont="1" applyFill="1" applyBorder="1" applyAlignment="1">
      <alignment horizontal="right"/>
    </xf>
    <xf numFmtId="0" fontId="71" fillId="0" borderId="0" xfId="0" applyFont="1" applyFill="1" applyAlignment="1">
      <alignment horizontal="left" vertical="center" readingOrder="1"/>
    </xf>
    <xf numFmtId="3" fontId="15" fillId="0" borderId="10" xfId="1" applyNumberFormat="1" applyFont="1" applyBorder="1" applyAlignment="1">
      <alignment horizontal="center"/>
    </xf>
    <xf numFmtId="3" fontId="15" fillId="0" borderId="8" xfId="1" applyNumberFormat="1" applyFont="1" applyBorder="1" applyAlignment="1">
      <alignment horizontal="center"/>
    </xf>
    <xf numFmtId="3" fontId="15" fillId="0" borderId="9" xfId="1" applyNumberFormat="1" applyFont="1" applyBorder="1" applyAlignment="1">
      <alignment horizontal="center"/>
    </xf>
    <xf numFmtId="3" fontId="13" fillId="0" borderId="12" xfId="1" applyNumberFormat="1" applyFont="1" applyBorder="1" applyAlignment="1">
      <alignment horizontal="center"/>
    </xf>
    <xf numFmtId="3" fontId="13" fillId="0" borderId="0" xfId="1" applyNumberFormat="1" applyFont="1" applyBorder="1" applyAlignment="1">
      <alignment horizontal="center"/>
    </xf>
    <xf numFmtId="3" fontId="13" fillId="0" borderId="0" xfId="1" applyNumberFormat="1" applyFont="1" applyFill="1" applyBorder="1" applyAlignment="1">
      <alignment horizontal="center"/>
    </xf>
    <xf numFmtId="3" fontId="13" fillId="0" borderId="14" xfId="1" applyNumberFormat="1" applyFont="1" applyFill="1" applyBorder="1" applyAlignment="1">
      <alignment horizontal="center"/>
    </xf>
    <xf numFmtId="170" fontId="15" fillId="0" borderId="7" xfId="846" applyFont="1" applyFill="1" applyBorder="1" applyAlignment="1">
      <alignment horizontal="right"/>
    </xf>
    <xf numFmtId="170" fontId="15" fillId="0" borderId="1" xfId="846" applyFont="1" applyFill="1" applyBorder="1" applyAlignment="1">
      <alignment horizontal="right"/>
    </xf>
    <xf numFmtId="170" fontId="17" fillId="0" borderId="3" xfId="846" applyFont="1" applyBorder="1" applyAlignment="1">
      <alignment horizontal="right"/>
    </xf>
    <xf numFmtId="170" fontId="17" fillId="0" borderId="3" xfId="846" applyFont="1" applyFill="1" applyBorder="1" applyAlignment="1">
      <alignment horizontal="right"/>
    </xf>
    <xf numFmtId="170" fontId="17" fillId="0" borderId="4" xfId="846" applyFont="1" applyFill="1" applyBorder="1" applyAlignment="1">
      <alignment horizontal="right"/>
    </xf>
    <xf numFmtId="170" fontId="15" fillId="0" borderId="3" xfId="846" applyFont="1" applyFill="1" applyBorder="1" applyAlignment="1">
      <alignment horizontal="right"/>
    </xf>
    <xf numFmtId="170" fontId="15" fillId="0" borderId="4" xfId="846" applyFont="1" applyFill="1" applyBorder="1" applyAlignment="1">
      <alignment horizontal="right"/>
    </xf>
    <xf numFmtId="170" fontId="15" fillId="0" borderId="6" xfId="846" applyFont="1" applyFill="1" applyBorder="1" applyAlignment="1">
      <alignment horizontal="right"/>
    </xf>
    <xf numFmtId="170" fontId="15" fillId="0" borderId="11" xfId="846" applyFont="1" applyFill="1" applyBorder="1" applyAlignment="1">
      <alignment horizontal="right"/>
    </xf>
    <xf numFmtId="170" fontId="17" fillId="3" borderId="7" xfId="846" applyFont="1" applyFill="1" applyBorder="1" applyAlignment="1">
      <alignment horizontal="right"/>
    </xf>
    <xf numFmtId="170" fontId="17" fillId="3" borderId="2" xfId="846" applyFont="1" applyFill="1" applyBorder="1" applyAlignment="1">
      <alignment horizontal="right"/>
    </xf>
    <xf numFmtId="170" fontId="15" fillId="0" borderId="2" xfId="846" applyFont="1" applyFill="1" applyBorder="1" applyAlignment="1">
      <alignment horizontal="right"/>
    </xf>
    <xf numFmtId="170" fontId="17" fillId="3" borderId="3" xfId="846" applyFont="1" applyFill="1" applyBorder="1" applyAlignment="1">
      <alignment horizontal="right"/>
    </xf>
    <xf numFmtId="170" fontId="17" fillId="2" borderId="3" xfId="846" applyFont="1" applyFill="1" applyBorder="1" applyAlignment="1">
      <alignment horizontal="right"/>
    </xf>
    <xf numFmtId="170" fontId="17" fillId="2" borderId="4" xfId="846" applyFont="1" applyFill="1" applyBorder="1" applyAlignment="1">
      <alignment horizontal="right"/>
    </xf>
    <xf numFmtId="170" fontId="17" fillId="0" borderId="2" xfId="846" applyFont="1" applyFill="1" applyBorder="1" applyAlignment="1">
      <alignment horizontal="right"/>
    </xf>
    <xf numFmtId="170" fontId="17" fillId="3" borderId="6" xfId="846" applyFont="1" applyFill="1" applyBorder="1" applyAlignment="1">
      <alignment horizontal="right"/>
    </xf>
    <xf numFmtId="170" fontId="15" fillId="0" borderId="5" xfId="846" applyFont="1" applyFill="1" applyBorder="1" applyAlignment="1">
      <alignment horizontal="right"/>
    </xf>
    <xf numFmtId="170" fontId="15" fillId="0" borderId="15" xfId="846" applyFont="1" applyFill="1" applyBorder="1" applyAlignment="1">
      <alignment horizontal="right"/>
    </xf>
    <xf numFmtId="170" fontId="15" fillId="2" borderId="2" xfId="846" applyFont="1" applyFill="1" applyBorder="1" applyAlignment="1">
      <alignment horizontal="right"/>
    </xf>
    <xf numFmtId="170" fontId="15" fillId="2" borderId="0" xfId="846" applyFont="1" applyFill="1" applyBorder="1" applyAlignment="1">
      <alignment horizontal="right"/>
    </xf>
    <xf numFmtId="170" fontId="15" fillId="2" borderId="4" xfId="846" applyFont="1" applyFill="1" applyBorder="1" applyAlignment="1">
      <alignment horizontal="right"/>
    </xf>
    <xf numFmtId="170" fontId="15" fillId="2" borderId="5" xfId="846" applyFont="1" applyFill="1" applyBorder="1" applyAlignment="1">
      <alignment horizontal="right"/>
    </xf>
    <xf numFmtId="170" fontId="15" fillId="2" borderId="11" xfId="846" applyFont="1" applyFill="1" applyBorder="1" applyAlignment="1">
      <alignment horizontal="right"/>
    </xf>
    <xf numFmtId="170" fontId="17" fillId="0" borderId="4" xfId="846" applyFont="1" applyBorder="1" applyAlignment="1">
      <alignment horizontal="right"/>
    </xf>
    <xf numFmtId="170" fontId="17" fillId="0" borderId="6" xfId="846" applyFont="1" applyFill="1" applyBorder="1" applyAlignment="1">
      <alignment horizontal="right"/>
    </xf>
    <xf numFmtId="170" fontId="17" fillId="0" borderId="11" xfId="846" applyFont="1" applyFill="1" applyBorder="1" applyAlignment="1">
      <alignment horizontal="right"/>
    </xf>
    <xf numFmtId="170" fontId="66" fillId="0" borderId="2" xfId="846" applyFont="1" applyFill="1" applyBorder="1" applyAlignment="1">
      <alignment horizontal="right"/>
    </xf>
    <xf numFmtId="170" fontId="17" fillId="0" borderId="0" xfId="846" applyFont="1" applyFill="1" applyBorder="1" applyAlignment="1">
      <alignment horizontal="right"/>
    </xf>
    <xf numFmtId="170" fontId="22" fillId="0" borderId="2" xfId="846" applyFont="1" applyFill="1" applyBorder="1" applyAlignment="1">
      <alignment horizontal="right"/>
    </xf>
    <xf numFmtId="170" fontId="22" fillId="0" borderId="0" xfId="846" applyFont="1" applyFill="1" applyBorder="1" applyAlignment="1">
      <alignment horizontal="right"/>
    </xf>
    <xf numFmtId="170" fontId="18" fillId="2" borderId="2" xfId="846" applyFont="1" applyFill="1" applyBorder="1" applyAlignment="1">
      <alignment horizontal="right"/>
    </xf>
    <xf numFmtId="170" fontId="18" fillId="2" borderId="0" xfId="846" applyFont="1" applyFill="1" applyBorder="1" applyAlignment="1">
      <alignment horizontal="right"/>
    </xf>
    <xf numFmtId="170" fontId="17" fillId="2" borderId="2" xfId="846" applyFont="1" applyFill="1" applyBorder="1" applyAlignment="1">
      <alignment horizontal="right"/>
    </xf>
    <xf numFmtId="170" fontId="17" fillId="2" borderId="0" xfId="846" applyFont="1" applyFill="1" applyBorder="1" applyAlignment="1">
      <alignment horizontal="right"/>
    </xf>
    <xf numFmtId="170" fontId="15" fillId="0" borderId="0" xfId="846" applyFont="1" applyFill="1" applyBorder="1" applyAlignment="1">
      <alignment horizontal="right"/>
    </xf>
    <xf numFmtId="170" fontId="17" fillId="3" borderId="5" xfId="846" applyFont="1" applyFill="1" applyBorder="1" applyAlignment="1">
      <alignment horizontal="right"/>
    </xf>
    <xf numFmtId="170" fontId="17" fillId="3" borderId="0" xfId="846" applyFont="1" applyFill="1" applyBorder="1" applyAlignment="1">
      <alignment horizontal="right"/>
    </xf>
    <xf numFmtId="170" fontId="17" fillId="3" borderId="1" xfId="846" applyFont="1" applyFill="1" applyBorder="1" applyAlignment="1">
      <alignment horizontal="right"/>
    </xf>
    <xf numFmtId="170" fontId="17" fillId="3" borderId="4" xfId="846" applyFont="1" applyFill="1" applyBorder="1" applyAlignment="1">
      <alignment horizontal="right"/>
    </xf>
    <xf numFmtId="170" fontId="17" fillId="3" borderId="11" xfId="846" applyFont="1" applyFill="1" applyBorder="1" applyAlignment="1">
      <alignment horizontal="right"/>
    </xf>
    <xf numFmtId="3" fontId="13" fillId="0" borderId="12" xfId="1" applyNumberFormat="1" applyFont="1" applyBorder="1" applyAlignment="1">
      <alignment horizontal="center"/>
    </xf>
    <xf numFmtId="3" fontId="15" fillId="0" borderId="10" xfId="1" applyNumberFormat="1" applyFont="1" applyBorder="1" applyAlignment="1">
      <alignment horizontal="center"/>
    </xf>
    <xf numFmtId="3" fontId="15" fillId="0" borderId="8" xfId="1" applyNumberFormat="1" applyFont="1" applyBorder="1" applyAlignment="1">
      <alignment horizontal="center"/>
    </xf>
    <xf numFmtId="3" fontId="13" fillId="0" borderId="0" xfId="1" applyNumberFormat="1" applyFont="1" applyBorder="1" applyAlignment="1">
      <alignment horizontal="center"/>
    </xf>
    <xf numFmtId="3" fontId="13" fillId="0" borderId="0" xfId="1" applyNumberFormat="1" applyFont="1" applyFill="1" applyBorder="1" applyAlignment="1">
      <alignment horizontal="center"/>
    </xf>
    <xf numFmtId="3" fontId="15" fillId="0" borderId="9" xfId="1" applyNumberFormat="1" applyFont="1" applyBorder="1" applyAlignment="1">
      <alignment horizontal="center"/>
    </xf>
    <xf numFmtId="164" fontId="30" fillId="0" borderId="3" xfId="0" applyNumberFormat="1" applyFont="1" applyBorder="1"/>
    <xf numFmtId="164" fontId="45" fillId="0" borderId="3" xfId="0" applyNumberFormat="1" applyFont="1" applyBorder="1"/>
    <xf numFmtId="164" fontId="30" fillId="0" borderId="3" xfId="0" applyNumberFormat="1" applyFont="1" applyFill="1" applyBorder="1"/>
    <xf numFmtId="164" fontId="45" fillId="0" borderId="6" xfId="0" applyNumberFormat="1" applyFont="1" applyBorder="1"/>
    <xf numFmtId="171" fontId="17" fillId="3" borderId="2" xfId="846" applyNumberFormat="1" applyFont="1" applyFill="1" applyBorder="1" applyAlignment="1">
      <alignment horizontal="right"/>
    </xf>
    <xf numFmtId="171" fontId="17" fillId="3" borderId="3" xfId="846" applyNumberFormat="1" applyFont="1" applyFill="1" applyBorder="1" applyAlignment="1">
      <alignment horizontal="right"/>
    </xf>
    <xf numFmtId="171" fontId="17" fillId="3" borderId="6" xfId="846" applyNumberFormat="1" applyFont="1" applyFill="1" applyBorder="1" applyAlignment="1">
      <alignment horizontal="right"/>
    </xf>
    <xf numFmtId="164" fontId="15" fillId="0" borderId="6" xfId="1" applyNumberFormat="1" applyFont="1" applyBorder="1" applyAlignment="1">
      <alignment horizontal="center"/>
    </xf>
    <xf numFmtId="164" fontId="17" fillId="3" borderId="0" xfId="1" applyNumberFormat="1" applyFont="1" applyFill="1" applyBorder="1" applyAlignment="1">
      <alignment horizontal="right"/>
    </xf>
    <xf numFmtId="164" fontId="17" fillId="3" borderId="5" xfId="1" applyNumberFormat="1" applyFont="1" applyFill="1" applyBorder="1" applyAlignment="1">
      <alignment horizontal="right"/>
    </xf>
    <xf numFmtId="0" fontId="17" fillId="0" borderId="4" xfId="1" applyFont="1" applyBorder="1"/>
    <xf numFmtId="0" fontId="15" fillId="0" borderId="0" xfId="1" applyFont="1" applyFill="1"/>
    <xf numFmtId="49" fontId="15" fillId="0" borderId="0" xfId="1" applyNumberFormat="1" applyFont="1" applyFill="1" applyBorder="1" applyAlignment="1">
      <alignment horizontal="right"/>
    </xf>
    <xf numFmtId="49" fontId="15" fillId="0" borderId="0" xfId="1" applyNumberFormat="1" applyFont="1" applyFill="1" applyBorder="1" applyAlignment="1">
      <alignment horizontal="center"/>
    </xf>
    <xf numFmtId="3" fontId="15" fillId="0" borderId="0" xfId="1" quotePrefix="1" applyNumberFormat="1" applyFont="1" applyFill="1" applyBorder="1" applyAlignment="1">
      <alignment horizontal="center"/>
    </xf>
    <xf numFmtId="170" fontId="15" fillId="3" borderId="7" xfId="846" applyFont="1" applyFill="1" applyBorder="1" applyAlignment="1">
      <alignment horizontal="right"/>
    </xf>
    <xf numFmtId="171" fontId="15" fillId="3" borderId="2" xfId="846" applyNumberFormat="1" applyFont="1" applyFill="1" applyBorder="1" applyAlignment="1">
      <alignment horizontal="right"/>
    </xf>
    <xf numFmtId="3" fontId="15" fillId="0" borderId="0" xfId="1" applyNumberFormat="1" applyFont="1" applyFill="1"/>
    <xf numFmtId="167" fontId="15" fillId="3" borderId="7" xfId="1" applyNumberFormat="1" applyFont="1" applyFill="1" applyBorder="1" applyAlignment="1">
      <alignment horizontal="right"/>
    </xf>
    <xf numFmtId="167" fontId="15" fillId="3" borderId="3" xfId="1" applyNumberFormat="1" applyFont="1" applyFill="1" applyBorder="1" applyAlignment="1">
      <alignment horizontal="right"/>
    </xf>
    <xf numFmtId="167" fontId="15" fillId="3" borderId="6" xfId="1" applyNumberFormat="1" applyFont="1" applyFill="1" applyBorder="1" applyAlignment="1">
      <alignment horizontal="right"/>
    </xf>
    <xf numFmtId="3" fontId="15" fillId="3" borderId="0" xfId="1" applyNumberFormat="1" applyFont="1" applyFill="1" applyBorder="1" applyAlignment="1">
      <alignment horizontal="right"/>
    </xf>
    <xf numFmtId="3" fontId="15" fillId="3" borderId="1" xfId="1" applyNumberFormat="1" applyFont="1" applyFill="1" applyBorder="1" applyAlignment="1">
      <alignment horizontal="right"/>
    </xf>
    <xf numFmtId="3" fontId="15" fillId="3" borderId="4" xfId="1" applyNumberFormat="1" applyFont="1" applyFill="1" applyBorder="1" applyAlignment="1">
      <alignment horizontal="right"/>
    </xf>
    <xf numFmtId="3" fontId="15" fillId="3" borderId="11" xfId="1" applyNumberFormat="1" applyFont="1" applyFill="1" applyBorder="1" applyAlignment="1">
      <alignment horizontal="right"/>
    </xf>
    <xf numFmtId="164" fontId="15" fillId="3" borderId="0" xfId="1" applyNumberFormat="1" applyFont="1" applyFill="1" applyBorder="1" applyAlignment="1">
      <alignment horizontal="right"/>
    </xf>
    <xf numFmtId="0" fontId="13" fillId="0" borderId="0" xfId="1" applyFont="1" applyBorder="1" applyAlignment="1">
      <alignment horizontal="center"/>
    </xf>
    <xf numFmtId="3" fontId="59" fillId="4" borderId="3" xfId="0" applyNumberFormat="1" applyFont="1" applyFill="1" applyBorder="1" applyAlignment="1" applyProtection="1">
      <alignment horizontal="right"/>
    </xf>
    <xf numFmtId="3" fontId="59" fillId="4" borderId="3" xfId="0" applyNumberFormat="1" applyFont="1" applyFill="1" applyBorder="1" applyAlignment="1" applyProtection="1">
      <alignment horizontal="right"/>
      <protection locked="0"/>
    </xf>
    <xf numFmtId="3" fontId="45" fillId="4" borderId="3" xfId="7" applyNumberFormat="1" applyFont="1" applyFill="1" applyBorder="1" applyAlignment="1" applyProtection="1">
      <alignment horizontal="right"/>
    </xf>
    <xf numFmtId="3" fontId="30" fillId="4" borderId="4" xfId="7" applyNumberFormat="1" applyFont="1" applyFill="1" applyBorder="1" applyAlignment="1" applyProtection="1">
      <alignment horizontal="right"/>
    </xf>
    <xf numFmtId="3" fontId="30" fillId="4" borderId="4" xfId="0" applyNumberFormat="1" applyFont="1" applyFill="1" applyBorder="1" applyAlignment="1" applyProtection="1">
      <alignment horizontal="right"/>
      <protection locked="0"/>
    </xf>
    <xf numFmtId="3" fontId="30" fillId="4" borderId="4" xfId="847" applyNumberFormat="1" applyFont="1" applyFill="1" applyBorder="1" applyAlignment="1" applyProtection="1">
      <alignment horizontal="right"/>
    </xf>
    <xf numFmtId="3" fontId="30" fillId="4" borderId="4" xfId="847" applyNumberFormat="1" applyFont="1" applyFill="1" applyBorder="1" applyAlignment="1" applyProtection="1">
      <alignment horizontal="right"/>
      <protection locked="0"/>
    </xf>
    <xf numFmtId="3" fontId="30" fillId="4" borderId="4" xfId="0" applyNumberFormat="1" applyFont="1" applyFill="1" applyBorder="1" applyAlignment="1" applyProtection="1">
      <alignment horizontal="right"/>
    </xf>
    <xf numFmtId="3" fontId="45" fillId="4" borderId="3" xfId="0" applyNumberFormat="1" applyFont="1" applyFill="1" applyBorder="1" applyAlignment="1" applyProtection="1">
      <alignment horizontal="right"/>
    </xf>
    <xf numFmtId="3" fontId="45" fillId="4" borderId="3" xfId="0" applyNumberFormat="1" applyFont="1" applyFill="1" applyBorder="1" applyAlignment="1" applyProtection="1">
      <alignment horizontal="right"/>
      <protection locked="0"/>
    </xf>
    <xf numFmtId="3" fontId="45" fillId="0" borderId="3" xfId="0" applyNumberFormat="1" applyFont="1" applyBorder="1" applyAlignment="1" applyProtection="1">
      <alignment horizontal="right"/>
    </xf>
    <xf numFmtId="3" fontId="45" fillId="0" borderId="3" xfId="0" applyNumberFormat="1" applyFont="1" applyBorder="1" applyAlignment="1" applyProtection="1">
      <alignment horizontal="right"/>
      <protection locked="0"/>
    </xf>
    <xf numFmtId="3" fontId="45" fillId="0" borderId="3" xfId="7" applyNumberFormat="1" applyFont="1" applyBorder="1" applyAlignment="1" applyProtection="1">
      <alignment horizontal="right"/>
    </xf>
    <xf numFmtId="3" fontId="45" fillId="0" borderId="3" xfId="0" applyNumberFormat="1" applyFont="1" applyFill="1" applyBorder="1" applyAlignment="1" applyProtection="1">
      <alignment horizontal="right"/>
    </xf>
    <xf numFmtId="3" fontId="45" fillId="0" borderId="3" xfId="0" applyNumberFormat="1" applyFont="1" applyFill="1" applyBorder="1" applyAlignment="1" applyProtection="1">
      <alignment horizontal="right"/>
      <protection locked="0"/>
    </xf>
    <xf numFmtId="3" fontId="45" fillId="0" borderId="3" xfId="7" applyNumberFormat="1" applyFont="1" applyFill="1" applyBorder="1" applyAlignment="1" applyProtection="1">
      <alignment horizontal="right"/>
    </xf>
    <xf numFmtId="3" fontId="30" fillId="0" borderId="4" xfId="7" applyNumberFormat="1" applyFont="1" applyFill="1" applyBorder="1" applyAlignment="1" applyProtection="1">
      <alignment horizontal="right"/>
    </xf>
    <xf numFmtId="3" fontId="30" fillId="0" borderId="4" xfId="0" applyNumberFormat="1" applyFont="1" applyFill="1" applyBorder="1" applyAlignment="1" applyProtection="1">
      <alignment horizontal="right"/>
      <protection locked="0"/>
    </xf>
    <xf numFmtId="3" fontId="30" fillId="0" borderId="4" xfId="847" applyNumberFormat="1" applyFont="1" applyFill="1" applyBorder="1" applyAlignment="1" applyProtection="1">
      <alignment horizontal="right"/>
    </xf>
    <xf numFmtId="3" fontId="30" fillId="0" borderId="4" xfId="847" applyNumberFormat="1" applyFont="1" applyFill="1" applyBorder="1" applyAlignment="1" applyProtection="1">
      <alignment horizontal="right"/>
      <protection locked="0"/>
    </xf>
    <xf numFmtId="3" fontId="30" fillId="0" borderId="3" xfId="0" applyNumberFormat="1" applyFont="1" applyFill="1" applyBorder="1" applyAlignment="1" applyProtection="1">
      <alignment horizontal="right"/>
      <protection locked="0"/>
    </xf>
    <xf numFmtId="3" fontId="30" fillId="0" borderId="4" xfId="0" applyNumberFormat="1" applyFont="1" applyFill="1" applyBorder="1" applyAlignment="1" applyProtection="1">
      <alignment horizontal="right"/>
    </xf>
    <xf numFmtId="3" fontId="30" fillId="0" borderId="3" xfId="0" applyNumberFormat="1" applyFont="1" applyFill="1" applyBorder="1" applyAlignment="1" applyProtection="1">
      <alignment horizontal="right"/>
    </xf>
    <xf numFmtId="3" fontId="30" fillId="0" borderId="3" xfId="7" applyNumberFormat="1" applyFont="1" applyFill="1" applyBorder="1" applyAlignment="1" applyProtection="1">
      <alignment horizontal="right"/>
    </xf>
    <xf numFmtId="3" fontId="30" fillId="0" borderId="3" xfId="845" applyNumberFormat="1" applyFont="1" applyFill="1" applyBorder="1" applyAlignment="1" applyProtection="1">
      <alignment horizontal="right"/>
      <protection locked="0"/>
    </xf>
    <xf numFmtId="3" fontId="30" fillId="0" borderId="3" xfId="0" applyNumberFormat="1" applyFont="1" applyBorder="1" applyAlignment="1" applyProtection="1">
      <alignment horizontal="right"/>
      <protection locked="0"/>
    </xf>
    <xf numFmtId="3" fontId="30" fillId="0" borderId="3" xfId="7" applyNumberFormat="1" applyFont="1" applyBorder="1" applyAlignment="1" applyProtection="1">
      <alignment horizontal="right"/>
    </xf>
    <xf numFmtId="3" fontId="30" fillId="4" borderId="3" xfId="845" applyNumberFormat="1" applyFont="1" applyFill="1" applyBorder="1" applyAlignment="1" applyProtection="1">
      <alignment horizontal="right"/>
      <protection locked="0"/>
    </xf>
    <xf numFmtId="3" fontId="30" fillId="0" borderId="3" xfId="0" applyNumberFormat="1" applyFont="1" applyBorder="1" applyAlignment="1" applyProtection="1">
      <alignment horizontal="right"/>
    </xf>
    <xf numFmtId="3" fontId="45" fillId="4" borderId="4" xfId="0" applyNumberFormat="1" applyFont="1" applyFill="1" applyBorder="1" applyAlignment="1" applyProtection="1">
      <alignment horizontal="right"/>
      <protection locked="0"/>
    </xf>
    <xf numFmtId="3" fontId="45" fillId="4" borderId="4" xfId="0" applyNumberFormat="1" applyFont="1" applyFill="1" applyBorder="1" applyAlignment="1" applyProtection="1">
      <alignment horizontal="right"/>
    </xf>
    <xf numFmtId="3" fontId="45" fillId="4" borderId="3" xfId="845" applyNumberFormat="1" applyFont="1" applyFill="1" applyBorder="1" applyAlignment="1" applyProtection="1">
      <alignment horizontal="right"/>
      <protection locked="0"/>
    </xf>
    <xf numFmtId="3" fontId="45" fillId="0" borderId="4" xfId="0" applyNumberFormat="1" applyFont="1" applyFill="1" applyBorder="1" applyAlignment="1" applyProtection="1">
      <alignment horizontal="right"/>
    </xf>
    <xf numFmtId="3" fontId="30" fillId="10" borderId="3" xfId="7" applyNumberFormat="1" applyFont="1" applyFill="1" applyBorder="1" applyAlignment="1" applyProtection="1">
      <alignment horizontal="right"/>
    </xf>
    <xf numFmtId="3" fontId="30" fillId="4" borderId="3" xfId="0" applyNumberFormat="1" applyFont="1" applyFill="1" applyBorder="1" applyAlignment="1" applyProtection="1">
      <alignment horizontal="right"/>
    </xf>
    <xf numFmtId="3" fontId="30" fillId="4" borderId="3" xfId="7" applyNumberFormat="1" applyFont="1" applyFill="1" applyBorder="1" applyAlignment="1" applyProtection="1">
      <alignment horizontal="right"/>
    </xf>
    <xf numFmtId="3" fontId="45" fillId="4" borderId="6" xfId="0" applyNumberFormat="1" applyFont="1" applyFill="1" applyBorder="1" applyAlignment="1" applyProtection="1">
      <alignment horizontal="right"/>
    </xf>
    <xf numFmtId="3" fontId="45" fillId="0" borderId="6" xfId="0" applyNumberFormat="1" applyFont="1" applyBorder="1" applyAlignment="1" applyProtection="1">
      <alignment horizontal="right"/>
      <protection locked="0"/>
    </xf>
    <xf numFmtId="3" fontId="45" fillId="4" borderId="6" xfId="0" applyNumberFormat="1" applyFont="1" applyFill="1" applyBorder="1" applyAlignment="1" applyProtection="1">
      <alignment horizontal="right"/>
      <protection locked="0"/>
    </xf>
    <xf numFmtId="3" fontId="45" fillId="0" borderId="6" xfId="7" applyNumberFormat="1" applyFont="1" applyBorder="1" applyAlignment="1" applyProtection="1">
      <alignment horizontal="right"/>
    </xf>
    <xf numFmtId="3" fontId="45" fillId="0" borderId="6" xfId="0" applyNumberFormat="1" applyFont="1" applyBorder="1" applyAlignment="1" applyProtection="1">
      <alignment horizontal="right"/>
    </xf>
    <xf numFmtId="3" fontId="45" fillId="4" borderId="11" xfId="0" applyNumberFormat="1" applyFont="1" applyFill="1" applyBorder="1" applyAlignment="1" applyProtection="1">
      <alignment horizontal="right"/>
    </xf>
    <xf numFmtId="3" fontId="45" fillId="4" borderId="11" xfId="0" applyNumberFormat="1" applyFont="1" applyFill="1" applyBorder="1" applyAlignment="1" applyProtection="1">
      <alignment horizontal="right"/>
      <protection locked="0"/>
    </xf>
    <xf numFmtId="3" fontId="45" fillId="0" borderId="11" xfId="0" applyNumberFormat="1" applyFont="1" applyFill="1" applyBorder="1" applyAlignment="1" applyProtection="1">
      <alignment horizontal="right"/>
    </xf>
    <xf numFmtId="3" fontId="45" fillId="4" borderId="6" xfId="845" applyNumberFormat="1" applyFont="1" applyFill="1" applyBorder="1" applyAlignment="1" applyProtection="1">
      <alignment horizontal="right"/>
      <protection locked="0"/>
    </xf>
    <xf numFmtId="3" fontId="50" fillId="4" borderId="11" xfId="0" applyNumberFormat="1" applyFont="1" applyFill="1" applyBorder="1" applyProtection="1">
      <protection locked="0"/>
    </xf>
    <xf numFmtId="0" fontId="13" fillId="0" borderId="6" xfId="0" applyFont="1" applyFill="1" applyBorder="1" applyAlignment="1" applyProtection="1">
      <alignment horizontal="center"/>
      <protection locked="0"/>
    </xf>
    <xf numFmtId="168" fontId="15" fillId="0" borderId="6" xfId="0" applyNumberFormat="1" applyFont="1" applyFill="1" applyBorder="1" applyAlignment="1" applyProtection="1">
      <alignment horizontal="center"/>
      <protection locked="0"/>
    </xf>
    <xf numFmtId="3" fontId="59" fillId="4" borderId="4" xfId="0" applyNumberFormat="1" applyFont="1" applyFill="1" applyBorder="1" applyProtection="1">
      <protection locked="0"/>
    </xf>
    <xf numFmtId="0" fontId="45" fillId="0" borderId="4" xfId="0" applyFont="1" applyFill="1" applyBorder="1" applyProtection="1">
      <protection locked="0"/>
    </xf>
    <xf numFmtId="3" fontId="45" fillId="4" borderId="4" xfId="0" applyNumberFormat="1" applyFont="1" applyFill="1" applyBorder="1" applyProtection="1">
      <protection locked="0"/>
    </xf>
    <xf numFmtId="0" fontId="30" fillId="0" borderId="4" xfId="0" applyFont="1" applyFill="1" applyBorder="1" applyProtection="1">
      <protection locked="0"/>
    </xf>
    <xf numFmtId="0" fontId="30" fillId="0" borderId="3" xfId="0" applyFont="1" applyFill="1" applyBorder="1" applyProtection="1">
      <protection locked="0"/>
    </xf>
    <xf numFmtId="0" fontId="19" fillId="0" borderId="3" xfId="0" applyFont="1" applyFill="1" applyBorder="1" applyProtection="1">
      <protection locked="0"/>
    </xf>
    <xf numFmtId="0" fontId="45" fillId="0" borderId="11" xfId="0" applyFont="1" applyFill="1" applyBorder="1" applyProtection="1">
      <protection locked="0"/>
    </xf>
    <xf numFmtId="0" fontId="30" fillId="0" borderId="0" xfId="0" applyFont="1" applyProtection="1">
      <protection locked="0"/>
    </xf>
    <xf numFmtId="0" fontId="0" fillId="0" borderId="0" xfId="0" applyProtection="1">
      <protection locked="0"/>
    </xf>
    <xf numFmtId="0" fontId="19" fillId="0" borderId="0" xfId="0" applyFont="1" applyProtection="1">
      <protection locked="0"/>
    </xf>
    <xf numFmtId="3" fontId="30" fillId="0" borderId="0" xfId="0" applyNumberFormat="1" applyFont="1" applyBorder="1" applyProtection="1">
      <protection locked="0"/>
    </xf>
    <xf numFmtId="0" fontId="60" fillId="0" borderId="0" xfId="0" applyFont="1" applyProtection="1">
      <protection locked="0"/>
    </xf>
    <xf numFmtId="3" fontId="61" fillId="0" borderId="0" xfId="0" applyNumberFormat="1" applyFont="1" applyBorder="1" applyProtection="1">
      <protection locked="0"/>
    </xf>
    <xf numFmtId="0" fontId="41" fillId="0" borderId="0" xfId="0" applyFont="1" applyProtection="1">
      <protection locked="0"/>
    </xf>
    <xf numFmtId="0" fontId="17" fillId="0" borderId="0" xfId="3" applyFont="1" applyFill="1" applyAlignment="1" applyProtection="1">
      <protection locked="0"/>
    </xf>
    <xf numFmtId="0" fontId="56" fillId="0" borderId="0" xfId="0" applyFont="1" applyProtection="1">
      <protection locked="0"/>
    </xf>
    <xf numFmtId="164" fontId="0" fillId="0" borderId="0" xfId="0" applyNumberFormat="1" applyProtection="1">
      <protection locked="0"/>
    </xf>
    <xf numFmtId="3" fontId="57" fillId="4" borderId="12" xfId="0" applyNumberFormat="1" applyFont="1" applyFill="1" applyBorder="1" applyProtection="1">
      <protection locked="0"/>
    </xf>
    <xf numFmtId="3" fontId="58" fillId="4" borderId="0" xfId="0" applyNumberFormat="1" applyFont="1" applyFill="1" applyBorder="1" applyProtection="1">
      <protection locked="0"/>
    </xf>
    <xf numFmtId="164" fontId="0" fillId="0" borderId="0" xfId="0" applyNumberFormat="1" applyBorder="1" applyProtection="1">
      <protection locked="0"/>
    </xf>
    <xf numFmtId="14" fontId="13" fillId="0" borderId="7" xfId="0" applyNumberFormat="1" applyFont="1" applyFill="1" applyBorder="1" applyAlignment="1" applyProtection="1">
      <alignment horizontal="left"/>
      <protection locked="0"/>
    </xf>
    <xf numFmtId="3" fontId="13" fillId="0" borderId="8" xfId="0" quotePrefix="1" applyNumberFormat="1" applyFont="1" applyFill="1" applyBorder="1" applyProtection="1">
      <protection locked="0"/>
    </xf>
    <xf numFmtId="3" fontId="13" fillId="0" borderId="9" xfId="0" quotePrefix="1" applyNumberFormat="1" applyFont="1" applyFill="1" applyBorder="1" applyProtection="1">
      <protection locked="0"/>
    </xf>
    <xf numFmtId="3" fontId="13" fillId="0" borderId="10" xfId="0" quotePrefix="1" applyNumberFormat="1" applyFont="1" applyFill="1" applyBorder="1" applyProtection="1">
      <protection locked="0"/>
    </xf>
    <xf numFmtId="0" fontId="17" fillId="0" borderId="8" xfId="0" applyFont="1" applyBorder="1" applyProtection="1">
      <protection locked="0"/>
    </xf>
    <xf numFmtId="0" fontId="17" fillId="0" borderId="10" xfId="0" applyFont="1" applyBorder="1" applyProtection="1">
      <protection locked="0"/>
    </xf>
    <xf numFmtId="0" fontId="17" fillId="0" borderId="9" xfId="0" applyFont="1" applyBorder="1" applyProtection="1">
      <protection locked="0"/>
    </xf>
    <xf numFmtId="164" fontId="17" fillId="4" borderId="0" xfId="0" applyNumberFormat="1" applyFont="1" applyFill="1" applyBorder="1" applyProtection="1">
      <protection locked="0"/>
    </xf>
    <xf numFmtId="0" fontId="17" fillId="4" borderId="0" xfId="0" applyFont="1" applyFill="1" applyBorder="1" applyProtection="1">
      <protection locked="0"/>
    </xf>
    <xf numFmtId="3" fontId="45" fillId="0" borderId="1" xfId="0" applyNumberFormat="1" applyFont="1" applyFill="1" applyBorder="1" applyProtection="1">
      <protection locked="0"/>
    </xf>
    <xf numFmtId="0" fontId="45" fillId="0" borderId="1" xfId="0" applyNumberFormat="1" applyFont="1" applyFill="1" applyBorder="1" applyAlignment="1" applyProtection="1">
      <alignment horizontal="center"/>
      <protection locked="0"/>
    </xf>
    <xf numFmtId="0" fontId="45" fillId="0" borderId="14" xfId="0" applyNumberFormat="1" applyFont="1" applyFill="1" applyBorder="1" applyAlignment="1" applyProtection="1">
      <alignment horizontal="center"/>
      <protection locked="0"/>
    </xf>
    <xf numFmtId="0" fontId="45" fillId="0" borderId="15" xfId="0" applyNumberFormat="1" applyFont="1" applyFill="1" applyBorder="1" applyAlignment="1" applyProtection="1">
      <alignment horizontal="center"/>
      <protection locked="0"/>
    </xf>
    <xf numFmtId="0" fontId="0" fillId="0" borderId="0" xfId="0" applyBorder="1" applyProtection="1">
      <protection locked="0"/>
    </xf>
    <xf numFmtId="0" fontId="45" fillId="4" borderId="0" xfId="0" applyNumberFormat="1" applyFont="1" applyFill="1" applyBorder="1" applyAlignment="1" applyProtection="1">
      <alignment horizontal="center"/>
      <protection locked="0"/>
    </xf>
    <xf numFmtId="3" fontId="45" fillId="0" borderId="4" xfId="0" applyNumberFormat="1" applyFont="1" applyFill="1" applyBorder="1" applyProtection="1">
      <protection locked="0"/>
    </xf>
    <xf numFmtId="0" fontId="15" fillId="0" borderId="1" xfId="0" applyNumberFormat="1" applyFont="1" applyFill="1" applyBorder="1" applyAlignment="1" applyProtection="1">
      <alignment horizontal="center"/>
      <protection locked="0"/>
    </xf>
    <xf numFmtId="0" fontId="15" fillId="0" borderId="7" xfId="0" applyNumberFormat="1" applyFont="1" applyFill="1" applyBorder="1" applyAlignment="1" applyProtection="1">
      <alignment horizontal="center"/>
      <protection locked="0"/>
    </xf>
    <xf numFmtId="168" fontId="13" fillId="4" borderId="0" xfId="0" applyNumberFormat="1" applyFont="1" applyFill="1" applyBorder="1" applyAlignment="1" applyProtection="1">
      <alignment horizontal="center"/>
      <protection locked="0"/>
    </xf>
    <xf numFmtId="0" fontId="13" fillId="4" borderId="0" xfId="0" applyNumberFormat="1" applyFont="1" applyFill="1" applyBorder="1" applyAlignment="1" applyProtection="1">
      <alignment horizontal="center"/>
      <protection locked="0"/>
    </xf>
    <xf numFmtId="0" fontId="19" fillId="0" borderId="0" xfId="0" applyFont="1" applyBorder="1" applyProtection="1">
      <protection locked="0"/>
    </xf>
    <xf numFmtId="0" fontId="19" fillId="0" borderId="0" xfId="0" applyFont="1" applyFill="1" applyBorder="1" applyProtection="1">
      <protection locked="0"/>
    </xf>
    <xf numFmtId="0" fontId="19" fillId="0" borderId="0" xfId="0" applyFont="1" applyFill="1" applyProtection="1">
      <protection locked="0"/>
    </xf>
    <xf numFmtId="3" fontId="19" fillId="0" borderId="0" xfId="0" applyNumberFormat="1" applyFont="1" applyFill="1" applyProtection="1">
      <protection locked="0"/>
    </xf>
    <xf numFmtId="3" fontId="19" fillId="0" borderId="0" xfId="0" applyNumberFormat="1" applyFont="1" applyProtection="1">
      <protection locked="0"/>
    </xf>
    <xf numFmtId="3" fontId="19" fillId="0" borderId="0" xfId="0" applyNumberFormat="1" applyFont="1" applyBorder="1" applyProtection="1">
      <protection locked="0"/>
    </xf>
    <xf numFmtId="0" fontId="49" fillId="0" borderId="0" xfId="0" applyFont="1" applyBorder="1" applyProtection="1">
      <protection locked="0"/>
    </xf>
    <xf numFmtId="3" fontId="49" fillId="0" borderId="0" xfId="0" applyNumberFormat="1" applyFont="1" applyProtection="1">
      <protection locked="0"/>
    </xf>
    <xf numFmtId="0" fontId="49" fillId="0" borderId="0" xfId="0" applyFont="1" applyProtection="1">
      <protection locked="0"/>
    </xf>
    <xf numFmtId="0" fontId="60" fillId="0" borderId="0" xfId="0" applyFont="1" applyBorder="1" applyProtection="1">
      <protection locked="0"/>
    </xf>
    <xf numFmtId="3" fontId="60" fillId="0" borderId="0" xfId="0" applyNumberFormat="1" applyFont="1" applyProtection="1">
      <protection locked="0"/>
    </xf>
    <xf numFmtId="0" fontId="14" fillId="0" borderId="0" xfId="0" applyFont="1" applyProtection="1">
      <protection locked="0"/>
    </xf>
    <xf numFmtId="0" fontId="62" fillId="0" borderId="0" xfId="0" applyFont="1" applyProtection="1">
      <protection locked="0"/>
    </xf>
    <xf numFmtId="0" fontId="41" fillId="0" borderId="0" xfId="1" applyFont="1" applyProtection="1">
      <protection locked="0"/>
    </xf>
    <xf numFmtId="0" fontId="56" fillId="0" borderId="0" xfId="1" applyFont="1" applyProtection="1">
      <protection locked="0"/>
    </xf>
    <xf numFmtId="0" fontId="19" fillId="0" borderId="0" xfId="1" applyProtection="1">
      <protection locked="0"/>
    </xf>
    <xf numFmtId="0" fontId="19" fillId="0" borderId="0" xfId="1" applyFont="1" applyProtection="1">
      <protection locked="0"/>
    </xf>
    <xf numFmtId="3" fontId="45" fillId="4" borderId="0" xfId="1" applyNumberFormat="1" applyFont="1" applyFill="1" applyProtection="1">
      <protection locked="0"/>
    </xf>
    <xf numFmtId="3" fontId="15" fillId="4" borderId="0" xfId="1" applyNumberFormat="1" applyFont="1" applyFill="1" applyProtection="1">
      <protection locked="0"/>
    </xf>
    <xf numFmtId="14" fontId="13" fillId="0" borderId="7" xfId="1" applyNumberFormat="1" applyFont="1" applyFill="1" applyBorder="1" applyAlignment="1" applyProtection="1">
      <alignment horizontal="left"/>
      <protection locked="0"/>
    </xf>
    <xf numFmtId="3" fontId="13" fillId="0" borderId="8" xfId="1" quotePrefix="1" applyNumberFormat="1" applyFont="1" applyFill="1" applyBorder="1" applyAlignment="1" applyProtection="1">
      <alignment horizontal="center"/>
      <protection locked="0"/>
    </xf>
    <xf numFmtId="3" fontId="13" fillId="0" borderId="9" xfId="1" quotePrefix="1" applyNumberFormat="1" applyFont="1" applyFill="1" applyBorder="1" applyAlignment="1" applyProtection="1">
      <alignment horizontal="center"/>
      <protection locked="0"/>
    </xf>
    <xf numFmtId="3" fontId="13" fillId="0" borderId="10" xfId="1" quotePrefix="1" applyNumberFormat="1" applyFont="1" applyFill="1" applyBorder="1" applyAlignment="1" applyProtection="1">
      <alignment horizontal="center"/>
      <protection locked="0"/>
    </xf>
    <xf numFmtId="0" fontId="17" fillId="0" borderId="8" xfId="1" applyFont="1" applyBorder="1" applyProtection="1">
      <protection locked="0"/>
    </xf>
    <xf numFmtId="0" fontId="17" fillId="0" borderId="10" xfId="1" applyFont="1" applyBorder="1" applyProtection="1">
      <protection locked="0"/>
    </xf>
    <xf numFmtId="0" fontId="17" fillId="0" borderId="9" xfId="1" applyFont="1" applyBorder="1" applyProtection="1">
      <protection locked="0"/>
    </xf>
    <xf numFmtId="0" fontId="17" fillId="4" borderId="10" xfId="1" applyFont="1" applyFill="1" applyBorder="1" applyProtection="1">
      <protection locked="0"/>
    </xf>
    <xf numFmtId="0" fontId="17" fillId="4" borderId="8" xfId="1" applyFont="1" applyFill="1" applyBorder="1" applyProtection="1">
      <protection locked="0"/>
    </xf>
    <xf numFmtId="0" fontId="17" fillId="4" borderId="9" xfId="1" applyFont="1" applyFill="1" applyBorder="1" applyProtection="1">
      <protection locked="0"/>
    </xf>
    <xf numFmtId="0" fontId="19" fillId="0" borderId="9" xfId="1" applyFont="1" applyBorder="1" applyProtection="1">
      <protection locked="0"/>
    </xf>
    <xf numFmtId="3" fontId="45" fillId="0" borderId="1" xfId="1" applyNumberFormat="1" applyFont="1" applyFill="1" applyBorder="1" applyProtection="1">
      <protection locked="0"/>
    </xf>
    <xf numFmtId="0" fontId="45" fillId="0" borderId="1" xfId="1" applyNumberFormat="1" applyFont="1" applyFill="1" applyBorder="1" applyAlignment="1" applyProtection="1">
      <alignment horizontal="center"/>
      <protection locked="0"/>
    </xf>
    <xf numFmtId="0" fontId="45" fillId="0" borderId="14" xfId="1" applyNumberFormat="1" applyFont="1" applyFill="1" applyBorder="1" applyAlignment="1" applyProtection="1">
      <alignment horizontal="center"/>
      <protection locked="0"/>
    </xf>
    <xf numFmtId="0" fontId="45" fillId="0" borderId="15" xfId="1" applyNumberFormat="1" applyFont="1" applyFill="1" applyBorder="1" applyAlignment="1" applyProtection="1">
      <alignment horizontal="center"/>
      <protection locked="0"/>
    </xf>
    <xf numFmtId="3" fontId="45" fillId="0" borderId="4" xfId="1" applyNumberFormat="1" applyFont="1" applyFill="1" applyBorder="1" applyProtection="1">
      <protection locked="0"/>
    </xf>
    <xf numFmtId="0" fontId="15" fillId="0" borderId="7" xfId="1" applyNumberFormat="1" applyFont="1" applyFill="1" applyBorder="1" applyAlignment="1" applyProtection="1">
      <alignment horizontal="center"/>
      <protection locked="0"/>
    </xf>
    <xf numFmtId="3" fontId="50" fillId="4" borderId="6" xfId="1" applyNumberFormat="1" applyFont="1" applyFill="1" applyBorder="1" applyProtection="1">
      <protection locked="0"/>
    </xf>
    <xf numFmtId="0" fontId="13" fillId="0" borderId="11" xfId="1" applyFont="1" applyBorder="1" applyAlignment="1" applyProtection="1">
      <alignment horizontal="center"/>
      <protection locked="0"/>
    </xf>
    <xf numFmtId="168" fontId="15" fillId="0" borderId="6" xfId="1" applyNumberFormat="1" applyFont="1" applyFill="1" applyBorder="1" applyAlignment="1" applyProtection="1">
      <alignment horizontal="center"/>
      <protection locked="0"/>
    </xf>
    <xf numFmtId="3" fontId="30" fillId="4" borderId="1" xfId="1" applyNumberFormat="1" applyFont="1" applyFill="1" applyBorder="1" applyAlignment="1" applyProtection="1">
      <alignment horizontal="right"/>
    </xf>
    <xf numFmtId="3" fontId="30" fillId="4" borderId="1" xfId="1" applyNumberFormat="1" applyFont="1" applyFill="1" applyBorder="1" applyAlignment="1" applyProtection="1">
      <alignment horizontal="right"/>
      <protection locked="0"/>
    </xf>
    <xf numFmtId="3" fontId="30" fillId="4" borderId="7" xfId="1" applyNumberFormat="1" applyFont="1" applyFill="1" applyBorder="1" applyAlignment="1" applyProtection="1">
      <alignment horizontal="right"/>
      <protection locked="0"/>
    </xf>
    <xf numFmtId="3" fontId="30" fillId="4" borderId="1" xfId="15" applyNumberFormat="1" applyFont="1" applyFill="1" applyBorder="1" applyAlignment="1" applyProtection="1">
      <alignment horizontal="right"/>
    </xf>
    <xf numFmtId="3" fontId="30" fillId="4" borderId="1" xfId="15" applyNumberFormat="1" applyFont="1" applyFill="1" applyBorder="1" applyAlignment="1" applyProtection="1">
      <alignment horizontal="right"/>
      <protection locked="0"/>
    </xf>
    <xf numFmtId="3" fontId="30" fillId="4" borderId="7" xfId="1" applyNumberFormat="1" applyFont="1" applyFill="1" applyBorder="1" applyAlignment="1" applyProtection="1">
      <alignment horizontal="right"/>
    </xf>
    <xf numFmtId="0" fontId="30" fillId="4" borderId="7" xfId="1" applyFont="1" applyFill="1" applyBorder="1" applyAlignment="1" applyProtection="1">
      <alignment horizontal="right"/>
      <protection locked="0"/>
    </xf>
    <xf numFmtId="0" fontId="30" fillId="0" borderId="4" xfId="1" applyFont="1" applyFill="1" applyBorder="1" applyProtection="1">
      <protection locked="0"/>
    </xf>
    <xf numFmtId="3" fontId="30" fillId="4" borderId="4" xfId="1" applyNumberFormat="1" applyFont="1" applyFill="1" applyBorder="1" applyAlignment="1" applyProtection="1">
      <alignment horizontal="right"/>
    </xf>
    <xf numFmtId="3" fontId="30" fillId="4" borderId="4" xfId="1" applyNumberFormat="1" applyFont="1" applyFill="1" applyBorder="1" applyAlignment="1" applyProtection="1">
      <alignment horizontal="right"/>
      <protection locked="0"/>
    </xf>
    <xf numFmtId="3" fontId="30" fillId="4" borderId="3" xfId="1" applyNumberFormat="1" applyFont="1" applyFill="1" applyBorder="1" applyAlignment="1" applyProtection="1">
      <alignment horizontal="right"/>
      <protection locked="0"/>
    </xf>
    <xf numFmtId="3" fontId="30" fillId="4" borderId="4" xfId="15" applyNumberFormat="1" applyFont="1" applyFill="1" applyBorder="1" applyAlignment="1" applyProtection="1">
      <alignment horizontal="right"/>
    </xf>
    <xf numFmtId="3" fontId="30" fillId="4" borderId="4" xfId="15" applyNumberFormat="1" applyFont="1" applyFill="1" applyBorder="1" applyAlignment="1" applyProtection="1">
      <alignment horizontal="right"/>
      <protection locked="0"/>
    </xf>
    <xf numFmtId="3" fontId="30" fillId="4" borderId="3" xfId="1" applyNumberFormat="1" applyFont="1" applyFill="1" applyBorder="1" applyAlignment="1" applyProtection="1">
      <alignment horizontal="right"/>
    </xf>
    <xf numFmtId="0" fontId="30" fillId="4" borderId="3" xfId="1" applyFont="1" applyFill="1" applyBorder="1" applyAlignment="1" applyProtection="1">
      <alignment horizontal="right"/>
      <protection locked="0"/>
    </xf>
    <xf numFmtId="3" fontId="30" fillId="0" borderId="3" xfId="1" applyNumberFormat="1" applyFont="1" applyFill="1" applyBorder="1" applyAlignment="1" applyProtection="1">
      <alignment horizontal="right"/>
      <protection locked="0"/>
    </xf>
    <xf numFmtId="3" fontId="30" fillId="10" borderId="3" xfId="1" applyNumberFormat="1" applyFont="1" applyFill="1" applyBorder="1" applyAlignment="1" applyProtection="1">
      <alignment horizontal="right"/>
    </xf>
    <xf numFmtId="3" fontId="30" fillId="4" borderId="0" xfId="1" applyNumberFormat="1" applyFont="1" applyFill="1" applyBorder="1" applyAlignment="1" applyProtection="1">
      <alignment horizontal="right"/>
      <protection locked="0"/>
    </xf>
    <xf numFmtId="3" fontId="30" fillId="0" borderId="3" xfId="1" applyNumberFormat="1" applyFont="1" applyBorder="1" applyAlignment="1" applyProtection="1">
      <alignment horizontal="right"/>
    </xf>
    <xf numFmtId="3" fontId="30" fillId="0" borderId="3" xfId="1" applyNumberFormat="1" applyFont="1" applyBorder="1" applyAlignment="1" applyProtection="1">
      <alignment horizontal="right"/>
      <protection locked="0"/>
    </xf>
    <xf numFmtId="1" fontId="30" fillId="0" borderId="3" xfId="1" applyNumberFormat="1" applyFont="1" applyBorder="1" applyAlignment="1" applyProtection="1">
      <alignment horizontal="right"/>
    </xf>
    <xf numFmtId="1" fontId="30" fillId="0" borderId="3" xfId="1" applyNumberFormat="1" applyFont="1" applyBorder="1" applyAlignment="1" applyProtection="1">
      <alignment horizontal="right"/>
      <protection locked="0"/>
    </xf>
    <xf numFmtId="0" fontId="30" fillId="0" borderId="3" xfId="1" applyFont="1" applyBorder="1" applyAlignment="1" applyProtection="1">
      <alignment horizontal="right"/>
    </xf>
    <xf numFmtId="0" fontId="30" fillId="0" borderId="3" xfId="1" applyFont="1" applyBorder="1" applyAlignment="1" applyProtection="1">
      <alignment horizontal="right"/>
      <protection locked="0"/>
    </xf>
    <xf numFmtId="165" fontId="30" fillId="0" borderId="3" xfId="847" applyNumberFormat="1" applyFont="1" applyBorder="1" applyAlignment="1" applyProtection="1">
      <alignment horizontal="right"/>
    </xf>
    <xf numFmtId="165" fontId="30" fillId="0" borderId="3" xfId="847" applyNumberFormat="1" applyFont="1" applyBorder="1" applyAlignment="1" applyProtection="1">
      <alignment horizontal="right"/>
      <protection locked="0"/>
    </xf>
    <xf numFmtId="3" fontId="30" fillId="9" borderId="3" xfId="1" applyNumberFormat="1" applyFont="1" applyFill="1" applyBorder="1" applyAlignment="1" applyProtection="1">
      <alignment horizontal="right"/>
      <protection locked="0"/>
    </xf>
    <xf numFmtId="169" fontId="30" fillId="0" borderId="3" xfId="847" applyNumberFormat="1" applyFont="1" applyBorder="1" applyAlignment="1" applyProtection="1">
      <alignment horizontal="right"/>
    </xf>
    <xf numFmtId="169" fontId="30" fillId="0" borderId="3" xfId="847" applyNumberFormat="1" applyFont="1" applyBorder="1" applyAlignment="1" applyProtection="1">
      <alignment horizontal="right"/>
      <protection locked="0"/>
    </xf>
    <xf numFmtId="0" fontId="30" fillId="0" borderId="3" xfId="1" applyFont="1" applyFill="1" applyBorder="1" applyAlignment="1" applyProtection="1">
      <alignment horizontal="right"/>
      <protection locked="0"/>
    </xf>
    <xf numFmtId="165" fontId="30" fillId="4" borderId="4" xfId="847" applyNumberFormat="1" applyFont="1" applyFill="1" applyBorder="1" applyAlignment="1" applyProtection="1">
      <alignment horizontal="right"/>
    </xf>
    <xf numFmtId="165" fontId="30" fillId="4" borderId="4" xfId="847" applyNumberFormat="1" applyFont="1" applyFill="1" applyBorder="1" applyAlignment="1" applyProtection="1">
      <alignment horizontal="right"/>
      <protection locked="0"/>
    </xf>
    <xf numFmtId="165" fontId="30" fillId="4" borderId="3" xfId="847" applyNumberFormat="1" applyFont="1" applyFill="1" applyBorder="1" applyAlignment="1" applyProtection="1">
      <alignment horizontal="right"/>
    </xf>
    <xf numFmtId="165" fontId="30" fillId="4" borderId="3" xfId="847" applyNumberFormat="1" applyFont="1" applyFill="1" applyBorder="1" applyAlignment="1" applyProtection="1">
      <alignment horizontal="right"/>
      <protection locked="0"/>
    </xf>
    <xf numFmtId="3" fontId="30" fillId="0" borderId="3" xfId="1" applyNumberFormat="1" applyFont="1" applyFill="1" applyBorder="1" applyAlignment="1" applyProtection="1">
      <alignment horizontal="right"/>
    </xf>
    <xf numFmtId="0" fontId="19" fillId="0" borderId="0" xfId="1" applyFont="1" applyFill="1" applyProtection="1">
      <protection locked="0"/>
    </xf>
    <xf numFmtId="0" fontId="45" fillId="0" borderId="11" xfId="1" applyFont="1" applyFill="1" applyBorder="1" applyProtection="1">
      <protection locked="0"/>
    </xf>
    <xf numFmtId="3" fontId="45" fillId="0" borderId="6" xfId="1" applyNumberFormat="1" applyFont="1" applyFill="1" applyBorder="1" applyAlignment="1" applyProtection="1">
      <alignment horizontal="right"/>
    </xf>
    <xf numFmtId="3" fontId="45" fillId="0" borderId="6" xfId="1" applyNumberFormat="1" applyFont="1" applyFill="1" applyBorder="1" applyAlignment="1" applyProtection="1">
      <alignment horizontal="right"/>
      <protection locked="0"/>
    </xf>
    <xf numFmtId="3" fontId="45" fillId="4" borderId="6" xfId="1" applyNumberFormat="1" applyFont="1" applyFill="1" applyBorder="1" applyAlignment="1" applyProtection="1">
      <alignment horizontal="right"/>
      <protection locked="0"/>
    </xf>
    <xf numFmtId="3" fontId="45" fillId="4" borderId="6" xfId="1" applyNumberFormat="1" applyFont="1" applyFill="1" applyBorder="1" applyAlignment="1" applyProtection="1">
      <alignment horizontal="right"/>
    </xf>
    <xf numFmtId="0" fontId="49" fillId="0" borderId="0" xfId="1" applyFont="1" applyProtection="1">
      <protection locked="0"/>
    </xf>
    <xf numFmtId="0" fontId="45" fillId="0" borderId="4" xfId="1" applyFont="1" applyFill="1" applyBorder="1" applyProtection="1">
      <protection locked="0"/>
    </xf>
    <xf numFmtId="3" fontId="45" fillId="4" borderId="4" xfId="15" applyNumberFormat="1" applyFont="1" applyFill="1" applyBorder="1" applyAlignment="1" applyProtection="1">
      <alignment horizontal="right"/>
    </xf>
    <xf numFmtId="3" fontId="45" fillId="4" borderId="4" xfId="15" applyNumberFormat="1" applyFont="1" applyFill="1" applyBorder="1" applyAlignment="1" applyProtection="1">
      <alignment horizontal="right"/>
      <protection locked="0"/>
    </xf>
    <xf numFmtId="3" fontId="45" fillId="4" borderId="3" xfId="1" applyNumberFormat="1" applyFont="1" applyFill="1" applyBorder="1" applyAlignment="1" applyProtection="1">
      <alignment horizontal="right"/>
      <protection locked="0"/>
    </xf>
    <xf numFmtId="3" fontId="45" fillId="4" borderId="7" xfId="1" applyNumberFormat="1" applyFont="1" applyFill="1" applyBorder="1" applyAlignment="1" applyProtection="1">
      <alignment horizontal="right"/>
      <protection locked="0"/>
    </xf>
    <xf numFmtId="0" fontId="45" fillId="4" borderId="7" xfId="1" applyFont="1" applyFill="1" applyBorder="1" applyAlignment="1" applyProtection="1">
      <alignment horizontal="right"/>
      <protection locked="0"/>
    </xf>
    <xf numFmtId="0" fontId="45" fillId="4" borderId="15" xfId="1" applyFont="1" applyFill="1" applyBorder="1" applyAlignment="1" applyProtection="1">
      <alignment horizontal="right"/>
      <protection locked="0"/>
    </xf>
    <xf numFmtId="0" fontId="49" fillId="0" borderId="7" xfId="1" applyFont="1" applyBorder="1" applyAlignment="1" applyProtection="1">
      <alignment horizontal="right"/>
      <protection locked="0"/>
    </xf>
    <xf numFmtId="0" fontId="45" fillId="4" borderId="3" xfId="1" applyFont="1" applyFill="1" applyBorder="1" applyAlignment="1" applyProtection="1">
      <alignment horizontal="right"/>
      <protection locked="0"/>
    </xf>
    <xf numFmtId="0" fontId="45" fillId="4" borderId="2" xfId="1" applyFont="1" applyFill="1" applyBorder="1" applyAlignment="1" applyProtection="1">
      <alignment horizontal="right"/>
      <protection locked="0"/>
    </xf>
    <xf numFmtId="0" fontId="49" fillId="0" borderId="3" xfId="1" applyFont="1" applyBorder="1" applyAlignment="1" applyProtection="1">
      <alignment horizontal="right"/>
      <protection locked="0"/>
    </xf>
    <xf numFmtId="0" fontId="30" fillId="4" borderId="2" xfId="1" applyFont="1" applyFill="1" applyBorder="1" applyAlignment="1" applyProtection="1">
      <alignment horizontal="right"/>
      <protection locked="0"/>
    </xf>
    <xf numFmtId="0" fontId="30" fillId="0" borderId="0" xfId="1" applyFont="1" applyProtection="1">
      <protection locked="0"/>
    </xf>
    <xf numFmtId="3" fontId="30" fillId="4" borderId="2" xfId="1" applyNumberFormat="1" applyFont="1" applyFill="1" applyBorder="1" applyAlignment="1" applyProtection="1">
      <alignment horizontal="right"/>
      <protection locked="0"/>
    </xf>
    <xf numFmtId="3" fontId="45" fillId="4" borderId="2" xfId="1" applyNumberFormat="1" applyFont="1" applyFill="1" applyBorder="1" applyAlignment="1" applyProtection="1">
      <alignment horizontal="right"/>
      <protection locked="0"/>
    </xf>
    <xf numFmtId="0" fontId="45" fillId="0" borderId="0" xfId="1" applyFont="1" applyProtection="1">
      <protection locked="0"/>
    </xf>
    <xf numFmtId="3" fontId="45" fillId="4" borderId="11" xfId="15" applyNumberFormat="1" applyFont="1" applyFill="1" applyBorder="1" applyAlignment="1" applyProtection="1">
      <alignment horizontal="right"/>
    </xf>
    <xf numFmtId="3" fontId="45" fillId="4" borderId="11" xfId="15" applyNumberFormat="1" applyFont="1" applyFill="1" applyBorder="1" applyAlignment="1" applyProtection="1">
      <alignment horizontal="right"/>
      <protection locked="0"/>
    </xf>
    <xf numFmtId="0" fontId="45" fillId="4" borderId="6" xfId="1" applyFont="1" applyFill="1" applyBorder="1" applyAlignment="1" applyProtection="1">
      <alignment horizontal="right"/>
      <protection locked="0"/>
    </xf>
    <xf numFmtId="0" fontId="45" fillId="4" borderId="5" xfId="1" applyFont="1" applyFill="1" applyBorder="1" applyAlignment="1" applyProtection="1">
      <alignment horizontal="right"/>
      <protection locked="0"/>
    </xf>
    <xf numFmtId="0" fontId="45" fillId="0" borderId="6" xfId="1" applyFont="1" applyBorder="1" applyAlignment="1" applyProtection="1">
      <alignment horizontal="right"/>
      <protection locked="0"/>
    </xf>
    <xf numFmtId="0" fontId="45" fillId="0" borderId="7" xfId="1" applyFont="1" applyFill="1" applyBorder="1" applyProtection="1">
      <protection locked="0"/>
    </xf>
    <xf numFmtId="3" fontId="45" fillId="4" borderId="1" xfId="14" applyNumberFormat="1" applyFont="1" applyFill="1" applyBorder="1" applyAlignment="1" applyProtection="1">
      <alignment horizontal="right"/>
    </xf>
    <xf numFmtId="3" fontId="45" fillId="4" borderId="1" xfId="14" applyNumberFormat="1" applyFont="1" applyFill="1" applyBorder="1" applyAlignment="1" applyProtection="1">
      <alignment horizontal="right"/>
      <protection locked="0"/>
    </xf>
    <xf numFmtId="3" fontId="45" fillId="4" borderId="1" xfId="1" applyNumberFormat="1" applyFont="1" applyFill="1" applyBorder="1" applyAlignment="1" applyProtection="1">
      <alignment horizontal="right"/>
      <protection locked="0"/>
    </xf>
    <xf numFmtId="0" fontId="45" fillId="4" borderId="1" xfId="1" applyFont="1" applyFill="1" applyBorder="1" applyAlignment="1" applyProtection="1">
      <alignment horizontal="right"/>
      <protection locked="0"/>
    </xf>
    <xf numFmtId="0" fontId="45" fillId="0" borderId="7" xfId="1" applyFont="1" applyBorder="1" applyAlignment="1" applyProtection="1">
      <alignment horizontal="right"/>
      <protection locked="0"/>
    </xf>
    <xf numFmtId="0" fontId="45" fillId="0" borderId="3" xfId="1" applyFont="1" applyFill="1" applyBorder="1" applyProtection="1">
      <protection locked="0"/>
    </xf>
    <xf numFmtId="0" fontId="30" fillId="0" borderId="3" xfId="1" applyFont="1" applyFill="1" applyBorder="1" applyProtection="1"/>
    <xf numFmtId="0" fontId="30" fillId="0" borderId="3" xfId="1" applyFont="1" applyFill="1" applyBorder="1" applyProtection="1">
      <protection locked="0"/>
    </xf>
    <xf numFmtId="3" fontId="45" fillId="0" borderId="4" xfId="14" applyNumberFormat="1" applyFont="1" applyFill="1" applyBorder="1" applyAlignment="1" applyProtection="1">
      <alignment horizontal="right"/>
    </xf>
    <xf numFmtId="3" fontId="30" fillId="0" borderId="3" xfId="1" applyNumberFormat="1" applyFont="1" applyFill="1" applyBorder="1" applyProtection="1">
      <protection locked="0"/>
    </xf>
    <xf numFmtId="0" fontId="45" fillId="0" borderId="0" xfId="1" applyFont="1" applyFill="1" applyProtection="1">
      <protection locked="0"/>
    </xf>
    <xf numFmtId="3" fontId="30" fillId="0" borderId="4" xfId="14" applyNumberFormat="1" applyFont="1" applyFill="1" applyBorder="1" applyAlignment="1" applyProtection="1">
      <alignment horizontal="right"/>
    </xf>
    <xf numFmtId="0" fontId="30" fillId="0" borderId="0" xfId="1" applyFont="1" applyFill="1" applyProtection="1">
      <protection locked="0"/>
    </xf>
    <xf numFmtId="1" fontId="30" fillId="0" borderId="3" xfId="1" applyNumberFormat="1" applyFont="1" applyFill="1" applyBorder="1" applyProtection="1">
      <protection locked="0"/>
    </xf>
    <xf numFmtId="1" fontId="30" fillId="0" borderId="3" xfId="1" applyNumberFormat="1" applyFont="1" applyFill="1" applyBorder="1" applyProtection="1"/>
    <xf numFmtId="0" fontId="45" fillId="0" borderId="6" xfId="1" applyFont="1" applyFill="1" applyBorder="1" applyProtection="1">
      <protection locked="0"/>
    </xf>
    <xf numFmtId="1" fontId="45" fillId="0" borderId="6" xfId="1" applyNumberFormat="1" applyFont="1" applyFill="1" applyBorder="1" applyProtection="1"/>
    <xf numFmtId="3" fontId="45" fillId="0" borderId="11" xfId="14" applyNumberFormat="1" applyFont="1" applyFill="1" applyBorder="1" applyAlignment="1" applyProtection="1">
      <alignment horizontal="right"/>
    </xf>
    <xf numFmtId="1" fontId="45" fillId="0" borderId="6" xfId="1" applyNumberFormat="1" applyFont="1" applyFill="1" applyBorder="1" applyProtection="1">
      <protection locked="0"/>
    </xf>
    <xf numFmtId="3" fontId="45" fillId="0" borderId="6" xfId="1" applyNumberFormat="1" applyFont="1" applyFill="1" applyBorder="1" applyProtection="1">
      <protection locked="0"/>
    </xf>
    <xf numFmtId="0" fontId="30" fillId="0" borderId="6" xfId="1" applyFont="1" applyFill="1" applyBorder="1" applyProtection="1">
      <protection locked="0"/>
    </xf>
    <xf numFmtId="0" fontId="60" fillId="0" borderId="0" xfId="1" applyFont="1" applyBorder="1" applyProtection="1">
      <protection locked="0"/>
    </xf>
    <xf numFmtId="0" fontId="60" fillId="0" borderId="0" xfId="1" applyFont="1" applyProtection="1">
      <protection locked="0"/>
    </xf>
    <xf numFmtId="0" fontId="69" fillId="0" borderId="0" xfId="1" applyFont="1" applyProtection="1">
      <protection locked="0"/>
    </xf>
    <xf numFmtId="0" fontId="69" fillId="0" borderId="0" xfId="1" applyFont="1" applyBorder="1" applyProtection="1">
      <protection locked="0"/>
    </xf>
    <xf numFmtId="0" fontId="19" fillId="0" borderId="0" xfId="1" applyBorder="1" applyProtection="1">
      <protection locked="0"/>
    </xf>
    <xf numFmtId="4" fontId="69" fillId="0" borderId="0" xfId="1" applyNumberFormat="1" applyFont="1" applyProtection="1">
      <protection locked="0"/>
    </xf>
    <xf numFmtId="3" fontId="69" fillId="0" borderId="0" xfId="1" applyNumberFormat="1" applyFont="1" applyProtection="1">
      <protection locked="0"/>
    </xf>
    <xf numFmtId="0" fontId="41" fillId="0" borderId="0" xfId="7" applyFont="1" applyFill="1" applyProtection="1">
      <protection locked="0"/>
    </xf>
    <xf numFmtId="0" fontId="30" fillId="0" borderId="0" xfId="7" applyFont="1" applyFill="1" applyProtection="1">
      <protection locked="0"/>
    </xf>
    <xf numFmtId="0" fontId="19" fillId="0" borderId="0" xfId="7" applyFont="1" applyFill="1" applyProtection="1">
      <protection locked="0"/>
    </xf>
    <xf numFmtId="0" fontId="41" fillId="0" borderId="0" xfId="7" applyFont="1" applyFill="1" applyBorder="1" applyProtection="1">
      <protection locked="0"/>
    </xf>
    <xf numFmtId="0" fontId="45" fillId="0" borderId="0" xfId="7" applyFont="1" applyFill="1" applyBorder="1" applyProtection="1">
      <protection locked="0"/>
    </xf>
    <xf numFmtId="0" fontId="45" fillId="0" borderId="12" xfId="7" applyFont="1" applyFill="1" applyBorder="1" applyProtection="1">
      <protection locked="0"/>
    </xf>
    <xf numFmtId="14" fontId="13" fillId="0" borderId="3" xfId="7" applyNumberFormat="1" applyFont="1" applyFill="1" applyBorder="1" applyAlignment="1" applyProtection="1">
      <alignment horizontal="left"/>
      <protection locked="0"/>
    </xf>
    <xf numFmtId="0" fontId="17" fillId="0" borderId="8" xfId="7" applyFont="1" applyFill="1" applyBorder="1" applyProtection="1">
      <protection locked="0"/>
    </xf>
    <xf numFmtId="0" fontId="17" fillId="0" borderId="9" xfId="7" applyFont="1" applyFill="1" applyBorder="1" applyProtection="1">
      <protection locked="0"/>
    </xf>
    <xf numFmtId="0" fontId="17" fillId="0" borderId="10" xfId="7" applyFont="1" applyFill="1" applyBorder="1" applyProtection="1">
      <protection locked="0"/>
    </xf>
    <xf numFmtId="3" fontId="45" fillId="0" borderId="1" xfId="7" applyNumberFormat="1" applyFont="1" applyFill="1" applyBorder="1" applyProtection="1">
      <protection locked="0"/>
    </xf>
    <xf numFmtId="0" fontId="45" fillId="0" borderId="1" xfId="7" applyNumberFormat="1" applyFont="1" applyFill="1" applyBorder="1" applyAlignment="1" applyProtection="1">
      <alignment horizontal="center"/>
      <protection locked="0"/>
    </xf>
    <xf numFmtId="0" fontId="45" fillId="0" borderId="14" xfId="7" applyNumberFormat="1" applyFont="1" applyFill="1" applyBorder="1" applyAlignment="1" applyProtection="1">
      <alignment horizontal="center"/>
      <protection locked="0"/>
    </xf>
    <xf numFmtId="0" fontId="45" fillId="0" borderId="15" xfId="7" applyNumberFormat="1" applyFont="1" applyFill="1" applyBorder="1" applyAlignment="1" applyProtection="1">
      <alignment horizontal="center"/>
      <protection locked="0"/>
    </xf>
    <xf numFmtId="3" fontId="45" fillId="0" borderId="4" xfId="7" applyNumberFormat="1" applyFont="1" applyFill="1" applyBorder="1" applyProtection="1">
      <protection locked="0"/>
    </xf>
    <xf numFmtId="0" fontId="15" fillId="0" borderId="1" xfId="7" applyNumberFormat="1" applyFont="1" applyFill="1" applyBorder="1" applyAlignment="1" applyProtection="1">
      <alignment horizontal="center"/>
      <protection locked="0"/>
    </xf>
    <xf numFmtId="0" fontId="15" fillId="0" borderId="7" xfId="7" applyNumberFormat="1" applyFont="1" applyFill="1" applyBorder="1" applyAlignment="1" applyProtection="1">
      <alignment horizontal="center"/>
      <protection locked="0"/>
    </xf>
    <xf numFmtId="3" fontId="50" fillId="0" borderId="11" xfId="7" applyNumberFormat="1" applyFont="1" applyFill="1" applyBorder="1" applyProtection="1">
      <protection locked="0"/>
    </xf>
    <xf numFmtId="0" fontId="13" fillId="0" borderId="6" xfId="7" applyFont="1" applyFill="1" applyBorder="1" applyAlignment="1" applyProtection="1">
      <alignment horizontal="center"/>
      <protection locked="0"/>
    </xf>
    <xf numFmtId="168" fontId="15" fillId="0" borderId="6" xfId="7" applyNumberFormat="1" applyFont="1" applyFill="1" applyBorder="1" applyAlignment="1" applyProtection="1">
      <alignment horizontal="center"/>
      <protection locked="0"/>
    </xf>
    <xf numFmtId="3" fontId="50" fillId="0" borderId="7" xfId="7" applyNumberFormat="1" applyFont="1" applyFill="1" applyBorder="1" applyProtection="1">
      <protection locked="0"/>
    </xf>
    <xf numFmtId="0" fontId="13" fillId="0" borderId="4" xfId="7" applyFont="1" applyFill="1" applyBorder="1" applyAlignment="1" applyProtection="1">
      <alignment horizontal="center"/>
    </xf>
    <xf numFmtId="0" fontId="13" fillId="0" borderId="4" xfId="1" applyFont="1" applyFill="1" applyBorder="1" applyAlignment="1" applyProtection="1">
      <alignment horizontal="center"/>
      <protection locked="0"/>
    </xf>
    <xf numFmtId="168" fontId="15" fillId="0" borderId="4" xfId="7" applyNumberFormat="1" applyFont="1" applyFill="1" applyBorder="1" applyAlignment="1" applyProtection="1">
      <alignment horizontal="center"/>
      <protection locked="0"/>
    </xf>
    <xf numFmtId="168" fontId="15" fillId="0" borderId="4" xfId="7" applyNumberFormat="1" applyFont="1" applyFill="1" applyBorder="1" applyAlignment="1" applyProtection="1">
      <alignment horizontal="center"/>
    </xf>
    <xf numFmtId="168" fontId="15" fillId="0" borderId="3" xfId="7" applyNumberFormat="1" applyFont="1" applyFill="1" applyBorder="1" applyAlignment="1" applyProtection="1">
      <alignment horizontal="center"/>
      <protection locked="0"/>
    </xf>
    <xf numFmtId="0" fontId="13" fillId="0" borderId="4" xfId="7" applyFont="1" applyFill="1" applyBorder="1" applyAlignment="1" applyProtection="1">
      <alignment horizontal="center"/>
      <protection locked="0"/>
    </xf>
    <xf numFmtId="0" fontId="45" fillId="0" borderId="3" xfId="7" applyFont="1" applyFill="1" applyBorder="1" applyProtection="1">
      <protection locked="0"/>
    </xf>
    <xf numFmtId="3" fontId="45" fillId="0" borderId="4" xfId="7" applyNumberFormat="1" applyFont="1" applyFill="1" applyBorder="1" applyAlignment="1" applyProtection="1">
      <alignment horizontal="right"/>
    </xf>
    <xf numFmtId="3" fontId="45" fillId="0" borderId="4" xfId="1" applyNumberFormat="1" applyFont="1" applyFill="1" applyBorder="1" applyAlignment="1" applyProtection="1">
      <alignment horizontal="right"/>
      <protection locked="0"/>
    </xf>
    <xf numFmtId="168" fontId="45" fillId="0" borderId="4" xfId="7" applyNumberFormat="1" applyFont="1" applyFill="1" applyBorder="1" applyAlignment="1" applyProtection="1">
      <alignment horizontal="right"/>
      <protection locked="0"/>
    </xf>
    <xf numFmtId="0" fontId="45" fillId="0" borderId="4" xfId="7" applyNumberFormat="1" applyFont="1" applyFill="1" applyBorder="1" applyAlignment="1" applyProtection="1">
      <alignment horizontal="right"/>
    </xf>
    <xf numFmtId="168" fontId="45" fillId="0" borderId="3" xfId="7" applyNumberFormat="1" applyFont="1" applyFill="1" applyBorder="1" applyAlignment="1" applyProtection="1">
      <alignment horizontal="right"/>
      <protection locked="0"/>
    </xf>
    <xf numFmtId="165" fontId="45" fillId="0" borderId="4" xfId="847" applyNumberFormat="1" applyFont="1" applyFill="1" applyBorder="1" applyAlignment="1" applyProtection="1">
      <alignment horizontal="right"/>
    </xf>
    <xf numFmtId="1" fontId="45" fillId="0" borderId="3" xfId="7" applyNumberFormat="1" applyFont="1" applyFill="1" applyBorder="1" applyAlignment="1" applyProtection="1">
      <alignment horizontal="right"/>
      <protection locked="0"/>
    </xf>
    <xf numFmtId="0" fontId="45" fillId="0" borderId="4" xfId="7" applyNumberFormat="1" applyFont="1" applyFill="1" applyBorder="1" applyAlignment="1" applyProtection="1">
      <alignment horizontal="right"/>
      <protection locked="0"/>
    </xf>
    <xf numFmtId="0" fontId="30" fillId="0" borderId="3" xfId="7" applyFont="1" applyFill="1" applyBorder="1" applyProtection="1">
      <protection locked="0"/>
    </xf>
    <xf numFmtId="3" fontId="30" fillId="0" borderId="4" xfId="1" applyNumberFormat="1" applyFont="1" applyFill="1" applyBorder="1" applyAlignment="1" applyProtection="1">
      <alignment horizontal="right"/>
      <protection locked="0"/>
    </xf>
    <xf numFmtId="168" fontId="30" fillId="0" borderId="4" xfId="7" applyNumberFormat="1" applyFont="1" applyFill="1" applyBorder="1" applyAlignment="1" applyProtection="1">
      <alignment horizontal="right"/>
      <protection locked="0"/>
    </xf>
    <xf numFmtId="1" fontId="30" fillId="0" borderId="3" xfId="7" applyNumberFormat="1" applyFont="1" applyFill="1" applyBorder="1" applyAlignment="1" applyProtection="1">
      <alignment horizontal="right"/>
      <protection locked="0"/>
    </xf>
    <xf numFmtId="0" fontId="30" fillId="0" borderId="4" xfId="7" applyNumberFormat="1" applyFont="1" applyFill="1" applyBorder="1" applyAlignment="1" applyProtection="1">
      <alignment horizontal="right"/>
    </xf>
    <xf numFmtId="168" fontId="30" fillId="0" borderId="3" xfId="7" applyNumberFormat="1" applyFont="1" applyFill="1" applyBorder="1" applyAlignment="1" applyProtection="1">
      <alignment horizontal="right"/>
      <protection locked="0"/>
    </xf>
    <xf numFmtId="165" fontId="30" fillId="0" borderId="4" xfId="847" applyNumberFormat="1" applyFont="1" applyFill="1" applyBorder="1" applyAlignment="1" applyProtection="1">
      <alignment horizontal="right"/>
    </xf>
    <xf numFmtId="1" fontId="30" fillId="0" borderId="4" xfId="7" applyNumberFormat="1" applyFont="1" applyFill="1" applyBorder="1" applyAlignment="1" applyProtection="1">
      <alignment horizontal="right"/>
    </xf>
    <xf numFmtId="1" fontId="30" fillId="0" borderId="4" xfId="7" applyNumberFormat="1" applyFont="1" applyFill="1" applyBorder="1" applyAlignment="1" applyProtection="1">
      <alignment horizontal="right"/>
      <protection locked="0"/>
    </xf>
    <xf numFmtId="1" fontId="45" fillId="0" borderId="4" xfId="7" applyNumberFormat="1" applyFont="1" applyFill="1" applyBorder="1" applyAlignment="1" applyProtection="1">
      <alignment horizontal="right"/>
    </xf>
    <xf numFmtId="1" fontId="45" fillId="0" borderId="4" xfId="7" applyNumberFormat="1" applyFont="1" applyFill="1" applyBorder="1" applyAlignment="1" applyProtection="1">
      <alignment horizontal="right"/>
      <protection locked="0"/>
    </xf>
    <xf numFmtId="0" fontId="45" fillId="0" borderId="0" xfId="7" applyFont="1" applyFill="1" applyProtection="1">
      <protection locked="0"/>
    </xf>
    <xf numFmtId="3" fontId="30" fillId="0" borderId="4" xfId="7" applyNumberFormat="1" applyFont="1" applyFill="1" applyBorder="1" applyAlignment="1" applyProtection="1">
      <alignment horizontal="right"/>
      <protection locked="0"/>
    </xf>
    <xf numFmtId="3" fontId="30" fillId="0" borderId="3" xfId="7" applyNumberFormat="1" applyFont="1" applyFill="1" applyBorder="1" applyAlignment="1" applyProtection="1">
      <alignment horizontal="right"/>
      <protection locked="0"/>
    </xf>
    <xf numFmtId="3" fontId="45" fillId="0" borderId="4" xfId="7" applyNumberFormat="1" applyFont="1" applyFill="1" applyBorder="1" applyAlignment="1" applyProtection="1">
      <alignment horizontal="right"/>
      <protection locked="0"/>
    </xf>
    <xf numFmtId="4" fontId="45" fillId="0" borderId="4" xfId="7" applyNumberFormat="1" applyFont="1" applyFill="1" applyBorder="1" applyAlignment="1" applyProtection="1">
      <alignment horizontal="right"/>
    </xf>
    <xf numFmtId="3" fontId="45" fillId="0" borderId="3" xfId="7" applyNumberFormat="1" applyFont="1" applyFill="1" applyBorder="1" applyAlignment="1" applyProtection="1">
      <alignment horizontal="right"/>
      <protection locked="0"/>
    </xf>
    <xf numFmtId="4" fontId="30" fillId="0" borderId="4" xfId="7" applyNumberFormat="1" applyFont="1" applyFill="1" applyBorder="1" applyAlignment="1" applyProtection="1">
      <alignment horizontal="right"/>
    </xf>
    <xf numFmtId="0" fontId="30" fillId="0" borderId="6" xfId="7" applyFont="1" applyFill="1" applyBorder="1" applyProtection="1">
      <protection locked="0"/>
    </xf>
    <xf numFmtId="3" fontId="30" fillId="0" borderId="11" xfId="7" applyNumberFormat="1" applyFont="1" applyFill="1" applyBorder="1" applyAlignment="1" applyProtection="1">
      <alignment horizontal="right"/>
    </xf>
    <xf numFmtId="3" fontId="30" fillId="0" borderId="11" xfId="1" applyNumberFormat="1" applyFont="1" applyFill="1" applyBorder="1" applyAlignment="1" applyProtection="1">
      <alignment horizontal="right"/>
      <protection locked="0"/>
    </xf>
    <xf numFmtId="3" fontId="30" fillId="0" borderId="11" xfId="7" applyNumberFormat="1" applyFont="1" applyFill="1" applyBorder="1" applyAlignment="1" applyProtection="1">
      <alignment horizontal="right"/>
      <protection locked="0"/>
    </xf>
    <xf numFmtId="1" fontId="30" fillId="0" borderId="6" xfId="7" applyNumberFormat="1" applyFont="1" applyFill="1" applyBorder="1" applyAlignment="1" applyProtection="1">
      <alignment horizontal="right"/>
      <protection locked="0"/>
    </xf>
    <xf numFmtId="3" fontId="30" fillId="0" borderId="6" xfId="7" applyNumberFormat="1" applyFont="1" applyFill="1" applyBorder="1" applyAlignment="1" applyProtection="1">
      <alignment horizontal="right"/>
      <protection locked="0"/>
    </xf>
    <xf numFmtId="1" fontId="30" fillId="0" borderId="11" xfId="7" applyNumberFormat="1" applyFont="1" applyFill="1" applyBorder="1" applyAlignment="1" applyProtection="1">
      <alignment horizontal="right"/>
    </xf>
    <xf numFmtId="0" fontId="30" fillId="0" borderId="7" xfId="7" applyFont="1" applyFill="1" applyBorder="1" applyProtection="1">
      <protection locked="0"/>
    </xf>
    <xf numFmtId="3" fontId="30" fillId="0" borderId="1" xfId="7" applyNumberFormat="1" applyFont="1" applyFill="1" applyBorder="1" applyAlignment="1" applyProtection="1">
      <alignment horizontal="right"/>
    </xf>
    <xf numFmtId="3" fontId="30" fillId="0" borderId="1" xfId="1" applyNumberFormat="1" applyFont="1" applyFill="1" applyBorder="1" applyAlignment="1" applyProtection="1">
      <alignment horizontal="right"/>
      <protection locked="0"/>
    </xf>
    <xf numFmtId="3" fontId="30" fillId="0" borderId="1" xfId="7" applyNumberFormat="1" applyFont="1" applyFill="1" applyBorder="1" applyAlignment="1" applyProtection="1">
      <alignment horizontal="right"/>
      <protection locked="0"/>
    </xf>
    <xf numFmtId="1" fontId="30" fillId="0" borderId="7" xfId="7" applyNumberFormat="1" applyFont="1" applyFill="1" applyBorder="1" applyAlignment="1" applyProtection="1">
      <alignment horizontal="right"/>
      <protection locked="0"/>
    </xf>
    <xf numFmtId="3" fontId="30" fillId="0" borderId="7" xfId="7" applyNumberFormat="1" applyFont="1" applyFill="1" applyBorder="1" applyAlignment="1" applyProtection="1">
      <alignment horizontal="right"/>
      <protection locked="0"/>
    </xf>
    <xf numFmtId="1" fontId="30" fillId="0" borderId="1" xfId="7" applyNumberFormat="1" applyFont="1" applyFill="1" applyBorder="1" applyAlignment="1" applyProtection="1">
      <alignment horizontal="right"/>
    </xf>
    <xf numFmtId="0" fontId="30" fillId="0" borderId="4" xfId="7" applyFont="1" applyFill="1" applyBorder="1" applyAlignment="1" applyProtection="1">
      <alignment horizontal="right"/>
      <protection locked="0"/>
    </xf>
    <xf numFmtId="0" fontId="30" fillId="0" borderId="3" xfId="7" applyFont="1" applyFill="1" applyBorder="1" applyAlignment="1" applyProtection="1">
      <alignment horizontal="right"/>
      <protection locked="0"/>
    </xf>
    <xf numFmtId="3" fontId="45" fillId="0" borderId="4" xfId="1" applyNumberFormat="1" applyFont="1" applyFill="1" applyBorder="1" applyAlignment="1" applyProtection="1">
      <alignment horizontal="right"/>
    </xf>
    <xf numFmtId="0" fontId="46" fillId="0" borderId="0" xfId="7" applyFont="1" applyFill="1" applyProtection="1">
      <protection locked="0"/>
    </xf>
    <xf numFmtId="0" fontId="46" fillId="0" borderId="0" xfId="7" applyFont="1" applyFill="1" applyProtection="1"/>
    <xf numFmtId="0" fontId="30" fillId="0" borderId="0" xfId="848" applyFont="1" applyFill="1" applyProtection="1">
      <protection locked="0"/>
    </xf>
    <xf numFmtId="0" fontId="14" fillId="0" borderId="0" xfId="848" applyFill="1" applyProtection="1">
      <protection locked="0"/>
    </xf>
    <xf numFmtId="0" fontId="41" fillId="0" borderId="0" xfId="848" applyFont="1" applyFill="1" applyBorder="1" applyProtection="1">
      <protection locked="0"/>
    </xf>
    <xf numFmtId="0" fontId="45" fillId="0" borderId="0" xfId="848" applyFont="1" applyFill="1" applyBorder="1" applyProtection="1">
      <protection locked="0"/>
    </xf>
    <xf numFmtId="0" fontId="45" fillId="0" borderId="12" xfId="848" applyFont="1" applyFill="1" applyBorder="1" applyProtection="1">
      <protection locked="0"/>
    </xf>
    <xf numFmtId="0" fontId="30" fillId="0" borderId="0" xfId="848" applyFont="1" applyFill="1" applyBorder="1" applyProtection="1">
      <protection locked="0"/>
    </xf>
    <xf numFmtId="14" fontId="13" fillId="0" borderId="3" xfId="848" applyNumberFormat="1" applyFont="1" applyFill="1" applyBorder="1" applyAlignment="1" applyProtection="1">
      <alignment horizontal="left"/>
      <protection locked="0"/>
    </xf>
    <xf numFmtId="0" fontId="17" fillId="0" borderId="8" xfId="848" applyFont="1" applyFill="1" applyBorder="1" applyProtection="1">
      <protection locked="0"/>
    </xf>
    <xf numFmtId="0" fontId="17" fillId="0" borderId="9" xfId="848" applyFont="1" applyFill="1" applyBorder="1" applyProtection="1">
      <protection locked="0"/>
    </xf>
    <xf numFmtId="0" fontId="17" fillId="0" borderId="10" xfId="848" applyFont="1" applyFill="1" applyBorder="1" applyProtection="1">
      <protection locked="0"/>
    </xf>
    <xf numFmtId="3" fontId="45" fillId="0" borderId="1" xfId="848" applyNumberFormat="1" applyFont="1" applyFill="1" applyBorder="1" applyProtection="1">
      <protection locked="0"/>
    </xf>
    <xf numFmtId="3" fontId="45" fillId="0" borderId="4" xfId="848" applyNumberFormat="1" applyFont="1" applyFill="1" applyBorder="1" applyProtection="1">
      <protection locked="0"/>
    </xf>
    <xf numFmtId="3" fontId="50" fillId="0" borderId="11" xfId="848" applyNumberFormat="1" applyFont="1" applyFill="1" applyBorder="1" applyProtection="1">
      <protection locked="0"/>
    </xf>
    <xf numFmtId="3" fontId="73" fillId="0" borderId="7" xfId="848" applyNumberFormat="1" applyFont="1" applyFill="1" applyBorder="1" applyProtection="1">
      <protection locked="0"/>
    </xf>
    <xf numFmtId="0" fontId="15" fillId="0" borderId="4" xfId="1" applyNumberFormat="1" applyFont="1" applyFill="1" applyBorder="1" applyAlignment="1" applyProtection="1">
      <alignment horizontal="right"/>
      <protection locked="0"/>
    </xf>
    <xf numFmtId="168" fontId="15" fillId="0" borderId="4" xfId="848" applyNumberFormat="1" applyFont="1" applyFill="1" applyBorder="1" applyAlignment="1" applyProtection="1">
      <alignment horizontal="right"/>
      <protection locked="0"/>
    </xf>
    <xf numFmtId="168" fontId="15" fillId="0" borderId="4" xfId="848" applyNumberFormat="1" applyFont="1" applyFill="1" applyBorder="1" applyAlignment="1" applyProtection="1">
      <alignment horizontal="right"/>
    </xf>
    <xf numFmtId="168" fontId="15" fillId="0" borderId="3" xfId="848" applyNumberFormat="1" applyFont="1" applyFill="1" applyBorder="1" applyAlignment="1" applyProtection="1">
      <alignment horizontal="right"/>
      <protection locked="0"/>
    </xf>
    <xf numFmtId="0" fontId="15" fillId="0" borderId="4" xfId="7" applyNumberFormat="1" applyFont="1" applyFill="1" applyBorder="1" applyAlignment="1" applyProtection="1">
      <alignment horizontal="right"/>
    </xf>
    <xf numFmtId="168" fontId="15" fillId="0" borderId="7" xfId="848" applyNumberFormat="1" applyFont="1" applyFill="1" applyBorder="1" applyAlignment="1" applyProtection="1">
      <alignment horizontal="right"/>
      <protection locked="0"/>
    </xf>
    <xf numFmtId="1" fontId="15" fillId="0" borderId="4" xfId="848" applyNumberFormat="1" applyFont="1" applyFill="1" applyBorder="1" applyAlignment="1" applyProtection="1">
      <alignment horizontal="right"/>
    </xf>
    <xf numFmtId="1" fontId="15" fillId="0" borderId="3" xfId="848" applyNumberFormat="1" applyFont="1" applyFill="1" applyBorder="1" applyAlignment="1" applyProtection="1">
      <alignment horizontal="right"/>
      <protection locked="0"/>
    </xf>
    <xf numFmtId="0" fontId="15" fillId="0" borderId="4" xfId="7" applyNumberFormat="1" applyFont="1" applyFill="1" applyBorder="1" applyAlignment="1" applyProtection="1">
      <alignment horizontal="right"/>
      <protection locked="0"/>
    </xf>
    <xf numFmtId="3" fontId="45" fillId="0" borderId="4" xfId="848" applyNumberFormat="1" applyFont="1" applyFill="1" applyBorder="1" applyAlignment="1" applyProtection="1">
      <alignment horizontal="right"/>
      <protection locked="0"/>
    </xf>
    <xf numFmtId="3" fontId="45" fillId="0" borderId="3" xfId="848" applyNumberFormat="1" applyFont="1" applyFill="1" applyBorder="1" applyAlignment="1" applyProtection="1">
      <alignment horizontal="right"/>
      <protection locked="0"/>
    </xf>
    <xf numFmtId="3" fontId="30" fillId="0" borderId="4" xfId="848" applyNumberFormat="1" applyFont="1" applyFill="1" applyBorder="1" applyAlignment="1" applyProtection="1">
      <alignment horizontal="right"/>
      <protection locked="0"/>
    </xf>
    <xf numFmtId="3" fontId="30" fillId="0" borderId="3" xfId="848" applyNumberFormat="1" applyFont="1" applyFill="1" applyBorder="1" applyAlignment="1" applyProtection="1">
      <alignment horizontal="right"/>
      <protection locked="0"/>
    </xf>
    <xf numFmtId="0" fontId="14" fillId="0" borderId="0" xfId="848" applyFont="1" applyFill="1" applyProtection="1">
      <protection locked="0"/>
    </xf>
    <xf numFmtId="0" fontId="45" fillId="0" borderId="0" xfId="848" applyNumberFormat="1" applyFont="1" applyFill="1" applyBorder="1" applyProtection="1">
      <protection locked="0"/>
    </xf>
    <xf numFmtId="0" fontId="45" fillId="0" borderId="0" xfId="848" applyFont="1" applyFill="1" applyProtection="1">
      <protection locked="0"/>
    </xf>
    <xf numFmtId="0" fontId="13" fillId="0" borderId="0" xfId="848" applyFont="1" applyFill="1" applyProtection="1">
      <protection locked="0"/>
    </xf>
    <xf numFmtId="3" fontId="30" fillId="0" borderId="4" xfId="848" applyNumberFormat="1" applyFont="1" applyFill="1" applyBorder="1" applyAlignment="1" applyProtection="1">
      <alignment horizontal="right"/>
    </xf>
    <xf numFmtId="3" fontId="45" fillId="0" borderId="4" xfId="848" applyNumberFormat="1" applyFont="1" applyFill="1" applyBorder="1" applyAlignment="1" applyProtection="1">
      <alignment horizontal="right"/>
    </xf>
    <xf numFmtId="0" fontId="74" fillId="0" borderId="3" xfId="7" applyFont="1" applyFill="1" applyBorder="1" applyProtection="1">
      <protection locked="0"/>
    </xf>
    <xf numFmtId="0" fontId="51" fillId="0" borderId="3" xfId="7" applyFont="1" applyFill="1" applyBorder="1" applyProtection="1">
      <protection locked="0"/>
    </xf>
    <xf numFmtId="0" fontId="46" fillId="0" borderId="0" xfId="848" applyFont="1" applyFill="1" applyBorder="1" applyProtection="1">
      <protection locked="0"/>
    </xf>
    <xf numFmtId="0" fontId="46" fillId="0" borderId="0" xfId="848" applyFont="1" applyFill="1" applyProtection="1">
      <protection locked="0"/>
    </xf>
    <xf numFmtId="0" fontId="21" fillId="0" borderId="0" xfId="848" applyFont="1" applyFill="1" applyProtection="1">
      <protection locked="0"/>
    </xf>
    <xf numFmtId="0" fontId="68" fillId="0" borderId="0" xfId="848" applyFont="1" applyFill="1" applyBorder="1" applyProtection="1">
      <protection locked="0"/>
    </xf>
    <xf numFmtId="0" fontId="68" fillId="0" borderId="0" xfId="848" applyFont="1" applyFill="1" applyProtection="1">
      <protection locked="0"/>
    </xf>
    <xf numFmtId="0" fontId="71" fillId="0" borderId="0" xfId="848" applyFont="1" applyFill="1" applyProtection="1">
      <protection locked="0"/>
    </xf>
    <xf numFmtId="3" fontId="30" fillId="0" borderId="11" xfId="848" applyNumberFormat="1" applyFont="1" applyFill="1" applyBorder="1" applyAlignment="1" applyProtection="1">
      <alignment horizontal="right"/>
    </xf>
    <xf numFmtId="3" fontId="30" fillId="0" borderId="11" xfId="848" applyNumberFormat="1" applyFont="1" applyFill="1" applyBorder="1" applyAlignment="1" applyProtection="1">
      <alignment horizontal="right"/>
      <protection locked="0"/>
    </xf>
    <xf numFmtId="3" fontId="30" fillId="0" borderId="6" xfId="848" applyNumberFormat="1" applyFont="1" applyFill="1" applyBorder="1" applyAlignment="1" applyProtection="1">
      <alignment horizontal="right"/>
      <protection locked="0"/>
    </xf>
    <xf numFmtId="3" fontId="30" fillId="0" borderId="0" xfId="848" applyNumberFormat="1" applyFont="1" applyFill="1" applyBorder="1" applyProtection="1">
      <protection locked="0"/>
    </xf>
    <xf numFmtId="0" fontId="75" fillId="0" borderId="0" xfId="848" applyFont="1" applyFill="1" applyProtection="1">
      <protection locked="0"/>
    </xf>
    <xf numFmtId="0" fontId="60" fillId="0" borderId="0" xfId="848" applyFont="1" applyFill="1" applyProtection="1">
      <protection locked="0"/>
    </xf>
    <xf numFmtId="0" fontId="60" fillId="0" borderId="0" xfId="848" applyFont="1" applyFill="1" applyBorder="1" applyProtection="1">
      <protection locked="0"/>
    </xf>
    <xf numFmtId="0" fontId="60" fillId="0" borderId="0" xfId="1" applyFont="1" applyFill="1" applyProtection="1">
      <protection locked="0"/>
    </xf>
    <xf numFmtId="0" fontId="60" fillId="0" borderId="0" xfId="1" applyFont="1" applyFill="1" applyBorder="1" applyProtection="1">
      <protection locked="0"/>
    </xf>
    <xf numFmtId="0" fontId="75" fillId="0" borderId="0" xfId="848" applyFont="1" applyFill="1" applyBorder="1" applyProtection="1">
      <protection locked="0"/>
    </xf>
    <xf numFmtId="165" fontId="14" fillId="0" borderId="0" xfId="848" applyNumberFormat="1" applyFill="1" applyProtection="1">
      <protection locked="0"/>
    </xf>
    <xf numFmtId="0" fontId="14" fillId="0" borderId="0" xfId="848" applyFill="1" applyBorder="1" applyProtection="1">
      <protection locked="0"/>
    </xf>
    <xf numFmtId="49" fontId="59" fillId="0" borderId="12" xfId="7" applyNumberFormat="1" applyFont="1" applyFill="1" applyBorder="1" applyProtection="1">
      <protection locked="0"/>
    </xf>
    <xf numFmtId="14" fontId="13" fillId="0" borderId="13" xfId="848" applyNumberFormat="1" applyFont="1" applyFill="1" applyBorder="1" applyAlignment="1" applyProtection="1">
      <alignment horizontal="left"/>
      <protection locked="0"/>
    </xf>
    <xf numFmtId="0" fontId="13" fillId="0" borderId="6" xfId="7" applyFont="1" applyFill="1" applyBorder="1" applyAlignment="1" applyProtection="1">
      <alignment horizontal="center"/>
    </xf>
    <xf numFmtId="49" fontId="45" fillId="0" borderId="3" xfId="7" applyNumberFormat="1" applyFont="1" applyFill="1" applyBorder="1" applyProtection="1">
      <protection locked="0"/>
    </xf>
    <xf numFmtId="3" fontId="15" fillId="0" borderId="4" xfId="7" applyNumberFormat="1" applyFont="1" applyFill="1" applyBorder="1" applyAlignment="1" applyProtection="1">
      <alignment horizontal="right"/>
    </xf>
    <xf numFmtId="3" fontId="15" fillId="0" borderId="4" xfId="7" applyNumberFormat="1" applyFont="1" applyFill="1" applyBorder="1" applyAlignment="1" applyProtection="1">
      <alignment horizontal="right"/>
      <protection locked="0"/>
    </xf>
    <xf numFmtId="3" fontId="15" fillId="0" borderId="4" xfId="848" applyNumberFormat="1" applyFont="1" applyFill="1" applyBorder="1" applyAlignment="1" applyProtection="1">
      <alignment horizontal="right"/>
      <protection locked="0"/>
    </xf>
    <xf numFmtId="3" fontId="15" fillId="0" borderId="3" xfId="848" applyNumberFormat="1" applyFont="1" applyFill="1" applyBorder="1" applyAlignment="1" applyProtection="1">
      <alignment horizontal="right"/>
      <protection locked="0"/>
    </xf>
    <xf numFmtId="165" fontId="15" fillId="0" borderId="4" xfId="847" applyNumberFormat="1" applyFont="1" applyFill="1" applyBorder="1" applyAlignment="1" applyProtection="1">
      <alignment horizontal="right"/>
    </xf>
    <xf numFmtId="165" fontId="30" fillId="0" borderId="11" xfId="847" applyNumberFormat="1" applyFont="1" applyFill="1" applyBorder="1" applyAlignment="1" applyProtection="1">
      <alignment horizontal="right"/>
    </xf>
    <xf numFmtId="1" fontId="30" fillId="0" borderId="0" xfId="848" applyNumberFormat="1" applyFont="1" applyFill="1" applyBorder="1" applyProtection="1">
      <protection locked="0"/>
    </xf>
    <xf numFmtId="1" fontId="45" fillId="0" borderId="0" xfId="848" applyNumberFormat="1" applyFont="1" applyFill="1" applyBorder="1" applyProtection="1">
      <protection locked="0"/>
    </xf>
    <xf numFmtId="3" fontId="30" fillId="0" borderId="6" xfId="848" applyNumberFormat="1" applyFont="1" applyFill="1" applyBorder="1" applyAlignment="1" applyProtection="1">
      <alignment horizontal="right"/>
    </xf>
    <xf numFmtId="0" fontId="30" fillId="0" borderId="0" xfId="848" applyNumberFormat="1" applyFont="1" applyFill="1" applyBorder="1" applyProtection="1">
      <protection locked="0"/>
    </xf>
    <xf numFmtId="0" fontId="19" fillId="0" borderId="0" xfId="848" applyFont="1" applyFill="1" applyProtection="1">
      <protection locked="0"/>
    </xf>
    <xf numFmtId="0" fontId="41" fillId="0" borderId="0" xfId="1" applyFont="1" applyFill="1" applyProtection="1">
      <protection locked="0"/>
    </xf>
    <xf numFmtId="0" fontId="19" fillId="0" borderId="0" xfId="1" applyFill="1" applyProtection="1">
      <protection locked="0"/>
    </xf>
    <xf numFmtId="164" fontId="19" fillId="0" borderId="0" xfId="1" applyNumberFormat="1" applyFill="1" applyProtection="1">
      <protection locked="0"/>
    </xf>
    <xf numFmtId="0" fontId="59" fillId="0" borderId="12" xfId="1" applyFont="1" applyFill="1" applyBorder="1" applyProtection="1">
      <protection locked="0"/>
    </xf>
    <xf numFmtId="164" fontId="19" fillId="0" borderId="0" xfId="1" applyNumberFormat="1" applyFill="1" applyBorder="1" applyProtection="1">
      <protection locked="0"/>
    </xf>
    <xf numFmtId="14" fontId="13" fillId="0" borderId="4" xfId="1" applyNumberFormat="1" applyFont="1" applyFill="1" applyBorder="1" applyAlignment="1" applyProtection="1">
      <alignment horizontal="left"/>
      <protection locked="0"/>
    </xf>
    <xf numFmtId="0" fontId="17" fillId="0" borderId="10" xfId="1" applyFont="1" applyFill="1" applyBorder="1" applyProtection="1">
      <protection locked="0"/>
    </xf>
    <xf numFmtId="0" fontId="17" fillId="0" borderId="8" xfId="1" applyFont="1" applyFill="1" applyBorder="1" applyProtection="1">
      <protection locked="0"/>
    </xf>
    <xf numFmtId="0" fontId="17" fillId="0" borderId="9" xfId="1" applyFont="1" applyFill="1" applyBorder="1" applyProtection="1">
      <protection locked="0"/>
    </xf>
    <xf numFmtId="164" fontId="17" fillId="0" borderId="0" xfId="1" applyNumberFormat="1" applyFont="1" applyFill="1" applyBorder="1" applyProtection="1">
      <protection locked="0"/>
    </xf>
    <xf numFmtId="0" fontId="17" fillId="0" borderId="0" xfId="1" applyFont="1" applyFill="1" applyBorder="1" applyProtection="1">
      <protection locked="0"/>
    </xf>
    <xf numFmtId="0" fontId="19" fillId="0" borderId="0" xfId="1" applyFill="1" applyBorder="1" applyProtection="1">
      <protection locked="0"/>
    </xf>
    <xf numFmtId="0" fontId="45" fillId="0" borderId="0" xfId="1" applyNumberFormat="1" applyFont="1" applyFill="1" applyBorder="1" applyAlignment="1" applyProtection="1">
      <alignment horizontal="center"/>
      <protection locked="0"/>
    </xf>
    <xf numFmtId="0" fontId="15" fillId="0" borderId="1" xfId="1" applyNumberFormat="1" applyFont="1" applyFill="1" applyBorder="1" applyAlignment="1" applyProtection="1">
      <alignment horizontal="center"/>
      <protection locked="0"/>
    </xf>
    <xf numFmtId="3" fontId="50" fillId="0" borderId="11" xfId="1" applyNumberFormat="1" applyFont="1" applyFill="1" applyBorder="1" applyProtection="1">
      <protection locked="0"/>
    </xf>
    <xf numFmtId="0" fontId="13" fillId="0" borderId="6" xfId="1" applyFont="1" applyFill="1" applyBorder="1" applyAlignment="1" applyProtection="1">
      <alignment horizontal="center"/>
      <protection locked="0"/>
    </xf>
    <xf numFmtId="168" fontId="13" fillId="0" borderId="0" xfId="1" applyNumberFormat="1" applyFont="1" applyFill="1" applyBorder="1" applyAlignment="1" applyProtection="1">
      <alignment horizontal="center"/>
      <protection locked="0"/>
    </xf>
    <xf numFmtId="0" fontId="13" fillId="0" borderId="0" xfId="1" applyNumberFormat="1" applyFont="1" applyFill="1" applyBorder="1" applyAlignment="1" applyProtection="1">
      <alignment horizontal="center"/>
      <protection locked="0"/>
    </xf>
    <xf numFmtId="3" fontId="30" fillId="0" borderId="4" xfId="1" applyNumberFormat="1" applyFont="1" applyFill="1" applyBorder="1" applyAlignment="1" applyProtection="1">
      <alignment horizontal="right"/>
    </xf>
    <xf numFmtId="3" fontId="30" fillId="0" borderId="7" xfId="1" applyNumberFormat="1" applyFont="1" applyFill="1" applyBorder="1" applyAlignment="1" applyProtection="1">
      <alignment horizontal="right"/>
    </xf>
    <xf numFmtId="3" fontId="30" fillId="0" borderId="7" xfId="1" applyNumberFormat="1" applyFont="1" applyFill="1" applyBorder="1" applyAlignment="1" applyProtection="1">
      <alignment horizontal="right"/>
      <protection locked="0"/>
    </xf>
    <xf numFmtId="0" fontId="19" fillId="0" borderId="0" xfId="1" applyFont="1" applyFill="1" applyBorder="1" applyProtection="1">
      <protection locked="0"/>
    </xf>
    <xf numFmtId="3" fontId="30" fillId="0" borderId="2" xfId="1" applyNumberFormat="1" applyFont="1" applyFill="1" applyBorder="1" applyAlignment="1" applyProtection="1">
      <alignment horizontal="right"/>
    </xf>
    <xf numFmtId="3" fontId="30" fillId="0" borderId="2" xfId="1" applyNumberFormat="1" applyFont="1" applyFill="1" applyBorder="1" applyAlignment="1" applyProtection="1">
      <alignment horizontal="right"/>
      <protection locked="0"/>
    </xf>
    <xf numFmtId="3" fontId="30" fillId="0" borderId="3" xfId="847" applyNumberFormat="1" applyFont="1" applyFill="1" applyBorder="1" applyAlignment="1" applyProtection="1">
      <alignment horizontal="right"/>
    </xf>
    <xf numFmtId="3" fontId="30" fillId="0" borderId="3" xfId="847" applyNumberFormat="1" applyFont="1" applyFill="1" applyBorder="1" applyAlignment="1" applyProtection="1">
      <alignment horizontal="right"/>
      <protection locked="0"/>
    </xf>
    <xf numFmtId="49" fontId="45" fillId="0" borderId="4" xfId="1" applyNumberFormat="1" applyFont="1" applyFill="1" applyBorder="1" applyProtection="1">
      <protection locked="0"/>
    </xf>
    <xf numFmtId="3" fontId="45" fillId="0" borderId="3" xfId="1" applyNumberFormat="1" applyFont="1" applyFill="1" applyBorder="1" applyAlignment="1" applyProtection="1">
      <alignment horizontal="right"/>
      <protection locked="0"/>
    </xf>
    <xf numFmtId="3" fontId="45" fillId="0" borderId="2" xfId="1" applyNumberFormat="1" applyFont="1" applyFill="1" applyBorder="1" applyAlignment="1" applyProtection="1">
      <alignment horizontal="right"/>
      <protection locked="0"/>
    </xf>
    <xf numFmtId="3" fontId="45" fillId="0" borderId="3" xfId="1" applyNumberFormat="1" applyFont="1" applyFill="1" applyBorder="1" applyAlignment="1" applyProtection="1">
      <alignment horizontal="right"/>
    </xf>
    <xf numFmtId="0" fontId="45" fillId="0" borderId="0" xfId="7" applyNumberFormat="1" applyFont="1" applyFill="1" applyProtection="1">
      <protection locked="0"/>
    </xf>
    <xf numFmtId="0" fontId="49" fillId="0" borderId="0" xfId="1" applyFont="1" applyFill="1" applyBorder="1" applyProtection="1">
      <protection locked="0"/>
    </xf>
    <xf numFmtId="0" fontId="49" fillId="0" borderId="0" xfId="1" applyFont="1" applyFill="1" applyProtection="1">
      <protection locked="0"/>
    </xf>
    <xf numFmtId="0" fontId="30" fillId="0" borderId="11" xfId="1" applyFont="1" applyFill="1" applyBorder="1" applyProtection="1">
      <protection locked="0"/>
    </xf>
    <xf numFmtId="3" fontId="30" fillId="0" borderId="6" xfId="1" applyNumberFormat="1" applyFont="1" applyFill="1" applyBorder="1" applyAlignment="1" applyProtection="1">
      <alignment horizontal="right"/>
      <protection locked="0"/>
    </xf>
    <xf numFmtId="3" fontId="30" fillId="0" borderId="6" xfId="1" applyNumberFormat="1" applyFont="1" applyFill="1" applyBorder="1" applyAlignment="1" applyProtection="1">
      <alignment horizontal="right"/>
    </xf>
    <xf numFmtId="3" fontId="30" fillId="0" borderId="0" xfId="1" applyNumberFormat="1" applyFont="1" applyFill="1" applyBorder="1" applyAlignment="1" applyProtection="1">
      <alignment horizontal="right"/>
      <protection locked="0"/>
    </xf>
    <xf numFmtId="0" fontId="14" fillId="0" borderId="0" xfId="845" applyFill="1" applyProtection="1">
      <protection locked="0"/>
    </xf>
    <xf numFmtId="0" fontId="41" fillId="0" borderId="0" xfId="845" applyFont="1" applyFill="1" applyProtection="1">
      <protection locked="0"/>
    </xf>
    <xf numFmtId="0" fontId="45" fillId="0" borderId="0" xfId="1" applyFont="1" applyFill="1" applyBorder="1" applyProtection="1">
      <protection locked="0"/>
    </xf>
    <xf numFmtId="0" fontId="14" fillId="0" borderId="0" xfId="845" applyFill="1" applyBorder="1" applyProtection="1">
      <protection locked="0"/>
    </xf>
    <xf numFmtId="14" fontId="13" fillId="0" borderId="13" xfId="845" applyNumberFormat="1" applyFont="1" applyFill="1" applyBorder="1" applyAlignment="1" applyProtection="1">
      <alignment horizontal="left"/>
      <protection locked="0"/>
    </xf>
    <xf numFmtId="0" fontId="17" fillId="0" borderId="10" xfId="845" applyFont="1" applyFill="1" applyBorder="1" applyProtection="1">
      <protection locked="0"/>
    </xf>
    <xf numFmtId="0" fontId="17" fillId="0" borderId="8" xfId="845" applyFont="1" applyFill="1" applyBorder="1" applyProtection="1">
      <protection locked="0"/>
    </xf>
    <xf numFmtId="0" fontId="17" fillId="0" borderId="9" xfId="845" applyFont="1" applyFill="1" applyBorder="1" applyProtection="1">
      <protection locked="0"/>
    </xf>
    <xf numFmtId="3" fontId="45" fillId="0" borderId="1" xfId="845" applyNumberFormat="1" applyFont="1" applyFill="1" applyBorder="1" applyProtection="1">
      <protection locked="0"/>
    </xf>
    <xf numFmtId="0" fontId="45" fillId="0" borderId="14" xfId="845" applyNumberFormat="1" applyFont="1" applyFill="1" applyBorder="1" applyAlignment="1" applyProtection="1">
      <alignment horizontal="center"/>
      <protection locked="0"/>
    </xf>
    <xf numFmtId="0" fontId="45" fillId="0" borderId="15" xfId="845" applyNumberFormat="1" applyFont="1" applyFill="1" applyBorder="1" applyAlignment="1" applyProtection="1">
      <alignment horizontal="center"/>
      <protection locked="0"/>
    </xf>
    <xf numFmtId="3" fontId="45" fillId="0" borderId="4" xfId="845" applyNumberFormat="1" applyFont="1" applyFill="1" applyBorder="1" applyProtection="1">
      <protection locked="0"/>
    </xf>
    <xf numFmtId="0" fontId="45" fillId="0" borderId="12" xfId="845" applyNumberFormat="1" applyFont="1" applyFill="1" applyBorder="1" applyAlignment="1" applyProtection="1">
      <alignment horizontal="center"/>
      <protection locked="0"/>
    </xf>
    <xf numFmtId="0" fontId="45" fillId="0" borderId="5" xfId="845" applyNumberFormat="1" applyFont="1" applyFill="1" applyBorder="1" applyAlignment="1" applyProtection="1">
      <alignment horizontal="center"/>
      <protection locked="0"/>
    </xf>
    <xf numFmtId="3" fontId="50" fillId="0" borderId="11" xfId="845" applyNumberFormat="1" applyFont="1" applyFill="1" applyBorder="1" applyProtection="1">
      <protection locked="0"/>
    </xf>
    <xf numFmtId="0" fontId="45" fillId="0" borderId="4" xfId="845" applyFont="1" applyFill="1" applyBorder="1" applyProtection="1">
      <protection locked="0"/>
    </xf>
    <xf numFmtId="3" fontId="30" fillId="0" borderId="3" xfId="845" applyNumberFormat="1" applyFont="1" applyFill="1" applyBorder="1" applyAlignment="1" applyProtection="1">
      <alignment horizontal="right"/>
    </xf>
    <xf numFmtId="3" fontId="30" fillId="0" borderId="4" xfId="845" applyNumberFormat="1" applyFont="1" applyFill="1" applyBorder="1" applyAlignment="1" applyProtection="1">
      <alignment horizontal="right"/>
    </xf>
    <xf numFmtId="3" fontId="30" fillId="0" borderId="4" xfId="845" applyNumberFormat="1" applyFont="1" applyFill="1" applyBorder="1" applyAlignment="1" applyProtection="1">
      <alignment horizontal="right"/>
      <protection locked="0"/>
    </xf>
    <xf numFmtId="0" fontId="30" fillId="0" borderId="3" xfId="845" applyFont="1" applyFill="1" applyBorder="1" applyAlignment="1" applyProtection="1">
      <alignment horizontal="right"/>
      <protection locked="0"/>
    </xf>
    <xf numFmtId="0" fontId="30" fillId="0" borderId="3" xfId="845" applyFont="1" applyFill="1" applyBorder="1" applyAlignment="1" applyProtection="1">
      <alignment horizontal="right"/>
    </xf>
    <xf numFmtId="164" fontId="30" fillId="0" borderId="4" xfId="845" applyNumberFormat="1" applyFont="1" applyFill="1" applyBorder="1" applyAlignment="1" applyProtection="1">
      <alignment horizontal="right"/>
    </xf>
    <xf numFmtId="164" fontId="30" fillId="0" borderId="4" xfId="845" applyNumberFormat="1" applyFont="1" applyFill="1" applyBorder="1" applyAlignment="1" applyProtection="1">
      <alignment horizontal="right"/>
      <protection locked="0"/>
    </xf>
    <xf numFmtId="0" fontId="14" fillId="0" borderId="0" xfId="845" applyFont="1" applyFill="1" applyBorder="1" applyProtection="1">
      <protection locked="0"/>
    </xf>
    <xf numFmtId="0" fontId="14" fillId="0" borderId="0" xfId="845" applyFont="1" applyFill="1" applyProtection="1">
      <protection locked="0"/>
    </xf>
    <xf numFmtId="3" fontId="45" fillId="0" borderId="3" xfId="845" applyNumberFormat="1" applyFont="1" applyFill="1" applyBorder="1" applyAlignment="1" applyProtection="1">
      <alignment horizontal="right"/>
    </xf>
    <xf numFmtId="3" fontId="45" fillId="0" borderId="3" xfId="845" applyNumberFormat="1" applyFont="1" applyFill="1" applyBorder="1" applyAlignment="1" applyProtection="1">
      <alignment horizontal="right"/>
      <protection locked="0"/>
    </xf>
    <xf numFmtId="3" fontId="45" fillId="0" borderId="4" xfId="845" applyNumberFormat="1" applyFont="1" applyFill="1" applyBorder="1" applyAlignment="1" applyProtection="1">
      <alignment horizontal="right"/>
    </xf>
    <xf numFmtId="3" fontId="45" fillId="0" borderId="4" xfId="845" applyNumberFormat="1" applyFont="1" applyFill="1" applyBorder="1" applyAlignment="1" applyProtection="1">
      <alignment horizontal="right"/>
      <protection locked="0"/>
    </xf>
    <xf numFmtId="0" fontId="45" fillId="0" borderId="3" xfId="845" applyFont="1" applyFill="1" applyBorder="1" applyAlignment="1" applyProtection="1">
      <alignment horizontal="right"/>
      <protection locked="0"/>
    </xf>
    <xf numFmtId="0" fontId="45" fillId="0" borderId="3" xfId="845" applyFont="1" applyFill="1" applyBorder="1" applyAlignment="1" applyProtection="1">
      <alignment horizontal="right"/>
    </xf>
    <xf numFmtId="164" fontId="45" fillId="0" borderId="4" xfId="845" applyNumberFormat="1" applyFont="1" applyFill="1" applyBorder="1" applyAlignment="1" applyProtection="1">
      <alignment horizontal="right"/>
    </xf>
    <xf numFmtId="164" fontId="45" fillId="0" borderId="4" xfId="845" applyNumberFormat="1" applyFont="1" applyFill="1" applyBorder="1" applyAlignment="1" applyProtection="1">
      <alignment horizontal="right"/>
      <protection locked="0"/>
    </xf>
    <xf numFmtId="0" fontId="45" fillId="0" borderId="0" xfId="845" applyFont="1" applyFill="1" applyBorder="1" applyProtection="1">
      <protection locked="0"/>
    </xf>
    <xf numFmtId="0" fontId="45" fillId="0" borderId="0" xfId="845" applyFont="1" applyFill="1" applyProtection="1">
      <protection locked="0"/>
    </xf>
    <xf numFmtId="1" fontId="45" fillId="0" borderId="3" xfId="845" applyNumberFormat="1" applyFont="1" applyFill="1" applyBorder="1" applyAlignment="1" applyProtection="1">
      <alignment horizontal="right"/>
      <protection locked="0"/>
    </xf>
    <xf numFmtId="3" fontId="45" fillId="2" borderId="3" xfId="845" applyNumberFormat="1" applyFont="1" applyFill="1" applyBorder="1" applyAlignment="1" applyProtection="1">
      <alignment horizontal="right"/>
      <protection locked="0"/>
    </xf>
    <xf numFmtId="1" fontId="30" fillId="0" borderId="3" xfId="845" applyNumberFormat="1" applyFont="1" applyFill="1" applyBorder="1" applyAlignment="1" applyProtection="1">
      <alignment horizontal="right"/>
      <protection locked="0"/>
    </xf>
    <xf numFmtId="3" fontId="30" fillId="2" borderId="3" xfId="845" applyNumberFormat="1" applyFont="1" applyFill="1" applyBorder="1" applyAlignment="1" applyProtection="1">
      <alignment horizontal="right"/>
      <protection locked="0"/>
    </xf>
    <xf numFmtId="0" fontId="30" fillId="0" borderId="0" xfId="845" applyFont="1" applyFill="1" applyBorder="1" applyProtection="1">
      <protection locked="0"/>
    </xf>
    <xf numFmtId="0" fontId="30" fillId="0" borderId="0" xfId="845" applyFont="1" applyFill="1" applyProtection="1">
      <protection locked="0"/>
    </xf>
    <xf numFmtId="3" fontId="45" fillId="0" borderId="2" xfId="845" applyNumberFormat="1" applyFont="1" applyFill="1" applyBorder="1" applyAlignment="1" applyProtection="1">
      <alignment horizontal="right"/>
      <protection locked="0"/>
    </xf>
    <xf numFmtId="3" fontId="30" fillId="0" borderId="2" xfId="845" applyNumberFormat="1" applyFont="1" applyFill="1" applyBorder="1" applyAlignment="1" applyProtection="1">
      <alignment horizontal="right"/>
      <protection locked="0"/>
    </xf>
    <xf numFmtId="49" fontId="45" fillId="0" borderId="3" xfId="1" applyNumberFormat="1" applyFont="1" applyFill="1" applyBorder="1" applyProtection="1">
      <protection locked="0"/>
    </xf>
    <xf numFmtId="3" fontId="30" fillId="2" borderId="3" xfId="845" applyNumberFormat="1" applyFont="1" applyFill="1" applyBorder="1" applyAlignment="1" applyProtection="1">
      <alignment horizontal="right"/>
    </xf>
    <xf numFmtId="3" fontId="30" fillId="0" borderId="6" xfId="845" applyNumberFormat="1" applyFont="1" applyFill="1" applyBorder="1" applyAlignment="1" applyProtection="1">
      <alignment horizontal="right"/>
    </xf>
    <xf numFmtId="3" fontId="30" fillId="0" borderId="6" xfId="845" applyNumberFormat="1" applyFont="1" applyFill="1" applyBorder="1" applyAlignment="1" applyProtection="1">
      <alignment horizontal="right"/>
      <protection locked="0"/>
    </xf>
    <xf numFmtId="3" fontId="30" fillId="0" borderId="5" xfId="845" applyNumberFormat="1" applyFont="1" applyFill="1" applyBorder="1" applyAlignment="1" applyProtection="1">
      <alignment horizontal="right"/>
      <protection locked="0"/>
    </xf>
    <xf numFmtId="0" fontId="60" fillId="0" borderId="0" xfId="845" applyFont="1" applyFill="1" applyProtection="1">
      <protection locked="0"/>
    </xf>
    <xf numFmtId="0" fontId="60" fillId="0" borderId="0" xfId="845" applyFont="1" applyFill="1" applyProtection="1"/>
    <xf numFmtId="0" fontId="36" fillId="0" borderId="0" xfId="1" applyFont="1" applyFill="1" applyProtection="1">
      <protection locked="0"/>
    </xf>
    <xf numFmtId="0" fontId="60" fillId="0" borderId="0" xfId="845" applyFont="1" applyFill="1" applyBorder="1" applyProtection="1">
      <protection locked="0"/>
    </xf>
    <xf numFmtId="0" fontId="36" fillId="0" borderId="0" xfId="1" applyFont="1" applyFill="1" applyBorder="1" applyProtection="1">
      <protection locked="0"/>
    </xf>
    <xf numFmtId="164" fontId="19" fillId="0" borderId="0" xfId="1" applyNumberFormat="1" applyProtection="1">
      <protection locked="0"/>
    </xf>
    <xf numFmtId="3" fontId="57" fillId="4" borderId="0" xfId="1" applyNumberFormat="1" applyFont="1" applyFill="1" applyProtection="1">
      <protection locked="0"/>
    </xf>
    <xf numFmtId="164" fontId="19" fillId="0" borderId="0" xfId="1" applyNumberFormat="1" applyBorder="1" applyProtection="1">
      <protection locked="0"/>
    </xf>
    <xf numFmtId="0" fontId="68" fillId="0" borderId="8" xfId="1" applyFont="1" applyBorder="1" applyAlignment="1" applyProtection="1">
      <alignment horizontal="center"/>
      <protection locked="0"/>
    </xf>
    <xf numFmtId="164" fontId="17" fillId="4" borderId="0" xfId="1" applyNumberFormat="1" applyFont="1" applyFill="1" applyBorder="1" applyProtection="1">
      <protection locked="0"/>
    </xf>
    <xf numFmtId="0" fontId="17" fillId="4" borderId="0" xfId="1" applyFont="1" applyFill="1" applyBorder="1" applyProtection="1">
      <protection locked="0"/>
    </xf>
    <xf numFmtId="0" fontId="45" fillId="4" borderId="0" xfId="1" applyNumberFormat="1" applyFont="1" applyFill="1" applyBorder="1" applyAlignment="1" applyProtection="1">
      <alignment horizontal="center"/>
      <protection locked="0"/>
    </xf>
    <xf numFmtId="3" fontId="50" fillId="4" borderId="11" xfId="1" applyNumberFormat="1" applyFont="1" applyFill="1" applyBorder="1" applyProtection="1">
      <protection locked="0"/>
    </xf>
    <xf numFmtId="168" fontId="13" fillId="4" borderId="0" xfId="1" applyNumberFormat="1" applyFont="1" applyFill="1" applyBorder="1" applyAlignment="1" applyProtection="1">
      <alignment horizontal="center"/>
      <protection locked="0"/>
    </xf>
    <xf numFmtId="0" fontId="13" fillId="4" borderId="0" xfId="1" applyNumberFormat="1" applyFont="1" applyFill="1" applyBorder="1" applyAlignment="1" applyProtection="1">
      <alignment horizontal="center"/>
      <protection locked="0"/>
    </xf>
    <xf numFmtId="0" fontId="45" fillId="0" borderId="3" xfId="1" applyFont="1" applyBorder="1" applyProtection="1">
      <protection locked="0"/>
    </xf>
    <xf numFmtId="4" fontId="30" fillId="4" borderId="3" xfId="1" applyNumberFormat="1" applyFont="1" applyFill="1" applyBorder="1" applyAlignment="1" applyProtection="1">
      <alignment horizontal="right"/>
    </xf>
    <xf numFmtId="4" fontId="30" fillId="4" borderId="3" xfId="1" applyNumberFormat="1" applyFont="1" applyFill="1" applyBorder="1" applyAlignment="1" applyProtection="1">
      <alignment horizontal="right"/>
      <protection locked="0"/>
    </xf>
    <xf numFmtId="4" fontId="30" fillId="4" borderId="2" xfId="1" applyNumberFormat="1" applyFont="1" applyFill="1" applyBorder="1" applyAlignment="1" applyProtection="1">
      <alignment horizontal="right"/>
    </xf>
    <xf numFmtId="4" fontId="30" fillId="4" borderId="4" xfId="1" applyNumberFormat="1" applyFont="1" applyFill="1" applyBorder="1" applyAlignment="1" applyProtection="1">
      <alignment horizontal="right"/>
    </xf>
    <xf numFmtId="4" fontId="30" fillId="4" borderId="4" xfId="1" applyNumberFormat="1" applyFont="1" applyFill="1" applyBorder="1" applyAlignment="1" applyProtection="1">
      <alignment horizontal="right"/>
      <protection locked="0"/>
    </xf>
    <xf numFmtId="4" fontId="30" fillId="4" borderId="7" xfId="1" applyNumberFormat="1" applyFont="1" applyFill="1" applyBorder="1" applyAlignment="1" applyProtection="1">
      <alignment horizontal="right"/>
    </xf>
    <xf numFmtId="4" fontId="30" fillId="4" borderId="7" xfId="1" applyNumberFormat="1" applyFont="1" applyFill="1" applyBorder="1" applyAlignment="1" applyProtection="1">
      <alignment horizontal="right"/>
      <protection locked="0"/>
    </xf>
    <xf numFmtId="0" fontId="36" fillId="0" borderId="0" xfId="1" applyFont="1" applyBorder="1" applyProtection="1">
      <protection locked="0"/>
    </xf>
    <xf numFmtId="0" fontId="36" fillId="0" borderId="0" xfId="1" applyFont="1" applyProtection="1">
      <protection locked="0"/>
    </xf>
    <xf numFmtId="4" fontId="30" fillId="0" borderId="3" xfId="1" applyNumberFormat="1" applyFont="1" applyFill="1" applyBorder="1" applyAlignment="1" applyProtection="1">
      <alignment horizontal="right"/>
    </xf>
    <xf numFmtId="4" fontId="30" fillId="0" borderId="3" xfId="1" applyNumberFormat="1" applyFont="1" applyFill="1" applyBorder="1" applyAlignment="1" applyProtection="1">
      <alignment horizontal="right"/>
      <protection locked="0"/>
    </xf>
    <xf numFmtId="0" fontId="53" fillId="0" borderId="0" xfId="1" applyFont="1" applyBorder="1" applyProtection="1">
      <protection locked="0"/>
    </xf>
    <xf numFmtId="0" fontId="53" fillId="0" borderId="0" xfId="1" applyFont="1" applyProtection="1">
      <protection locked="0"/>
    </xf>
    <xf numFmtId="3" fontId="30" fillId="4" borderId="2" xfId="1" applyNumberFormat="1" applyFont="1" applyFill="1" applyBorder="1" applyAlignment="1" applyProtection="1">
      <alignment horizontal="right"/>
    </xf>
    <xf numFmtId="3" fontId="30" fillId="4" borderId="6" xfId="1" applyNumberFormat="1" applyFont="1" applyFill="1" applyBorder="1" applyAlignment="1" applyProtection="1">
      <alignment horizontal="right"/>
    </xf>
    <xf numFmtId="3" fontId="30" fillId="4" borderId="6" xfId="1" applyNumberFormat="1" applyFont="1" applyFill="1" applyBorder="1" applyAlignment="1" applyProtection="1">
      <alignment horizontal="right"/>
      <protection locked="0"/>
    </xf>
    <xf numFmtId="3" fontId="30" fillId="4" borderId="5" xfId="1" applyNumberFormat="1" applyFont="1" applyFill="1" applyBorder="1" applyAlignment="1" applyProtection="1">
      <alignment horizontal="right"/>
    </xf>
    <xf numFmtId="3" fontId="30" fillId="4" borderId="11" xfId="1" applyNumberFormat="1" applyFont="1" applyFill="1" applyBorder="1" applyAlignment="1" applyProtection="1">
      <alignment horizontal="right"/>
    </xf>
    <xf numFmtId="3" fontId="30" fillId="4" borderId="11" xfId="1" applyNumberFormat="1" applyFont="1" applyFill="1" applyBorder="1" applyAlignment="1" applyProtection="1">
      <alignment horizontal="right"/>
      <protection locked="0"/>
    </xf>
    <xf numFmtId="4" fontId="30" fillId="0" borderId="2" xfId="1" applyNumberFormat="1" applyFont="1" applyFill="1" applyBorder="1" applyAlignment="1" applyProtection="1">
      <alignment horizontal="right"/>
      <protection locked="0"/>
    </xf>
    <xf numFmtId="4" fontId="30" fillId="0" borderId="4" xfId="1" applyNumberFormat="1" applyFont="1" applyFill="1" applyBorder="1" applyAlignment="1" applyProtection="1">
      <alignment horizontal="right"/>
      <protection locked="0"/>
    </xf>
    <xf numFmtId="4" fontId="45" fillId="0" borderId="3" xfId="1" applyNumberFormat="1" applyFont="1" applyFill="1" applyBorder="1" applyAlignment="1" applyProtection="1">
      <alignment horizontal="right"/>
      <protection locked="0"/>
    </xf>
    <xf numFmtId="4" fontId="45" fillId="0" borderId="2" xfId="1" applyNumberFormat="1" applyFont="1" applyFill="1" applyBorder="1" applyAlignment="1" applyProtection="1">
      <alignment horizontal="right"/>
      <protection locked="0"/>
    </xf>
    <xf numFmtId="0" fontId="45" fillId="0" borderId="4" xfId="1" applyFont="1" applyFill="1" applyBorder="1" applyAlignment="1" applyProtection="1">
      <alignment horizontal="center"/>
      <protection locked="0"/>
    </xf>
    <xf numFmtId="0" fontId="30" fillId="0" borderId="4" xfId="1" applyFont="1" applyFill="1" applyBorder="1" applyAlignment="1" applyProtection="1">
      <alignment horizontal="center"/>
      <protection locked="0"/>
    </xf>
    <xf numFmtId="4" fontId="30" fillId="0" borderId="2" xfId="1" applyNumberFormat="1" applyFont="1" applyFill="1" applyBorder="1" applyAlignment="1" applyProtection="1">
      <alignment horizontal="right"/>
    </xf>
    <xf numFmtId="0" fontId="30" fillId="0" borderId="4" xfId="1" applyFont="1" applyFill="1" applyBorder="1" applyAlignment="1" applyProtection="1">
      <alignment horizontal="left"/>
      <protection locked="0"/>
    </xf>
    <xf numFmtId="4" fontId="30" fillId="0" borderId="0" xfId="1" applyNumberFormat="1" applyFont="1" applyFill="1" applyBorder="1" applyAlignment="1" applyProtection="1">
      <alignment horizontal="right"/>
      <protection locked="0"/>
    </xf>
    <xf numFmtId="4" fontId="30" fillId="0" borderId="0" xfId="1" applyNumberFormat="1" applyFont="1" applyFill="1" applyBorder="1" applyAlignment="1" applyProtection="1">
      <alignment horizontal="right"/>
    </xf>
    <xf numFmtId="4" fontId="45" fillId="0" borderId="4" xfId="1" applyNumberFormat="1" applyFont="1" applyFill="1" applyBorder="1" applyAlignment="1" applyProtection="1">
      <alignment horizontal="right"/>
      <protection locked="0"/>
    </xf>
    <xf numFmtId="4" fontId="45" fillId="0" borderId="0" xfId="1" applyNumberFormat="1" applyFont="1" applyFill="1" applyBorder="1" applyAlignment="1" applyProtection="1">
      <alignment horizontal="right"/>
      <protection locked="0"/>
    </xf>
    <xf numFmtId="4" fontId="30" fillId="0" borderId="4" xfId="1" applyNumberFormat="1" applyFont="1" applyFill="1" applyBorder="1" applyAlignment="1" applyProtection="1">
      <alignment horizontal="right"/>
    </xf>
    <xf numFmtId="4" fontId="30" fillId="0" borderId="6" xfId="1" applyNumberFormat="1" applyFont="1" applyFill="1" applyBorder="1" applyAlignment="1" applyProtection="1">
      <alignment horizontal="right"/>
      <protection locked="0"/>
    </xf>
    <xf numFmtId="4" fontId="30" fillId="0" borderId="6" xfId="1" applyNumberFormat="1" applyFont="1" applyFill="1" applyBorder="1" applyAlignment="1" applyProtection="1">
      <alignment horizontal="right"/>
    </xf>
    <xf numFmtId="4" fontId="30" fillId="0" borderId="5" xfId="1" applyNumberFormat="1" applyFont="1" applyFill="1" applyBorder="1" applyAlignment="1" applyProtection="1">
      <alignment horizontal="right"/>
    </xf>
    <xf numFmtId="4" fontId="30" fillId="0" borderId="11" xfId="1" applyNumberFormat="1" applyFont="1" applyFill="1" applyBorder="1" applyAlignment="1" applyProtection="1">
      <alignment horizontal="right"/>
    </xf>
    <xf numFmtId="0" fontId="53" fillId="0" borderId="0" xfId="1" applyFont="1" applyFill="1" applyProtection="1">
      <protection locked="0"/>
    </xf>
    <xf numFmtId="3" fontId="0" fillId="0" borderId="0" xfId="0" applyNumberFormat="1" applyFill="1"/>
    <xf numFmtId="3" fontId="17" fillId="0" borderId="8" xfId="1" applyNumberFormat="1" applyFont="1" applyFill="1" applyBorder="1"/>
    <xf numFmtId="3" fontId="15" fillId="0" borderId="6" xfId="1" applyNumberFormat="1" applyFont="1" applyFill="1" applyBorder="1"/>
    <xf numFmtId="3" fontId="15" fillId="0" borderId="11" xfId="1" applyNumberFormat="1" applyFont="1" applyFill="1" applyBorder="1"/>
    <xf numFmtId="3" fontId="55" fillId="0" borderId="0" xfId="1" applyNumberFormat="1" applyFont="1" applyFill="1" applyBorder="1" applyAlignment="1">
      <alignment horizontal="right"/>
    </xf>
    <xf numFmtId="3" fontId="76" fillId="7" borderId="3" xfId="844" applyNumberFormat="1" applyFont="1" applyBorder="1" applyAlignment="1">
      <alignment horizontal="right"/>
    </xf>
    <xf numFmtId="3" fontId="17" fillId="0" borderId="0" xfId="1" quotePrefix="1" applyNumberFormat="1" applyFont="1" applyFill="1" applyBorder="1" applyAlignment="1">
      <alignment horizontal="right"/>
    </xf>
    <xf numFmtId="14" fontId="30" fillId="0" borderId="0" xfId="1" applyNumberFormat="1" applyFont="1" applyAlignment="1">
      <alignment horizontal="center"/>
    </xf>
    <xf numFmtId="0" fontId="15" fillId="8" borderId="0" xfId="0" applyFont="1" applyFill="1" applyBorder="1" applyAlignment="1">
      <alignment horizontal="center"/>
    </xf>
    <xf numFmtId="0" fontId="15" fillId="8" borderId="2" xfId="0" applyFont="1" applyFill="1" applyBorder="1" applyAlignment="1">
      <alignment horizontal="center"/>
    </xf>
    <xf numFmtId="0" fontId="45" fillId="0" borderId="12" xfId="0" applyFont="1" applyBorder="1" applyAlignment="1">
      <alignment horizontal="left"/>
    </xf>
    <xf numFmtId="0" fontId="45" fillId="0" borderId="10" xfId="0" applyFont="1" applyBorder="1" applyAlignment="1">
      <alignment horizontal="center"/>
    </xf>
    <xf numFmtId="0" fontId="45" fillId="0" borderId="8" xfId="0" applyFont="1" applyBorder="1" applyAlignment="1">
      <alignment horizontal="center"/>
    </xf>
    <xf numFmtId="0" fontId="45" fillId="0" borderId="9" xfId="0" applyFont="1" applyBorder="1" applyAlignment="1">
      <alignment horizontal="center"/>
    </xf>
    <xf numFmtId="0" fontId="15" fillId="8" borderId="4" xfId="0" applyFont="1" applyFill="1" applyBorder="1" applyAlignment="1">
      <alignment horizontal="center"/>
    </xf>
    <xf numFmtId="0" fontId="45" fillId="0" borderId="14" xfId="0" applyFont="1" applyBorder="1" applyAlignment="1">
      <alignment horizontal="center"/>
    </xf>
    <xf numFmtId="0" fontId="45" fillId="0" borderId="15" xfId="0" applyFont="1" applyBorder="1" applyAlignment="1">
      <alignment horizontal="center"/>
    </xf>
    <xf numFmtId="0" fontId="45" fillId="0" borderId="1" xfId="0" applyFont="1" applyBorder="1" applyAlignment="1">
      <alignment horizontal="center"/>
    </xf>
    <xf numFmtId="14" fontId="13" fillId="0" borderId="11" xfId="0" applyNumberFormat="1" applyFont="1" applyFill="1" applyBorder="1" applyAlignment="1">
      <alignment horizontal="center"/>
    </xf>
    <xf numFmtId="14" fontId="13" fillId="0" borderId="12" xfId="0" applyNumberFormat="1" applyFont="1" applyFill="1" applyBorder="1" applyAlignment="1">
      <alignment horizontal="center"/>
    </xf>
    <xf numFmtId="14" fontId="13" fillId="0" borderId="5" xfId="0" applyNumberFormat="1" applyFont="1" applyFill="1" applyBorder="1" applyAlignment="1">
      <alignment horizontal="center"/>
    </xf>
    <xf numFmtId="3" fontId="45" fillId="0" borderId="11" xfId="0" applyNumberFormat="1" applyFont="1" applyBorder="1" applyAlignment="1">
      <alignment horizontal="center"/>
    </xf>
    <xf numFmtId="3" fontId="45" fillId="0" borderId="12" xfId="0" applyNumberFormat="1" applyFont="1" applyBorder="1" applyAlignment="1">
      <alignment horizontal="center"/>
    </xf>
    <xf numFmtId="3" fontId="45" fillId="0" borderId="5" xfId="0" applyNumberFormat="1" applyFont="1" applyBorder="1" applyAlignment="1">
      <alignment horizontal="center"/>
    </xf>
    <xf numFmtId="0" fontId="13" fillId="0" borderId="0" xfId="1" applyFont="1" applyBorder="1" applyAlignment="1">
      <alignment horizontal="center"/>
    </xf>
    <xf numFmtId="0" fontId="15" fillId="0" borderId="10" xfId="1" applyFont="1" applyBorder="1" applyAlignment="1">
      <alignment horizontal="center"/>
    </xf>
    <xf numFmtId="0" fontId="15" fillId="0" borderId="8" xfId="1" applyFont="1" applyBorder="1" applyAlignment="1">
      <alignment horizontal="center"/>
    </xf>
    <xf numFmtId="0" fontId="15" fillId="0" borderId="9" xfId="1" applyFont="1" applyBorder="1" applyAlignment="1">
      <alignment horizontal="center"/>
    </xf>
    <xf numFmtId="0" fontId="13" fillId="0" borderId="0" xfId="1" applyFont="1" applyFill="1" applyBorder="1" applyAlignment="1">
      <alignment horizontal="center"/>
    </xf>
    <xf numFmtId="3" fontId="15" fillId="0" borderId="10" xfId="1" applyNumberFormat="1" applyFont="1" applyBorder="1" applyAlignment="1">
      <alignment horizontal="center"/>
    </xf>
    <xf numFmtId="3" fontId="15" fillId="0" borderId="8" xfId="1" applyNumberFormat="1" applyFont="1" applyBorder="1" applyAlignment="1">
      <alignment horizontal="center"/>
    </xf>
    <xf numFmtId="3" fontId="15" fillId="0" borderId="9" xfId="1" applyNumberFormat="1" applyFont="1" applyBorder="1" applyAlignment="1">
      <alignment horizontal="center"/>
    </xf>
    <xf numFmtId="3" fontId="13" fillId="0" borderId="12" xfId="1" applyNumberFormat="1" applyFont="1" applyBorder="1" applyAlignment="1">
      <alignment horizontal="center"/>
    </xf>
    <xf numFmtId="3" fontId="13" fillId="0" borderId="14" xfId="1" applyNumberFormat="1" applyFont="1" applyFill="1" applyBorder="1" applyAlignment="1">
      <alignment horizontal="center"/>
    </xf>
    <xf numFmtId="3" fontId="13" fillId="0" borderId="0" xfId="1" applyNumberFormat="1" applyFont="1" applyBorder="1" applyAlignment="1">
      <alignment horizontal="center"/>
    </xf>
    <xf numFmtId="3" fontId="13" fillId="0" borderId="0" xfId="1" applyNumberFormat="1" applyFont="1" applyFill="1" applyBorder="1" applyAlignment="1">
      <alignment horizontal="center"/>
    </xf>
    <xf numFmtId="0" fontId="45" fillId="0" borderId="11" xfId="1" applyNumberFormat="1" applyFont="1" applyFill="1" applyBorder="1" applyAlignment="1" applyProtection="1">
      <alignment horizontal="center"/>
      <protection locked="0"/>
    </xf>
    <xf numFmtId="0" fontId="45" fillId="0" borderId="12" xfId="1" applyNumberFormat="1" applyFont="1" applyFill="1" applyBorder="1" applyAlignment="1" applyProtection="1">
      <alignment horizontal="center"/>
      <protection locked="0"/>
    </xf>
    <xf numFmtId="0" fontId="45" fillId="0" borderId="5" xfId="1" applyNumberFormat="1" applyFont="1" applyFill="1" applyBorder="1" applyAlignment="1" applyProtection="1">
      <alignment horizontal="center"/>
      <protection locked="0"/>
    </xf>
    <xf numFmtId="0" fontId="45" fillId="0" borderId="11" xfId="1" applyFont="1" applyBorder="1" applyAlignment="1" applyProtection="1">
      <alignment horizontal="center"/>
      <protection locked="0"/>
    </xf>
    <xf numFmtId="0" fontId="45" fillId="0" borderId="12" xfId="1" applyFont="1" applyBorder="1" applyAlignment="1" applyProtection="1">
      <alignment horizontal="center"/>
      <protection locked="0"/>
    </xf>
    <xf numFmtId="0" fontId="45" fillId="0" borderId="5" xfId="1" applyFont="1" applyBorder="1" applyAlignment="1" applyProtection="1">
      <alignment horizontal="center"/>
      <protection locked="0"/>
    </xf>
    <xf numFmtId="0" fontId="45" fillId="0" borderId="1" xfId="1" applyNumberFormat="1" applyFont="1" applyFill="1" applyBorder="1" applyAlignment="1" applyProtection="1">
      <alignment horizontal="center"/>
      <protection locked="0"/>
    </xf>
    <xf numFmtId="0" fontId="45" fillId="0" borderId="14" xfId="1" applyNumberFormat="1" applyFont="1" applyFill="1" applyBorder="1" applyAlignment="1" applyProtection="1">
      <alignment horizontal="center"/>
      <protection locked="0"/>
    </xf>
    <xf numFmtId="0" fontId="45" fillId="0" borderId="15" xfId="1" applyNumberFormat="1" applyFont="1" applyFill="1" applyBorder="1" applyAlignment="1" applyProtection="1">
      <alignment horizontal="center"/>
      <protection locked="0"/>
    </xf>
    <xf numFmtId="0" fontId="45" fillId="0" borderId="1" xfId="1" applyFont="1" applyBorder="1" applyAlignment="1" applyProtection="1">
      <alignment horizontal="center"/>
      <protection locked="0"/>
    </xf>
    <xf numFmtId="0" fontId="45" fillId="0" borderId="14" xfId="1" applyFont="1" applyBorder="1" applyAlignment="1" applyProtection="1">
      <alignment horizontal="center"/>
      <protection locked="0"/>
    </xf>
    <xf numFmtId="0" fontId="45" fillId="0" borderId="15" xfId="1" applyFont="1" applyBorder="1" applyAlignment="1" applyProtection="1">
      <alignment horizontal="center"/>
      <protection locked="0"/>
    </xf>
    <xf numFmtId="0" fontId="45" fillId="0" borderId="11" xfId="7" applyFont="1" applyBorder="1" applyAlignment="1" applyProtection="1">
      <alignment horizontal="center"/>
      <protection locked="0"/>
    </xf>
    <xf numFmtId="0" fontId="45" fillId="0" borderId="12" xfId="7" applyFont="1" applyBorder="1" applyAlignment="1" applyProtection="1">
      <alignment horizontal="center"/>
      <protection locked="0"/>
    </xf>
    <xf numFmtId="0" fontId="45" fillId="0" borderId="5" xfId="7" applyFont="1" applyBorder="1" applyAlignment="1" applyProtection="1">
      <alignment horizontal="center"/>
      <protection locked="0"/>
    </xf>
    <xf numFmtId="0" fontId="45" fillId="0" borderId="11" xfId="848" applyNumberFormat="1" applyFont="1" applyFill="1" applyBorder="1" applyAlignment="1" applyProtection="1">
      <alignment horizontal="center"/>
      <protection locked="0"/>
    </xf>
    <xf numFmtId="0" fontId="45" fillId="0" borderId="12" xfId="848" applyNumberFormat="1" applyFont="1" applyFill="1" applyBorder="1" applyAlignment="1" applyProtection="1">
      <alignment horizontal="center"/>
      <protection locked="0"/>
    </xf>
    <xf numFmtId="0" fontId="45" fillId="0" borderId="5" xfId="848" applyNumberFormat="1" applyFont="1" applyFill="1" applyBorder="1" applyAlignment="1" applyProtection="1">
      <alignment horizontal="center"/>
      <protection locked="0"/>
    </xf>
    <xf numFmtId="0" fontId="45" fillId="0" borderId="11" xfId="7" applyNumberFormat="1" applyFont="1" applyFill="1" applyBorder="1" applyAlignment="1" applyProtection="1">
      <alignment horizontal="center"/>
      <protection locked="0"/>
    </xf>
    <xf numFmtId="0" fontId="45" fillId="0" borderId="12" xfId="7" applyNumberFormat="1" applyFont="1" applyFill="1" applyBorder="1" applyAlignment="1" applyProtection="1">
      <alignment horizontal="center"/>
      <protection locked="0"/>
    </xf>
    <xf numFmtId="0" fontId="45" fillId="0" borderId="5" xfId="7" applyNumberFormat="1" applyFont="1" applyFill="1" applyBorder="1" applyAlignment="1" applyProtection="1">
      <alignment horizontal="center"/>
      <protection locked="0"/>
    </xf>
    <xf numFmtId="0" fontId="45" fillId="0" borderId="1" xfId="7" applyNumberFormat="1" applyFont="1" applyFill="1" applyBorder="1" applyAlignment="1" applyProtection="1">
      <alignment horizontal="center"/>
      <protection locked="0"/>
    </xf>
    <xf numFmtId="0" fontId="45" fillId="0" borderId="14" xfId="7" applyNumberFormat="1" applyFont="1" applyFill="1" applyBorder="1" applyAlignment="1" applyProtection="1">
      <alignment horizontal="center"/>
      <protection locked="0"/>
    </xf>
    <xf numFmtId="0" fontId="45" fillId="0" borderId="15" xfId="7" applyNumberFormat="1" applyFont="1" applyFill="1" applyBorder="1" applyAlignment="1" applyProtection="1">
      <alignment horizontal="center"/>
      <protection locked="0"/>
    </xf>
    <xf numFmtId="0" fontId="45" fillId="0" borderId="1" xfId="7" applyFont="1" applyBorder="1" applyAlignment="1" applyProtection="1">
      <alignment horizontal="center"/>
      <protection locked="0"/>
    </xf>
    <xf numFmtId="0" fontId="45" fillId="0" borderId="14" xfId="7" applyFont="1" applyBorder="1" applyAlignment="1" applyProtection="1">
      <alignment horizontal="center"/>
      <protection locked="0"/>
    </xf>
    <xf numFmtId="0" fontId="45" fillId="0" borderId="15" xfId="7" applyFont="1" applyBorder="1" applyAlignment="1" applyProtection="1">
      <alignment horizontal="center"/>
      <protection locked="0"/>
    </xf>
    <xf numFmtId="0" fontId="45" fillId="0" borderId="1" xfId="0" applyNumberFormat="1" applyFont="1" applyFill="1" applyBorder="1" applyAlignment="1" applyProtection="1">
      <alignment horizontal="center"/>
      <protection locked="0"/>
    </xf>
    <xf numFmtId="0" fontId="45" fillId="0" borderId="14" xfId="0" applyNumberFormat="1" applyFont="1" applyFill="1" applyBorder="1" applyAlignment="1" applyProtection="1">
      <alignment horizontal="center"/>
      <protection locked="0"/>
    </xf>
    <xf numFmtId="0" fontId="45" fillId="0" borderId="15" xfId="0" applyNumberFormat="1" applyFont="1" applyFill="1" applyBorder="1" applyAlignment="1" applyProtection="1">
      <alignment horizontal="center"/>
      <protection locked="0"/>
    </xf>
    <xf numFmtId="0" fontId="45" fillId="4" borderId="0" xfId="0" applyNumberFormat="1" applyFont="1" applyFill="1" applyBorder="1" applyAlignment="1" applyProtection="1">
      <alignment horizontal="center"/>
      <protection locked="0"/>
    </xf>
    <xf numFmtId="0" fontId="45" fillId="0" borderId="11" xfId="0" applyNumberFormat="1" applyFont="1" applyFill="1" applyBorder="1" applyAlignment="1" applyProtection="1">
      <alignment horizontal="center"/>
      <protection locked="0"/>
    </xf>
    <xf numFmtId="0" fontId="45" fillId="0" borderId="12" xfId="0" applyNumberFormat="1" applyFont="1" applyFill="1" applyBorder="1" applyAlignment="1" applyProtection="1">
      <alignment horizontal="center"/>
      <protection locked="0"/>
    </xf>
    <xf numFmtId="0" fontId="45" fillId="0" borderId="5" xfId="0" applyNumberFormat="1" applyFont="1" applyFill="1" applyBorder="1" applyAlignment="1" applyProtection="1">
      <alignment horizontal="center"/>
      <protection locked="0"/>
    </xf>
    <xf numFmtId="0" fontId="45" fillId="0" borderId="0" xfId="1" applyNumberFormat="1" applyFont="1" applyFill="1" applyBorder="1" applyAlignment="1" applyProtection="1">
      <alignment horizontal="center"/>
      <protection locked="0"/>
    </xf>
    <xf numFmtId="0" fontId="45" fillId="0" borderId="11" xfId="845" applyNumberFormat="1" applyFont="1" applyFill="1" applyBorder="1" applyAlignment="1" applyProtection="1">
      <alignment horizontal="center"/>
      <protection locked="0"/>
    </xf>
    <xf numFmtId="0" fontId="45" fillId="0" borderId="12" xfId="845" applyNumberFormat="1" applyFont="1" applyFill="1" applyBorder="1" applyAlignment="1" applyProtection="1">
      <alignment horizontal="center"/>
      <protection locked="0"/>
    </xf>
    <xf numFmtId="0" fontId="45" fillId="0" borderId="5" xfId="845" applyNumberFormat="1" applyFont="1" applyFill="1" applyBorder="1" applyAlignment="1" applyProtection="1">
      <alignment horizontal="center"/>
      <protection locked="0"/>
    </xf>
    <xf numFmtId="0" fontId="45" fillId="0" borderId="1" xfId="845" applyNumberFormat="1" applyFont="1" applyFill="1" applyBorder="1" applyAlignment="1" applyProtection="1">
      <alignment horizontal="center"/>
      <protection locked="0"/>
    </xf>
    <xf numFmtId="0" fontId="45" fillId="0" borderId="14" xfId="845" applyNumberFormat="1" applyFont="1" applyFill="1" applyBorder="1" applyAlignment="1" applyProtection="1">
      <alignment horizontal="center"/>
      <protection locked="0"/>
    </xf>
    <xf numFmtId="0" fontId="45" fillId="0" borderId="15" xfId="845" applyNumberFormat="1" applyFont="1" applyFill="1" applyBorder="1" applyAlignment="1" applyProtection="1">
      <alignment horizontal="center"/>
      <protection locked="0"/>
    </xf>
    <xf numFmtId="0" fontId="45" fillId="4" borderId="0" xfId="1" applyNumberFormat="1" applyFont="1" applyFill="1" applyBorder="1" applyAlignment="1" applyProtection="1">
      <alignment horizontal="center"/>
      <protection locked="0"/>
    </xf>
  </cellXfs>
  <cellStyles count="849">
    <cellStyle name="20 % – uthevingsfarge 2" xfId="844" builtinId="34"/>
    <cellStyle name="40% - uthevingsfarge 4 2" xfId="38"/>
    <cellStyle name="40% - uthevingsfarge 4 2 10" xfId="771"/>
    <cellStyle name="40% - uthevingsfarge 4 2 2" xfId="80"/>
    <cellStyle name="40% - uthevingsfarge 4 2 2 2" xfId="173"/>
    <cellStyle name="40% - uthevingsfarge 4 2 2 3" xfId="263"/>
    <cellStyle name="40% - uthevingsfarge 4 2 2 4" xfId="353"/>
    <cellStyle name="40% - uthevingsfarge 4 2 2 5" xfId="443"/>
    <cellStyle name="40% - uthevingsfarge 4 2 2 6" xfId="533"/>
    <cellStyle name="40% - uthevingsfarge 4 2 2 7" xfId="623"/>
    <cellStyle name="40% - uthevingsfarge 4 2 2 8" xfId="713"/>
    <cellStyle name="40% - uthevingsfarge 4 2 2 9" xfId="810"/>
    <cellStyle name="40% - uthevingsfarge 4 2 3" xfId="136"/>
    <cellStyle name="40% - uthevingsfarge 4 2 4" xfId="226"/>
    <cellStyle name="40% - uthevingsfarge 4 2 5" xfId="316"/>
    <cellStyle name="40% - uthevingsfarge 4 2 6" xfId="406"/>
    <cellStyle name="40% - uthevingsfarge 4 2 7" xfId="496"/>
    <cellStyle name="40% - uthevingsfarge 4 2 8" xfId="586"/>
    <cellStyle name="40% - uthevingsfarge 4 2 9" xfId="676"/>
    <cellStyle name="Hyperkobling" xfId="3" builtinId="8"/>
    <cellStyle name="Komma" xfId="2" builtinId="3"/>
    <cellStyle name="Komma 2" xfId="847"/>
    <cellStyle name="Merknad 2" xfId="94"/>
    <cellStyle name="Normal" xfId="0" builtinId="0"/>
    <cellStyle name="Normal 10" xfId="31"/>
    <cellStyle name="Normal 10 10" xfId="670"/>
    <cellStyle name="Normal 10 11" xfId="765"/>
    <cellStyle name="Normal 10 2" xfId="53"/>
    <cellStyle name="Normal 10 2 10" xfId="785"/>
    <cellStyle name="Normal 10 2 2" xfId="93"/>
    <cellStyle name="Normal 10 2 2 10" xfId="823"/>
    <cellStyle name="Normal 10 2 2 2" xfId="6"/>
    <cellStyle name="Normal 10 2 2 2 2" xfId="116"/>
    <cellStyle name="Normal 10 2 2 3" xfId="186"/>
    <cellStyle name="Normal 10 2 2 4" xfId="276"/>
    <cellStyle name="Normal 10 2 2 5" xfId="366"/>
    <cellStyle name="Normal 10 2 2 6" xfId="456"/>
    <cellStyle name="Normal 10 2 2 7" xfId="546"/>
    <cellStyle name="Normal 10 2 2 8" xfId="636"/>
    <cellStyle name="Normal 10 2 2 9" xfId="726"/>
    <cellStyle name="Normal 10 2 3" xfId="149"/>
    <cellStyle name="Normal 10 2 4" xfId="239"/>
    <cellStyle name="Normal 10 2 5" xfId="329"/>
    <cellStyle name="Normal 10 2 6" xfId="419"/>
    <cellStyle name="Normal 10 2 7" xfId="509"/>
    <cellStyle name="Normal 10 2 8" xfId="599"/>
    <cellStyle name="Normal 10 2 9" xfId="689"/>
    <cellStyle name="Normal 10 3" xfId="74"/>
    <cellStyle name="Normal 10 3 2" xfId="167"/>
    <cellStyle name="Normal 10 3 3" xfId="257"/>
    <cellStyle name="Normal 10 3 4" xfId="347"/>
    <cellStyle name="Normal 10 3 5" xfId="437"/>
    <cellStyle name="Normal 10 3 6" xfId="527"/>
    <cellStyle name="Normal 10 3 7" xfId="617"/>
    <cellStyle name="Normal 10 3 8" xfId="707"/>
    <cellStyle name="Normal 10 3 9" xfId="804"/>
    <cellStyle name="Normal 10 4" xfId="130"/>
    <cellStyle name="Normal 10 5" xfId="220"/>
    <cellStyle name="Normal 10 6" xfId="310"/>
    <cellStyle name="Normal 10 7" xfId="400"/>
    <cellStyle name="Normal 10 8" xfId="490"/>
    <cellStyle name="Normal 10 9" xfId="580"/>
    <cellStyle name="Normal 11" xfId="35"/>
    <cellStyle name="Normal 11 10" xfId="673"/>
    <cellStyle name="Normal 11 11" xfId="768"/>
    <cellStyle name="Normal 11 2" xfId="57"/>
    <cellStyle name="Normal 11 2 10" xfId="788"/>
    <cellStyle name="Normal 11 2 2" xfId="97"/>
    <cellStyle name="Normal 11 2 2 2" xfId="189"/>
    <cellStyle name="Normal 11 2 2 3" xfId="279"/>
    <cellStyle name="Normal 11 2 2 4" xfId="369"/>
    <cellStyle name="Normal 11 2 2 5" xfId="459"/>
    <cellStyle name="Normal 11 2 2 6" xfId="549"/>
    <cellStyle name="Normal 11 2 2 7" xfId="639"/>
    <cellStyle name="Normal 11 2 2 8" xfId="729"/>
    <cellStyle name="Normal 11 2 2 9" xfId="826"/>
    <cellStyle name="Normal 11 2 3" xfId="152"/>
    <cellStyle name="Normal 11 2 4" xfId="242"/>
    <cellStyle name="Normal 11 2 5" xfId="332"/>
    <cellStyle name="Normal 11 2 6" xfId="422"/>
    <cellStyle name="Normal 11 2 7" xfId="512"/>
    <cellStyle name="Normal 11 2 8" xfId="602"/>
    <cellStyle name="Normal 11 2 9" xfId="692"/>
    <cellStyle name="Normal 11 3" xfId="77"/>
    <cellStyle name="Normal 11 3 2" xfId="170"/>
    <cellStyle name="Normal 11 3 3" xfId="260"/>
    <cellStyle name="Normal 11 3 4" xfId="350"/>
    <cellStyle name="Normal 11 3 5" xfId="440"/>
    <cellStyle name="Normal 11 3 6" xfId="530"/>
    <cellStyle name="Normal 11 3 7" xfId="620"/>
    <cellStyle name="Normal 11 3 8" xfId="710"/>
    <cellStyle name="Normal 11 3 9" xfId="807"/>
    <cellStyle name="Normal 11 4" xfId="133"/>
    <cellStyle name="Normal 11 5" xfId="223"/>
    <cellStyle name="Normal 11 6" xfId="313"/>
    <cellStyle name="Normal 11 7" xfId="403"/>
    <cellStyle name="Normal 11 8" xfId="493"/>
    <cellStyle name="Normal 11 9" xfId="583"/>
    <cellStyle name="Normal 12" xfId="100"/>
    <cellStyle name="Normal 12 2" xfId="192"/>
    <cellStyle name="Normal 12 3" xfId="282"/>
    <cellStyle name="Normal 12 4" xfId="372"/>
    <cellStyle name="Normal 12 5" xfId="462"/>
    <cellStyle name="Normal 12 6" xfId="552"/>
    <cellStyle name="Normal 12 7" xfId="642"/>
    <cellStyle name="Normal 12 8" xfId="732"/>
    <cellStyle name="Normal 12 9" xfId="829"/>
    <cellStyle name="Normal 13" xfId="103"/>
    <cellStyle name="Normal 13 2" xfId="195"/>
    <cellStyle name="Normal 13 3" xfId="285"/>
    <cellStyle name="Normal 13 4" xfId="375"/>
    <cellStyle name="Normal 13 5" xfId="465"/>
    <cellStyle name="Normal 13 6" xfId="555"/>
    <cellStyle name="Normal 13 7" xfId="645"/>
    <cellStyle name="Normal 13 8" xfId="735"/>
    <cellStyle name="Normal 13 9" xfId="832"/>
    <cellStyle name="Normal 14" xfId="106"/>
    <cellStyle name="Normal 14 2" xfId="198"/>
    <cellStyle name="Normal 14 3" xfId="288"/>
    <cellStyle name="Normal 14 4" xfId="378"/>
    <cellStyle name="Normal 14 5" xfId="468"/>
    <cellStyle name="Normal 14 6" xfId="558"/>
    <cellStyle name="Normal 14 7" xfId="648"/>
    <cellStyle name="Normal 14 8" xfId="738"/>
    <cellStyle name="Normal 14 9" xfId="835"/>
    <cellStyle name="Normal 15" xfId="109"/>
    <cellStyle name="Normal 15 2" xfId="201"/>
    <cellStyle name="Normal 15 3" xfId="291"/>
    <cellStyle name="Normal 15 4" xfId="381"/>
    <cellStyle name="Normal 15 5" xfId="471"/>
    <cellStyle name="Normal 15 6" xfId="561"/>
    <cellStyle name="Normal 15 7" xfId="651"/>
    <cellStyle name="Normal 15 8" xfId="741"/>
    <cellStyle name="Normal 15 9" xfId="838"/>
    <cellStyle name="Normal 16" xfId="112"/>
    <cellStyle name="Normal 16 2" xfId="204"/>
    <cellStyle name="Normal 16 3" xfId="294"/>
    <cellStyle name="Normal 16 4" xfId="384"/>
    <cellStyle name="Normal 16 5" xfId="474"/>
    <cellStyle name="Normal 16 6" xfId="564"/>
    <cellStyle name="Normal 16 7" xfId="654"/>
    <cellStyle name="Normal 16 8" xfId="744"/>
    <cellStyle name="Normal 16 9" xfId="841"/>
    <cellStyle name="Normal 17" xfId="8"/>
    <cellStyle name="Normal 18" xfId="10"/>
    <cellStyle name="Normal 19" xfId="117"/>
    <cellStyle name="Normal 2" xfId="1"/>
    <cellStyle name="Normal 2 2" xfId="7"/>
    <cellStyle name="Normal 2 3" xfId="20"/>
    <cellStyle name="Normal 2 4" xfId="39"/>
    <cellStyle name="Normal 2 5" xfId="60"/>
    <cellStyle name="Normal 20" xfId="207"/>
    <cellStyle name="Normal 21" xfId="297"/>
    <cellStyle name="Normal 22" xfId="387"/>
    <cellStyle name="Normal 23" xfId="477"/>
    <cellStyle name="Normal 24" xfId="567"/>
    <cellStyle name="Normal 25" xfId="657"/>
    <cellStyle name="Normal 26" xfId="747"/>
    <cellStyle name="Normal 3" xfId="4"/>
    <cellStyle name="Normal 3 10" xfId="104"/>
    <cellStyle name="Normal 3 10 2" xfId="196"/>
    <cellStyle name="Normal 3 10 3" xfId="286"/>
    <cellStyle name="Normal 3 10 4" xfId="376"/>
    <cellStyle name="Normal 3 10 5" xfId="466"/>
    <cellStyle name="Normal 3 10 6" xfId="556"/>
    <cellStyle name="Normal 3 10 7" xfId="646"/>
    <cellStyle name="Normal 3 10 8" xfId="736"/>
    <cellStyle name="Normal 3 10 9" xfId="833"/>
    <cellStyle name="Normal 3 11" xfId="107"/>
    <cellStyle name="Normal 3 11 2" xfId="199"/>
    <cellStyle name="Normal 3 11 3" xfId="289"/>
    <cellStyle name="Normal 3 11 4" xfId="379"/>
    <cellStyle name="Normal 3 11 5" xfId="469"/>
    <cellStyle name="Normal 3 11 6" xfId="559"/>
    <cellStyle name="Normal 3 11 7" xfId="649"/>
    <cellStyle name="Normal 3 11 8" xfId="739"/>
    <cellStyle name="Normal 3 11 9" xfId="836"/>
    <cellStyle name="Normal 3 12" xfId="110"/>
    <cellStyle name="Normal 3 12 2" xfId="202"/>
    <cellStyle name="Normal 3 12 3" xfId="292"/>
    <cellStyle name="Normal 3 12 4" xfId="382"/>
    <cellStyle name="Normal 3 12 5" xfId="472"/>
    <cellStyle name="Normal 3 12 6" xfId="562"/>
    <cellStyle name="Normal 3 12 7" xfId="652"/>
    <cellStyle name="Normal 3 12 8" xfId="742"/>
    <cellStyle name="Normal 3 12 9" xfId="839"/>
    <cellStyle name="Normal 3 13" xfId="113"/>
    <cellStyle name="Normal 3 13 2" xfId="205"/>
    <cellStyle name="Normal 3 13 3" xfId="295"/>
    <cellStyle name="Normal 3 13 4" xfId="385"/>
    <cellStyle name="Normal 3 13 5" xfId="475"/>
    <cellStyle name="Normal 3 13 6" xfId="565"/>
    <cellStyle name="Normal 3 13 7" xfId="655"/>
    <cellStyle name="Normal 3 13 8" xfId="745"/>
    <cellStyle name="Normal 3 13 9" xfId="842"/>
    <cellStyle name="Normal 3 14" xfId="11"/>
    <cellStyle name="Normal 3 15" xfId="118"/>
    <cellStyle name="Normal 3 16" xfId="208"/>
    <cellStyle name="Normal 3 17" xfId="298"/>
    <cellStyle name="Normal 3 18" xfId="388"/>
    <cellStyle name="Normal 3 19" xfId="478"/>
    <cellStyle name="Normal 3 2" xfId="23"/>
    <cellStyle name="Normal 3 2 10" xfId="662"/>
    <cellStyle name="Normal 3 2 11" xfId="757"/>
    <cellStyle name="Normal 3 2 2" xfId="45"/>
    <cellStyle name="Normal 3 2 2 10" xfId="777"/>
    <cellStyle name="Normal 3 2 2 2" xfId="85"/>
    <cellStyle name="Normal 3 2 2 2 2" xfId="178"/>
    <cellStyle name="Normal 3 2 2 2 3" xfId="268"/>
    <cellStyle name="Normal 3 2 2 2 4" xfId="358"/>
    <cellStyle name="Normal 3 2 2 2 5" xfId="448"/>
    <cellStyle name="Normal 3 2 2 2 6" xfId="538"/>
    <cellStyle name="Normal 3 2 2 2 7" xfId="628"/>
    <cellStyle name="Normal 3 2 2 2 8" xfId="718"/>
    <cellStyle name="Normal 3 2 2 2 9" xfId="815"/>
    <cellStyle name="Normal 3 2 2 3" xfId="141"/>
    <cellStyle name="Normal 3 2 2 4" xfId="231"/>
    <cellStyle name="Normal 3 2 2 5" xfId="321"/>
    <cellStyle name="Normal 3 2 2 6" xfId="411"/>
    <cellStyle name="Normal 3 2 2 7" xfId="501"/>
    <cellStyle name="Normal 3 2 2 8" xfId="591"/>
    <cellStyle name="Normal 3 2 2 9" xfId="681"/>
    <cellStyle name="Normal 3 2 3" xfId="66"/>
    <cellStyle name="Normal 3 2 3 2" xfId="159"/>
    <cellStyle name="Normal 3 2 3 3" xfId="249"/>
    <cellStyle name="Normal 3 2 3 4" xfId="339"/>
    <cellStyle name="Normal 3 2 3 5" xfId="429"/>
    <cellStyle name="Normal 3 2 3 6" xfId="519"/>
    <cellStyle name="Normal 3 2 3 7" xfId="609"/>
    <cellStyle name="Normal 3 2 3 8" xfId="699"/>
    <cellStyle name="Normal 3 2 3 9" xfId="796"/>
    <cellStyle name="Normal 3 2 4" xfId="122"/>
    <cellStyle name="Normal 3 2 5" xfId="212"/>
    <cellStyle name="Normal 3 2 6" xfId="302"/>
    <cellStyle name="Normal 3 2 7" xfId="392"/>
    <cellStyle name="Normal 3 2 8" xfId="482"/>
    <cellStyle name="Normal 3 2 9" xfId="572"/>
    <cellStyle name="Normal 3 20" xfId="568"/>
    <cellStyle name="Normal 3 21" xfId="658"/>
    <cellStyle name="Normal 3 22" xfId="748"/>
    <cellStyle name="Normal 3 3" xfId="26"/>
    <cellStyle name="Normal 3 3 10" xfId="665"/>
    <cellStyle name="Normal 3 3 11" xfId="760"/>
    <cellStyle name="Normal 3 3 2" xfId="48"/>
    <cellStyle name="Normal 3 3 2 10" xfId="780"/>
    <cellStyle name="Normal 3 3 2 2" xfId="88"/>
    <cellStyle name="Normal 3 3 2 2 2" xfId="181"/>
    <cellStyle name="Normal 3 3 2 2 3" xfId="271"/>
    <cellStyle name="Normal 3 3 2 2 4" xfId="361"/>
    <cellStyle name="Normal 3 3 2 2 5" xfId="451"/>
    <cellStyle name="Normal 3 3 2 2 6" xfId="541"/>
    <cellStyle name="Normal 3 3 2 2 7" xfId="631"/>
    <cellStyle name="Normal 3 3 2 2 8" xfId="721"/>
    <cellStyle name="Normal 3 3 2 2 9" xfId="818"/>
    <cellStyle name="Normal 3 3 2 3" xfId="144"/>
    <cellStyle name="Normal 3 3 2 4" xfId="234"/>
    <cellStyle name="Normal 3 3 2 5" xfId="324"/>
    <cellStyle name="Normal 3 3 2 6" xfId="414"/>
    <cellStyle name="Normal 3 3 2 7" xfId="504"/>
    <cellStyle name="Normal 3 3 2 8" xfId="594"/>
    <cellStyle name="Normal 3 3 2 9" xfId="684"/>
    <cellStyle name="Normal 3 3 3" xfId="69"/>
    <cellStyle name="Normal 3 3 3 2" xfId="162"/>
    <cellStyle name="Normal 3 3 3 3" xfId="252"/>
    <cellStyle name="Normal 3 3 3 4" xfId="342"/>
    <cellStyle name="Normal 3 3 3 5" xfId="432"/>
    <cellStyle name="Normal 3 3 3 6" xfId="522"/>
    <cellStyle name="Normal 3 3 3 7" xfId="612"/>
    <cellStyle name="Normal 3 3 3 8" xfId="702"/>
    <cellStyle name="Normal 3 3 3 9" xfId="799"/>
    <cellStyle name="Normal 3 3 4" xfId="125"/>
    <cellStyle name="Normal 3 3 5" xfId="215"/>
    <cellStyle name="Normal 3 3 6" xfId="305"/>
    <cellStyle name="Normal 3 3 7" xfId="395"/>
    <cellStyle name="Normal 3 3 8" xfId="485"/>
    <cellStyle name="Normal 3 3 9" xfId="575"/>
    <cellStyle name="Normal 3 4" xfId="29"/>
    <cellStyle name="Normal 3 4 10" xfId="668"/>
    <cellStyle name="Normal 3 4 11" xfId="763"/>
    <cellStyle name="Normal 3 4 2" xfId="51"/>
    <cellStyle name="Normal 3 4 2 10" xfId="783"/>
    <cellStyle name="Normal 3 4 2 2" xfId="91"/>
    <cellStyle name="Normal 3 4 2 2 2" xfId="184"/>
    <cellStyle name="Normal 3 4 2 2 3" xfId="274"/>
    <cellStyle name="Normal 3 4 2 2 4" xfId="364"/>
    <cellStyle name="Normal 3 4 2 2 5" xfId="454"/>
    <cellStyle name="Normal 3 4 2 2 6" xfId="544"/>
    <cellStyle name="Normal 3 4 2 2 7" xfId="634"/>
    <cellStyle name="Normal 3 4 2 2 8" xfId="724"/>
    <cellStyle name="Normal 3 4 2 2 9" xfId="821"/>
    <cellStyle name="Normal 3 4 2 3" xfId="147"/>
    <cellStyle name="Normal 3 4 2 4" xfId="237"/>
    <cellStyle name="Normal 3 4 2 5" xfId="327"/>
    <cellStyle name="Normal 3 4 2 6" xfId="417"/>
    <cellStyle name="Normal 3 4 2 7" xfId="507"/>
    <cellStyle name="Normal 3 4 2 8" xfId="597"/>
    <cellStyle name="Normal 3 4 2 9" xfId="687"/>
    <cellStyle name="Normal 3 4 3" xfId="72"/>
    <cellStyle name="Normal 3 4 3 2" xfId="165"/>
    <cellStyle name="Normal 3 4 3 3" xfId="255"/>
    <cellStyle name="Normal 3 4 3 4" xfId="345"/>
    <cellStyle name="Normal 3 4 3 5" xfId="435"/>
    <cellStyle name="Normal 3 4 3 6" xfId="525"/>
    <cellStyle name="Normal 3 4 3 7" xfId="615"/>
    <cellStyle name="Normal 3 4 3 8" xfId="705"/>
    <cellStyle name="Normal 3 4 3 9" xfId="802"/>
    <cellStyle name="Normal 3 4 4" xfId="128"/>
    <cellStyle name="Normal 3 4 5" xfId="218"/>
    <cellStyle name="Normal 3 4 6" xfId="308"/>
    <cellStyle name="Normal 3 4 7" xfId="398"/>
    <cellStyle name="Normal 3 4 8" xfId="488"/>
    <cellStyle name="Normal 3 4 9" xfId="578"/>
    <cellStyle name="Normal 3 5" xfId="33"/>
    <cellStyle name="Normal 3 5 10" xfId="671"/>
    <cellStyle name="Normal 3 5 11" xfId="766"/>
    <cellStyle name="Normal 3 5 2" xfId="55"/>
    <cellStyle name="Normal 3 5 2 10" xfId="786"/>
    <cellStyle name="Normal 3 5 2 2" xfId="95"/>
    <cellStyle name="Normal 3 5 2 2 2" xfId="187"/>
    <cellStyle name="Normal 3 5 2 2 3" xfId="277"/>
    <cellStyle name="Normal 3 5 2 2 4" xfId="367"/>
    <cellStyle name="Normal 3 5 2 2 5" xfId="457"/>
    <cellStyle name="Normal 3 5 2 2 6" xfId="547"/>
    <cellStyle name="Normal 3 5 2 2 7" xfId="637"/>
    <cellStyle name="Normal 3 5 2 2 8" xfId="727"/>
    <cellStyle name="Normal 3 5 2 2 9" xfId="824"/>
    <cellStyle name="Normal 3 5 2 3" xfId="150"/>
    <cellStyle name="Normal 3 5 2 4" xfId="240"/>
    <cellStyle name="Normal 3 5 2 5" xfId="330"/>
    <cellStyle name="Normal 3 5 2 6" xfId="420"/>
    <cellStyle name="Normal 3 5 2 7" xfId="510"/>
    <cellStyle name="Normal 3 5 2 8" xfId="600"/>
    <cellStyle name="Normal 3 5 2 9" xfId="690"/>
    <cellStyle name="Normal 3 5 3" xfId="75"/>
    <cellStyle name="Normal 3 5 3 2" xfId="168"/>
    <cellStyle name="Normal 3 5 3 3" xfId="258"/>
    <cellStyle name="Normal 3 5 3 4" xfId="348"/>
    <cellStyle name="Normal 3 5 3 5" xfId="438"/>
    <cellStyle name="Normal 3 5 3 6" xfId="528"/>
    <cellStyle name="Normal 3 5 3 7" xfId="618"/>
    <cellStyle name="Normal 3 5 3 8" xfId="708"/>
    <cellStyle name="Normal 3 5 3 9" xfId="805"/>
    <cellStyle name="Normal 3 5 4" xfId="131"/>
    <cellStyle name="Normal 3 5 5" xfId="221"/>
    <cellStyle name="Normal 3 5 6" xfId="311"/>
    <cellStyle name="Normal 3 5 7" xfId="401"/>
    <cellStyle name="Normal 3 5 8" xfId="491"/>
    <cellStyle name="Normal 3 5 9" xfId="581"/>
    <cellStyle name="Normal 3 6" xfId="36"/>
    <cellStyle name="Normal 3 6 10" xfId="674"/>
    <cellStyle name="Normal 3 6 11" xfId="769"/>
    <cellStyle name="Normal 3 6 2" xfId="58"/>
    <cellStyle name="Normal 3 6 2 10" xfId="789"/>
    <cellStyle name="Normal 3 6 2 2" xfId="98"/>
    <cellStyle name="Normal 3 6 2 2 2" xfId="190"/>
    <cellStyle name="Normal 3 6 2 2 3" xfId="280"/>
    <cellStyle name="Normal 3 6 2 2 4" xfId="370"/>
    <cellStyle name="Normal 3 6 2 2 5" xfId="460"/>
    <cellStyle name="Normal 3 6 2 2 6" xfId="550"/>
    <cellStyle name="Normal 3 6 2 2 7" xfId="640"/>
    <cellStyle name="Normal 3 6 2 2 8" xfId="730"/>
    <cellStyle name="Normal 3 6 2 2 9" xfId="827"/>
    <cellStyle name="Normal 3 6 2 3" xfId="153"/>
    <cellStyle name="Normal 3 6 2 4" xfId="243"/>
    <cellStyle name="Normal 3 6 2 5" xfId="333"/>
    <cellStyle name="Normal 3 6 2 6" xfId="423"/>
    <cellStyle name="Normal 3 6 2 7" xfId="513"/>
    <cellStyle name="Normal 3 6 2 8" xfId="603"/>
    <cellStyle name="Normal 3 6 2 9" xfId="693"/>
    <cellStyle name="Normal 3 6 3" xfId="78"/>
    <cellStyle name="Normal 3 6 3 2" xfId="171"/>
    <cellStyle name="Normal 3 6 3 3" xfId="261"/>
    <cellStyle name="Normal 3 6 3 4" xfId="351"/>
    <cellStyle name="Normal 3 6 3 5" xfId="441"/>
    <cellStyle name="Normal 3 6 3 6" xfId="531"/>
    <cellStyle name="Normal 3 6 3 7" xfId="621"/>
    <cellStyle name="Normal 3 6 3 8" xfId="711"/>
    <cellStyle name="Normal 3 6 3 9" xfId="808"/>
    <cellStyle name="Normal 3 6 4" xfId="134"/>
    <cellStyle name="Normal 3 6 5" xfId="224"/>
    <cellStyle name="Normal 3 6 6" xfId="314"/>
    <cellStyle name="Normal 3 6 7" xfId="404"/>
    <cellStyle name="Normal 3 6 8" xfId="494"/>
    <cellStyle name="Normal 3 6 9" xfId="584"/>
    <cellStyle name="Normal 3 7" xfId="42"/>
    <cellStyle name="Normal 3 7 10" xfId="774"/>
    <cellStyle name="Normal 3 7 2" xfId="82"/>
    <cellStyle name="Normal 3 7 2 2" xfId="175"/>
    <cellStyle name="Normal 3 7 2 3" xfId="265"/>
    <cellStyle name="Normal 3 7 2 4" xfId="355"/>
    <cellStyle name="Normal 3 7 2 5" xfId="445"/>
    <cellStyle name="Normal 3 7 2 6" xfId="535"/>
    <cellStyle name="Normal 3 7 2 7" xfId="625"/>
    <cellStyle name="Normal 3 7 2 8" xfId="715"/>
    <cellStyle name="Normal 3 7 2 9" xfId="812"/>
    <cellStyle name="Normal 3 7 3" xfId="138"/>
    <cellStyle name="Normal 3 7 4" xfId="228"/>
    <cellStyle name="Normal 3 7 5" xfId="318"/>
    <cellStyle name="Normal 3 7 6" xfId="408"/>
    <cellStyle name="Normal 3 7 7" xfId="498"/>
    <cellStyle name="Normal 3 7 8" xfId="588"/>
    <cellStyle name="Normal 3 7 9" xfId="678"/>
    <cellStyle name="Normal 3 8" xfId="63"/>
    <cellStyle name="Normal 3 8 2" xfId="156"/>
    <cellStyle name="Normal 3 8 3" xfId="246"/>
    <cellStyle name="Normal 3 8 4" xfId="336"/>
    <cellStyle name="Normal 3 8 5" xfId="426"/>
    <cellStyle name="Normal 3 8 6" xfId="516"/>
    <cellStyle name="Normal 3 8 7" xfId="606"/>
    <cellStyle name="Normal 3 8 8" xfId="696"/>
    <cellStyle name="Normal 3 8 9" xfId="793"/>
    <cellStyle name="Normal 3 9" xfId="101"/>
    <cellStyle name="Normal 3 9 2" xfId="193"/>
    <cellStyle name="Normal 3 9 3" xfId="283"/>
    <cellStyle name="Normal 3 9 4" xfId="373"/>
    <cellStyle name="Normal 3 9 5" xfId="463"/>
    <cellStyle name="Normal 3 9 6" xfId="553"/>
    <cellStyle name="Normal 3 9 7" xfId="643"/>
    <cellStyle name="Normal 3 9 8" xfId="733"/>
    <cellStyle name="Normal 3 9 9" xfId="830"/>
    <cellStyle name="Normal 4" xfId="12"/>
    <cellStyle name="Normal 5" xfId="9"/>
    <cellStyle name="Normal 5 2" xfId="5"/>
    <cellStyle name="Normal 5 3" xfId="32"/>
    <cellStyle name="Normal 5 3 2" xfId="54"/>
    <cellStyle name="Normal 5 4" xfId="19"/>
    <cellStyle name="Normal 6" xfId="18"/>
    <cellStyle name="Normal 6 10" xfId="660"/>
    <cellStyle name="Normal 6 11" xfId="754"/>
    <cellStyle name="Normal 6 2" xfId="41"/>
    <cellStyle name="Normal 6 2 10" xfId="773"/>
    <cellStyle name="Normal 6 2 2" xfId="81"/>
    <cellStyle name="Normal 6 2 2 2" xfId="174"/>
    <cellStyle name="Normal 6 2 2 3" xfId="264"/>
    <cellStyle name="Normal 6 2 2 4" xfId="354"/>
    <cellStyle name="Normal 6 2 2 5" xfId="444"/>
    <cellStyle name="Normal 6 2 2 6" xfId="534"/>
    <cellStyle name="Normal 6 2 2 7" xfId="624"/>
    <cellStyle name="Normal 6 2 2 8" xfId="714"/>
    <cellStyle name="Normal 6 2 2 9" xfId="811"/>
    <cellStyle name="Normal 6 2 3" xfId="137"/>
    <cellStyle name="Normal 6 2 4" xfId="227"/>
    <cellStyle name="Normal 6 2 5" xfId="317"/>
    <cellStyle name="Normal 6 2 6" xfId="407"/>
    <cellStyle name="Normal 6 2 7" xfId="497"/>
    <cellStyle name="Normal 6 2 8" xfId="587"/>
    <cellStyle name="Normal 6 2 9" xfId="677"/>
    <cellStyle name="Normal 6 3" xfId="62"/>
    <cellStyle name="Normal 6 3 2" xfId="155"/>
    <cellStyle name="Normal 6 3 3" xfId="245"/>
    <cellStyle name="Normal 6 3 4" xfId="335"/>
    <cellStyle name="Normal 6 3 5" xfId="425"/>
    <cellStyle name="Normal 6 3 6" xfId="515"/>
    <cellStyle name="Normal 6 3 7" xfId="605"/>
    <cellStyle name="Normal 6 3 8" xfId="695"/>
    <cellStyle name="Normal 6 3 9" xfId="792"/>
    <cellStyle name="Normal 6 4" xfId="120"/>
    <cellStyle name="Normal 6 5" xfId="210"/>
    <cellStyle name="Normal 6 6" xfId="300"/>
    <cellStyle name="Normal 6 7" xfId="390"/>
    <cellStyle name="Normal 6 8" xfId="480"/>
    <cellStyle name="Normal 6 9" xfId="570"/>
    <cellStyle name="Normal 7" xfId="22"/>
    <cellStyle name="Normal 7 10" xfId="661"/>
    <cellStyle name="Normal 7 11" xfId="756"/>
    <cellStyle name="Normal 7 2" xfId="44"/>
    <cellStyle name="Normal 7 2 10" xfId="776"/>
    <cellStyle name="Normal 7 2 2" xfId="84"/>
    <cellStyle name="Normal 7 2 2 2" xfId="177"/>
    <cellStyle name="Normal 7 2 2 3" xfId="267"/>
    <cellStyle name="Normal 7 2 2 4" xfId="357"/>
    <cellStyle name="Normal 7 2 2 5" xfId="447"/>
    <cellStyle name="Normal 7 2 2 6" xfId="537"/>
    <cellStyle name="Normal 7 2 2 7" xfId="627"/>
    <cellStyle name="Normal 7 2 2 8" xfId="717"/>
    <cellStyle name="Normal 7 2 2 9" xfId="814"/>
    <cellStyle name="Normal 7 2 3" xfId="140"/>
    <cellStyle name="Normal 7 2 4" xfId="230"/>
    <cellStyle name="Normal 7 2 5" xfId="320"/>
    <cellStyle name="Normal 7 2 6" xfId="410"/>
    <cellStyle name="Normal 7 2 7" xfId="500"/>
    <cellStyle name="Normal 7 2 8" xfId="590"/>
    <cellStyle name="Normal 7 2 9" xfId="680"/>
    <cellStyle name="Normal 7 3" xfId="65"/>
    <cellStyle name="Normal 7 3 2" xfId="158"/>
    <cellStyle name="Normal 7 3 3" xfId="248"/>
    <cellStyle name="Normal 7 3 4" xfId="338"/>
    <cellStyle name="Normal 7 3 5" xfId="428"/>
    <cellStyle name="Normal 7 3 6" xfId="518"/>
    <cellStyle name="Normal 7 3 7" xfId="608"/>
    <cellStyle name="Normal 7 3 8" xfId="698"/>
    <cellStyle name="Normal 7 3 9" xfId="795"/>
    <cellStyle name="Normal 7 4" xfId="121"/>
    <cellStyle name="Normal 7 5" xfId="211"/>
    <cellStyle name="Normal 7 6" xfId="301"/>
    <cellStyle name="Normal 7 7" xfId="391"/>
    <cellStyle name="Normal 7 8" xfId="481"/>
    <cellStyle name="Normal 7 9" xfId="571"/>
    <cellStyle name="Normal 8" xfId="25"/>
    <cellStyle name="Normal 8 10" xfId="664"/>
    <cellStyle name="Normal 8 11" xfId="759"/>
    <cellStyle name="Normal 8 2" xfId="47"/>
    <cellStyle name="Normal 8 2 10" xfId="779"/>
    <cellStyle name="Normal 8 2 2" xfId="87"/>
    <cellStyle name="Normal 8 2 2 2" xfId="180"/>
    <cellStyle name="Normal 8 2 2 3" xfId="270"/>
    <cellStyle name="Normal 8 2 2 4" xfId="360"/>
    <cellStyle name="Normal 8 2 2 5" xfId="450"/>
    <cellStyle name="Normal 8 2 2 6" xfId="540"/>
    <cellStyle name="Normal 8 2 2 7" xfId="630"/>
    <cellStyle name="Normal 8 2 2 8" xfId="720"/>
    <cellStyle name="Normal 8 2 2 9" xfId="817"/>
    <cellStyle name="Normal 8 2 3" xfId="143"/>
    <cellStyle name="Normal 8 2 4" xfId="233"/>
    <cellStyle name="Normal 8 2 5" xfId="323"/>
    <cellStyle name="Normal 8 2 6" xfId="413"/>
    <cellStyle name="Normal 8 2 7" xfId="503"/>
    <cellStyle name="Normal 8 2 8" xfId="593"/>
    <cellStyle name="Normal 8 2 9" xfId="683"/>
    <cellStyle name="Normal 8 3" xfId="68"/>
    <cellStyle name="Normal 8 3 2" xfId="161"/>
    <cellStyle name="Normal 8 3 3" xfId="251"/>
    <cellStyle name="Normal 8 3 4" xfId="341"/>
    <cellStyle name="Normal 8 3 5" xfId="431"/>
    <cellStyle name="Normal 8 3 6" xfId="521"/>
    <cellStyle name="Normal 8 3 7" xfId="611"/>
    <cellStyle name="Normal 8 3 8" xfId="701"/>
    <cellStyle name="Normal 8 3 9" xfId="798"/>
    <cellStyle name="Normal 8 4" xfId="124"/>
    <cellStyle name="Normal 8 5" xfId="214"/>
    <cellStyle name="Normal 8 6" xfId="304"/>
    <cellStyle name="Normal 8 7" xfId="394"/>
    <cellStyle name="Normal 8 8" xfId="484"/>
    <cellStyle name="Normal 8 9" xfId="574"/>
    <cellStyle name="Normal 9" xfId="28"/>
    <cellStyle name="Normal 9 10" xfId="667"/>
    <cellStyle name="Normal 9 11" xfId="762"/>
    <cellStyle name="Normal 9 2" xfId="50"/>
    <cellStyle name="Normal 9 2 10" xfId="782"/>
    <cellStyle name="Normal 9 2 2" xfId="90"/>
    <cellStyle name="Normal 9 2 2 2" xfId="183"/>
    <cellStyle name="Normal 9 2 2 3" xfId="273"/>
    <cellStyle name="Normal 9 2 2 4" xfId="363"/>
    <cellStyle name="Normal 9 2 2 5" xfId="453"/>
    <cellStyle name="Normal 9 2 2 6" xfId="543"/>
    <cellStyle name="Normal 9 2 2 7" xfId="633"/>
    <cellStyle name="Normal 9 2 2 8" xfId="723"/>
    <cellStyle name="Normal 9 2 2 9" xfId="820"/>
    <cellStyle name="Normal 9 2 3" xfId="146"/>
    <cellStyle name="Normal 9 2 4" xfId="236"/>
    <cellStyle name="Normal 9 2 5" xfId="326"/>
    <cellStyle name="Normal 9 2 6" xfId="416"/>
    <cellStyle name="Normal 9 2 7" xfId="506"/>
    <cellStyle name="Normal 9 2 8" xfId="596"/>
    <cellStyle name="Normal 9 2 9" xfId="686"/>
    <cellStyle name="Normal 9 3" xfId="71"/>
    <cellStyle name="Normal 9 3 2" xfId="164"/>
    <cellStyle name="Normal 9 3 3" xfId="254"/>
    <cellStyle name="Normal 9 3 4" xfId="344"/>
    <cellStyle name="Normal 9 3 5" xfId="434"/>
    <cellStyle name="Normal 9 3 6" xfId="524"/>
    <cellStyle name="Normal 9 3 7" xfId="614"/>
    <cellStyle name="Normal 9 3 8" xfId="704"/>
    <cellStyle name="Normal 9 3 9" xfId="801"/>
    <cellStyle name="Normal 9 4" xfId="127"/>
    <cellStyle name="Normal 9 5" xfId="217"/>
    <cellStyle name="Normal 9 6" xfId="307"/>
    <cellStyle name="Normal 9 7" xfId="397"/>
    <cellStyle name="Normal 9 8" xfId="487"/>
    <cellStyle name="Normal 9 9" xfId="577"/>
    <cellStyle name="Normal_Forslag" xfId="845"/>
    <cellStyle name="Normal_Forslag 2" xfId="848"/>
    <cellStyle name="Tusenskille 2" xfId="14"/>
    <cellStyle name="Tusenskille 2 2" xfId="15"/>
    <cellStyle name="Tusenskille 2 2 2" xfId="751"/>
    <cellStyle name="Tusenskille 2 3" xfId="21"/>
    <cellStyle name="Tusenskille 2 3 2" xfId="755"/>
    <cellStyle name="Tusenskille 2 4" xfId="40"/>
    <cellStyle name="Tusenskille 2 4 2" xfId="772"/>
    <cellStyle name="Tusenskille 2 5" xfId="61"/>
    <cellStyle name="Tusenskille 2 5 2" xfId="791"/>
    <cellStyle name="Tusenskille 2 6" xfId="750"/>
    <cellStyle name="Tusenskille 3" xfId="16"/>
    <cellStyle name="Tusenskille 3 10" xfId="105"/>
    <cellStyle name="Tusenskille 3 10 2" xfId="197"/>
    <cellStyle name="Tusenskille 3 10 3" xfId="287"/>
    <cellStyle name="Tusenskille 3 10 4" xfId="377"/>
    <cellStyle name="Tusenskille 3 10 5" xfId="467"/>
    <cellStyle name="Tusenskille 3 10 6" xfId="557"/>
    <cellStyle name="Tusenskille 3 10 7" xfId="647"/>
    <cellStyle name="Tusenskille 3 10 8" xfId="737"/>
    <cellStyle name="Tusenskille 3 10 9" xfId="834"/>
    <cellStyle name="Tusenskille 3 11" xfId="108"/>
    <cellStyle name="Tusenskille 3 11 2" xfId="200"/>
    <cellStyle name="Tusenskille 3 11 3" xfId="290"/>
    <cellStyle name="Tusenskille 3 11 4" xfId="380"/>
    <cellStyle name="Tusenskille 3 11 5" xfId="470"/>
    <cellStyle name="Tusenskille 3 11 6" xfId="560"/>
    <cellStyle name="Tusenskille 3 11 7" xfId="650"/>
    <cellStyle name="Tusenskille 3 11 8" xfId="740"/>
    <cellStyle name="Tusenskille 3 11 9" xfId="837"/>
    <cellStyle name="Tusenskille 3 12" xfId="111"/>
    <cellStyle name="Tusenskille 3 12 2" xfId="203"/>
    <cellStyle name="Tusenskille 3 12 3" xfId="293"/>
    <cellStyle name="Tusenskille 3 12 4" xfId="383"/>
    <cellStyle name="Tusenskille 3 12 5" xfId="473"/>
    <cellStyle name="Tusenskille 3 12 6" xfId="563"/>
    <cellStyle name="Tusenskille 3 12 7" xfId="653"/>
    <cellStyle name="Tusenskille 3 12 8" xfId="743"/>
    <cellStyle name="Tusenskille 3 12 9" xfId="840"/>
    <cellStyle name="Tusenskille 3 13" xfId="114"/>
    <cellStyle name="Tusenskille 3 13 2" xfId="206"/>
    <cellStyle name="Tusenskille 3 13 3" xfId="296"/>
    <cellStyle name="Tusenskille 3 13 4" xfId="386"/>
    <cellStyle name="Tusenskille 3 13 5" xfId="476"/>
    <cellStyle name="Tusenskille 3 13 6" xfId="566"/>
    <cellStyle name="Tusenskille 3 13 7" xfId="656"/>
    <cellStyle name="Tusenskille 3 13 8" xfId="746"/>
    <cellStyle name="Tusenskille 3 13 9" xfId="843"/>
    <cellStyle name="Tusenskille 3 14" xfId="119"/>
    <cellStyle name="Tusenskille 3 15" xfId="209"/>
    <cellStyle name="Tusenskille 3 16" xfId="299"/>
    <cellStyle name="Tusenskille 3 17" xfId="389"/>
    <cellStyle name="Tusenskille 3 18" xfId="479"/>
    <cellStyle name="Tusenskille 3 19" xfId="569"/>
    <cellStyle name="Tusenskille 3 2" xfId="24"/>
    <cellStyle name="Tusenskille 3 2 10" xfId="663"/>
    <cellStyle name="Tusenskille 3 2 11" xfId="758"/>
    <cellStyle name="Tusenskille 3 2 2" xfId="46"/>
    <cellStyle name="Tusenskille 3 2 2 10" xfId="778"/>
    <cellStyle name="Tusenskille 3 2 2 2" xfId="86"/>
    <cellStyle name="Tusenskille 3 2 2 2 2" xfId="179"/>
    <cellStyle name="Tusenskille 3 2 2 2 3" xfId="269"/>
    <cellStyle name="Tusenskille 3 2 2 2 4" xfId="359"/>
    <cellStyle name="Tusenskille 3 2 2 2 5" xfId="449"/>
    <cellStyle name="Tusenskille 3 2 2 2 6" xfId="539"/>
    <cellStyle name="Tusenskille 3 2 2 2 7" xfId="629"/>
    <cellStyle name="Tusenskille 3 2 2 2 8" xfId="719"/>
    <cellStyle name="Tusenskille 3 2 2 2 9" xfId="816"/>
    <cellStyle name="Tusenskille 3 2 2 3" xfId="142"/>
    <cellStyle name="Tusenskille 3 2 2 4" xfId="232"/>
    <cellStyle name="Tusenskille 3 2 2 5" xfId="322"/>
    <cellStyle name="Tusenskille 3 2 2 6" xfId="412"/>
    <cellStyle name="Tusenskille 3 2 2 7" xfId="502"/>
    <cellStyle name="Tusenskille 3 2 2 8" xfId="592"/>
    <cellStyle name="Tusenskille 3 2 2 9" xfId="682"/>
    <cellStyle name="Tusenskille 3 2 3" xfId="67"/>
    <cellStyle name="Tusenskille 3 2 3 2" xfId="160"/>
    <cellStyle name="Tusenskille 3 2 3 3" xfId="250"/>
    <cellStyle name="Tusenskille 3 2 3 4" xfId="340"/>
    <cellStyle name="Tusenskille 3 2 3 5" xfId="430"/>
    <cellStyle name="Tusenskille 3 2 3 6" xfId="520"/>
    <cellStyle name="Tusenskille 3 2 3 7" xfId="610"/>
    <cellStyle name="Tusenskille 3 2 3 8" xfId="700"/>
    <cellStyle name="Tusenskille 3 2 3 9" xfId="797"/>
    <cellStyle name="Tusenskille 3 2 4" xfId="123"/>
    <cellStyle name="Tusenskille 3 2 5" xfId="213"/>
    <cellStyle name="Tusenskille 3 2 6" xfId="303"/>
    <cellStyle name="Tusenskille 3 2 7" xfId="393"/>
    <cellStyle name="Tusenskille 3 2 8" xfId="483"/>
    <cellStyle name="Tusenskille 3 2 9" xfId="573"/>
    <cellStyle name="Tusenskille 3 20" xfId="659"/>
    <cellStyle name="Tusenskille 3 21" xfId="752"/>
    <cellStyle name="Tusenskille 3 3" xfId="27"/>
    <cellStyle name="Tusenskille 3 3 10" xfId="666"/>
    <cellStyle name="Tusenskille 3 3 11" xfId="761"/>
    <cellStyle name="Tusenskille 3 3 2" xfId="49"/>
    <cellStyle name="Tusenskille 3 3 2 10" xfId="781"/>
    <cellStyle name="Tusenskille 3 3 2 2" xfId="89"/>
    <cellStyle name="Tusenskille 3 3 2 2 2" xfId="182"/>
    <cellStyle name="Tusenskille 3 3 2 2 3" xfId="272"/>
    <cellStyle name="Tusenskille 3 3 2 2 4" xfId="362"/>
    <cellStyle name="Tusenskille 3 3 2 2 5" xfId="452"/>
    <cellStyle name="Tusenskille 3 3 2 2 6" xfId="542"/>
    <cellStyle name="Tusenskille 3 3 2 2 7" xfId="632"/>
    <cellStyle name="Tusenskille 3 3 2 2 8" xfId="722"/>
    <cellStyle name="Tusenskille 3 3 2 2 9" xfId="819"/>
    <cellStyle name="Tusenskille 3 3 2 3" xfId="145"/>
    <cellStyle name="Tusenskille 3 3 2 4" xfId="235"/>
    <cellStyle name="Tusenskille 3 3 2 5" xfId="325"/>
    <cellStyle name="Tusenskille 3 3 2 6" xfId="415"/>
    <cellStyle name="Tusenskille 3 3 2 7" xfId="505"/>
    <cellStyle name="Tusenskille 3 3 2 8" xfId="595"/>
    <cellStyle name="Tusenskille 3 3 2 9" xfId="685"/>
    <cellStyle name="Tusenskille 3 3 3" xfId="70"/>
    <cellStyle name="Tusenskille 3 3 3 2" xfId="163"/>
    <cellStyle name="Tusenskille 3 3 3 3" xfId="253"/>
    <cellStyle name="Tusenskille 3 3 3 4" xfId="343"/>
    <cellStyle name="Tusenskille 3 3 3 5" xfId="433"/>
    <cellStyle name="Tusenskille 3 3 3 6" xfId="523"/>
    <cellStyle name="Tusenskille 3 3 3 7" xfId="613"/>
    <cellStyle name="Tusenskille 3 3 3 8" xfId="703"/>
    <cellStyle name="Tusenskille 3 3 3 9" xfId="800"/>
    <cellStyle name="Tusenskille 3 3 4" xfId="126"/>
    <cellStyle name="Tusenskille 3 3 5" xfId="216"/>
    <cellStyle name="Tusenskille 3 3 6" xfId="306"/>
    <cellStyle name="Tusenskille 3 3 7" xfId="396"/>
    <cellStyle name="Tusenskille 3 3 8" xfId="486"/>
    <cellStyle name="Tusenskille 3 3 9" xfId="576"/>
    <cellStyle name="Tusenskille 3 4" xfId="30"/>
    <cellStyle name="Tusenskille 3 4 10" xfId="669"/>
    <cellStyle name="Tusenskille 3 4 11" xfId="764"/>
    <cellStyle name="Tusenskille 3 4 2" xfId="52"/>
    <cellStyle name="Tusenskille 3 4 2 10" xfId="784"/>
    <cellStyle name="Tusenskille 3 4 2 2" xfId="92"/>
    <cellStyle name="Tusenskille 3 4 2 2 2" xfId="185"/>
    <cellStyle name="Tusenskille 3 4 2 2 3" xfId="275"/>
    <cellStyle name="Tusenskille 3 4 2 2 4" xfId="365"/>
    <cellStyle name="Tusenskille 3 4 2 2 5" xfId="455"/>
    <cellStyle name="Tusenskille 3 4 2 2 6" xfId="545"/>
    <cellStyle name="Tusenskille 3 4 2 2 7" xfId="635"/>
    <cellStyle name="Tusenskille 3 4 2 2 8" xfId="725"/>
    <cellStyle name="Tusenskille 3 4 2 2 9" xfId="822"/>
    <cellStyle name="Tusenskille 3 4 2 3" xfId="148"/>
    <cellStyle name="Tusenskille 3 4 2 4" xfId="238"/>
    <cellStyle name="Tusenskille 3 4 2 5" xfId="328"/>
    <cellStyle name="Tusenskille 3 4 2 6" xfId="418"/>
    <cellStyle name="Tusenskille 3 4 2 7" xfId="508"/>
    <cellStyle name="Tusenskille 3 4 2 8" xfId="598"/>
    <cellStyle name="Tusenskille 3 4 2 9" xfId="688"/>
    <cellStyle name="Tusenskille 3 4 3" xfId="73"/>
    <cellStyle name="Tusenskille 3 4 3 2" xfId="166"/>
    <cellStyle name="Tusenskille 3 4 3 3" xfId="256"/>
    <cellStyle name="Tusenskille 3 4 3 4" xfId="346"/>
    <cellStyle name="Tusenskille 3 4 3 5" xfId="436"/>
    <cellStyle name="Tusenskille 3 4 3 6" xfId="526"/>
    <cellStyle name="Tusenskille 3 4 3 7" xfId="616"/>
    <cellStyle name="Tusenskille 3 4 3 8" xfId="706"/>
    <cellStyle name="Tusenskille 3 4 3 9" xfId="803"/>
    <cellStyle name="Tusenskille 3 4 4" xfId="129"/>
    <cellStyle name="Tusenskille 3 4 5" xfId="219"/>
    <cellStyle name="Tusenskille 3 4 6" xfId="309"/>
    <cellStyle name="Tusenskille 3 4 7" xfId="399"/>
    <cellStyle name="Tusenskille 3 4 8" xfId="489"/>
    <cellStyle name="Tusenskille 3 4 9" xfId="579"/>
    <cellStyle name="Tusenskille 3 5" xfId="34"/>
    <cellStyle name="Tusenskille 3 5 10" xfId="672"/>
    <cellStyle name="Tusenskille 3 5 11" xfId="767"/>
    <cellStyle name="Tusenskille 3 5 2" xfId="56"/>
    <cellStyle name="Tusenskille 3 5 2 10" xfId="787"/>
    <cellStyle name="Tusenskille 3 5 2 2" xfId="96"/>
    <cellStyle name="Tusenskille 3 5 2 2 2" xfId="188"/>
    <cellStyle name="Tusenskille 3 5 2 2 3" xfId="278"/>
    <cellStyle name="Tusenskille 3 5 2 2 4" xfId="368"/>
    <cellStyle name="Tusenskille 3 5 2 2 5" xfId="458"/>
    <cellStyle name="Tusenskille 3 5 2 2 6" xfId="548"/>
    <cellStyle name="Tusenskille 3 5 2 2 7" xfId="638"/>
    <cellStyle name="Tusenskille 3 5 2 2 8" xfId="728"/>
    <cellStyle name="Tusenskille 3 5 2 2 9" xfId="825"/>
    <cellStyle name="Tusenskille 3 5 2 3" xfId="151"/>
    <cellStyle name="Tusenskille 3 5 2 4" xfId="241"/>
    <cellStyle name="Tusenskille 3 5 2 5" xfId="331"/>
    <cellStyle name="Tusenskille 3 5 2 6" xfId="421"/>
    <cellStyle name="Tusenskille 3 5 2 7" xfId="511"/>
    <cellStyle name="Tusenskille 3 5 2 8" xfId="601"/>
    <cellStyle name="Tusenskille 3 5 2 9" xfId="691"/>
    <cellStyle name="Tusenskille 3 5 3" xfId="76"/>
    <cellStyle name="Tusenskille 3 5 3 2" xfId="169"/>
    <cellStyle name="Tusenskille 3 5 3 3" xfId="259"/>
    <cellStyle name="Tusenskille 3 5 3 4" xfId="349"/>
    <cellStyle name="Tusenskille 3 5 3 5" xfId="439"/>
    <cellStyle name="Tusenskille 3 5 3 6" xfId="529"/>
    <cellStyle name="Tusenskille 3 5 3 7" xfId="619"/>
    <cellStyle name="Tusenskille 3 5 3 8" xfId="709"/>
    <cellStyle name="Tusenskille 3 5 3 9" xfId="806"/>
    <cellStyle name="Tusenskille 3 5 4" xfId="132"/>
    <cellStyle name="Tusenskille 3 5 5" xfId="222"/>
    <cellStyle name="Tusenskille 3 5 6" xfId="312"/>
    <cellStyle name="Tusenskille 3 5 7" xfId="402"/>
    <cellStyle name="Tusenskille 3 5 8" xfId="492"/>
    <cellStyle name="Tusenskille 3 5 9" xfId="582"/>
    <cellStyle name="Tusenskille 3 6" xfId="37"/>
    <cellStyle name="Tusenskille 3 6 10" xfId="675"/>
    <cellStyle name="Tusenskille 3 6 11" xfId="770"/>
    <cellStyle name="Tusenskille 3 6 2" xfId="59"/>
    <cellStyle name="Tusenskille 3 6 2 10" xfId="790"/>
    <cellStyle name="Tusenskille 3 6 2 2" xfId="99"/>
    <cellStyle name="Tusenskille 3 6 2 2 2" xfId="191"/>
    <cellStyle name="Tusenskille 3 6 2 2 3" xfId="281"/>
    <cellStyle name="Tusenskille 3 6 2 2 4" xfId="371"/>
    <cellStyle name="Tusenskille 3 6 2 2 5" xfId="461"/>
    <cellStyle name="Tusenskille 3 6 2 2 6" xfId="551"/>
    <cellStyle name="Tusenskille 3 6 2 2 7" xfId="641"/>
    <cellStyle name="Tusenskille 3 6 2 2 8" xfId="731"/>
    <cellStyle name="Tusenskille 3 6 2 2 9" xfId="828"/>
    <cellStyle name="Tusenskille 3 6 2 3" xfId="154"/>
    <cellStyle name="Tusenskille 3 6 2 4" xfId="244"/>
    <cellStyle name="Tusenskille 3 6 2 5" xfId="334"/>
    <cellStyle name="Tusenskille 3 6 2 6" xfId="424"/>
    <cellStyle name="Tusenskille 3 6 2 7" xfId="514"/>
    <cellStyle name="Tusenskille 3 6 2 8" xfId="604"/>
    <cellStyle name="Tusenskille 3 6 2 9" xfId="694"/>
    <cellStyle name="Tusenskille 3 6 3" xfId="79"/>
    <cellStyle name="Tusenskille 3 6 3 2" xfId="172"/>
    <cellStyle name="Tusenskille 3 6 3 3" xfId="262"/>
    <cellStyle name="Tusenskille 3 6 3 4" xfId="352"/>
    <cellStyle name="Tusenskille 3 6 3 5" xfId="442"/>
    <cellStyle name="Tusenskille 3 6 3 6" xfId="532"/>
    <cellStyle name="Tusenskille 3 6 3 7" xfId="622"/>
    <cellStyle name="Tusenskille 3 6 3 8" xfId="712"/>
    <cellStyle name="Tusenskille 3 6 3 9" xfId="809"/>
    <cellStyle name="Tusenskille 3 6 4" xfId="135"/>
    <cellStyle name="Tusenskille 3 6 5" xfId="225"/>
    <cellStyle name="Tusenskille 3 6 6" xfId="315"/>
    <cellStyle name="Tusenskille 3 6 7" xfId="405"/>
    <cellStyle name="Tusenskille 3 6 8" xfId="495"/>
    <cellStyle name="Tusenskille 3 6 9" xfId="585"/>
    <cellStyle name="Tusenskille 3 7" xfId="43"/>
    <cellStyle name="Tusenskille 3 7 10" xfId="775"/>
    <cellStyle name="Tusenskille 3 7 2" xfId="83"/>
    <cellStyle name="Tusenskille 3 7 2 2" xfId="176"/>
    <cellStyle name="Tusenskille 3 7 2 3" xfId="266"/>
    <cellStyle name="Tusenskille 3 7 2 4" xfId="356"/>
    <cellStyle name="Tusenskille 3 7 2 5" xfId="446"/>
    <cellStyle name="Tusenskille 3 7 2 6" xfId="536"/>
    <cellStyle name="Tusenskille 3 7 2 7" xfId="626"/>
    <cellStyle name="Tusenskille 3 7 2 8" xfId="716"/>
    <cellStyle name="Tusenskille 3 7 2 9" xfId="813"/>
    <cellStyle name="Tusenskille 3 7 3" xfId="139"/>
    <cellStyle name="Tusenskille 3 7 4" xfId="229"/>
    <cellStyle name="Tusenskille 3 7 5" xfId="319"/>
    <cellStyle name="Tusenskille 3 7 6" xfId="409"/>
    <cellStyle name="Tusenskille 3 7 7" xfId="499"/>
    <cellStyle name="Tusenskille 3 7 8" xfId="589"/>
    <cellStyle name="Tusenskille 3 7 9" xfId="679"/>
    <cellStyle name="Tusenskille 3 8" xfId="64"/>
    <cellStyle name="Tusenskille 3 8 2" xfId="157"/>
    <cellStyle name="Tusenskille 3 8 3" xfId="247"/>
    <cellStyle name="Tusenskille 3 8 4" xfId="337"/>
    <cellStyle name="Tusenskille 3 8 5" xfId="427"/>
    <cellStyle name="Tusenskille 3 8 6" xfId="517"/>
    <cellStyle name="Tusenskille 3 8 7" xfId="607"/>
    <cellStyle name="Tusenskille 3 8 8" xfId="697"/>
    <cellStyle name="Tusenskille 3 8 9" xfId="794"/>
    <cellStyle name="Tusenskille 3 9" xfId="102"/>
    <cellStyle name="Tusenskille 3 9 2" xfId="194"/>
    <cellStyle name="Tusenskille 3 9 3" xfId="284"/>
    <cellStyle name="Tusenskille 3 9 4" xfId="374"/>
    <cellStyle name="Tusenskille 3 9 5" xfId="464"/>
    <cellStyle name="Tusenskille 3 9 6" xfId="554"/>
    <cellStyle name="Tusenskille 3 9 7" xfId="644"/>
    <cellStyle name="Tusenskille 3 9 8" xfId="734"/>
    <cellStyle name="Tusenskille 3 9 9" xfId="831"/>
    <cellStyle name="Tusenskille 4" xfId="17"/>
    <cellStyle name="Tusenskille 4 2" xfId="753"/>
    <cellStyle name="Tusenskille 5" xfId="13"/>
    <cellStyle name="Tusenskille 5 2" xfId="749"/>
    <cellStyle name="Tusenskille 6" xfId="115"/>
    <cellStyle name="TusenskilleFjernNull" xfId="846"/>
  </cellStyles>
  <dxfs count="198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9" defaultPivotStyle="PivotStyleLight16"/>
  <colors>
    <mruColors>
      <color rgb="FFF8E9D6"/>
      <color rgb="FFFFFF99"/>
      <color rgb="FFF7D7F7"/>
      <color rgb="FFFCD2E2"/>
      <color rgb="FFD2FC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onnections" Target="connections.xml"/><Relationship Id="rId47" Type="http://schemas.openxmlformats.org/officeDocument/2006/relationships/customXml" Target="../customXml/item2.xml"/><Relationship Id="rId50" Type="http://schemas.openxmlformats.org/officeDocument/2006/relationships/customXml" Target="../customXml/item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7140801174953532"/>
          <c:y val="9.8477480734069936E-2"/>
          <c:w val="0.74903048765490665"/>
          <c:h val="0.65437502946862602"/>
        </c:manualLayout>
      </c:layout>
      <c:barChart>
        <c:barDir val="col"/>
        <c:grouping val="clustered"/>
        <c:varyColors val="0"/>
        <c:ser>
          <c:idx val="0"/>
          <c:order val="0"/>
          <c:tx>
            <c:v>2015</c:v>
          </c:tx>
          <c:invertIfNegative val="0"/>
          <c:cat>
            <c:strRef>
              <c:f>Figurer!$L$9:$L$29</c:f>
              <c:strCache>
                <c:ptCount val="21"/>
                <c:pt idx="0">
                  <c:v>ACE</c:v>
                </c:pt>
                <c:pt idx="1">
                  <c:v>Danica Pensjon</c:v>
                </c:pt>
                <c:pt idx="2">
                  <c:v>DNB Liv</c:v>
                </c:pt>
                <c:pt idx="3">
                  <c:v>Eika Forsikring</c:v>
                </c:pt>
                <c:pt idx="4">
                  <c:v>Frende Livsfors</c:v>
                </c:pt>
                <c:pt idx="5">
                  <c:v>Frende Skade</c:v>
                </c:pt>
                <c:pt idx="6">
                  <c:v>Gjensidige Fors</c:v>
                </c:pt>
                <c:pt idx="7">
                  <c:v>Gjensidige Pensj</c:v>
                </c:pt>
                <c:pt idx="8">
                  <c:v>Handelsb Liv</c:v>
                </c:pt>
                <c:pt idx="9">
                  <c:v>If Skadefors</c:v>
                </c:pt>
                <c:pt idx="10">
                  <c:v>KLP</c:v>
                </c:pt>
                <c:pt idx="11">
                  <c:v>KLP Bedriftsp</c:v>
                </c:pt>
                <c:pt idx="12">
                  <c:v>KLP Skadef</c:v>
                </c:pt>
                <c:pt idx="13">
                  <c:v>Landbruksfors.</c:v>
                </c:pt>
                <c:pt idx="14">
                  <c:v>NEMI</c:v>
                </c:pt>
                <c:pt idx="15">
                  <c:v>Nordea Liv</c:v>
                </c:pt>
                <c:pt idx="16">
                  <c:v>OPF</c:v>
                </c:pt>
                <c:pt idx="17">
                  <c:v>SpareBank 1</c:v>
                </c:pt>
                <c:pt idx="18">
                  <c:v>Storebrand </c:v>
                </c:pt>
                <c:pt idx="19">
                  <c:v>Telenor Fors</c:v>
                </c:pt>
                <c:pt idx="20">
                  <c:v>Tryg Fors</c:v>
                </c:pt>
              </c:strCache>
            </c:strRef>
          </c:cat>
          <c:val>
            <c:numRef>
              <c:f>Figurer!$M$9:$M$29</c:f>
              <c:numCache>
                <c:formatCode>#,##0</c:formatCode>
                <c:ptCount val="21"/>
                <c:pt idx="0">
                  <c:v>0</c:v>
                </c:pt>
                <c:pt idx="1">
                  <c:v>392275.23300000001</c:v>
                </c:pt>
                <c:pt idx="2">
                  <c:v>6354769</c:v>
                </c:pt>
                <c:pt idx="3">
                  <c:v>351394</c:v>
                </c:pt>
                <c:pt idx="4">
                  <c:v>452991</c:v>
                </c:pt>
                <c:pt idx="5">
                  <c:v>4460</c:v>
                </c:pt>
                <c:pt idx="6">
                  <c:v>1537000</c:v>
                </c:pt>
                <c:pt idx="7">
                  <c:v>459333</c:v>
                </c:pt>
                <c:pt idx="8">
                  <c:v>38617</c:v>
                </c:pt>
                <c:pt idx="9">
                  <c:v>414284.755</c:v>
                </c:pt>
                <c:pt idx="10">
                  <c:v>33472682.388949998</c:v>
                </c:pt>
                <c:pt idx="11">
                  <c:v>115325</c:v>
                </c:pt>
                <c:pt idx="12">
                  <c:v>135344</c:v>
                </c:pt>
                <c:pt idx="13">
                  <c:v>25735</c:v>
                </c:pt>
                <c:pt idx="14">
                  <c:v>2338</c:v>
                </c:pt>
                <c:pt idx="15">
                  <c:v>2085502.9796573399</c:v>
                </c:pt>
                <c:pt idx="16">
                  <c:v>4018088</c:v>
                </c:pt>
                <c:pt idx="17">
                  <c:v>2505584.0598300006</c:v>
                </c:pt>
                <c:pt idx="18">
                  <c:v>6656214.8409999991</c:v>
                </c:pt>
                <c:pt idx="19">
                  <c:v>25828</c:v>
                </c:pt>
                <c:pt idx="20">
                  <c:v>542694.08400000003</c:v>
                </c:pt>
              </c:numCache>
            </c:numRef>
          </c:val>
          <c:extLst>
            <c:ext xmlns:c16="http://schemas.microsoft.com/office/drawing/2014/chart" uri="{C3380CC4-5D6E-409C-BE32-E72D297353CC}">
              <c16:uniqueId val="{00000002-93AE-4CD9-98AD-A52686D1F9FB}"/>
            </c:ext>
          </c:extLst>
        </c:ser>
        <c:ser>
          <c:idx val="1"/>
          <c:order val="1"/>
          <c:tx>
            <c:strRef>
              <c:f>Figurer!$N$8</c:f>
              <c:strCache>
                <c:ptCount val="1"/>
                <c:pt idx="0">
                  <c:v>2017</c:v>
                </c:pt>
              </c:strCache>
            </c:strRef>
          </c:tx>
          <c:invertIfNegative val="0"/>
          <c:cat>
            <c:strRef>
              <c:f>Figurer!$L$9:$L$29</c:f>
              <c:strCache>
                <c:ptCount val="21"/>
                <c:pt idx="0">
                  <c:v>ACE</c:v>
                </c:pt>
                <c:pt idx="1">
                  <c:v>Danica Pensjon</c:v>
                </c:pt>
                <c:pt idx="2">
                  <c:v>DNB Liv</c:v>
                </c:pt>
                <c:pt idx="3">
                  <c:v>Eika Forsikring</c:v>
                </c:pt>
                <c:pt idx="4">
                  <c:v>Frende Livsfors</c:v>
                </c:pt>
                <c:pt idx="5">
                  <c:v>Frende Skade</c:v>
                </c:pt>
                <c:pt idx="6">
                  <c:v>Gjensidige Fors</c:v>
                </c:pt>
                <c:pt idx="7">
                  <c:v>Gjensidige Pensj</c:v>
                </c:pt>
                <c:pt idx="8">
                  <c:v>Handelsb Liv</c:v>
                </c:pt>
                <c:pt idx="9">
                  <c:v>If Skadefors</c:v>
                </c:pt>
                <c:pt idx="10">
                  <c:v>KLP</c:v>
                </c:pt>
                <c:pt idx="11">
                  <c:v>KLP Bedriftsp</c:v>
                </c:pt>
                <c:pt idx="12">
                  <c:v>KLP Skadef</c:v>
                </c:pt>
                <c:pt idx="13">
                  <c:v>Landbruksfors.</c:v>
                </c:pt>
                <c:pt idx="14">
                  <c:v>NEMI</c:v>
                </c:pt>
                <c:pt idx="15">
                  <c:v>Nordea Liv</c:v>
                </c:pt>
                <c:pt idx="16">
                  <c:v>OPF</c:v>
                </c:pt>
                <c:pt idx="17">
                  <c:v>SpareBank 1</c:v>
                </c:pt>
                <c:pt idx="18">
                  <c:v>Storebrand </c:v>
                </c:pt>
                <c:pt idx="19">
                  <c:v>Telenor Fors</c:v>
                </c:pt>
                <c:pt idx="20">
                  <c:v>Tryg Fors</c:v>
                </c:pt>
              </c:strCache>
            </c:strRef>
          </c:cat>
          <c:val>
            <c:numRef>
              <c:f>Figurer!$N$9:$N$29</c:f>
              <c:numCache>
                <c:formatCode>#,##0</c:formatCode>
                <c:ptCount val="21"/>
                <c:pt idx="0">
                  <c:v>0</c:v>
                </c:pt>
                <c:pt idx="1">
                  <c:v>397773.34500000003</c:v>
                </c:pt>
                <c:pt idx="2">
                  <c:v>4920017.8059999999</c:v>
                </c:pt>
                <c:pt idx="3">
                  <c:v>267318</c:v>
                </c:pt>
                <c:pt idx="4">
                  <c:v>494692.29999999993</c:v>
                </c:pt>
                <c:pt idx="5">
                  <c:v>5631</c:v>
                </c:pt>
                <c:pt idx="6">
                  <c:v>1528867</c:v>
                </c:pt>
                <c:pt idx="7">
                  <c:v>523633</c:v>
                </c:pt>
                <c:pt idx="8">
                  <c:v>37362</c:v>
                </c:pt>
                <c:pt idx="9">
                  <c:v>436905</c:v>
                </c:pt>
                <c:pt idx="10">
                  <c:v>31992253.779960003</c:v>
                </c:pt>
                <c:pt idx="11">
                  <c:v>97233</c:v>
                </c:pt>
                <c:pt idx="12">
                  <c:v>142740</c:v>
                </c:pt>
                <c:pt idx="13">
                  <c:v>79056</c:v>
                </c:pt>
                <c:pt idx="14">
                  <c:v>1147</c:v>
                </c:pt>
                <c:pt idx="15">
                  <c:v>2180519.5885455562</c:v>
                </c:pt>
                <c:pt idx="16">
                  <c:v>4149293</c:v>
                </c:pt>
                <c:pt idx="17">
                  <c:v>2772100.5251799999</c:v>
                </c:pt>
                <c:pt idx="18">
                  <c:v>5689454.449</c:v>
                </c:pt>
                <c:pt idx="19">
                  <c:v>31971</c:v>
                </c:pt>
                <c:pt idx="20">
                  <c:v>512595.94180000003</c:v>
                </c:pt>
              </c:numCache>
            </c:numRef>
          </c:val>
          <c:extLst>
            <c:ext xmlns:c16="http://schemas.microsoft.com/office/drawing/2014/chart" uri="{C3380CC4-5D6E-409C-BE32-E72D297353CC}">
              <c16:uniqueId val="{00000003-93AE-4CD9-98AD-A52686D1F9FB}"/>
            </c:ext>
          </c:extLst>
        </c:ser>
        <c:dLbls>
          <c:showLegendKey val="0"/>
          <c:showVal val="0"/>
          <c:showCatName val="0"/>
          <c:showSerName val="0"/>
          <c:showPercent val="0"/>
          <c:showBubbleSize val="0"/>
        </c:dLbls>
        <c:gapWidth val="150"/>
        <c:axId val="242174208"/>
        <c:axId val="242180096"/>
      </c:barChart>
      <c:catAx>
        <c:axId val="24217420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180096"/>
        <c:crosses val="autoZero"/>
        <c:auto val="1"/>
        <c:lblAlgn val="ctr"/>
        <c:lblOffset val="100"/>
        <c:tickLblSkip val="1"/>
        <c:tickMarkSkip val="1"/>
        <c:noMultiLvlLbl val="0"/>
      </c:catAx>
      <c:valAx>
        <c:axId val="242180096"/>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6.9444532284870034E-3"/>
              <c:y val="0.35171127561150661"/>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174208"/>
        <c:crosses val="autoZero"/>
        <c:crossBetween val="between"/>
      </c:valAx>
    </c:plotArea>
    <c:legend>
      <c:legendPos val="b"/>
      <c:layout>
        <c:manualLayout>
          <c:xMode val="edge"/>
          <c:yMode val="edge"/>
          <c:x val="0.35321900023541236"/>
          <c:y val="0.94486784960263159"/>
          <c:w val="9.5093936551103805E-2"/>
          <c:h val="3.8797994562056987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6608656849620704"/>
          <c:y val="0.10754105736782903"/>
          <c:w val="0.77619271486646502"/>
          <c:h val="0.61573077622722905"/>
        </c:manualLayout>
      </c:layout>
      <c:barChart>
        <c:barDir val="col"/>
        <c:grouping val="clustered"/>
        <c:varyColors val="0"/>
        <c:ser>
          <c:idx val="0"/>
          <c:order val="0"/>
          <c:tx>
            <c:strRef>
              <c:f>Figurer!$M$35</c:f>
              <c:strCache>
                <c:ptCount val="1"/>
                <c:pt idx="0">
                  <c:v>2016</c:v>
                </c:pt>
              </c:strCache>
            </c:strRef>
          </c:tx>
          <c:invertIfNegative val="0"/>
          <c:cat>
            <c:strRef>
              <c:extLst>
                <c:ext xmlns:c16="http://schemas.microsoft.com/office/drawing/2014/chart" uri="{F5D05F6E-A05E-4728-AFD3-386EB277150F}">
                  <c16:filteredLitCache>
                    <c:strCache>
                      <c:ptCount val="1"/>
                      <c:pt idx="8">
                        <c:v>Silver</c:v>
                      </c:pt>
                    </c:strCache>
                  </c16:filteredLitCache>
                </c:ext>
              </c:extLst>
              <c:f/>
              <c:strCache>
                <c:ptCount val="10"/>
                <c:pt idx="0">
                  <c:v>Danica Pensjon</c:v>
                </c:pt>
                <c:pt idx="1">
                  <c:v>DNB Liv</c:v>
                </c:pt>
                <c:pt idx="2">
                  <c:v>Frende Livsfors</c:v>
                </c:pt>
                <c:pt idx="3">
                  <c:v>Gjensidige Pensj</c:v>
                </c:pt>
                <c:pt idx="4">
                  <c:v>KLP</c:v>
                </c:pt>
                <c:pt idx="5">
                  <c:v>KLP Bedriftsp</c:v>
                </c:pt>
                <c:pt idx="6">
                  <c:v>Nordea Liv</c:v>
                </c:pt>
                <c:pt idx="7">
                  <c:v>SHB Liv</c:v>
                </c:pt>
                <c:pt idx="8">
                  <c:v>SpareBank 1</c:v>
                </c:pt>
                <c:pt idx="9">
                  <c:v>Storebrand</c:v>
                </c:pt>
              </c:strCache>
            </c:strRef>
          </c:cat>
          <c:val>
            <c:numRef>
              <c:extLst>
                <c:ext xmlns:c15="http://schemas.microsoft.com/office/drawing/2012/chart" uri="{02D57815-91ED-43cb-92C2-25804820EDAC}">
                  <c15:fullRef>
                    <c15:sqref>Figurer!$M$36:$M$46</c15:sqref>
                  </c15:fullRef>
                </c:ext>
              </c:extLst>
              <c:f>(Figurer!$M$36:$M$43,Figurer!$M$45:$M$46)</c:f>
              <c:numCache>
                <c:formatCode>#,##0</c:formatCode>
                <c:ptCount val="10"/>
                <c:pt idx="0">
                  <c:v>1601249.9339999999</c:v>
                </c:pt>
                <c:pt idx="1">
                  <c:v>7888720</c:v>
                </c:pt>
                <c:pt idx="2">
                  <c:v>317316</c:v>
                </c:pt>
                <c:pt idx="3">
                  <c:v>2012747</c:v>
                </c:pt>
                <c:pt idx="4">
                  <c:v>133629.31599999999</c:v>
                </c:pt>
                <c:pt idx="5">
                  <c:v>274248</c:v>
                </c:pt>
                <c:pt idx="6">
                  <c:v>8569024.0165900029</c:v>
                </c:pt>
                <c:pt idx="7">
                  <c:v>173110</c:v>
                </c:pt>
                <c:pt idx="8">
                  <c:v>2177088.1554299998</c:v>
                </c:pt>
                <c:pt idx="9">
                  <c:v>9586837.9849999994</c:v>
                </c:pt>
              </c:numCache>
            </c:numRef>
          </c:val>
          <c:extLst>
            <c:ext xmlns:c16="http://schemas.microsoft.com/office/drawing/2014/chart" uri="{C3380CC4-5D6E-409C-BE32-E72D297353CC}">
              <c16:uniqueId val="{00000000-3971-4F9A-B5A3-CF52C774B823}"/>
            </c:ext>
          </c:extLst>
        </c:ser>
        <c:ser>
          <c:idx val="1"/>
          <c:order val="1"/>
          <c:tx>
            <c:strRef>
              <c:f>Figurer!$N$35</c:f>
              <c:strCache>
                <c:ptCount val="1"/>
                <c:pt idx="0">
                  <c:v>2017</c:v>
                </c:pt>
              </c:strCache>
            </c:strRef>
          </c:tx>
          <c:invertIfNegative val="0"/>
          <c:cat>
            <c:strRef>
              <c:extLst>
                <c:ext xmlns:c16="http://schemas.microsoft.com/office/drawing/2014/chart" uri="{F5D05F6E-A05E-4728-AFD3-386EB277150F}">
                  <c16:filteredLitCache>
                    <c:strCache>
                      <c:ptCount val="1"/>
                      <c:pt idx="8">
                        <c:v>Silver</c:v>
                      </c:pt>
                    </c:strCache>
                  </c16:filteredLitCache>
                </c:ext>
              </c:extLst>
              <c:f/>
              <c:strCache>
                <c:ptCount val="10"/>
                <c:pt idx="0">
                  <c:v>Danica Pensjon</c:v>
                </c:pt>
                <c:pt idx="1">
                  <c:v>DNB Liv</c:v>
                </c:pt>
                <c:pt idx="2">
                  <c:v>Frende Livsfors</c:v>
                </c:pt>
                <c:pt idx="3">
                  <c:v>Gjensidige Pensj</c:v>
                </c:pt>
                <c:pt idx="4">
                  <c:v>KLP</c:v>
                </c:pt>
                <c:pt idx="5">
                  <c:v>KLP Bedriftsp</c:v>
                </c:pt>
                <c:pt idx="6">
                  <c:v>Nordea Liv</c:v>
                </c:pt>
                <c:pt idx="7">
                  <c:v>SHB Liv</c:v>
                </c:pt>
                <c:pt idx="8">
                  <c:v>SpareBank 1</c:v>
                </c:pt>
                <c:pt idx="9">
                  <c:v>Storebrand</c:v>
                </c:pt>
              </c:strCache>
            </c:strRef>
          </c:cat>
          <c:val>
            <c:numRef>
              <c:extLst>
                <c:ext xmlns:c15="http://schemas.microsoft.com/office/drawing/2012/chart" uri="{02D57815-91ED-43cb-92C2-25804820EDAC}">
                  <c15:fullRef>
                    <c15:sqref>Figurer!$N$36:$N$46</c15:sqref>
                  </c15:fullRef>
                </c:ext>
              </c:extLst>
              <c:f>(Figurer!$N$36:$N$43,Figurer!$N$45:$N$46)</c:f>
              <c:numCache>
                <c:formatCode>#,##0</c:formatCode>
                <c:ptCount val="10"/>
                <c:pt idx="0">
                  <c:v>1774297.267</c:v>
                </c:pt>
                <c:pt idx="1">
                  <c:v>8571932</c:v>
                </c:pt>
                <c:pt idx="2">
                  <c:v>368028</c:v>
                </c:pt>
                <c:pt idx="3">
                  <c:v>2571137</c:v>
                </c:pt>
                <c:pt idx="4">
                  <c:v>130226.34600000001</c:v>
                </c:pt>
                <c:pt idx="5">
                  <c:v>356633</c:v>
                </c:pt>
                <c:pt idx="6">
                  <c:v>9386463.9326900002</c:v>
                </c:pt>
                <c:pt idx="7">
                  <c:v>169062.91999999998</c:v>
                </c:pt>
                <c:pt idx="8">
                  <c:v>3137901.4883699999</c:v>
                </c:pt>
                <c:pt idx="9">
                  <c:v>10339332.776999999</c:v>
                </c:pt>
              </c:numCache>
            </c:numRef>
          </c:val>
          <c:extLst>
            <c:ext xmlns:c16="http://schemas.microsoft.com/office/drawing/2014/chart" uri="{C3380CC4-5D6E-409C-BE32-E72D297353CC}">
              <c16:uniqueId val="{00000001-3971-4F9A-B5A3-CF52C774B823}"/>
            </c:ext>
          </c:extLst>
        </c:ser>
        <c:dLbls>
          <c:showLegendKey val="0"/>
          <c:showVal val="0"/>
          <c:showCatName val="0"/>
          <c:showSerName val="0"/>
          <c:showPercent val="0"/>
          <c:showBubbleSize val="0"/>
        </c:dLbls>
        <c:gapWidth val="150"/>
        <c:axId val="242208128"/>
        <c:axId val="242427008"/>
      </c:barChart>
      <c:catAx>
        <c:axId val="24220812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427008"/>
        <c:crosses val="autoZero"/>
        <c:auto val="1"/>
        <c:lblAlgn val="ctr"/>
        <c:lblOffset val="100"/>
        <c:tickLblSkip val="1"/>
        <c:tickMarkSkip val="1"/>
        <c:noMultiLvlLbl val="0"/>
      </c:catAx>
      <c:valAx>
        <c:axId val="24242700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6.9541508114698515E-3"/>
              <c:y val="0.33962311853875432"/>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208128"/>
        <c:crosses val="autoZero"/>
        <c:crossBetween val="between"/>
      </c:valAx>
    </c:plotArea>
    <c:legend>
      <c:legendPos val="b"/>
      <c:layout>
        <c:manualLayout>
          <c:xMode val="edge"/>
          <c:yMode val="edge"/>
          <c:x val="0.34749475592659351"/>
          <c:y val="0.93710900423161392"/>
          <c:w val="0.23943149676571668"/>
          <c:h val="5.0314424982592074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9034622721340161"/>
          <c:y val="7.9682070044274814E-2"/>
          <c:w val="0.72950920069418312"/>
          <c:h val="0.62009389947752291"/>
        </c:manualLayout>
      </c:layout>
      <c:barChart>
        <c:barDir val="col"/>
        <c:grouping val="clustered"/>
        <c:varyColors val="0"/>
        <c:ser>
          <c:idx val="0"/>
          <c:order val="0"/>
          <c:tx>
            <c:strRef>
              <c:f>Figurer!$M$59</c:f>
              <c:strCache>
                <c:ptCount val="1"/>
                <c:pt idx="0">
                  <c:v>2016</c:v>
                </c:pt>
              </c:strCache>
            </c:strRef>
          </c:tx>
          <c:invertIfNegative val="0"/>
          <c:cat>
            <c:strRef>
              <c:extLst>
                <c:ext xmlns:c16="http://schemas.microsoft.com/office/drawing/2014/chart" uri="{F5D05F6E-A05E-4728-AFD3-386EB277150F}">
                  <c16:filteredLitCache>
                    <c:strCache>
                      <c:ptCount val="1"/>
                      <c:pt idx="12">
                        <c:v>Silver</c:v>
                      </c:pt>
                    </c:strCache>
                  </c16:filteredLitCache>
                </c:ext>
              </c:extLst>
              <c:f/>
              <c:strCache>
                <c:ptCount val="14"/>
                <c:pt idx="0">
                  <c:v>Danica Pensjon</c:v>
                </c:pt>
                <c:pt idx="1">
                  <c:v>DNB Liv</c:v>
                </c:pt>
                <c:pt idx="2">
                  <c:v>Eika Forsikring</c:v>
                </c:pt>
                <c:pt idx="3">
                  <c:v>Frende Livsfors</c:v>
                </c:pt>
                <c:pt idx="4">
                  <c:v>Gjensidige Fors</c:v>
                </c:pt>
                <c:pt idx="5">
                  <c:v>Gjensidige Pensj</c:v>
                </c:pt>
                <c:pt idx="6">
                  <c:v>Handelsb Liv</c:v>
                </c:pt>
                <c:pt idx="7">
                  <c:v>If Skadefors</c:v>
                </c:pt>
                <c:pt idx="8">
                  <c:v>KLP</c:v>
                </c:pt>
                <c:pt idx="9">
                  <c:v>KLP Bedriftsp</c:v>
                </c:pt>
                <c:pt idx="10">
                  <c:v>Nordea Liv</c:v>
                </c:pt>
                <c:pt idx="11">
                  <c:v>OPF</c:v>
                </c:pt>
                <c:pt idx="12">
                  <c:v>SpareBank 1</c:v>
                </c:pt>
                <c:pt idx="13">
                  <c:v>Storebrand </c:v>
                </c:pt>
              </c:strCache>
            </c:strRef>
          </c:cat>
          <c:val>
            <c:numRef>
              <c:extLst>
                <c:ext xmlns:c15="http://schemas.microsoft.com/office/drawing/2012/chart" uri="{02D57815-91ED-43cb-92C2-25804820EDAC}">
                  <c15:fullRef>
                    <c15:sqref>Figurer!$M$60:$M$74</c15:sqref>
                  </c15:fullRef>
                </c:ext>
              </c:extLst>
              <c:f>(Figurer!$M$60:$M$71,Figurer!$M$73:$M$74)</c:f>
              <c:numCache>
                <c:formatCode>#,##0</c:formatCode>
                <c:ptCount val="14"/>
                <c:pt idx="0">
                  <c:v>937089.42500000005</c:v>
                </c:pt>
                <c:pt idx="1">
                  <c:v>203364389</c:v>
                </c:pt>
                <c:pt idx="2">
                  <c:v>401746</c:v>
                </c:pt>
                <c:pt idx="3">
                  <c:v>667456</c:v>
                </c:pt>
                <c:pt idx="4">
                  <c:v>0</c:v>
                </c:pt>
                <c:pt idx="5">
                  <c:v>5409556</c:v>
                </c:pt>
                <c:pt idx="6">
                  <c:v>25901</c:v>
                </c:pt>
                <c:pt idx="7">
                  <c:v>378750</c:v>
                </c:pt>
                <c:pt idx="8">
                  <c:v>421845952.55084002</c:v>
                </c:pt>
                <c:pt idx="9">
                  <c:v>1500502</c:v>
                </c:pt>
                <c:pt idx="10">
                  <c:v>48522570.000125237</c:v>
                </c:pt>
                <c:pt idx="11">
                  <c:v>64732970</c:v>
                </c:pt>
                <c:pt idx="12">
                  <c:v>17312529.77214</c:v>
                </c:pt>
                <c:pt idx="13">
                  <c:v>176557322.10000002</c:v>
                </c:pt>
              </c:numCache>
            </c:numRef>
          </c:val>
          <c:extLst>
            <c:ext xmlns:c16="http://schemas.microsoft.com/office/drawing/2014/chart" uri="{C3380CC4-5D6E-409C-BE32-E72D297353CC}">
              <c16:uniqueId val="{00000000-F5D7-4882-A9B6-45C2F0317A05}"/>
            </c:ext>
          </c:extLst>
        </c:ser>
        <c:ser>
          <c:idx val="1"/>
          <c:order val="1"/>
          <c:tx>
            <c:strRef>
              <c:f>Figurer!$N$59</c:f>
              <c:strCache>
                <c:ptCount val="1"/>
                <c:pt idx="0">
                  <c:v>2017</c:v>
                </c:pt>
              </c:strCache>
            </c:strRef>
          </c:tx>
          <c:invertIfNegative val="0"/>
          <c:cat>
            <c:strRef>
              <c:extLst>
                <c:ext xmlns:c16="http://schemas.microsoft.com/office/drawing/2014/chart" uri="{F5D05F6E-A05E-4728-AFD3-386EB277150F}">
                  <c16:filteredLitCache>
                    <c:strCache>
                      <c:ptCount val="1"/>
                      <c:pt idx="12">
                        <c:v>Silver</c:v>
                      </c:pt>
                    </c:strCache>
                  </c16:filteredLitCache>
                </c:ext>
              </c:extLst>
              <c:f/>
              <c:strCache>
                <c:ptCount val="14"/>
                <c:pt idx="0">
                  <c:v>Danica Pensjon</c:v>
                </c:pt>
                <c:pt idx="1">
                  <c:v>DNB Liv</c:v>
                </c:pt>
                <c:pt idx="2">
                  <c:v>Eika Forsikring</c:v>
                </c:pt>
                <c:pt idx="3">
                  <c:v>Frende Livsfors</c:v>
                </c:pt>
                <c:pt idx="4">
                  <c:v>Gjensidige Fors</c:v>
                </c:pt>
                <c:pt idx="5">
                  <c:v>Gjensidige Pensj</c:v>
                </c:pt>
                <c:pt idx="6">
                  <c:v>Handelsb Liv</c:v>
                </c:pt>
                <c:pt idx="7">
                  <c:v>If Skadefors</c:v>
                </c:pt>
                <c:pt idx="8">
                  <c:v>KLP</c:v>
                </c:pt>
                <c:pt idx="9">
                  <c:v>KLP Bedriftsp</c:v>
                </c:pt>
                <c:pt idx="10">
                  <c:v>Nordea Liv</c:v>
                </c:pt>
                <c:pt idx="11">
                  <c:v>OPF</c:v>
                </c:pt>
                <c:pt idx="12">
                  <c:v>SpareBank 1</c:v>
                </c:pt>
                <c:pt idx="13">
                  <c:v>Storebrand </c:v>
                </c:pt>
              </c:strCache>
            </c:strRef>
          </c:cat>
          <c:val>
            <c:numRef>
              <c:extLst>
                <c:ext xmlns:c15="http://schemas.microsoft.com/office/drawing/2012/chart" uri="{02D57815-91ED-43cb-92C2-25804820EDAC}">
                  <c15:fullRef>
                    <c15:sqref>Figurer!$N$60:$N$74</c15:sqref>
                  </c15:fullRef>
                </c:ext>
              </c:extLst>
              <c:f>(Figurer!$N$60:$N$71,Figurer!$N$73:$N$74)</c:f>
              <c:numCache>
                <c:formatCode>#,##0</c:formatCode>
                <c:ptCount val="14"/>
                <c:pt idx="0">
                  <c:v>1023334.365</c:v>
                </c:pt>
                <c:pt idx="1">
                  <c:v>202997288</c:v>
                </c:pt>
                <c:pt idx="2">
                  <c:v>422298</c:v>
                </c:pt>
                <c:pt idx="3">
                  <c:v>774942.89</c:v>
                </c:pt>
                <c:pt idx="4">
                  <c:v>0</c:v>
                </c:pt>
                <c:pt idx="5">
                  <c:v>6018363</c:v>
                </c:pt>
                <c:pt idx="6">
                  <c:v>26374</c:v>
                </c:pt>
                <c:pt idx="7">
                  <c:v>416284</c:v>
                </c:pt>
                <c:pt idx="8">
                  <c:v>444493649.38739997</c:v>
                </c:pt>
                <c:pt idx="9">
                  <c:v>1613262</c:v>
                </c:pt>
                <c:pt idx="10">
                  <c:v>49563121.552480593</c:v>
                </c:pt>
                <c:pt idx="11">
                  <c:v>70125745</c:v>
                </c:pt>
                <c:pt idx="12">
                  <c:v>18676728.652520001</c:v>
                </c:pt>
                <c:pt idx="13">
                  <c:v>178778748.09999999</c:v>
                </c:pt>
              </c:numCache>
            </c:numRef>
          </c:val>
          <c:extLst>
            <c:ext xmlns:c16="http://schemas.microsoft.com/office/drawing/2014/chart" uri="{C3380CC4-5D6E-409C-BE32-E72D297353CC}">
              <c16:uniqueId val="{00000001-F5D7-4882-A9B6-45C2F0317A05}"/>
            </c:ext>
          </c:extLst>
        </c:ser>
        <c:dLbls>
          <c:showLegendKey val="0"/>
          <c:showVal val="0"/>
          <c:showCatName val="0"/>
          <c:showSerName val="0"/>
          <c:showPercent val="0"/>
          <c:showBubbleSize val="0"/>
        </c:dLbls>
        <c:gapWidth val="150"/>
        <c:axId val="242742784"/>
        <c:axId val="242744320"/>
      </c:barChart>
      <c:catAx>
        <c:axId val="242742784"/>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744320"/>
        <c:crosses val="autoZero"/>
        <c:auto val="1"/>
        <c:lblAlgn val="ctr"/>
        <c:lblOffset val="100"/>
        <c:tickLblSkip val="1"/>
        <c:tickMarkSkip val="1"/>
        <c:noMultiLvlLbl val="0"/>
      </c:catAx>
      <c:valAx>
        <c:axId val="24274432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4590163934426229E-2"/>
              <c:y val="0.34865976584387876"/>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742784"/>
        <c:crosses val="autoZero"/>
        <c:crossBetween val="between"/>
      </c:valAx>
    </c:plotArea>
    <c:legend>
      <c:legendPos val="b"/>
      <c:layout>
        <c:manualLayout>
          <c:xMode val="edge"/>
          <c:yMode val="edge"/>
          <c:x val="0.36156705821608365"/>
          <c:y val="0.94061493998643431"/>
          <c:w val="0.21357027092924838"/>
          <c:h val="4.5976938275973926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8826753749914957"/>
          <c:y val="9.2115610054672017E-2"/>
          <c:w val="0.74306560247500353"/>
          <c:h val="0.6114621490399017"/>
        </c:manualLayout>
      </c:layout>
      <c:barChart>
        <c:barDir val="col"/>
        <c:grouping val="clustered"/>
        <c:varyColors val="0"/>
        <c:ser>
          <c:idx val="0"/>
          <c:order val="0"/>
          <c:tx>
            <c:strRef>
              <c:f>Figurer!$M$84</c:f>
              <c:strCache>
                <c:ptCount val="1"/>
                <c:pt idx="0">
                  <c:v>2016</c:v>
                </c:pt>
              </c:strCache>
            </c:strRef>
          </c:tx>
          <c:invertIfNegative val="0"/>
          <c:cat>
            <c:strRef>
              <c:extLst>
                <c:ext xmlns:c16="http://schemas.microsoft.com/office/drawing/2014/chart" uri="{F5D05F6E-A05E-4728-AFD3-386EB277150F}">
                  <c16:filteredLitCache>
                    <c:strCache>
                      <c:ptCount val="1"/>
                      <c:pt idx="8">
                        <c:v>Silver</c:v>
                      </c:pt>
                    </c:strCache>
                  </c16:filteredLitCache>
                </c:ext>
              </c:extLst>
              <c:f/>
              <c:strCache>
                <c:ptCount val="10"/>
                <c:pt idx="0">
                  <c:v>Danica Pensjon</c:v>
                </c:pt>
                <c:pt idx="1">
                  <c:v>DNB Liv</c:v>
                </c:pt>
                <c:pt idx="2">
                  <c:v>Frende Livsfors</c:v>
                </c:pt>
                <c:pt idx="3">
                  <c:v>Gjensidige Pensj</c:v>
                </c:pt>
                <c:pt idx="4">
                  <c:v>KLP</c:v>
                </c:pt>
                <c:pt idx="5">
                  <c:v>KLP Bedriftsp</c:v>
                </c:pt>
                <c:pt idx="6">
                  <c:v>Nordea Liv</c:v>
                </c:pt>
                <c:pt idx="7">
                  <c:v>SHB Liv</c:v>
                </c:pt>
                <c:pt idx="8">
                  <c:v>SpareBank 1</c:v>
                </c:pt>
                <c:pt idx="9">
                  <c:v>Storebrand</c:v>
                </c:pt>
              </c:strCache>
            </c:strRef>
          </c:cat>
          <c:val>
            <c:numRef>
              <c:extLst>
                <c:ext xmlns:c15="http://schemas.microsoft.com/office/drawing/2012/chart" uri="{02D57815-91ED-43cb-92C2-25804820EDAC}">
                  <c15:fullRef>
                    <c15:sqref>Figurer!$M$85:$M$95</c15:sqref>
                  </c15:fullRef>
                </c:ext>
              </c:extLst>
              <c:f>(Figurer!$M$85:$M$92,Figurer!$M$94:$M$95)</c:f>
              <c:numCache>
                <c:formatCode>#,##0</c:formatCode>
                <c:ptCount val="10"/>
                <c:pt idx="0">
                  <c:v>14037345.691</c:v>
                </c:pt>
                <c:pt idx="1">
                  <c:v>60220192.588040002</c:v>
                </c:pt>
                <c:pt idx="2">
                  <c:v>2660563</c:v>
                </c:pt>
                <c:pt idx="3">
                  <c:v>17827699</c:v>
                </c:pt>
                <c:pt idx="4">
                  <c:v>2181469.20615</c:v>
                </c:pt>
                <c:pt idx="5">
                  <c:v>1673718</c:v>
                </c:pt>
                <c:pt idx="6">
                  <c:v>47300719.99999994</c:v>
                </c:pt>
                <c:pt idx="7">
                  <c:v>1764000</c:v>
                </c:pt>
                <c:pt idx="8">
                  <c:v>19386681.029040001</c:v>
                </c:pt>
                <c:pt idx="9">
                  <c:v>65092912.276000008</c:v>
                </c:pt>
              </c:numCache>
            </c:numRef>
          </c:val>
          <c:extLst>
            <c:ext xmlns:c16="http://schemas.microsoft.com/office/drawing/2014/chart" uri="{C3380CC4-5D6E-409C-BE32-E72D297353CC}">
              <c16:uniqueId val="{00000000-62B1-4395-80F9-424B1553CC96}"/>
            </c:ext>
          </c:extLst>
        </c:ser>
        <c:ser>
          <c:idx val="1"/>
          <c:order val="1"/>
          <c:tx>
            <c:strRef>
              <c:f>Figurer!$N$84</c:f>
              <c:strCache>
                <c:ptCount val="1"/>
                <c:pt idx="0">
                  <c:v>2017</c:v>
                </c:pt>
              </c:strCache>
            </c:strRef>
          </c:tx>
          <c:invertIfNegative val="0"/>
          <c:cat>
            <c:strRef>
              <c:extLst>
                <c:ext xmlns:c16="http://schemas.microsoft.com/office/drawing/2014/chart" uri="{F5D05F6E-A05E-4728-AFD3-386EB277150F}">
                  <c16:filteredLitCache>
                    <c:strCache>
                      <c:ptCount val="1"/>
                      <c:pt idx="8">
                        <c:v>Silver</c:v>
                      </c:pt>
                    </c:strCache>
                  </c16:filteredLitCache>
                </c:ext>
              </c:extLst>
              <c:f/>
              <c:strCache>
                <c:ptCount val="10"/>
                <c:pt idx="0">
                  <c:v>Danica Pensjon</c:v>
                </c:pt>
                <c:pt idx="1">
                  <c:v>DNB Liv</c:v>
                </c:pt>
                <c:pt idx="2">
                  <c:v>Frende Livsfors</c:v>
                </c:pt>
                <c:pt idx="3">
                  <c:v>Gjensidige Pensj</c:v>
                </c:pt>
                <c:pt idx="4">
                  <c:v>KLP</c:v>
                </c:pt>
                <c:pt idx="5">
                  <c:v>KLP Bedriftsp</c:v>
                </c:pt>
                <c:pt idx="6">
                  <c:v>Nordea Liv</c:v>
                </c:pt>
                <c:pt idx="7">
                  <c:v>SHB Liv</c:v>
                </c:pt>
                <c:pt idx="8">
                  <c:v>SpareBank 1</c:v>
                </c:pt>
                <c:pt idx="9">
                  <c:v>Storebrand</c:v>
                </c:pt>
              </c:strCache>
            </c:strRef>
          </c:cat>
          <c:val>
            <c:numRef>
              <c:extLst>
                <c:ext xmlns:c15="http://schemas.microsoft.com/office/drawing/2012/chart" uri="{02D57815-91ED-43cb-92C2-25804820EDAC}">
                  <c15:fullRef>
                    <c15:sqref>Figurer!$N$85:$N$95</c15:sqref>
                  </c15:fullRef>
                </c:ext>
              </c:extLst>
              <c:f>(Figurer!$N$85:$N$92,Figurer!$N$94:$N$95)</c:f>
              <c:numCache>
                <c:formatCode>#,##0</c:formatCode>
                <c:ptCount val="10"/>
                <c:pt idx="0">
                  <c:v>16948728.280999999</c:v>
                </c:pt>
                <c:pt idx="1">
                  <c:v>75206078.714000002</c:v>
                </c:pt>
                <c:pt idx="2">
                  <c:v>3250729.1</c:v>
                </c:pt>
                <c:pt idx="3">
                  <c:v>22680593</c:v>
                </c:pt>
                <c:pt idx="4">
                  <c:v>2373955.5961500001</c:v>
                </c:pt>
                <c:pt idx="5">
                  <c:v>2683785</c:v>
                </c:pt>
                <c:pt idx="6">
                  <c:v>58646139.999999985</c:v>
                </c:pt>
                <c:pt idx="7">
                  <c:v>2082187</c:v>
                </c:pt>
                <c:pt idx="8">
                  <c:v>24894504.285070002</c:v>
                </c:pt>
                <c:pt idx="9">
                  <c:v>80323761.414470002</c:v>
                </c:pt>
              </c:numCache>
            </c:numRef>
          </c:val>
          <c:extLst>
            <c:ext xmlns:c16="http://schemas.microsoft.com/office/drawing/2014/chart" uri="{C3380CC4-5D6E-409C-BE32-E72D297353CC}">
              <c16:uniqueId val="{00000001-62B1-4395-80F9-424B1553CC96}"/>
            </c:ext>
          </c:extLst>
        </c:ser>
        <c:dLbls>
          <c:showLegendKey val="0"/>
          <c:showVal val="0"/>
          <c:showCatName val="0"/>
          <c:showSerName val="0"/>
          <c:showPercent val="0"/>
          <c:showBubbleSize val="0"/>
        </c:dLbls>
        <c:gapWidth val="150"/>
        <c:axId val="243158400"/>
        <c:axId val="243164288"/>
      </c:barChart>
      <c:catAx>
        <c:axId val="24315840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3164288"/>
        <c:crosses val="autoZero"/>
        <c:auto val="1"/>
        <c:lblAlgn val="ctr"/>
        <c:lblOffset val="100"/>
        <c:tickLblSkip val="1"/>
        <c:tickMarkSkip val="1"/>
        <c:noMultiLvlLbl val="0"/>
      </c:catAx>
      <c:valAx>
        <c:axId val="24316428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5920873124147342E-2"/>
              <c:y val="0.33544386003133031"/>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158400"/>
        <c:crosses val="autoZero"/>
        <c:crossBetween val="between"/>
      </c:valAx>
    </c:plotArea>
    <c:legend>
      <c:legendPos val="b"/>
      <c:layout>
        <c:manualLayout>
          <c:xMode val="edge"/>
          <c:yMode val="edge"/>
          <c:x val="0.34561192811335145"/>
          <c:y val="0.93671075700518092"/>
          <c:w val="0.23419750566649891"/>
          <c:h val="4.8523233014845533E-2"/>
        </c:manualLayout>
      </c:layout>
      <c:overlay val="0"/>
      <c:txPr>
        <a:bodyPr/>
        <a:lstStyle/>
        <a:p>
          <a:pPr>
            <a:defRPr sz="595"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8614144699303892"/>
          <c:y val="8.40864305054419E-2"/>
          <c:w val="0.75271796188519913"/>
          <c:h val="0.62564087493112053"/>
        </c:manualLayout>
      </c:layout>
      <c:barChart>
        <c:barDir val="col"/>
        <c:grouping val="clustered"/>
        <c:varyColors val="0"/>
        <c:ser>
          <c:idx val="0"/>
          <c:order val="0"/>
          <c:tx>
            <c:strRef>
              <c:f>Figurer!$M$111</c:f>
              <c:strCache>
                <c:ptCount val="1"/>
                <c:pt idx="0">
                  <c:v>2016</c:v>
                </c:pt>
              </c:strCache>
            </c:strRef>
          </c:tx>
          <c:invertIfNegative val="0"/>
          <c:cat>
            <c:strRef>
              <c:extLst>
                <c:ext xmlns:c16="http://schemas.microsoft.com/office/drawing/2014/chart" uri="{F5D05F6E-A05E-4728-AFD3-386EB277150F}">
                  <c16:filteredLitCache>
                    <c:strCache>
                      <c:ptCount val="1"/>
                      <c:pt idx="6">
                        <c:v>Silver</c:v>
                      </c:pt>
                    </c:strCache>
                  </c16:filteredLitCache>
                </c:ext>
              </c:extLst>
              <c:f/>
              <c:strCache>
                <c:ptCount val="8"/>
                <c:pt idx="0">
                  <c:v>Danica Pensjon</c:v>
                </c:pt>
                <c:pt idx="1">
                  <c:v>DNB Liv</c:v>
                </c:pt>
                <c:pt idx="2">
                  <c:v>Gjensidige Pensj</c:v>
                </c:pt>
                <c:pt idx="3">
                  <c:v>KLP</c:v>
                </c:pt>
                <c:pt idx="4">
                  <c:v>KLP Bedriftsp</c:v>
                </c:pt>
                <c:pt idx="5">
                  <c:v>Nordea Liv</c:v>
                </c:pt>
                <c:pt idx="6">
                  <c:v>SpareBank 1</c:v>
                </c:pt>
                <c:pt idx="7">
                  <c:v>Storebrand </c:v>
                </c:pt>
              </c:strCache>
            </c:strRef>
          </c:cat>
          <c:val>
            <c:numRef>
              <c:extLst>
                <c:ext xmlns:c15="http://schemas.microsoft.com/office/drawing/2012/chart" uri="{02D57815-91ED-43cb-92C2-25804820EDAC}">
                  <c15:fullRef>
                    <c15:sqref>Figurer!$M$112:$M$120</c15:sqref>
                  </c15:fullRef>
                </c:ext>
              </c:extLst>
              <c:f>(Figurer!$M$112:$M$117,Figurer!$M$119:$M$120)</c:f>
              <c:numCache>
                <c:formatCode>#,##0</c:formatCode>
                <c:ptCount val="8"/>
                <c:pt idx="0">
                  <c:v>-13497.161</c:v>
                </c:pt>
                <c:pt idx="1">
                  <c:v>699030</c:v>
                </c:pt>
                <c:pt idx="2">
                  <c:v>20522</c:v>
                </c:pt>
                <c:pt idx="3">
                  <c:v>3128337.7660000003</c:v>
                </c:pt>
                <c:pt idx="4">
                  <c:v>1141</c:v>
                </c:pt>
                <c:pt idx="5">
                  <c:v>-92816.804760000028</c:v>
                </c:pt>
                <c:pt idx="6">
                  <c:v>100246.76105</c:v>
                </c:pt>
                <c:pt idx="7">
                  <c:v>-2009393.2790000001</c:v>
                </c:pt>
              </c:numCache>
            </c:numRef>
          </c:val>
          <c:extLst>
            <c:ext xmlns:c16="http://schemas.microsoft.com/office/drawing/2014/chart" uri="{C3380CC4-5D6E-409C-BE32-E72D297353CC}">
              <c16:uniqueId val="{00000000-2BF8-4278-857F-91A0E7196849}"/>
            </c:ext>
          </c:extLst>
        </c:ser>
        <c:ser>
          <c:idx val="1"/>
          <c:order val="1"/>
          <c:tx>
            <c:strRef>
              <c:f>Figurer!$N$111</c:f>
              <c:strCache>
                <c:ptCount val="1"/>
                <c:pt idx="0">
                  <c:v>2017</c:v>
                </c:pt>
              </c:strCache>
            </c:strRef>
          </c:tx>
          <c:invertIfNegative val="0"/>
          <c:cat>
            <c:strRef>
              <c:extLst>
                <c:ext xmlns:c16="http://schemas.microsoft.com/office/drawing/2014/chart" uri="{F5D05F6E-A05E-4728-AFD3-386EB277150F}">
                  <c16:filteredLitCache>
                    <c:strCache>
                      <c:ptCount val="1"/>
                      <c:pt idx="6">
                        <c:v>Silver</c:v>
                      </c:pt>
                    </c:strCache>
                  </c16:filteredLitCache>
                </c:ext>
              </c:extLst>
              <c:f/>
              <c:strCache>
                <c:ptCount val="8"/>
                <c:pt idx="0">
                  <c:v>Danica Pensjon</c:v>
                </c:pt>
                <c:pt idx="1">
                  <c:v>DNB Liv</c:v>
                </c:pt>
                <c:pt idx="2">
                  <c:v>Gjensidige Pensj</c:v>
                </c:pt>
                <c:pt idx="3">
                  <c:v>KLP</c:v>
                </c:pt>
                <c:pt idx="4">
                  <c:v>KLP Bedriftsp</c:v>
                </c:pt>
                <c:pt idx="5">
                  <c:v>Nordea Liv</c:v>
                </c:pt>
                <c:pt idx="6">
                  <c:v>SpareBank 1</c:v>
                </c:pt>
                <c:pt idx="7">
                  <c:v>Storebrand </c:v>
                </c:pt>
              </c:strCache>
            </c:strRef>
          </c:cat>
          <c:val>
            <c:numRef>
              <c:extLst>
                <c:ext xmlns:c15="http://schemas.microsoft.com/office/drawing/2012/chart" uri="{02D57815-91ED-43cb-92C2-25804820EDAC}">
                  <c15:fullRef>
                    <c15:sqref>Figurer!$N$112:$N$120</c15:sqref>
                  </c15:fullRef>
                </c:ext>
              </c:extLst>
              <c:f>(Figurer!$N$112:$N$117,Figurer!$N$119:$N$120)</c:f>
              <c:numCache>
                <c:formatCode>#,##0</c:formatCode>
                <c:ptCount val="8"/>
                <c:pt idx="0">
                  <c:v>8391.2209999999977</c:v>
                </c:pt>
                <c:pt idx="1">
                  <c:v>418326</c:v>
                </c:pt>
                <c:pt idx="2">
                  <c:v>49196</c:v>
                </c:pt>
                <c:pt idx="3">
                  <c:v>60236.104999999981</c:v>
                </c:pt>
                <c:pt idx="4">
                  <c:v>-13513</c:v>
                </c:pt>
                <c:pt idx="5">
                  <c:v>-82238.518989999895</c:v>
                </c:pt>
                <c:pt idx="6">
                  <c:v>8306.1557399999947</c:v>
                </c:pt>
                <c:pt idx="7">
                  <c:v>-286957.93400000001</c:v>
                </c:pt>
              </c:numCache>
            </c:numRef>
          </c:val>
          <c:extLst>
            <c:ext xmlns:c16="http://schemas.microsoft.com/office/drawing/2014/chart" uri="{C3380CC4-5D6E-409C-BE32-E72D297353CC}">
              <c16:uniqueId val="{00000001-2BF8-4278-857F-91A0E7196849}"/>
            </c:ext>
          </c:extLst>
        </c:ser>
        <c:dLbls>
          <c:showLegendKey val="0"/>
          <c:showVal val="0"/>
          <c:showCatName val="0"/>
          <c:showSerName val="0"/>
          <c:showPercent val="0"/>
          <c:showBubbleSize val="0"/>
        </c:dLbls>
        <c:gapWidth val="150"/>
        <c:axId val="243201536"/>
        <c:axId val="243203072"/>
      </c:barChart>
      <c:catAx>
        <c:axId val="243201536"/>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nb-NO"/>
          </a:p>
        </c:txPr>
        <c:crossAx val="243203072"/>
        <c:crosses val="autoZero"/>
        <c:auto val="1"/>
        <c:lblAlgn val="ctr"/>
        <c:lblOffset val="100"/>
        <c:tickLblSkip val="1"/>
        <c:tickMarkSkip val="1"/>
        <c:noMultiLvlLbl val="0"/>
      </c:catAx>
      <c:valAx>
        <c:axId val="243203072"/>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1739130434782612E-2"/>
              <c:y val="0.35755283411244326"/>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201536"/>
        <c:crosses val="autoZero"/>
        <c:crossBetween val="between"/>
      </c:valAx>
    </c:plotArea>
    <c:legend>
      <c:legendPos val="b"/>
      <c:layout>
        <c:manualLayout>
          <c:xMode val="edge"/>
          <c:yMode val="edge"/>
          <c:x val="0.34737347369622462"/>
          <c:y val="0.94455128774817365"/>
          <c:w val="0.22871391076115474"/>
          <c:h val="4.5888981710243797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7253853430922791"/>
          <c:y val="8.5614035087719767E-2"/>
          <c:w val="0.75564702786135474"/>
          <c:h val="0.63649189114519311"/>
        </c:manualLayout>
      </c:layout>
      <c:barChart>
        <c:barDir val="col"/>
        <c:grouping val="clustered"/>
        <c:varyColors val="0"/>
        <c:ser>
          <c:idx val="0"/>
          <c:order val="0"/>
          <c:tx>
            <c:strRef>
              <c:f>Figurer!$M$137</c:f>
              <c:strCache>
                <c:ptCount val="1"/>
                <c:pt idx="0">
                  <c:v>2016</c:v>
                </c:pt>
              </c:strCache>
            </c:strRef>
          </c:tx>
          <c:invertIfNegative val="0"/>
          <c:cat>
            <c:strRef>
              <c:extLst>
                <c:ext xmlns:c16="http://schemas.microsoft.com/office/drawing/2014/chart" uri="{F5D05F6E-A05E-4728-AFD3-386EB277150F}">
                  <c16:filteredLitCache>
                    <c:strCache>
                      <c:ptCount val="1"/>
                      <c:pt idx="7">
                        <c:v>Silver</c:v>
                      </c:pt>
                    </c:strCache>
                  </c16:filteredLitCache>
                </c:ext>
              </c:extLst>
              <c:f/>
              <c:strCache>
                <c:ptCount val="9"/>
                <c:pt idx="0">
                  <c:v>Danica Pensjon</c:v>
                </c:pt>
                <c:pt idx="1">
                  <c:v>DNB Liv</c:v>
                </c:pt>
                <c:pt idx="2">
                  <c:v>Frende Livsfors</c:v>
                </c:pt>
                <c:pt idx="3">
                  <c:v>Gjensidige Pensj</c:v>
                </c:pt>
                <c:pt idx="4">
                  <c:v>KLP Bedriftsp</c:v>
                </c:pt>
                <c:pt idx="5">
                  <c:v>Nordea Liv</c:v>
                </c:pt>
                <c:pt idx="6">
                  <c:v>SHB Liv</c:v>
                </c:pt>
                <c:pt idx="7">
                  <c:v>SpareBank 1</c:v>
                </c:pt>
                <c:pt idx="8">
                  <c:v>Storebrand</c:v>
                </c:pt>
              </c:strCache>
            </c:strRef>
          </c:cat>
          <c:val>
            <c:numRef>
              <c:extLst>
                <c:ext xmlns:c15="http://schemas.microsoft.com/office/drawing/2012/chart" uri="{02D57815-91ED-43cb-92C2-25804820EDAC}">
                  <c15:fullRef>
                    <c15:sqref>Figurer!$M$138:$M$147</c15:sqref>
                  </c15:fullRef>
                </c:ext>
              </c:extLst>
              <c:f>(Figurer!$M$138:$M$144,Figurer!$M$146:$M$147)</c:f>
              <c:numCache>
                <c:formatCode>#,##0</c:formatCode>
                <c:ptCount val="9"/>
                <c:pt idx="0">
                  <c:v>103090.35200000007</c:v>
                </c:pt>
                <c:pt idx="1">
                  <c:v>287011</c:v>
                </c:pt>
                <c:pt idx="2">
                  <c:v>-28214</c:v>
                </c:pt>
                <c:pt idx="3">
                  <c:v>415769</c:v>
                </c:pt>
                <c:pt idx="4">
                  <c:v>135635</c:v>
                </c:pt>
                <c:pt idx="5">
                  <c:v>-423133.50978000008</c:v>
                </c:pt>
                <c:pt idx="6">
                  <c:v>87560</c:v>
                </c:pt>
                <c:pt idx="7">
                  <c:v>1135606.9406599998</c:v>
                </c:pt>
                <c:pt idx="8">
                  <c:v>-1591684.1879999998</c:v>
                </c:pt>
              </c:numCache>
            </c:numRef>
          </c:val>
          <c:extLst>
            <c:ext xmlns:c16="http://schemas.microsoft.com/office/drawing/2014/chart" uri="{C3380CC4-5D6E-409C-BE32-E72D297353CC}">
              <c16:uniqueId val="{00000000-B400-4C26-965B-0553A4A37873}"/>
            </c:ext>
          </c:extLst>
        </c:ser>
        <c:ser>
          <c:idx val="1"/>
          <c:order val="1"/>
          <c:tx>
            <c:strRef>
              <c:f>Figurer!$N$137</c:f>
              <c:strCache>
                <c:ptCount val="1"/>
                <c:pt idx="0">
                  <c:v>2017</c:v>
                </c:pt>
              </c:strCache>
            </c:strRef>
          </c:tx>
          <c:invertIfNegative val="0"/>
          <c:cat>
            <c:strRef>
              <c:extLst>
                <c:ext xmlns:c16="http://schemas.microsoft.com/office/drawing/2014/chart" uri="{F5D05F6E-A05E-4728-AFD3-386EB277150F}">
                  <c16:filteredLitCache>
                    <c:strCache>
                      <c:ptCount val="1"/>
                      <c:pt idx="7">
                        <c:v>Silver</c:v>
                      </c:pt>
                    </c:strCache>
                  </c16:filteredLitCache>
                </c:ext>
              </c:extLst>
              <c:f/>
              <c:strCache>
                <c:ptCount val="9"/>
                <c:pt idx="0">
                  <c:v>Danica Pensjon</c:v>
                </c:pt>
                <c:pt idx="1">
                  <c:v>DNB Liv</c:v>
                </c:pt>
                <c:pt idx="2">
                  <c:v>Frende Livsfors</c:v>
                </c:pt>
                <c:pt idx="3">
                  <c:v>Gjensidige Pensj</c:v>
                </c:pt>
                <c:pt idx="4">
                  <c:v>KLP Bedriftsp</c:v>
                </c:pt>
                <c:pt idx="5">
                  <c:v>Nordea Liv</c:v>
                </c:pt>
                <c:pt idx="6">
                  <c:v>SHB Liv</c:v>
                </c:pt>
                <c:pt idx="7">
                  <c:v>SpareBank 1</c:v>
                </c:pt>
                <c:pt idx="8">
                  <c:v>Storebrand</c:v>
                </c:pt>
              </c:strCache>
            </c:strRef>
          </c:cat>
          <c:val>
            <c:numRef>
              <c:extLst>
                <c:ext xmlns:c15="http://schemas.microsoft.com/office/drawing/2012/chart" uri="{02D57815-91ED-43cb-92C2-25804820EDAC}">
                  <c15:fullRef>
                    <c15:sqref>Figurer!$N$138:$N$147</c15:sqref>
                  </c15:fullRef>
                </c:ext>
              </c:extLst>
              <c:f>(Figurer!$N$138:$N$144,Figurer!$N$146:$N$147)</c:f>
              <c:numCache>
                <c:formatCode>#,##0</c:formatCode>
                <c:ptCount val="9"/>
                <c:pt idx="0">
                  <c:v>234366.00800000003</c:v>
                </c:pt>
                <c:pt idx="1">
                  <c:v>1294346</c:v>
                </c:pt>
                <c:pt idx="2">
                  <c:v>-40663.235000000001</c:v>
                </c:pt>
                <c:pt idx="3">
                  <c:v>738595</c:v>
                </c:pt>
                <c:pt idx="4">
                  <c:v>431562</c:v>
                </c:pt>
                <c:pt idx="5">
                  <c:v>-1089161.4378300002</c:v>
                </c:pt>
                <c:pt idx="6">
                  <c:v>95800.697</c:v>
                </c:pt>
                <c:pt idx="7">
                  <c:v>875736.41453000007</c:v>
                </c:pt>
                <c:pt idx="8">
                  <c:v>-2684655.31</c:v>
                </c:pt>
              </c:numCache>
            </c:numRef>
          </c:val>
          <c:extLst>
            <c:ext xmlns:c16="http://schemas.microsoft.com/office/drawing/2014/chart" uri="{C3380CC4-5D6E-409C-BE32-E72D297353CC}">
              <c16:uniqueId val="{00000001-B400-4C26-965B-0553A4A37873}"/>
            </c:ext>
          </c:extLst>
        </c:ser>
        <c:dLbls>
          <c:showLegendKey val="0"/>
          <c:showVal val="0"/>
          <c:showCatName val="0"/>
          <c:showSerName val="0"/>
          <c:showPercent val="0"/>
          <c:showBubbleSize val="0"/>
        </c:dLbls>
        <c:gapWidth val="150"/>
        <c:axId val="243686400"/>
        <c:axId val="243700480"/>
      </c:barChart>
      <c:catAx>
        <c:axId val="243686400"/>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nb-NO"/>
          </a:p>
        </c:txPr>
        <c:crossAx val="243700480"/>
        <c:crosses val="autoZero"/>
        <c:auto val="1"/>
        <c:lblAlgn val="ctr"/>
        <c:lblOffset val="100"/>
        <c:tickLblSkip val="1"/>
        <c:tickMarkSkip val="1"/>
        <c:noMultiLvlLbl val="0"/>
      </c:catAx>
      <c:valAx>
        <c:axId val="24370048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3.3875338753387642E-2"/>
              <c:y val="0.330526785811528"/>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686400"/>
        <c:crosses val="autoZero"/>
        <c:crossBetween val="between"/>
      </c:valAx>
    </c:plotArea>
    <c:legend>
      <c:legendPos val="b"/>
      <c:layout>
        <c:manualLayout>
          <c:xMode val="edge"/>
          <c:yMode val="edge"/>
          <c:x val="0.35049740733627832"/>
          <c:y val="0.93473780507726956"/>
          <c:w val="0.23080411696505387"/>
          <c:h val="4.8421167271103877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476250</xdr:colOff>
      <xdr:row>54</xdr:row>
      <xdr:rowOff>28575</xdr:rowOff>
    </xdr:to>
    <xdr:pic>
      <xdr:nvPicPr>
        <xdr:cNvPr id="2" name="Picture 1" descr="Statistikk_forside.pd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0" y="0"/>
          <a:ext cx="6572250" cy="11258550"/>
        </a:xfrm>
        <a:prstGeom prst="rect">
          <a:avLst/>
        </a:prstGeom>
        <a:noFill/>
        <a:ln w="9525">
          <a:noFill/>
          <a:miter lim="800000"/>
          <a:headEnd/>
          <a:tailEnd/>
        </a:ln>
      </xdr:spPr>
    </xdr:pic>
    <xdr:clientData/>
  </xdr:twoCellAnchor>
  <xdr:twoCellAnchor>
    <xdr:from>
      <xdr:col>0</xdr:col>
      <xdr:colOff>695325</xdr:colOff>
      <xdr:row>41</xdr:row>
      <xdr:rowOff>34925</xdr:rowOff>
    </xdr:from>
    <xdr:to>
      <xdr:col>5</xdr:col>
      <xdr:colOff>371492</xdr:colOff>
      <xdr:row>43</xdr:row>
      <xdr:rowOff>152400</xdr:rowOff>
    </xdr:to>
    <xdr:sp macro="" textlink="">
      <xdr:nvSpPr>
        <xdr:cNvPr id="3" name="Text Box 6">
          <a:extLst>
            <a:ext uri="{FF2B5EF4-FFF2-40B4-BE49-F238E27FC236}">
              <a16:creationId xmlns:a16="http://schemas.microsoft.com/office/drawing/2014/main" id="{00000000-0008-0000-0000-000003000000}"/>
            </a:ext>
          </a:extLst>
        </xdr:cNvPr>
        <xdr:cNvSpPr txBox="1"/>
      </xdr:nvSpPr>
      <xdr:spPr>
        <a:xfrm>
          <a:off x="695325" y="9083675"/>
          <a:ext cx="3486167" cy="517525"/>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4. KVARTAL 2017 </a:t>
          </a:r>
          <a:r>
            <a:rPr lang="nb-NO" sz="1100" b="0">
              <a:effectLst/>
              <a:latin typeface="Arial"/>
              <a:ea typeface="ＭＳ 明朝"/>
              <a:cs typeface="Times New Roman"/>
            </a:rPr>
            <a:t>(23.03.2018)</a:t>
          </a:r>
          <a:r>
            <a:rPr lang="nb-NO" sz="1600" b="1">
              <a:effectLst/>
              <a:latin typeface="Arial"/>
              <a:ea typeface="ＭＳ 明朝"/>
              <a:cs typeface="Times New Roman"/>
            </a:rPr>
            <a:t> </a:t>
          </a:r>
        </a:p>
        <a:p>
          <a:pPr>
            <a:spcAft>
              <a:spcPts val="0"/>
            </a:spcAft>
          </a:pPr>
          <a:endParaRPr lang="nb-NO" sz="1600" b="1">
            <a:effectLst/>
            <a:latin typeface="Arial"/>
            <a:ea typeface="ＭＳ 明朝"/>
            <a:cs typeface="Times New Roman"/>
          </a:endParaRPr>
        </a:p>
        <a:p>
          <a:pPr>
            <a:spcAft>
              <a:spcPts val="0"/>
            </a:spcAft>
          </a:pPr>
          <a:r>
            <a:rPr lang="nb-NO" sz="1200" b="0">
              <a:effectLst/>
              <a:latin typeface="Arial"/>
              <a:ea typeface="ＭＳ 明朝"/>
              <a:cs typeface="Times New Roman"/>
            </a:rPr>
            <a:t>senest endret 11.04.2018</a:t>
          </a:r>
          <a:endParaRPr lang="nb-NO" sz="1200" b="0">
            <a:effectLst/>
            <a:ea typeface="ＭＳ 明朝"/>
            <a:cs typeface="Times New Roman"/>
          </a:endParaRPr>
        </a:p>
      </xdr:txBody>
    </xdr:sp>
    <xdr:clientData/>
  </xdr:twoCellAnchor>
  <xdr:twoCellAnchor>
    <xdr:from>
      <xdr:col>0</xdr:col>
      <xdr:colOff>666750</xdr:colOff>
      <xdr:row>32</xdr:row>
      <xdr:rowOff>387350</xdr:rowOff>
    </xdr:from>
    <xdr:to>
      <xdr:col>8</xdr:col>
      <xdr:colOff>196850</xdr:colOff>
      <xdr:row>38</xdr:row>
      <xdr:rowOff>22225</xdr:rowOff>
    </xdr:to>
    <xdr:sp macro="" textlink="">
      <xdr:nvSpPr>
        <xdr:cNvPr id="4" name="Text Box 4">
          <a:extLst>
            <a:ext uri="{FF2B5EF4-FFF2-40B4-BE49-F238E27FC236}">
              <a16:creationId xmlns:a16="http://schemas.microsoft.com/office/drawing/2014/main" id="{00000000-0008-0000-0000-000004000000}"/>
            </a:ext>
          </a:extLst>
        </xdr:cNvPr>
        <xdr:cNvSpPr txBox="1"/>
      </xdr:nvSpPr>
      <xdr:spPr>
        <a:xfrm>
          <a:off x="666750" y="7292975"/>
          <a:ext cx="5626100" cy="1149350"/>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3100"/>
            </a:lnSpc>
            <a:spcAft>
              <a:spcPts val="0"/>
            </a:spcAft>
          </a:pPr>
          <a:r>
            <a:rPr lang="nb-NO" sz="2800" b="1">
              <a:solidFill>
                <a:srgbClr val="54758C"/>
              </a:solidFill>
              <a:effectLst/>
              <a:latin typeface="Arial"/>
              <a:ea typeface="ＭＳ 明朝"/>
              <a:cs typeface="Times New Roman"/>
            </a:rPr>
            <a:t>MARKEDSANDELER</a:t>
          </a:r>
          <a:endParaRPr lang="nb-NO" sz="1200">
            <a:effectLst/>
            <a:ea typeface="ＭＳ 明朝"/>
            <a:cs typeface="Times New Roman"/>
          </a:endParaRPr>
        </a:p>
        <a:p>
          <a:pPr>
            <a:lnSpc>
              <a:spcPts val="3200"/>
            </a:lnSpc>
            <a:spcAft>
              <a:spcPts val="0"/>
            </a:spcAft>
          </a:pPr>
          <a:r>
            <a:rPr lang="en-GB" sz="2600">
              <a:solidFill>
                <a:srgbClr val="54758C"/>
              </a:solidFill>
              <a:effectLst/>
              <a:latin typeface="Arial"/>
              <a:ea typeface="ＭＳ 明朝"/>
              <a:cs typeface="MinionPro-Regular"/>
            </a:rPr>
            <a:t>– endelige tall og regnskapsstatistikk</a:t>
          </a:r>
          <a:endParaRPr lang="nb-NO" sz="1200">
            <a:solidFill>
              <a:srgbClr val="000000"/>
            </a:solidFill>
            <a:effectLst/>
            <a:latin typeface="MinionPro-Regular"/>
            <a:ea typeface="ＭＳ 明朝"/>
            <a:cs typeface="MinionPro-Regular"/>
          </a:endParaRPr>
        </a:p>
        <a:p>
          <a:pPr>
            <a:lnSpc>
              <a:spcPts val="1300"/>
            </a:lnSpc>
            <a:spcAft>
              <a:spcPts val="0"/>
            </a:spcAft>
          </a:pPr>
          <a:r>
            <a:rPr lang="nb-NO" sz="1200">
              <a:effectLst/>
              <a:ea typeface="ＭＳ 明朝"/>
              <a:cs typeface="Times New Roman"/>
            </a:rPr>
            <a:t> </a:t>
          </a:r>
        </a:p>
      </xdr:txBody>
    </xdr:sp>
    <xdr:clientData/>
  </xdr:twoCellAnchor>
  <xdr:twoCellAnchor>
    <xdr:from>
      <xdr:col>0</xdr:col>
      <xdr:colOff>447675</xdr:colOff>
      <xdr:row>5</xdr:row>
      <xdr:rowOff>12700</xdr:rowOff>
    </xdr:from>
    <xdr:to>
      <xdr:col>2</xdr:col>
      <xdr:colOff>530482</xdr:colOff>
      <xdr:row>7</xdr:row>
      <xdr:rowOff>66616</xdr:rowOff>
    </xdr:to>
    <xdr:sp macro="" textlink="">
      <xdr:nvSpPr>
        <xdr:cNvPr id="5" name="Text Box 3">
          <a:extLst>
            <a:ext uri="{FF2B5EF4-FFF2-40B4-BE49-F238E27FC236}">
              <a16:creationId xmlns:a16="http://schemas.microsoft.com/office/drawing/2014/main" id="{00000000-0008-0000-0000-000005000000}"/>
            </a:ext>
          </a:extLst>
        </xdr:cNvPr>
        <xdr:cNvSpPr txBox="1"/>
      </xdr:nvSpPr>
      <xdr:spPr>
        <a:xfrm>
          <a:off x="447675" y="822325"/>
          <a:ext cx="1606807" cy="511116"/>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1500"/>
            </a:lnSpc>
            <a:spcAft>
              <a:spcPts val="0"/>
            </a:spcAft>
          </a:pPr>
          <a:r>
            <a:rPr lang="nb-NO" sz="1400" cap="all">
              <a:ln w="0" cap="flat" cmpd="sng" algn="ctr">
                <a:noFill/>
                <a:prstDash val="solid"/>
                <a:round/>
              </a:ln>
              <a:solidFill>
                <a:schemeClr val="bg1"/>
              </a:solidFill>
              <a:effectLst/>
              <a:latin typeface="Arial"/>
              <a:ea typeface="ＭＳ 明朝"/>
              <a:cs typeface="Arial"/>
            </a:rPr>
            <a:t>LIVSTATISTIKK</a:t>
          </a:r>
          <a:endParaRPr lang="nb-NO" sz="1400">
            <a:ln w="0" cap="flat" cmpd="sng" algn="ctr">
              <a:noFill/>
              <a:prstDash val="solid"/>
              <a:round/>
            </a:ln>
            <a:solidFill>
              <a:schemeClr val="bg1"/>
            </a:solidFill>
            <a:effectLst/>
            <a:latin typeface="Arial"/>
            <a:ea typeface="ＭＳ 明朝"/>
            <a:cs typeface="Arial"/>
          </a:endParaRPr>
        </a:p>
        <a:p>
          <a:pPr>
            <a:lnSpc>
              <a:spcPts val="1100"/>
            </a:lnSpc>
            <a:spcAft>
              <a:spcPts val="0"/>
            </a:spcAft>
          </a:pPr>
          <a:r>
            <a:rPr lang="nb-NO" sz="1200">
              <a:effectLst/>
              <a:ea typeface="ＭＳ 明朝"/>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6</xdr:row>
      <xdr:rowOff>0</xdr:rowOff>
    </xdr:from>
    <xdr:to>
      <xdr:col>9</xdr:col>
      <xdr:colOff>352425</xdr:colOff>
      <xdr:row>26</xdr:row>
      <xdr:rowOff>9525</xdr:rowOff>
    </xdr:to>
    <xdr:graphicFrame macro="">
      <xdr:nvGraphicFramePr>
        <xdr:cNvPr id="2" name="Chart 1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30</xdr:row>
      <xdr:rowOff>219075</xdr:rowOff>
    </xdr:from>
    <xdr:to>
      <xdr:col>9</xdr:col>
      <xdr:colOff>285750</xdr:colOff>
      <xdr:row>50</xdr:row>
      <xdr:rowOff>123825</xdr:rowOff>
    </xdr:to>
    <xdr:graphicFrame macro="">
      <xdr:nvGraphicFramePr>
        <xdr:cNvPr id="3" name="Chart 1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56</xdr:row>
      <xdr:rowOff>228600</xdr:rowOff>
    </xdr:from>
    <xdr:to>
      <xdr:col>9</xdr:col>
      <xdr:colOff>142875</xdr:colOff>
      <xdr:row>74</xdr:row>
      <xdr:rowOff>180975</xdr:rowOff>
    </xdr:to>
    <xdr:graphicFrame macro="">
      <xdr:nvGraphicFramePr>
        <xdr:cNvPr id="6" name="Chart 1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82</xdr:row>
      <xdr:rowOff>57150</xdr:rowOff>
    </xdr:from>
    <xdr:to>
      <xdr:col>9</xdr:col>
      <xdr:colOff>123825</xdr:colOff>
      <xdr:row>102</xdr:row>
      <xdr:rowOff>114300</xdr:rowOff>
    </xdr:to>
    <xdr:graphicFrame macro="">
      <xdr:nvGraphicFramePr>
        <xdr:cNvPr id="7" name="Chart 1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109</xdr:row>
      <xdr:rowOff>28575</xdr:rowOff>
    </xdr:from>
    <xdr:to>
      <xdr:col>9</xdr:col>
      <xdr:colOff>180975</xdr:colOff>
      <xdr:row>126</xdr:row>
      <xdr:rowOff>200025</xdr:rowOff>
    </xdr:to>
    <xdr:graphicFrame macro="">
      <xdr:nvGraphicFramePr>
        <xdr:cNvPr id="8" name="Chart 1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134</xdr:row>
      <xdr:rowOff>57150</xdr:rowOff>
    </xdr:from>
    <xdr:to>
      <xdr:col>9</xdr:col>
      <xdr:colOff>171450</xdr:colOff>
      <xdr:row>153</xdr:row>
      <xdr:rowOff>123825</xdr:rowOff>
    </xdr:to>
    <xdr:graphicFrame macro="">
      <xdr:nvGraphicFramePr>
        <xdr:cNvPr id="9" name="Chart 1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10583</xdr:colOff>
      <xdr:row>4</xdr:row>
      <xdr:rowOff>127000</xdr:rowOff>
    </xdr:from>
    <xdr:to>
      <xdr:col>0</xdr:col>
      <xdr:colOff>4064000</xdr:colOff>
      <xdr:row>40</xdr:row>
      <xdr:rowOff>74083</xdr:rowOff>
    </xdr:to>
    <xdr:sp macro="" textlink="">
      <xdr:nvSpPr>
        <xdr:cNvPr id="4" name="Text Box 1026">
          <a:extLst>
            <a:ext uri="{FF2B5EF4-FFF2-40B4-BE49-F238E27FC236}">
              <a16:creationId xmlns:a16="http://schemas.microsoft.com/office/drawing/2014/main" id="{00000000-0008-0000-2100-000004000000}"/>
            </a:ext>
          </a:extLst>
        </xdr:cNvPr>
        <xdr:cNvSpPr txBox="1">
          <a:spLocks noChangeArrowheads="1"/>
        </xdr:cNvSpPr>
      </xdr:nvSpPr>
      <xdr:spPr bwMode="auto">
        <a:xfrm>
          <a:off x="10583" y="762000"/>
          <a:ext cx="4053417" cy="10974916"/>
        </a:xfrm>
        <a:prstGeom prst="rect">
          <a:avLst/>
        </a:prstGeom>
        <a:solidFill>
          <a:srgbClr val="FFFFFF"/>
        </a:solidFill>
        <a:ln w="9525">
          <a:noFill/>
          <a:miter lim="800000"/>
          <a:headEnd/>
          <a:tailEnd/>
        </a:ln>
      </xdr:spPr>
      <xdr:txBody>
        <a:bodyPr vertOverflow="clip" wrap="square" lIns="36576" tIns="32004" rIns="0" bIns="0" anchor="t" upright="1"/>
        <a:lstStyle/>
        <a:p>
          <a:pPr algn="l" rtl="0">
            <a:lnSpc>
              <a:spcPts val="1600"/>
            </a:lnSpc>
            <a:defRPr sz="1000"/>
          </a:pPr>
          <a:r>
            <a:rPr lang="nb-NO" sz="1200" b="1" i="0" strike="noStrike">
              <a:solidFill>
                <a:srgbClr val="000000"/>
              </a:solidFill>
              <a:latin typeface="Times New Roman"/>
              <a:cs typeface="Times New Roman"/>
            </a:rPr>
            <a:t>Selskaper som inngår i statistikken</a:t>
          </a:r>
        </a:p>
        <a:p>
          <a:pPr algn="l" rtl="0">
            <a:lnSpc>
              <a:spcPts val="1600"/>
            </a:lnSpc>
            <a:defRPr sz="1000"/>
          </a:pPr>
          <a:r>
            <a:rPr lang="nb-NO" sz="1200" b="0" i="0" strike="noStrike">
              <a:solidFill>
                <a:srgbClr val="000000"/>
              </a:solidFill>
              <a:latin typeface="Times New Roman"/>
              <a:cs typeface="Times New Roman"/>
            </a:rPr>
            <a:t>Statistikken viser tall for medlemsselskaper i Finans Norge som </a:t>
          </a:r>
          <a:br>
            <a:rPr lang="nb-NO" sz="1200" b="0" i="0" strike="noStrike">
              <a:solidFill>
                <a:srgbClr val="000000"/>
              </a:solidFill>
              <a:latin typeface="Times New Roman"/>
              <a:cs typeface="Times New Roman"/>
            </a:rPr>
          </a:br>
          <a:r>
            <a:rPr lang="nb-NO" sz="1200" b="0" i="0" strike="noStrike">
              <a:solidFill>
                <a:srgbClr val="000000"/>
              </a:solidFill>
              <a:latin typeface="Times New Roman"/>
              <a:cs typeface="Times New Roman"/>
            </a:rPr>
            <a:t>selger livprodukter.</a:t>
          </a:r>
        </a:p>
        <a:p>
          <a:pPr algn="l" rtl="0">
            <a:lnSpc>
              <a:spcPts val="1600"/>
            </a:lnSpc>
            <a:defRPr sz="1000"/>
          </a:pPr>
          <a:endParaRPr lang="nb-NO" sz="1200" b="1" i="0" strike="noStrike">
            <a:solidFill>
              <a:srgbClr val="000000"/>
            </a:solidFill>
            <a:latin typeface="Times New Roman"/>
            <a:cs typeface="Times New Roman"/>
          </a:endParaRPr>
        </a:p>
        <a:p>
          <a:pPr algn="l" rtl="0">
            <a:lnSpc>
              <a:spcPts val="1600"/>
            </a:lnSpc>
            <a:defRPr sz="1000"/>
          </a:pPr>
          <a:r>
            <a:rPr lang="nb-NO" sz="1200" b="0" i="0" u="sng" strike="noStrike">
              <a:solidFill>
                <a:srgbClr val="000000"/>
              </a:solidFill>
              <a:latin typeface="Times New Roman"/>
              <a:cs typeface="Times New Roman"/>
            </a:rPr>
            <a:t>Produkter uten investeringsvalg</a:t>
          </a:r>
          <a:r>
            <a:rPr lang="nb-NO" sz="1200" b="0" i="0" strike="noStrike">
              <a:solidFill>
                <a:srgbClr val="000000"/>
              </a:solidFill>
              <a:latin typeface="Times New Roman"/>
              <a:cs typeface="Times New Roman"/>
            </a:rPr>
            <a:t>:</a:t>
          </a:r>
        </a:p>
        <a:p>
          <a:pPr marL="0" marR="0" indent="0" algn="l" defTabSz="914400" rtl="0" eaLnBrk="1" fontAlgn="auto" latinLnBrk="0" hangingPunct="1">
            <a:lnSpc>
              <a:spcPts val="1600"/>
            </a:lnSpc>
            <a:spcBef>
              <a:spcPts val="0"/>
            </a:spcBef>
            <a:spcAft>
              <a:spcPts val="0"/>
            </a:spcAft>
            <a:buClrTx/>
            <a:buSzTx/>
            <a:buFontTx/>
            <a:buNone/>
            <a:tabLst/>
            <a:defRPr sz="1000"/>
          </a:pPr>
          <a:r>
            <a:rPr lang="nb-NO" sz="1200" b="0" i="0" strike="noStrike">
              <a:solidFill>
                <a:srgbClr val="000000"/>
              </a:solidFill>
              <a:latin typeface="Times New Roman"/>
              <a:cs typeface="Times New Roman"/>
            </a:rPr>
            <a:t>ACE European Group </a:t>
          </a: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(utenlandsk skadeselskap, filial)</a:t>
          </a:r>
          <a:r>
            <a:rPr lang="nb-NO" sz="1200" b="0" i="0" strike="noStrike">
              <a:solidFill>
                <a:srgbClr val="000000"/>
              </a:solidFill>
              <a:latin typeface="Times New Roman"/>
              <a:cs typeface="Times New Roman"/>
            </a:rPr>
            <a:t> </a:t>
          </a:r>
        </a:p>
        <a:p>
          <a:pPr algn="l" rtl="0">
            <a:lnSpc>
              <a:spcPts val="1600"/>
            </a:lnSpc>
            <a:defRPr sz="1000"/>
          </a:pPr>
          <a:r>
            <a:rPr lang="nb-NO" sz="1200" b="0" i="0" strike="noStrike">
              <a:solidFill>
                <a:srgbClr val="000000"/>
              </a:solidFill>
              <a:latin typeface="Times New Roman"/>
              <a:cs typeface="Times New Roman"/>
            </a:rPr>
            <a:t>Danica Pensjonsforsikring</a:t>
          </a:r>
        </a:p>
        <a:p>
          <a:pPr algn="l" rtl="0">
            <a:lnSpc>
              <a:spcPts val="1600"/>
            </a:lnSpc>
            <a:defRPr sz="1000"/>
          </a:pPr>
          <a:r>
            <a:rPr lang="nb-NO" sz="1200" b="0" i="0" strike="noStrike">
              <a:solidFill>
                <a:srgbClr val="000000"/>
              </a:solidFill>
              <a:latin typeface="Times New Roman"/>
              <a:cs typeface="Times New Roman"/>
            </a:rPr>
            <a:t>DNB Livsforsikring ASA</a:t>
          </a:r>
        </a:p>
        <a:p>
          <a:pPr algn="l" rtl="0">
            <a:lnSpc>
              <a:spcPts val="1600"/>
            </a:lnSpc>
            <a:defRPr sz="1000"/>
          </a:pPr>
          <a:r>
            <a:rPr lang="nb-NO" sz="1200" b="0" i="0" strike="noStrike">
              <a:solidFill>
                <a:srgbClr val="000000"/>
              </a:solidFill>
              <a:latin typeface="Times New Roman"/>
              <a:cs typeface="Times New Roman"/>
            </a:rPr>
            <a:t>Eika Forsikring AS (skadeselskap</a:t>
          </a:r>
          <a:r>
            <a:rPr lang="nb-NO" sz="1200" b="0" i="0" strike="noStrike" baseline="0">
              <a:solidFill>
                <a:srgbClr val="000000"/>
              </a:solidFill>
              <a:latin typeface="Times New Roman"/>
              <a:cs typeface="Times New Roman"/>
            </a:rPr>
            <a:t>)</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Frende Livsforsikring</a:t>
          </a:r>
        </a:p>
        <a:p>
          <a:pPr algn="l" rtl="0">
            <a:lnSpc>
              <a:spcPts val="1600"/>
            </a:lnSpc>
            <a:defRPr sz="1000"/>
          </a:pPr>
          <a:r>
            <a:rPr lang="nb-NO" sz="1200" b="0" i="0" strike="noStrike">
              <a:solidFill>
                <a:srgbClr val="000000"/>
              </a:solidFill>
              <a:latin typeface="Times New Roman"/>
              <a:cs typeface="Times New Roman"/>
            </a:rPr>
            <a:t>Frende Skadeforsikring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Gjensidige Forsikring (skadeselskap)</a:t>
          </a:r>
        </a:p>
        <a:p>
          <a:pPr algn="l" rtl="0">
            <a:lnSpc>
              <a:spcPts val="1600"/>
            </a:lnSpc>
            <a:defRPr sz="1000"/>
          </a:pPr>
          <a:r>
            <a:rPr lang="nb-NO" sz="1200" b="0" i="0" strike="noStrike">
              <a:solidFill>
                <a:srgbClr val="000000"/>
              </a:solidFill>
              <a:latin typeface="Times New Roman"/>
              <a:cs typeface="Times New Roman"/>
            </a:rPr>
            <a:t>Gjensidige Pensjonsforsikring</a:t>
          </a:r>
        </a:p>
        <a:p>
          <a:pPr algn="l" rtl="0">
            <a:lnSpc>
              <a:spcPts val="1600"/>
            </a:lnSpc>
            <a:defRPr sz="1000"/>
          </a:pPr>
          <a:r>
            <a:rPr lang="nb-NO" sz="1200" b="0" i="0" strike="noStrike">
              <a:solidFill>
                <a:srgbClr val="000000"/>
              </a:solidFill>
              <a:latin typeface="Times New Roman"/>
              <a:cs typeface="Times New Roman"/>
            </a:rPr>
            <a:t>Handelsbanken Liv (utenlandsk,</a:t>
          </a:r>
          <a:r>
            <a:rPr lang="nb-NO" sz="1200" b="0" i="0" strike="noStrike" baseline="0">
              <a:solidFill>
                <a:srgbClr val="000000"/>
              </a:solidFill>
              <a:latin typeface="Times New Roman"/>
              <a:cs typeface="Times New Roman"/>
            </a:rPr>
            <a:t> </a:t>
          </a:r>
          <a:r>
            <a:rPr lang="nb-NO" sz="1200" b="0" i="0" strike="noStrike">
              <a:solidFill>
                <a:srgbClr val="000000"/>
              </a:solidFill>
              <a:latin typeface="Times New Roman"/>
              <a:cs typeface="Times New Roman"/>
            </a:rPr>
            <a:t>filial)</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If Skadeforsikring NUF (skadeselskap)</a:t>
          </a:r>
        </a:p>
        <a:p>
          <a:pPr algn="l" rtl="0">
            <a:lnSpc>
              <a:spcPts val="1600"/>
            </a:lnSpc>
            <a:defRPr sz="1000"/>
          </a:pPr>
          <a:r>
            <a:rPr lang="nb-NO" sz="1200" b="0" i="0" strike="noStrike">
              <a:solidFill>
                <a:srgbClr val="000000"/>
              </a:solidFill>
              <a:latin typeface="Times New Roman"/>
              <a:cs typeface="Times New Roman"/>
            </a:rPr>
            <a:t>KLP</a:t>
          </a:r>
        </a:p>
        <a:p>
          <a:pPr algn="l" rtl="0">
            <a:lnSpc>
              <a:spcPts val="1600"/>
            </a:lnSpc>
            <a:defRPr sz="1000"/>
          </a:pPr>
          <a:r>
            <a:rPr lang="nb-NO" sz="1200" b="0" i="0" strike="noStrike">
              <a:solidFill>
                <a:srgbClr val="000000"/>
              </a:solidFill>
              <a:latin typeface="Times New Roman"/>
              <a:cs typeface="Times New Roman"/>
            </a:rPr>
            <a:t>KLP</a:t>
          </a:r>
          <a:r>
            <a:rPr lang="nb-NO" sz="1200" b="0" i="0" strike="noStrike" baseline="0">
              <a:solidFill>
                <a:srgbClr val="000000"/>
              </a:solidFill>
              <a:latin typeface="Times New Roman"/>
              <a:cs typeface="Times New Roman"/>
            </a:rPr>
            <a:t> Bedriftspensjon AS</a:t>
          </a:r>
        </a:p>
        <a:p>
          <a:pPr algn="l" rtl="0">
            <a:lnSpc>
              <a:spcPts val="1600"/>
            </a:lnSpc>
            <a:defRPr sz="1000"/>
          </a:pPr>
          <a:r>
            <a:rPr lang="nb-NO" sz="1200" b="0" i="0" strike="noStrike" baseline="0">
              <a:solidFill>
                <a:srgbClr val="000000"/>
              </a:solidFill>
              <a:latin typeface="Times New Roman"/>
              <a:cs typeface="Times New Roman"/>
            </a:rPr>
            <a:t>KLP Skadeforsikring AS</a:t>
          </a:r>
        </a:p>
        <a:p>
          <a:pPr algn="l" rtl="0">
            <a:lnSpc>
              <a:spcPts val="1600"/>
            </a:lnSpc>
            <a:defRPr sz="1000"/>
          </a:pPr>
          <a:r>
            <a:rPr lang="nb-NO" sz="1200" b="0" i="0" strike="noStrike" baseline="0">
              <a:solidFill>
                <a:srgbClr val="000000"/>
              </a:solidFill>
              <a:latin typeface="Times New Roman"/>
              <a:cs typeface="Times New Roman"/>
            </a:rPr>
            <a:t>Landbruksforsikring (skadeselskap)</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Livsforsikringsselskapet Nordea Liv Norge</a:t>
          </a:r>
        </a:p>
        <a:p>
          <a:pPr algn="l" rtl="0">
            <a:lnSpc>
              <a:spcPts val="1600"/>
            </a:lnSpc>
            <a:defRPr sz="1000"/>
          </a:pPr>
          <a:r>
            <a:rPr lang="nb-NO" sz="1200" b="0" i="0" strike="noStrike">
              <a:solidFill>
                <a:srgbClr val="000000"/>
              </a:solidFill>
              <a:latin typeface="Times New Roman"/>
              <a:cs typeface="Times New Roman"/>
            </a:rPr>
            <a:t>NEMI</a:t>
          </a:r>
          <a:r>
            <a:rPr lang="nb-NO" sz="1200" b="0" i="0" strike="noStrike" baseline="0">
              <a:solidFill>
                <a:srgbClr val="000000"/>
              </a:solidFill>
              <a:latin typeface="Times New Roman"/>
              <a:cs typeface="Times New Roman"/>
            </a:rPr>
            <a:t> Forsikring (skadeselskap)</a:t>
          </a:r>
          <a:endParaRPr lang="nb-NO" sz="1200" b="0" i="0" strike="noStrike">
            <a:solidFill>
              <a:srgbClr val="000000"/>
            </a:solidFill>
            <a:latin typeface="Times New Roman"/>
            <a:cs typeface="Times New Roman"/>
          </a:endParaRPr>
        </a:p>
        <a:p>
          <a:pPr algn="l" rtl="0">
            <a:lnSpc>
              <a:spcPts val="1700"/>
            </a:lnSpc>
            <a:defRPr sz="1000"/>
          </a:pPr>
          <a:r>
            <a:rPr lang="nb-NO" sz="1200" b="0" i="0" strike="noStrike">
              <a:solidFill>
                <a:srgbClr val="000000"/>
              </a:solidFill>
              <a:latin typeface="Times New Roman"/>
              <a:cs typeface="Times New Roman"/>
            </a:rPr>
            <a:t>Oslo Pensjonsforsikring</a:t>
          </a:r>
        </a:p>
        <a:p>
          <a:pPr algn="l" rtl="0">
            <a:lnSpc>
              <a:spcPts val="1600"/>
            </a:lnSpc>
            <a:defRPr sz="1000"/>
          </a:pPr>
          <a:r>
            <a:rPr lang="nb-NO" sz="1200" b="0" i="0" strike="noStrike">
              <a:solidFill>
                <a:srgbClr val="000000"/>
              </a:solidFill>
              <a:latin typeface="Times New Roman"/>
              <a:cs typeface="Times New Roman"/>
            </a:rPr>
            <a:t>Silver Pensjonsforsikring AS</a:t>
          </a:r>
        </a:p>
        <a:p>
          <a:pPr algn="l" rtl="0">
            <a:lnSpc>
              <a:spcPts val="1700"/>
            </a:lnSpc>
            <a:defRPr sz="1000"/>
          </a:pPr>
          <a:r>
            <a:rPr lang="nb-NO" sz="1200" b="0" i="0" strike="noStrike">
              <a:solidFill>
                <a:srgbClr val="000000"/>
              </a:solidFill>
              <a:latin typeface="Times New Roman"/>
              <a:cs typeface="Times New Roman"/>
            </a:rPr>
            <a:t>SpareBank 1</a:t>
          </a:r>
        </a:p>
        <a:p>
          <a:pPr algn="l" rtl="0">
            <a:lnSpc>
              <a:spcPts val="1600"/>
            </a:lnSpc>
            <a:defRPr sz="1000"/>
          </a:pPr>
          <a:r>
            <a:rPr lang="nb-NO" sz="1200" b="0" i="0" strike="noStrike">
              <a:solidFill>
                <a:srgbClr val="000000"/>
              </a:solidFill>
              <a:latin typeface="Times New Roman"/>
              <a:cs typeface="Times New Roman"/>
            </a:rPr>
            <a:t>Storebrand Livsforsikring</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Telenor 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Tryg Forsikring (skadeselskap)</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700"/>
            </a:lnSpc>
            <a:defRPr sz="1000"/>
          </a:pPr>
          <a:r>
            <a:rPr lang="nb-NO" sz="1200" b="0" i="0" u="sng" strike="noStrike">
              <a:solidFill>
                <a:srgbClr val="000000"/>
              </a:solidFill>
              <a:latin typeface="Times New Roman"/>
              <a:cs typeface="Times New Roman"/>
            </a:rPr>
            <a:t>Produkter med investeringsvalg</a:t>
          </a:r>
          <a:r>
            <a:rPr lang="nb-NO" sz="1200" b="0" i="0" strike="noStrike">
              <a:solidFill>
                <a:srgbClr val="000000"/>
              </a:solidFill>
              <a:latin typeface="Times New Roman"/>
              <a:cs typeface="Times New Roman"/>
            </a:rPr>
            <a:t>:</a:t>
          </a:r>
        </a:p>
        <a:p>
          <a:pPr algn="l" rtl="0">
            <a:lnSpc>
              <a:spcPts val="1700"/>
            </a:lnSpc>
            <a:defRPr sz="1000"/>
          </a:pPr>
          <a:r>
            <a:rPr lang="nb-NO" sz="1200" b="0" i="0" strike="noStrike">
              <a:solidFill>
                <a:srgbClr val="000000"/>
              </a:solidFill>
              <a:latin typeface="Times New Roman"/>
              <a:cs typeface="Times New Roman"/>
            </a:rPr>
            <a:t>Danica Pensjonsforsikring</a:t>
          </a:r>
        </a:p>
        <a:p>
          <a:pPr algn="l" rtl="0">
            <a:lnSpc>
              <a:spcPts val="1600"/>
            </a:lnSpc>
            <a:defRPr sz="1000"/>
          </a:pPr>
          <a:r>
            <a:rPr lang="nb-NO" sz="1200" b="0" i="0" strike="noStrike">
              <a:solidFill>
                <a:srgbClr val="000000"/>
              </a:solidFill>
              <a:latin typeface="Times New Roman"/>
              <a:cs typeface="Times New Roman"/>
            </a:rPr>
            <a:t>DNB Livsforsikring ASA</a:t>
          </a:r>
        </a:p>
        <a:p>
          <a:pPr algn="l" rtl="0">
            <a:lnSpc>
              <a:spcPts val="1700"/>
            </a:lnSpc>
            <a:defRPr sz="1000"/>
          </a:pPr>
          <a:r>
            <a:rPr lang="nb-NO" sz="1200" b="0" i="0" strike="noStrike">
              <a:solidFill>
                <a:srgbClr val="000000"/>
              </a:solidFill>
              <a:latin typeface="Times New Roman"/>
              <a:cs typeface="Times New Roman"/>
            </a:rPr>
            <a:t>Frende</a:t>
          </a:r>
          <a:r>
            <a:rPr lang="nb-NO" sz="1200" b="0" i="0" strike="noStrike" baseline="0">
              <a:solidFill>
                <a:srgbClr val="000000"/>
              </a:solidFill>
              <a:latin typeface="Times New Roman"/>
              <a:cs typeface="Times New Roman"/>
            </a:rPr>
            <a:t> Livsforsikring</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Gjensidige Pensjonsforsikring</a:t>
          </a:r>
        </a:p>
        <a:p>
          <a:pPr algn="l" rtl="0">
            <a:lnSpc>
              <a:spcPts val="1700"/>
            </a:lnSpc>
            <a:defRPr sz="1000"/>
          </a:pPr>
          <a:r>
            <a:rPr lang="nb-NO" sz="1200" b="0" i="0" strike="noStrike">
              <a:solidFill>
                <a:srgbClr val="000000"/>
              </a:solidFill>
              <a:latin typeface="Times New Roman"/>
              <a:cs typeface="Times New Roman"/>
            </a:rPr>
            <a:t>KLP</a:t>
          </a:r>
        </a:p>
        <a:p>
          <a:pPr algn="l" rtl="0">
            <a:lnSpc>
              <a:spcPts val="1600"/>
            </a:lnSpc>
            <a:defRPr sz="1000"/>
          </a:pPr>
          <a:r>
            <a:rPr lang="nb-NO" sz="1200" b="0" i="0" strike="noStrike">
              <a:solidFill>
                <a:srgbClr val="000000"/>
              </a:solidFill>
              <a:latin typeface="Times New Roman"/>
              <a:cs typeface="Times New Roman"/>
            </a:rPr>
            <a:t>KLP Bedriftspensjon AS</a:t>
          </a:r>
        </a:p>
        <a:p>
          <a:pPr algn="l" rtl="0">
            <a:lnSpc>
              <a:spcPts val="1700"/>
            </a:lnSpc>
            <a:defRPr sz="1000"/>
          </a:pPr>
          <a:r>
            <a:rPr lang="nb-NO" sz="1200" b="0" i="0" strike="noStrike">
              <a:solidFill>
                <a:srgbClr val="000000"/>
              </a:solidFill>
              <a:latin typeface="Times New Roman"/>
              <a:cs typeface="Times New Roman"/>
            </a:rPr>
            <a:t>Livsforsikringsselskapet Nordea Liv Norge</a:t>
          </a:r>
        </a:p>
        <a:p>
          <a:pPr algn="l" rtl="0">
            <a:lnSpc>
              <a:spcPts val="1600"/>
            </a:lnSpc>
            <a:defRPr sz="1000"/>
          </a:pPr>
          <a:r>
            <a:rPr lang="nb-NO" sz="1200" b="0" i="0" strike="noStrike">
              <a:solidFill>
                <a:srgbClr val="000000"/>
              </a:solidFill>
              <a:latin typeface="Times New Roman"/>
              <a:cs typeface="Times New Roman"/>
            </a:rPr>
            <a:t>SHB Liv (utenlandsk, filial)</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Silver Pensjonsforsikring AS</a:t>
          </a:r>
        </a:p>
        <a:p>
          <a:pPr algn="l" rtl="0">
            <a:lnSpc>
              <a:spcPts val="1600"/>
            </a:lnSpc>
            <a:defRPr sz="1000"/>
          </a:pPr>
          <a:r>
            <a:rPr lang="nb-NO" sz="1200" b="0" i="0" strike="noStrike">
              <a:solidFill>
                <a:srgbClr val="000000"/>
              </a:solidFill>
              <a:latin typeface="Times New Roman"/>
              <a:cs typeface="Times New Roman"/>
            </a:rPr>
            <a:t>SpareBank 1</a:t>
          </a:r>
        </a:p>
        <a:p>
          <a:pPr algn="l" rtl="0">
            <a:lnSpc>
              <a:spcPts val="1700"/>
            </a:lnSpc>
            <a:defRPr sz="1000"/>
          </a:pPr>
          <a:r>
            <a:rPr lang="nb-NO" sz="1200" b="0" i="0" strike="noStrike">
              <a:solidFill>
                <a:srgbClr val="000000"/>
              </a:solidFill>
              <a:latin typeface="Times New Roman"/>
              <a:cs typeface="Times New Roman"/>
            </a:rPr>
            <a:t>Storebrand Livsforsikring</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600"/>
            </a:lnSpc>
            <a:defRPr sz="1000"/>
          </a:pPr>
          <a:r>
            <a:rPr lang="nb-NO" sz="1200" b="0" i="0" u="sng" strike="noStrike">
              <a:solidFill>
                <a:srgbClr val="000000"/>
              </a:solidFill>
              <a:latin typeface="Times New Roman"/>
              <a:cs typeface="Times New Roman"/>
            </a:rPr>
            <a:t>Utenlandske filialer</a:t>
          </a:r>
          <a:r>
            <a:rPr lang="nb-NO" sz="1200" b="0" i="0" strike="noStrike">
              <a:solidFill>
                <a:srgbClr val="000000"/>
              </a:solidFill>
              <a:latin typeface="Times New Roman"/>
              <a:cs typeface="Times New Roman"/>
            </a:rPr>
            <a:t>:</a:t>
          </a:r>
        </a:p>
        <a:p>
          <a:pPr algn="l" rtl="0">
            <a:lnSpc>
              <a:spcPts val="1700"/>
            </a:lnSpc>
            <a:defRPr sz="1000"/>
          </a:pPr>
          <a:r>
            <a:rPr lang="nb-NO" sz="1200" b="0" i="0" strike="noStrike">
              <a:solidFill>
                <a:srgbClr val="000000"/>
              </a:solidFill>
              <a:latin typeface="Times New Roman"/>
              <a:cs typeface="Times New Roman"/>
            </a:rPr>
            <a:t>Disse har ikke samme krav til regnskapsføring som norske livselskaper, og rapporterer derfor kun utvalgte</a:t>
          </a:r>
          <a:r>
            <a:rPr lang="nb-NO" sz="1200" b="0" i="0" strike="noStrike" baseline="0">
              <a:solidFill>
                <a:srgbClr val="000000"/>
              </a:solidFill>
              <a:latin typeface="Times New Roman"/>
              <a:cs typeface="Times New Roman"/>
            </a:rPr>
            <a:t> poster</a:t>
          </a:r>
          <a:r>
            <a:rPr lang="nb-NO" sz="1200" b="0" i="0" strike="noStrike">
              <a:solidFill>
                <a:srgbClr val="000000"/>
              </a:solidFill>
              <a:latin typeface="Times New Roman"/>
              <a:cs typeface="Times New Roman"/>
            </a:rPr>
            <a:t>.</a:t>
          </a:r>
        </a:p>
        <a:p>
          <a:pPr algn="l" rtl="0">
            <a:lnSpc>
              <a:spcPts val="1600"/>
            </a:lnSpc>
            <a:defRPr sz="1000"/>
          </a:pP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I figurer og tabeller har enkelte selskap "forkortede" navn.</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r>
            <a:rPr lang="nb-NO" sz="1200" b="0" i="0" strike="noStrike">
              <a:solidFill>
                <a:srgbClr val="000000"/>
              </a:solidFill>
              <a:latin typeface="Times New Roman"/>
              <a:cs typeface="Times New Roman"/>
            </a:rPr>
            <a:t> </a:t>
          </a: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xdr:txBody>
    </xdr:sp>
    <xdr:clientData/>
  </xdr:twoCellAnchor>
  <xdr:twoCellAnchor>
    <xdr:from>
      <xdr:col>3</xdr:col>
      <xdr:colOff>455084</xdr:colOff>
      <xdr:row>5</xdr:row>
      <xdr:rowOff>10583</xdr:rowOff>
    </xdr:from>
    <xdr:to>
      <xdr:col>11</xdr:col>
      <xdr:colOff>349250</xdr:colOff>
      <xdr:row>29</xdr:row>
      <xdr:rowOff>63500</xdr:rowOff>
    </xdr:to>
    <xdr:sp macro="" textlink="">
      <xdr:nvSpPr>
        <xdr:cNvPr id="5" name="TekstSylinder 4">
          <a:extLst>
            <a:ext uri="{FF2B5EF4-FFF2-40B4-BE49-F238E27FC236}">
              <a16:creationId xmlns:a16="http://schemas.microsoft.com/office/drawing/2014/main" id="{00000000-0008-0000-2100-000005000000}"/>
            </a:ext>
          </a:extLst>
        </xdr:cNvPr>
        <xdr:cNvSpPr txBox="1"/>
      </xdr:nvSpPr>
      <xdr:spPr>
        <a:xfrm>
          <a:off x="12170834" y="804333"/>
          <a:ext cx="6413499" cy="828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endParaRPr lang="nb-NO">
            <a:effectLst/>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Kommentarer til dataene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u="sng"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u="sng" baseline="0">
              <a:solidFill>
                <a:schemeClr val="dk1"/>
              </a:solidFill>
              <a:effectLst/>
              <a:latin typeface="Times New Roman" panose="02020603050405020304" pitchFamily="18" charset="0"/>
              <a:ea typeface="+mn-ea"/>
              <a:cs typeface="Times New Roman" panose="02020603050405020304" pitchFamily="18" charset="0"/>
            </a:rPr>
            <a:t>Generelle kommentarer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Når det nedenfor står "Endring i 20xx-tall", menes endringer i forhold til tilsvarende periode året før.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Brutto forfalt premie kan regnskapstallene (Tabell 4) være høyere enn markedstallene (Tabell 2a) fordi de kan inneholde tall for skadeforsikring og utenlandsk virksomhet.</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Overførte reserver til/fra andre i markedstallene inngår ikke overførte reserver som gjelder Gruppeliv. Disse vil imidlertid inngå i Tabell 4.</a:t>
          </a:r>
        </a:p>
        <a:p>
          <a:pPr rtl="0" eaLnBrk="1" fontAlgn="auto" latinLnBrk="0" hangingPunct="1"/>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u="sng">
              <a:effectLst/>
              <a:latin typeface="Times New Roman" panose="02020603050405020304" pitchFamily="18" charset="0"/>
              <a:cs typeface="Times New Roman" panose="02020603050405020304" pitchFamily="18" charset="0"/>
            </a:rPr>
            <a:t>ACE European Group:</a:t>
          </a:r>
        </a:p>
        <a:p>
          <a:pPr rtl="0" eaLnBrk="1" fontAlgn="auto" latinLnBrk="0" hangingPunct="1"/>
          <a:r>
            <a:rPr lang="nb-NO" sz="1100">
              <a:effectLst/>
              <a:latin typeface="Times New Roman" panose="02020603050405020304" pitchFamily="18" charset="0"/>
              <a:cs typeface="Times New Roman" panose="02020603050405020304" pitchFamily="18" charset="0"/>
            </a:rPr>
            <a:t>Har ikke levert data.</a:t>
          </a:r>
        </a:p>
        <a:p>
          <a:pPr rtl="0" eaLnBrk="1" fontAlgn="auto" latinLnBrk="0" hangingPunct="1"/>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u="sng">
              <a:effectLst/>
              <a:latin typeface="Times New Roman" panose="02020603050405020304" pitchFamily="18" charset="0"/>
              <a:cs typeface="Times New Roman" panose="02020603050405020304" pitchFamily="18" charset="0"/>
            </a:rPr>
            <a:t>Silver Pensjonsforsikring</a:t>
          </a:r>
        </a:p>
        <a:p>
          <a:pPr rtl="0" eaLnBrk="1" fontAlgn="auto" latinLnBrk="0" hangingPunct="1"/>
          <a:r>
            <a:rPr lang="nb-NO" sz="1100">
              <a:effectLst/>
              <a:latin typeface="Times New Roman" panose="02020603050405020304" pitchFamily="18" charset="0"/>
              <a:cs typeface="Times New Roman" panose="02020603050405020304" pitchFamily="18" charset="0"/>
            </a:rPr>
            <a:t>Har ikke levert data.</a:t>
          </a:r>
          <a:endParaRPr lang="nb-NO" sz="1100">
            <a:latin typeface="Times New Roman" panose="02020603050405020304" pitchFamily="18" charset="0"/>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Innsamlede data</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innsamlede data er identiske med det som forekommer i statistikken.</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underliggende tallene for statistikken er med en desimal, men statistikktallene publiseres uten desimaler. </a:t>
          </a: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Det betyr at sumtall i formler kan avvike fra de synlige summene.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1"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Prosentendringer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Prosentendringer med tallverdi ≥ 1000 gjengis som enten 999 eller - 999. Sammenligner vi tall med samme fortegn, vil vi få prosentøkning når vi går fra lavere tallverdi til høyere tallverdi. Sammenligner vi tall med ulike fortegn, vil vi få prosentøkning når vi går fra negative tall til positive tall. Prosentendringer fra negative tall til 0 (null) = + 100, mens prosentendringer fra positive tall til 0 (null) = - 100. Prosentendringer fra 0 til positive eller negative tall angis ikke (---). Det samme gjelder små tallstørrelser som vises som 0.</a:t>
          </a:r>
          <a:endParaRPr lang="nb-NO" sz="1100">
            <a:effectLst/>
            <a:latin typeface="Times New Roman" panose="02020603050405020304" pitchFamily="18" charset="0"/>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file01\finansnorge\SFA\Statistikk%20og%20analyse\Fellessaker\Ny%20presentasjon%20MA\Overset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at"/>
      <sheetName val="Oppslagstabeller"/>
      <sheetName val="Oversetter"/>
    </sheetNames>
    <sheetDataSet>
      <sheetData sheetId="0"/>
      <sheetData sheetId="1">
        <row r="1">
          <cell r="A1" t="str">
            <v>selskap_id</v>
          </cell>
          <cell r="B1" t="str">
            <v>sortering</v>
          </cell>
          <cell r="C1" t="str">
            <v>2a</v>
          </cell>
          <cell r="D1" t="str">
            <v>2b</v>
          </cell>
          <cell r="E1" t="str">
            <v>3a</v>
          </cell>
          <cell r="F1" t="str">
            <v>3b</v>
          </cell>
          <cell r="G1" t="str">
            <v>selskap_navn</v>
          </cell>
        </row>
        <row r="2">
          <cell r="A2" t="str">
            <v>19</v>
          </cell>
          <cell r="B2" t="str">
            <v>01</v>
          </cell>
          <cell r="C2">
            <v>3</v>
          </cell>
          <cell r="E2">
            <v>3</v>
          </cell>
          <cell r="G2" t="str">
            <v>ACE European Group Ltd</v>
          </cell>
        </row>
        <row r="3">
          <cell r="A3" t="str">
            <v>34</v>
          </cell>
          <cell r="B3" t="str">
            <v>02</v>
          </cell>
          <cell r="C3">
            <v>7</v>
          </cell>
          <cell r="D3">
            <v>3</v>
          </cell>
          <cell r="E3">
            <v>7</v>
          </cell>
          <cell r="F3">
            <v>3</v>
          </cell>
          <cell r="G3" t="str">
            <v>Danica Pensjonsforsikring</v>
          </cell>
        </row>
        <row r="4">
          <cell r="A4" t="str">
            <v>35</v>
          </cell>
          <cell r="B4" t="str">
            <v>03</v>
          </cell>
          <cell r="C4">
            <v>11</v>
          </cell>
          <cell r="D4">
            <v>7</v>
          </cell>
          <cell r="E4">
            <v>11</v>
          </cell>
          <cell r="F4">
            <v>7</v>
          </cell>
          <cell r="G4" t="str">
            <v>DNB Livsforsikring ASA</v>
          </cell>
          <cell r="N4">
            <v>16</v>
          </cell>
        </row>
        <row r="5">
          <cell r="A5" t="str">
            <v>15</v>
          </cell>
          <cell r="B5" t="str">
            <v>04</v>
          </cell>
          <cell r="C5">
            <v>15</v>
          </cell>
          <cell r="E5">
            <v>15</v>
          </cell>
          <cell r="G5" t="str">
            <v>Eika Gruppen AS</v>
          </cell>
          <cell r="N5" t="str">
            <v>4.-kvartal-2015-markedsandeler---endelige-tall-og-regnskapsstatistikk.xlsx</v>
          </cell>
        </row>
        <row r="6">
          <cell r="A6" t="str">
            <v>36</v>
          </cell>
          <cell r="B6" t="str">
            <v>05</v>
          </cell>
          <cell r="C6">
            <v>19</v>
          </cell>
          <cell r="D6">
            <v>11</v>
          </cell>
          <cell r="E6">
            <v>19</v>
          </cell>
          <cell r="F6">
            <v>11</v>
          </cell>
          <cell r="G6" t="str">
            <v>Frende Livsforsikring AS</v>
          </cell>
        </row>
        <row r="7">
          <cell r="A7" t="str">
            <v>20</v>
          </cell>
          <cell r="B7" t="str">
            <v>06</v>
          </cell>
          <cell r="C7">
            <v>23</v>
          </cell>
          <cell r="E7">
            <v>23</v>
          </cell>
          <cell r="G7" t="str">
            <v>Frende Skadeforsikring AS</v>
          </cell>
        </row>
        <row r="8">
          <cell r="A8" t="str">
            <v>4</v>
          </cell>
          <cell r="B8" t="str">
            <v>07</v>
          </cell>
          <cell r="C8">
            <v>27</v>
          </cell>
          <cell r="E8">
            <v>27</v>
          </cell>
          <cell r="G8" t="str">
            <v>Gjensidige Forsikring ASA</v>
          </cell>
        </row>
        <row r="9">
          <cell r="A9" t="str">
            <v>37</v>
          </cell>
          <cell r="B9" t="str">
            <v>08</v>
          </cell>
          <cell r="C9">
            <v>31</v>
          </cell>
          <cell r="D9">
            <v>15</v>
          </cell>
          <cell r="E9">
            <v>31</v>
          </cell>
          <cell r="F9">
            <v>15</v>
          </cell>
          <cell r="G9" t="str">
            <v>Gjensidige Pensjon og Sparing</v>
          </cell>
        </row>
        <row r="10">
          <cell r="A10" t="str">
            <v>38</v>
          </cell>
          <cell r="B10" t="str">
            <v>09</v>
          </cell>
          <cell r="C10">
            <v>35</v>
          </cell>
          <cell r="E10">
            <v>35</v>
          </cell>
          <cell r="G10" t="str">
            <v>Handelsbanken Liv</v>
          </cell>
        </row>
        <row r="11">
          <cell r="A11" t="str">
            <v>6</v>
          </cell>
          <cell r="B11" t="str">
            <v>10</v>
          </cell>
          <cell r="C11">
            <v>39</v>
          </cell>
          <cell r="E11">
            <v>39</v>
          </cell>
          <cell r="G11" t="str">
            <v>If Skadeforsikring nuf</v>
          </cell>
        </row>
        <row r="12">
          <cell r="A12" t="str">
            <v>39</v>
          </cell>
          <cell r="B12" t="str">
            <v>11</v>
          </cell>
          <cell r="C12">
            <v>47</v>
          </cell>
          <cell r="D12">
            <v>23</v>
          </cell>
          <cell r="E12">
            <v>47</v>
          </cell>
          <cell r="F12">
            <v>23</v>
          </cell>
          <cell r="G12" t="str">
            <v>KLP Bedriftspensjon AS</v>
          </cell>
        </row>
        <row r="13">
          <cell r="A13" t="str">
            <v>5</v>
          </cell>
          <cell r="B13" t="str">
            <v>12</v>
          </cell>
          <cell r="C13">
            <v>43</v>
          </cell>
          <cell r="D13">
            <v>19</v>
          </cell>
          <cell r="E13">
            <v>43</v>
          </cell>
          <cell r="F13">
            <v>19</v>
          </cell>
          <cell r="G13" t="str">
            <v>KLP</v>
          </cell>
        </row>
        <row r="14">
          <cell r="A14" t="str">
            <v>22</v>
          </cell>
          <cell r="B14" t="str">
            <v>13</v>
          </cell>
          <cell r="C14">
            <v>55</v>
          </cell>
          <cell r="E14">
            <v>55</v>
          </cell>
          <cell r="G14" t="str">
            <v>Landbruksforsikring AS</v>
          </cell>
        </row>
        <row r="15">
          <cell r="A15" t="str">
            <v>17</v>
          </cell>
          <cell r="B15" t="str">
            <v>14</v>
          </cell>
          <cell r="C15">
            <v>59</v>
          </cell>
          <cell r="E15">
            <v>59</v>
          </cell>
          <cell r="G15" t="str">
            <v>NEMI Forsikring AS</v>
          </cell>
        </row>
        <row r="16">
          <cell r="A16" t="str">
            <v>40</v>
          </cell>
          <cell r="B16" t="str">
            <v>15</v>
          </cell>
          <cell r="C16">
            <v>63</v>
          </cell>
          <cell r="D16">
            <v>27</v>
          </cell>
          <cell r="E16">
            <v>63</v>
          </cell>
          <cell r="F16">
            <v>27</v>
          </cell>
          <cell r="G16" t="str">
            <v>Livsforsikringsselskapet Nordea Liv Norge AS</v>
          </cell>
        </row>
        <row r="17">
          <cell r="A17" t="str">
            <v>41</v>
          </cell>
          <cell r="B17" t="str">
            <v>16</v>
          </cell>
          <cell r="C17">
            <v>67</v>
          </cell>
          <cell r="E17">
            <v>67</v>
          </cell>
          <cell r="G17" t="str">
            <v>Oslo Pensjonsforsikring</v>
          </cell>
        </row>
        <row r="18">
          <cell r="A18" t="str">
            <v>43</v>
          </cell>
          <cell r="B18" t="str">
            <v>17</v>
          </cell>
          <cell r="C18">
            <v>71</v>
          </cell>
          <cell r="D18">
            <v>35</v>
          </cell>
          <cell r="E18">
            <v>71</v>
          </cell>
          <cell r="F18">
            <v>35</v>
          </cell>
          <cell r="G18" t="str">
            <v>Silver Pensjonsforsikring  AS</v>
          </cell>
        </row>
        <row r="19">
          <cell r="A19" t="str">
            <v>49</v>
          </cell>
          <cell r="B19" t="str">
            <v>18</v>
          </cell>
          <cell r="C19">
            <v>75</v>
          </cell>
          <cell r="D19">
            <v>39</v>
          </cell>
          <cell r="E19">
            <v>75</v>
          </cell>
          <cell r="F19">
            <v>39</v>
          </cell>
          <cell r="G19" t="str">
            <v>Sparebank 1 Fondsforsikring</v>
          </cell>
        </row>
        <row r="20">
          <cell r="A20" t="str">
            <v>50</v>
          </cell>
          <cell r="B20" t="str">
            <v>19</v>
          </cell>
          <cell r="C20">
            <v>79</v>
          </cell>
          <cell r="D20">
            <v>43</v>
          </cell>
          <cell r="E20">
            <v>79</v>
          </cell>
          <cell r="F20">
            <v>43</v>
          </cell>
          <cell r="G20" t="str">
            <v>Storebrand Fondsforsikring</v>
          </cell>
        </row>
        <row r="21">
          <cell r="A21" t="str">
            <v>16</v>
          </cell>
          <cell r="B21" t="str">
            <v>20</v>
          </cell>
          <cell r="C21">
            <v>83</v>
          </cell>
          <cell r="E21">
            <v>83</v>
          </cell>
          <cell r="G21" t="str">
            <v>Telenor Forsikring AS</v>
          </cell>
        </row>
        <row r="22">
          <cell r="A22" t="str">
            <v>47</v>
          </cell>
          <cell r="B22" t="str">
            <v>21</v>
          </cell>
          <cell r="G22" t="str">
            <v>TrygVesta Forsikring</v>
          </cell>
        </row>
        <row r="23">
          <cell r="A23" t="str">
            <v>8</v>
          </cell>
          <cell r="B23" t="str">
            <v>22</v>
          </cell>
          <cell r="C23">
            <v>87</v>
          </cell>
          <cell r="E23">
            <v>87</v>
          </cell>
          <cell r="G23" t="str">
            <v>Tryg Forsikring</v>
          </cell>
        </row>
        <row r="24">
          <cell r="A24" t="str">
            <v>10</v>
          </cell>
          <cell r="B24" t="str">
            <v>23</v>
          </cell>
          <cell r="G24" t="str">
            <v>SpareBank 1 Forsikring AS</v>
          </cell>
        </row>
        <row r="25">
          <cell r="A25" t="str">
            <v>32</v>
          </cell>
          <cell r="B25" t="str">
            <v>24</v>
          </cell>
          <cell r="G25" t="str">
            <v>Storebrand ASA</v>
          </cell>
        </row>
        <row r="26">
          <cell r="A26" t="str">
            <v>33</v>
          </cell>
          <cell r="B26" t="str">
            <v>25</v>
          </cell>
          <cell r="G26" t="str">
            <v>Altraplan Luxembourg</v>
          </cell>
        </row>
        <row r="27">
          <cell r="A27" t="str">
            <v>42</v>
          </cell>
          <cell r="B27" t="str">
            <v>26</v>
          </cell>
          <cell r="D27">
            <v>31</v>
          </cell>
          <cell r="F27">
            <v>31</v>
          </cell>
          <cell r="G27" t="str">
            <v>SHB Liv</v>
          </cell>
        </row>
        <row r="28">
          <cell r="A28" t="str">
            <v>44</v>
          </cell>
          <cell r="B28" t="str">
            <v>27</v>
          </cell>
          <cell r="C28">
            <v>51</v>
          </cell>
          <cell r="E28">
            <v>51</v>
          </cell>
          <cell r="G28" t="str">
            <v>KLP Skadeforsikring</v>
          </cell>
        </row>
        <row r="29">
          <cell r="A29" t="str">
            <v>45</v>
          </cell>
          <cell r="B29" t="str">
            <v>28</v>
          </cell>
          <cell r="G29" t="str">
            <v>Commercial Union International Life</v>
          </cell>
        </row>
        <row r="30">
          <cell r="A30" t="str">
            <v>46</v>
          </cell>
          <cell r="B30" t="str">
            <v>29</v>
          </cell>
          <cell r="G30" t="str">
            <v>Gjensidige NOR Spareforsikring</v>
          </cell>
        </row>
        <row r="31">
          <cell r="A31" t="str">
            <v>48</v>
          </cell>
          <cell r="B31" t="str">
            <v>30</v>
          </cell>
          <cell r="G31" t="str">
            <v>Vesta</v>
          </cell>
        </row>
        <row r="32">
          <cell r="A32" t="str">
            <v>51</v>
          </cell>
          <cell r="B32" t="str">
            <v>31</v>
          </cell>
          <cell r="G32" t="str">
            <v>Danica Link</v>
          </cell>
        </row>
        <row r="33">
          <cell r="A33" t="str">
            <v>52</v>
          </cell>
          <cell r="B33" t="str">
            <v>32</v>
          </cell>
          <cell r="G33" t="str">
            <v>Danica Fondsforsikring</v>
          </cell>
        </row>
        <row r="34">
          <cell r="A34" t="str">
            <v>53</v>
          </cell>
          <cell r="B34" t="str">
            <v>33</v>
          </cell>
          <cell r="G34" t="str">
            <v>Gjensidige NOR Fondsforsikring</v>
          </cell>
        </row>
        <row r="35">
          <cell r="A35" t="str">
            <v>54</v>
          </cell>
          <cell r="B35" t="str">
            <v>34</v>
          </cell>
          <cell r="G35" t="str">
            <v>Vital Link</v>
          </cell>
        </row>
        <row r="36">
          <cell r="A36" t="str">
            <v>55</v>
          </cell>
          <cell r="B36" t="str">
            <v>35</v>
          </cell>
          <cell r="G36" t="str">
            <v>Nordea Link</v>
          </cell>
        </row>
      </sheetData>
      <sheetData sheetId="2"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A1:I55"/>
  <sheetViews>
    <sheetView showGridLines="0" zoomScale="63" zoomScaleNormal="63" workbookViewId="0">
      <selection activeCell="K43" sqref="K43"/>
    </sheetView>
  </sheetViews>
  <sheetFormatPr baseColWidth="10" defaultColWidth="11.42578125" defaultRowHeight="12.75" x14ac:dyDescent="0.2"/>
  <sheetData>
    <row r="1" spans="2:9" s="50" customFormat="1" x14ac:dyDescent="0.2"/>
    <row r="2" spans="2:9" s="50" customFormat="1" x14ac:dyDescent="0.2"/>
    <row r="3" spans="2:9" s="50" customFormat="1" x14ac:dyDescent="0.2"/>
    <row r="4" spans="2:9" s="50" customFormat="1" x14ac:dyDescent="0.2"/>
    <row r="5" spans="2:9" s="50" customFormat="1" x14ac:dyDescent="0.2">
      <c r="B5" s="51"/>
      <c r="C5" s="51"/>
      <c r="D5" s="51"/>
      <c r="E5" s="51"/>
      <c r="F5" s="51"/>
      <c r="G5" s="51"/>
      <c r="H5" s="51"/>
    </row>
    <row r="6" spans="2:9" s="50" customFormat="1" ht="23.25" x14ac:dyDescent="0.35">
      <c r="B6" s="52"/>
      <c r="C6" s="51"/>
      <c r="D6" s="51"/>
      <c r="E6" s="51"/>
      <c r="F6" s="51"/>
      <c r="G6" s="51"/>
      <c r="H6" s="51"/>
      <c r="I6" s="53"/>
    </row>
    <row r="7" spans="2:9" s="50" customFormat="1" x14ac:dyDescent="0.2">
      <c r="B7" s="51"/>
      <c r="C7" s="51"/>
      <c r="D7" s="51"/>
      <c r="E7" s="51"/>
      <c r="F7" s="51"/>
      <c r="G7" s="51"/>
      <c r="H7" s="51"/>
      <c r="I7" s="51"/>
    </row>
    <row r="8" spans="2:9" s="50" customFormat="1" x14ac:dyDescent="0.2">
      <c r="B8" s="51"/>
      <c r="C8" s="51"/>
      <c r="D8" s="51"/>
      <c r="F8" s="51"/>
      <c r="G8" s="51"/>
      <c r="H8" s="51"/>
    </row>
    <row r="9" spans="2:9" s="50" customFormat="1" x14ac:dyDescent="0.2">
      <c r="B9" s="51"/>
      <c r="C9" s="51"/>
      <c r="D9" s="51"/>
      <c r="E9" s="51"/>
      <c r="F9" s="51"/>
      <c r="G9" s="51"/>
      <c r="H9" s="51"/>
    </row>
    <row r="10" spans="2:9" s="50" customFormat="1" ht="23.25" x14ac:dyDescent="0.35">
      <c r="B10" s="51"/>
      <c r="C10" s="51"/>
      <c r="D10" s="51"/>
      <c r="I10" s="53"/>
    </row>
    <row r="11" spans="2:9" s="50" customFormat="1" x14ac:dyDescent="0.2">
      <c r="B11" s="51"/>
      <c r="C11" s="51"/>
      <c r="D11" s="51"/>
    </row>
    <row r="12" spans="2:9" s="50" customFormat="1" ht="27" customHeight="1" x14ac:dyDescent="0.35">
      <c r="B12" s="51"/>
      <c r="C12" s="51"/>
      <c r="D12" s="51"/>
      <c r="E12" s="51"/>
      <c r="F12" s="51"/>
      <c r="G12" s="51"/>
      <c r="H12" s="51"/>
      <c r="I12" s="53"/>
    </row>
    <row r="13" spans="2:9" s="50" customFormat="1" ht="19.5" customHeight="1" x14ac:dyDescent="0.35">
      <c r="B13" s="51"/>
      <c r="I13" s="53"/>
    </row>
    <row r="14" spans="2:9" s="50" customFormat="1" x14ac:dyDescent="0.2">
      <c r="B14" s="51"/>
      <c r="C14" s="51"/>
      <c r="D14" s="51"/>
      <c r="F14" s="51"/>
      <c r="G14" s="51"/>
      <c r="H14" s="51"/>
    </row>
    <row r="15" spans="2:9" s="50" customFormat="1" x14ac:dyDescent="0.2">
      <c r="B15" s="51"/>
      <c r="C15" s="51"/>
      <c r="D15" s="51"/>
      <c r="F15" s="51"/>
      <c r="G15" s="51"/>
      <c r="H15" s="51"/>
      <c r="I15" s="51"/>
    </row>
    <row r="16" spans="2:9" s="50" customFormat="1" ht="34.5" x14ac:dyDescent="0.45">
      <c r="B16" s="51"/>
      <c r="C16" s="51"/>
      <c r="D16" s="51"/>
      <c r="E16" s="54"/>
      <c r="F16" s="51"/>
      <c r="G16" s="51"/>
      <c r="H16" s="51"/>
      <c r="I16" s="51"/>
    </row>
    <row r="17" spans="2:9" s="50" customFormat="1" ht="33" x14ac:dyDescent="0.45">
      <c r="B17" s="51"/>
      <c r="C17" s="51"/>
      <c r="D17" s="51"/>
      <c r="E17" s="55"/>
      <c r="F17" s="51"/>
      <c r="G17" s="51"/>
      <c r="H17" s="51"/>
      <c r="I17" s="51"/>
    </row>
    <row r="18" spans="2:9" s="50" customFormat="1" ht="33" x14ac:dyDescent="0.45">
      <c r="D18" s="55"/>
    </row>
    <row r="19" spans="2:9" s="50" customFormat="1" ht="18.75" x14ac:dyDescent="0.3">
      <c r="E19" s="56"/>
      <c r="I19" s="57"/>
    </row>
    <row r="20" spans="2:9" s="50" customFormat="1" x14ac:dyDescent="0.2"/>
    <row r="21" spans="2:9" s="50" customFormat="1" x14ac:dyDescent="0.2">
      <c r="E21" s="58"/>
    </row>
    <row r="22" spans="2:9" s="50" customFormat="1" ht="26.25" x14ac:dyDescent="0.4">
      <c r="E22" s="59"/>
    </row>
    <row r="23" spans="2:9" s="50" customFormat="1" x14ac:dyDescent="0.2"/>
    <row r="24" spans="2:9" s="50" customFormat="1" x14ac:dyDescent="0.2"/>
    <row r="25" spans="2:9" s="50" customFormat="1" ht="18.75" x14ac:dyDescent="0.3">
      <c r="E25" s="60"/>
    </row>
    <row r="26" spans="2:9" s="50" customFormat="1" ht="18.75" x14ac:dyDescent="0.3">
      <c r="E26" s="61"/>
    </row>
    <row r="27" spans="2:9" s="50" customFormat="1" x14ac:dyDescent="0.2"/>
    <row r="28" spans="2:9" s="50" customFormat="1" x14ac:dyDescent="0.2"/>
    <row r="29" spans="2:9" s="50" customFormat="1" x14ac:dyDescent="0.2"/>
    <row r="30" spans="2:9" s="50" customFormat="1" x14ac:dyDescent="0.2"/>
    <row r="31" spans="2:9" s="50" customFormat="1" x14ac:dyDescent="0.2"/>
    <row r="32" spans="2:9" s="50" customFormat="1" x14ac:dyDescent="0.2"/>
    <row r="33" spans="1:9" s="50" customFormat="1" ht="35.25" x14ac:dyDescent="0.2">
      <c r="A33" s="62"/>
    </row>
    <row r="34" spans="1:9" s="50" customFormat="1" x14ac:dyDescent="0.2"/>
    <row r="35" spans="1:9" s="50" customFormat="1" x14ac:dyDescent="0.2"/>
    <row r="36" spans="1:9" s="50" customFormat="1" ht="33" x14ac:dyDescent="0.2">
      <c r="B36" s="63"/>
    </row>
    <row r="37" spans="1:9" s="50" customFormat="1" x14ac:dyDescent="0.2"/>
    <row r="38" spans="1:9" s="50" customFormat="1" x14ac:dyDescent="0.2"/>
    <row r="39" spans="1:9" s="50" customFormat="1" ht="18" x14ac:dyDescent="0.25">
      <c r="B39" s="64"/>
    </row>
    <row r="40" spans="1:9" s="50" customFormat="1" x14ac:dyDescent="0.2"/>
    <row r="41" spans="1:9" s="50" customFormat="1" ht="18.75" x14ac:dyDescent="0.3">
      <c r="I41" s="65"/>
    </row>
    <row r="42" spans="1:9" s="50" customFormat="1" x14ac:dyDescent="0.2"/>
    <row r="43" spans="1:9" s="50" customFormat="1" ht="18.75" x14ac:dyDescent="0.3">
      <c r="B43" s="938"/>
      <c r="C43" s="938"/>
      <c r="D43" s="938"/>
    </row>
    <row r="44" spans="1:9" s="50" customFormat="1" x14ac:dyDescent="0.2"/>
    <row r="45" spans="1:9" s="50" customFormat="1" x14ac:dyDescent="0.2"/>
    <row r="46" spans="1:9" s="50" customFormat="1" x14ac:dyDescent="0.2"/>
    <row r="47" spans="1:9" s="50" customFormat="1" x14ac:dyDescent="0.2"/>
    <row r="48" spans="1:9" s="50" customFormat="1" x14ac:dyDescent="0.2"/>
    <row r="49" s="50" customFormat="1" x14ac:dyDescent="0.2"/>
    <row r="50" s="50" customFormat="1" x14ac:dyDescent="0.2"/>
    <row r="51" s="50" customFormat="1" x14ac:dyDescent="0.2"/>
    <row r="52" s="50" customFormat="1" x14ac:dyDescent="0.2"/>
    <row r="53" s="50" customFormat="1" x14ac:dyDescent="0.2"/>
    <row r="54" s="50" customFormat="1" x14ac:dyDescent="0.2"/>
    <row r="55" s="50" customFormat="1" x14ac:dyDescent="0.2"/>
  </sheetData>
  <mergeCells count="1">
    <mergeCell ref="B43:D43"/>
  </mergeCells>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R144"/>
  <sheetViews>
    <sheetView showGridLines="0" zoomScale="90" zoomScaleNormal="90" workbookViewId="0"/>
  </sheetViews>
  <sheetFormatPr baseColWidth="10" defaultColWidth="11.42578125" defaultRowHeight="12.75" x14ac:dyDescent="0.2"/>
  <cols>
    <col min="1" max="1" width="41.5703125" style="147" customWidth="1"/>
    <col min="2" max="2" width="10.85546875" style="147" customWidth="1"/>
    <col min="3" max="3" width="11" style="147" customWidth="1"/>
    <col min="4" max="5" width="8.7109375" style="147" customWidth="1"/>
    <col min="6" max="7" width="10.85546875" style="147" customWidth="1"/>
    <col min="8" max="9" width="8.7109375" style="147" customWidth="1"/>
    <col min="10" max="11" width="10.85546875" style="147" customWidth="1"/>
    <col min="12" max="13" width="8.7109375" style="147" customWidth="1"/>
    <col min="14" max="14" width="11.42578125" style="147"/>
    <col min="15" max="15" width="3" style="146" bestFit="1" customWidth="1"/>
    <col min="16" max="16384" width="11.42578125" style="1"/>
  </cols>
  <sheetData>
    <row r="1" spans="1:18" x14ac:dyDescent="0.2">
      <c r="A1" s="170" t="s">
        <v>152</v>
      </c>
      <c r="B1" s="932"/>
      <c r="C1" s="247" t="s">
        <v>138</v>
      </c>
      <c r="D1" s="25"/>
      <c r="E1" s="25"/>
      <c r="F1" s="25"/>
      <c r="G1" s="25"/>
      <c r="H1" s="25"/>
      <c r="I1" s="25"/>
      <c r="J1" s="25"/>
      <c r="K1" s="25"/>
      <c r="L1" s="25"/>
      <c r="M1" s="25"/>
      <c r="O1" s="423"/>
    </row>
    <row r="2" spans="1:18" ht="15.75" x14ac:dyDescent="0.25">
      <c r="A2" s="163" t="s">
        <v>31</v>
      </c>
      <c r="B2" s="965"/>
      <c r="C2" s="965"/>
      <c r="D2" s="965"/>
      <c r="E2" s="297"/>
      <c r="F2" s="965"/>
      <c r="G2" s="965"/>
      <c r="H2" s="965"/>
      <c r="I2" s="297"/>
      <c r="J2" s="965"/>
      <c r="K2" s="965"/>
      <c r="L2" s="965"/>
      <c r="M2" s="297"/>
    </row>
    <row r="3" spans="1:18" ht="15.75" x14ac:dyDescent="0.25">
      <c r="A3" s="161"/>
      <c r="B3" s="297"/>
      <c r="C3" s="297"/>
      <c r="D3" s="297"/>
      <c r="E3" s="297"/>
      <c r="F3" s="297"/>
      <c r="G3" s="297"/>
      <c r="H3" s="297"/>
      <c r="I3" s="297"/>
      <c r="J3" s="297"/>
      <c r="K3" s="297"/>
      <c r="L3" s="297"/>
      <c r="M3" s="297"/>
    </row>
    <row r="4" spans="1:18" x14ac:dyDescent="0.2">
      <c r="A4" s="142"/>
      <c r="B4" s="960" t="s">
        <v>0</v>
      </c>
      <c r="C4" s="961"/>
      <c r="D4" s="961"/>
      <c r="E4" s="299"/>
      <c r="F4" s="960" t="s">
        <v>1</v>
      </c>
      <c r="G4" s="961"/>
      <c r="H4" s="961"/>
      <c r="I4" s="302"/>
      <c r="J4" s="960" t="s">
        <v>2</v>
      </c>
      <c r="K4" s="961"/>
      <c r="L4" s="961"/>
      <c r="M4" s="302"/>
    </row>
    <row r="5" spans="1:18" x14ac:dyDescent="0.2">
      <c r="A5" s="156"/>
      <c r="B5" s="150" t="s">
        <v>504</v>
      </c>
      <c r="C5" s="150" t="s">
        <v>505</v>
      </c>
      <c r="D5" s="243" t="s">
        <v>3</v>
      </c>
      <c r="E5" s="303" t="s">
        <v>32</v>
      </c>
      <c r="F5" s="150" t="s">
        <v>504</v>
      </c>
      <c r="G5" s="150" t="s">
        <v>505</v>
      </c>
      <c r="H5" s="243" t="s">
        <v>3</v>
      </c>
      <c r="I5" s="160" t="s">
        <v>32</v>
      </c>
      <c r="J5" s="150" t="s">
        <v>504</v>
      </c>
      <c r="K5" s="150" t="s">
        <v>505</v>
      </c>
      <c r="L5" s="243" t="s">
        <v>3</v>
      </c>
      <c r="M5" s="160" t="s">
        <v>32</v>
      </c>
      <c r="O5" s="931"/>
    </row>
    <row r="6" spans="1:18" x14ac:dyDescent="0.2">
      <c r="A6" s="933"/>
      <c r="B6" s="154"/>
      <c r="C6" s="154"/>
      <c r="D6" s="245" t="s">
        <v>4</v>
      </c>
      <c r="E6" s="154" t="s">
        <v>33</v>
      </c>
      <c r="F6" s="159"/>
      <c r="G6" s="159"/>
      <c r="H6" s="243" t="s">
        <v>4</v>
      </c>
      <c r="I6" s="154" t="s">
        <v>33</v>
      </c>
      <c r="J6" s="159"/>
      <c r="K6" s="159"/>
      <c r="L6" s="243" t="s">
        <v>4</v>
      </c>
      <c r="M6" s="154" t="s">
        <v>33</v>
      </c>
    </row>
    <row r="7" spans="1:18" ht="15.75" x14ac:dyDescent="0.2">
      <c r="A7" s="14" t="s">
        <v>26</v>
      </c>
      <c r="B7" s="304">
        <v>1210524</v>
      </c>
      <c r="C7" s="305">
        <v>863770</v>
      </c>
      <c r="D7" s="348">
        <f>IF(B7=0, "    ---- ", IF(ABS(ROUND(100/B7*C7-100,1))&lt;999,ROUND(100/B7*C7-100,1),IF(ROUND(100/B7*C7-100,1)&gt;999,999,-999)))</f>
        <v>-28.6</v>
      </c>
      <c r="E7" s="11">
        <f>IFERROR(100/'Skjema total MA'!C7*C7,0)</f>
        <v>18.520849222408188</v>
      </c>
      <c r="F7" s="304">
        <v>1194584</v>
      </c>
      <c r="G7" s="305">
        <v>731375</v>
      </c>
      <c r="H7" s="348">
        <f>IF(F7=0, "    ---- ", IF(ABS(ROUND(100/F7*G7-100,1))&lt;999,ROUND(100/F7*G7-100,1),IF(ROUND(100/F7*G7-100,1)&gt;999,999,-999)))</f>
        <v>-38.799999999999997</v>
      </c>
      <c r="I7" s="158">
        <f>IFERROR(100/'Skjema total MA'!F7*G7,0)</f>
        <v>8.3039097704509057</v>
      </c>
      <c r="J7" s="306">
        <v>2405108</v>
      </c>
      <c r="K7" s="307">
        <v>1595145</v>
      </c>
      <c r="L7" s="424">
        <f>IF(J7=0, "    ---- ", IF(ABS(ROUND(100/J7*K7-100,1))&lt;999,ROUND(100/J7*K7-100,1),IF(ROUND(100/J7*K7-100,1)&gt;999,999,-999)))</f>
        <v>-33.700000000000003</v>
      </c>
      <c r="M7" s="11">
        <f>IFERROR(100/'Skjema total MA'!I7*K7,0)</f>
        <v>11.841001339718668</v>
      </c>
    </row>
    <row r="8" spans="1:18" ht="15.75" x14ac:dyDescent="0.2">
      <c r="A8" s="20" t="s">
        <v>28</v>
      </c>
      <c r="B8" s="279">
        <v>138553</v>
      </c>
      <c r="C8" s="280">
        <v>139597</v>
      </c>
      <c r="D8" s="164">
        <f>IF(AND(_xlfn.NUMBERVALUE(B8)=0,_xlfn.NUMBERVALUE(C8)=0),,IF(B8=0, "    ---- ", IF(ABS(ROUND(100/B8*C8-100,1))&lt;999,IF(ROUND(100/B8*C8-100,1)=0,"    ---- ",ROUND(100/B8*C8-100,1)),IF(ROUND(100/B8*C8-100,1)&gt;999,999,-999))))</f>
        <v>0.8</v>
      </c>
      <c r="E8" s="26">
        <f>IFERROR(100/'Skjema total MA'!C8*C8,0)</f>
        <v>5.6089138878910161</v>
      </c>
      <c r="F8" s="283"/>
      <c r="G8" s="284"/>
      <c r="H8" s="164"/>
      <c r="I8" s="174"/>
      <c r="J8" s="232">
        <v>138553</v>
      </c>
      <c r="K8" s="285">
        <v>139597</v>
      </c>
      <c r="L8" s="164">
        <f>IF(AND(_xlfn.NUMBERVALUE(J8)=0,_xlfn.NUMBERVALUE(K8)=0),,IF(J8=0, "    ---- ", IF(ABS(ROUND(100/J8*K8-100,1))&lt;999,IF(ROUND(100/J8*K8-100,1)=0,"    ---- ",ROUND(100/J8*K8-100,1)),IF(ROUND(100/J8*K8-100,1)&gt;999,999,-999))))</f>
        <v>0.8</v>
      </c>
      <c r="M8" s="26">
        <f>IFERROR(100/'Skjema total MA'!I8*K8,0)</f>
        <v>5.6089138878910161</v>
      </c>
    </row>
    <row r="9" spans="1:18" ht="15.75" x14ac:dyDescent="0.2">
      <c r="A9" s="20" t="s">
        <v>27</v>
      </c>
      <c r="B9" s="279">
        <v>60422</v>
      </c>
      <c r="C9" s="280">
        <v>57677.66</v>
      </c>
      <c r="D9" s="164">
        <f t="shared" ref="D9:D12" si="0">IF(B9=0, "    ---- ", IF(ABS(ROUND(100/B9*C9-100,1))&lt;999,ROUND(100/B9*C9-100,1),IF(ROUND(100/B9*C9-100,1)&gt;999,999,-999)))</f>
        <v>-4.5</v>
      </c>
      <c r="E9" s="26">
        <f>IFERROR(100/'Skjema total MA'!C9*C9,0)</f>
        <v>5.330544791492394</v>
      </c>
      <c r="F9" s="283"/>
      <c r="G9" s="284"/>
      <c r="H9" s="164"/>
      <c r="I9" s="174"/>
      <c r="J9" s="232">
        <v>60422</v>
      </c>
      <c r="K9" s="285">
        <v>57677.66</v>
      </c>
      <c r="L9" s="164">
        <f>IF(AND(_xlfn.NUMBERVALUE(J9)=0,_xlfn.NUMBERVALUE(K9)=0),,IF(J9=0, "    ---- ", IF(ABS(ROUND(100/J9*K9-100,1))&lt;999,IF(ROUND(100/J9*K9-100,1)=0,"    ---- ",ROUND(100/J9*K9-100,1)),IF(ROUND(100/J9*K9-100,1)&gt;999,999,-999))))</f>
        <v>-4.5</v>
      </c>
      <c r="M9" s="26">
        <f>IFERROR(100/'Skjema total MA'!I9*K9,0)</f>
        <v>5.330544791492394</v>
      </c>
    </row>
    <row r="10" spans="1:18" ht="15.75" x14ac:dyDescent="0.2">
      <c r="A10" s="13" t="s">
        <v>25</v>
      </c>
      <c r="B10" s="308">
        <v>17435923</v>
      </c>
      <c r="C10" s="309">
        <v>15672516</v>
      </c>
      <c r="D10" s="169">
        <f t="shared" si="0"/>
        <v>-10.1</v>
      </c>
      <c r="E10" s="11">
        <f>IFERROR(100/'Skjema total MA'!C10*C10,0)</f>
        <v>65.198650158284408</v>
      </c>
      <c r="F10" s="308">
        <v>5213616</v>
      </c>
      <c r="G10" s="309">
        <v>5982464</v>
      </c>
      <c r="H10" s="169">
        <f t="shared" ref="H10:H12" si="1">IF(F10=0, "    ---- ", IF(ABS(ROUND(100/F10*G10-100,1))&lt;999,ROUND(100/F10*G10-100,1),IF(ROUND(100/F10*G10-100,1)&gt;999,999,-999)))</f>
        <v>14.7</v>
      </c>
      <c r="I10" s="158">
        <f>IFERROR(100/'Skjema total MA'!F10*G10,0)</f>
        <v>14.14955515748637</v>
      </c>
      <c r="J10" s="306">
        <v>22649539</v>
      </c>
      <c r="K10" s="307">
        <v>21654980</v>
      </c>
      <c r="L10" s="425">
        <f t="shared" ref="L10:L12" si="2">IF(J10=0, "    ---- ", IF(ABS(ROUND(100/J10*K10-100,1))&lt;999,ROUND(100/J10*K10-100,1),IF(ROUND(100/J10*K10-100,1)&gt;999,999,-999)))</f>
        <v>-4.4000000000000004</v>
      </c>
      <c r="M10" s="11">
        <f>IFERROR(100/'Skjema total MA'!I10*K10,0)</f>
        <v>32.653086159620067</v>
      </c>
      <c r="R10" s="147"/>
    </row>
    <row r="11" spans="1:18" s="42" customFormat="1" ht="15.75" x14ac:dyDescent="0.2">
      <c r="A11" s="13" t="s">
        <v>24</v>
      </c>
      <c r="B11" s="308">
        <v>81436</v>
      </c>
      <c r="C11" s="309">
        <v>95526</v>
      </c>
      <c r="D11" s="169">
        <f t="shared" si="0"/>
        <v>17.3</v>
      </c>
      <c r="E11" s="11">
        <f>IFERROR(100/'Skjema total MA'!C11*C11,0)</f>
        <v>100</v>
      </c>
      <c r="F11" s="308">
        <v>67926</v>
      </c>
      <c r="G11" s="309">
        <v>40901</v>
      </c>
      <c r="H11" s="169">
        <f t="shared" si="1"/>
        <v>-39.799999999999997</v>
      </c>
      <c r="I11" s="158">
        <f>IFERROR(100/'Skjema total MA'!F11*G11,0)</f>
        <v>15.483247912167659</v>
      </c>
      <c r="J11" s="306">
        <v>149362</v>
      </c>
      <c r="K11" s="307">
        <v>136427</v>
      </c>
      <c r="L11" s="425">
        <f t="shared" si="2"/>
        <v>-8.6999999999999993</v>
      </c>
      <c r="M11" s="11">
        <f>IFERROR(100/'Skjema total MA'!I11*K11,0)</f>
        <v>37.929163761656888</v>
      </c>
      <c r="N11" s="141"/>
      <c r="O11" s="146"/>
    </row>
    <row r="12" spans="1:18" s="42" customFormat="1" ht="15.75" x14ac:dyDescent="0.2">
      <c r="A12" s="40" t="s">
        <v>23</v>
      </c>
      <c r="B12" s="310">
        <v>41581</v>
      </c>
      <c r="C12" s="311">
        <v>28875</v>
      </c>
      <c r="D12" s="167">
        <f t="shared" si="0"/>
        <v>-30.6</v>
      </c>
      <c r="E12" s="35">
        <f>IFERROR(100/'Skjema total MA'!C12*C12,0)</f>
        <v>100</v>
      </c>
      <c r="F12" s="310">
        <v>43458</v>
      </c>
      <c r="G12" s="311">
        <v>47569</v>
      </c>
      <c r="H12" s="167">
        <f t="shared" si="1"/>
        <v>9.5</v>
      </c>
      <c r="I12" s="167">
        <f>IFERROR(100/'Skjema total MA'!F12*G12,0)</f>
        <v>26.509859875257799</v>
      </c>
      <c r="J12" s="312">
        <v>85039</v>
      </c>
      <c r="K12" s="313">
        <v>76444</v>
      </c>
      <c r="L12" s="426">
        <f t="shared" si="2"/>
        <v>-10.1</v>
      </c>
      <c r="M12" s="35">
        <f>IFERROR(100/'Skjema total MA'!I12*K12,0)</f>
        <v>36.696543685949869</v>
      </c>
      <c r="N12" s="141"/>
      <c r="O12" s="146"/>
      <c r="R12" s="141"/>
    </row>
    <row r="13" spans="1:18" s="42" customFormat="1" x14ac:dyDescent="0.2">
      <c r="A13" s="166"/>
      <c r="B13" s="143"/>
      <c r="C13" s="32"/>
      <c r="D13" s="157"/>
      <c r="E13" s="157"/>
      <c r="F13" s="143"/>
      <c r="G13" s="32"/>
      <c r="H13" s="157"/>
      <c r="I13" s="157"/>
      <c r="J13" s="47"/>
      <c r="K13" s="47"/>
      <c r="L13" s="157"/>
      <c r="M13" s="157"/>
      <c r="N13" s="141"/>
      <c r="O13" s="423"/>
    </row>
    <row r="14" spans="1:18" x14ac:dyDescent="0.2">
      <c r="A14" s="151" t="s">
        <v>296</v>
      </c>
      <c r="B14" s="25"/>
    </row>
    <row r="15" spans="1:18" x14ac:dyDescent="0.2">
      <c r="F15" s="144"/>
      <c r="G15" s="144"/>
      <c r="H15" s="144"/>
      <c r="I15" s="144"/>
      <c r="J15" s="144"/>
      <c r="K15" s="144"/>
      <c r="L15" s="144"/>
      <c r="M15" s="144"/>
    </row>
    <row r="16" spans="1:18" s="3" customFormat="1" ht="15.75" x14ac:dyDescent="0.25">
      <c r="A16" s="162"/>
      <c r="B16" s="146"/>
      <c r="C16" s="152"/>
      <c r="D16" s="152"/>
      <c r="E16" s="152"/>
      <c r="F16" s="152"/>
      <c r="G16" s="152"/>
      <c r="H16" s="152"/>
      <c r="I16" s="152"/>
      <c r="J16" s="152"/>
      <c r="K16" s="152"/>
      <c r="L16" s="152"/>
      <c r="M16" s="152"/>
      <c r="N16" s="146"/>
      <c r="O16" s="146"/>
    </row>
    <row r="17" spans="1:15" ht="15.75" x14ac:dyDescent="0.25">
      <c r="A17" s="145" t="s">
        <v>293</v>
      </c>
      <c r="B17" s="155"/>
      <c r="C17" s="155"/>
      <c r="D17" s="149"/>
      <c r="E17" s="149"/>
      <c r="F17" s="155"/>
      <c r="G17" s="155"/>
      <c r="H17" s="155"/>
      <c r="I17" s="155"/>
      <c r="J17" s="155"/>
      <c r="K17" s="155"/>
      <c r="L17" s="155"/>
      <c r="M17" s="155"/>
    </row>
    <row r="18" spans="1:15" ht="15.75" x14ac:dyDescent="0.25">
      <c r="B18" s="963"/>
      <c r="C18" s="963"/>
      <c r="D18" s="963"/>
      <c r="E18" s="297"/>
      <c r="F18" s="963"/>
      <c r="G18" s="963"/>
      <c r="H18" s="963"/>
      <c r="I18" s="297"/>
      <c r="J18" s="963"/>
      <c r="K18" s="963"/>
      <c r="L18" s="963"/>
      <c r="M18" s="297"/>
    </row>
    <row r="19" spans="1:15" x14ac:dyDescent="0.2">
      <c r="A19" s="142"/>
      <c r="B19" s="960" t="s">
        <v>0</v>
      </c>
      <c r="C19" s="961"/>
      <c r="D19" s="961"/>
      <c r="E19" s="299"/>
      <c r="F19" s="960" t="s">
        <v>1</v>
      </c>
      <c r="G19" s="961"/>
      <c r="H19" s="961"/>
      <c r="I19" s="302"/>
      <c r="J19" s="960" t="s">
        <v>2</v>
      </c>
      <c r="K19" s="961"/>
      <c r="L19" s="961"/>
      <c r="M19" s="302"/>
    </row>
    <row r="20" spans="1:15" x14ac:dyDescent="0.2">
      <c r="A20" s="139" t="s">
        <v>5</v>
      </c>
      <c r="B20" s="240" t="s">
        <v>504</v>
      </c>
      <c r="C20" s="240" t="s">
        <v>505</v>
      </c>
      <c r="D20" s="160" t="s">
        <v>3</v>
      </c>
      <c r="E20" s="303" t="s">
        <v>32</v>
      </c>
      <c r="F20" s="240" t="s">
        <v>504</v>
      </c>
      <c r="G20" s="240" t="s">
        <v>505</v>
      </c>
      <c r="H20" s="160" t="s">
        <v>3</v>
      </c>
      <c r="I20" s="160" t="s">
        <v>32</v>
      </c>
      <c r="J20" s="240" t="s">
        <v>504</v>
      </c>
      <c r="K20" s="240" t="s">
        <v>505</v>
      </c>
      <c r="L20" s="160" t="s">
        <v>3</v>
      </c>
      <c r="M20" s="160" t="s">
        <v>32</v>
      </c>
    </row>
    <row r="21" spans="1:15" x14ac:dyDescent="0.2">
      <c r="A21" s="934"/>
      <c r="B21" s="154"/>
      <c r="C21" s="154"/>
      <c r="D21" s="245" t="s">
        <v>4</v>
      </c>
      <c r="E21" s="154" t="s">
        <v>33</v>
      </c>
      <c r="F21" s="159"/>
      <c r="G21" s="159"/>
      <c r="H21" s="243" t="s">
        <v>4</v>
      </c>
      <c r="I21" s="154" t="s">
        <v>33</v>
      </c>
      <c r="J21" s="159"/>
      <c r="K21" s="159"/>
      <c r="L21" s="154" t="s">
        <v>4</v>
      </c>
      <c r="M21" s="154" t="s">
        <v>33</v>
      </c>
    </row>
    <row r="22" spans="1:15" ht="15.75" x14ac:dyDescent="0.2">
      <c r="A22" s="14" t="s">
        <v>26</v>
      </c>
      <c r="B22" s="314">
        <f>B23+B24+B25+B26</f>
        <v>430236</v>
      </c>
      <c r="C22" s="314">
        <f>C23+C24+C25+C26</f>
        <v>500405.80599999998</v>
      </c>
      <c r="D22" s="348">
        <f t="shared" ref="D22:D39" si="3">IF(B22=0, "    ---- ", IF(ABS(ROUND(100/B22*C22-100,1))&lt;999,ROUND(100/B22*C22-100,1),IF(ROUND(100/B22*C22-100,1)&gt;999,999,-999)))</f>
        <v>16.3</v>
      </c>
      <c r="E22" s="11">
        <f>IFERROR(100/'Skjema total MA'!C22*C22,0)</f>
        <v>30.673517046557546</v>
      </c>
      <c r="F22" s="314">
        <f>F23+F24+F25+F26</f>
        <v>124496</v>
      </c>
      <c r="G22" s="314">
        <f>G23+G24+G25+G26</f>
        <v>133660</v>
      </c>
      <c r="H22" s="348">
        <f t="shared" ref="H22:H35" si="4">IF(F22=0, "    ---- ", IF(ABS(ROUND(100/F22*G22-100,1))&lt;999,ROUND(100/F22*G22-100,1),IF(ROUND(100/F22*G22-100,1)&gt;999,999,-999)))</f>
        <v>7.4</v>
      </c>
      <c r="I22" s="11">
        <f>IFERROR(100/'Skjema total MA'!F22*G22,0)</f>
        <v>11.5190308647552</v>
      </c>
      <c r="J22" s="314">
        <f t="shared" ref="J22:K35" si="5">SUM(B22,F22)</f>
        <v>554732</v>
      </c>
      <c r="K22" s="314">
        <f t="shared" si="5"/>
        <v>634065.80599999998</v>
      </c>
      <c r="L22" s="424">
        <f t="shared" ref="L22:L35" si="6">IF(J22=0, "    ---- ", IF(ABS(ROUND(100/J22*K22-100,1))&lt;999,ROUND(100/J22*K22-100,1),IF(ROUND(100/J22*K22-100,1)&gt;999,999,-999)))</f>
        <v>14.3</v>
      </c>
      <c r="M22" s="23">
        <f>IFERROR(100/'Skjema total MA'!I22*K22,0)</f>
        <v>22.712254663788173</v>
      </c>
    </row>
    <row r="23" spans="1:15" ht="15.75" x14ac:dyDescent="0.2">
      <c r="A23" s="294" t="s">
        <v>305</v>
      </c>
      <c r="B23" s="288">
        <v>314072</v>
      </c>
      <c r="C23" s="288">
        <v>471433</v>
      </c>
      <c r="D23" s="164">
        <f t="shared" si="3"/>
        <v>50.1</v>
      </c>
      <c r="E23" s="26">
        <f>IFERROR(100/'Skjema total MA'!C23*C23,0)</f>
        <v>30.184377744674958</v>
      </c>
      <c r="F23" s="288">
        <v>103208</v>
      </c>
      <c r="G23" s="288">
        <v>114237</v>
      </c>
      <c r="H23" s="164">
        <f t="shared" si="4"/>
        <v>10.7</v>
      </c>
      <c r="I23" s="414">
        <f>IFERROR(100/'Skjema total MA'!F23*G23,0)</f>
        <v>74.364157864805648</v>
      </c>
      <c r="J23" s="43">
        <f t="shared" si="5"/>
        <v>417280</v>
      </c>
      <c r="K23" s="43">
        <f t="shared" si="5"/>
        <v>585670</v>
      </c>
      <c r="L23" s="164">
        <f t="shared" si="6"/>
        <v>40.4</v>
      </c>
      <c r="M23" s="22">
        <f>IFERROR(100/'Skjema total MA'!I23*K23,0)</f>
        <v>34.140642908936698</v>
      </c>
    </row>
    <row r="24" spans="1:15" ht="15.75" x14ac:dyDescent="0.2">
      <c r="A24" s="294" t="s">
        <v>306</v>
      </c>
      <c r="B24" s="288"/>
      <c r="C24" s="288"/>
      <c r="D24" s="164"/>
      <c r="E24" s="414"/>
      <c r="F24" s="288">
        <v>38</v>
      </c>
      <c r="G24" s="288">
        <v>672</v>
      </c>
      <c r="H24" s="164">
        <f t="shared" ref="H24" si="7">IF(F24=0, "    ---- ", IF(ABS(ROUND(100/F24*G24-100,1))&lt;999,ROUND(100/F24*G24-100,1),IF(ROUND(100/F24*G24-100,1)&gt;999,999,-999)))</f>
        <v>999</v>
      </c>
      <c r="I24" s="414">
        <f>IFERROR(100/'Skjema total MA'!F24*G24,0)</f>
        <v>82.445206051119882</v>
      </c>
      <c r="J24" s="43">
        <f t="shared" si="5"/>
        <v>38</v>
      </c>
      <c r="K24" s="43">
        <f t="shared" si="5"/>
        <v>672</v>
      </c>
      <c r="L24" s="164">
        <f t="shared" si="6"/>
        <v>999</v>
      </c>
      <c r="M24" s="22">
        <f>IFERROR(100/'Skjema total MA'!I24*K24,0)</f>
        <v>3.6406481719057342</v>
      </c>
    </row>
    <row r="25" spans="1:15" ht="15.75" x14ac:dyDescent="0.2">
      <c r="A25" s="294" t="s">
        <v>406</v>
      </c>
      <c r="B25" s="288">
        <v>116164</v>
      </c>
      <c r="C25" s="288">
        <v>28972.806</v>
      </c>
      <c r="D25" s="164">
        <f t="shared" si="3"/>
        <v>-75.099999999999994</v>
      </c>
      <c r="E25" s="26">
        <f>IFERROR(100/'Skjema total MA'!C25*C25,0)</f>
        <v>98.121412624554196</v>
      </c>
      <c r="F25" s="288">
        <v>21250</v>
      </c>
      <c r="G25" s="288">
        <v>18751</v>
      </c>
      <c r="H25" s="164">
        <f t="shared" ref="H25" si="8">IF(F25=0, "    ---- ", IF(ABS(ROUND(100/F25*G25-100,1))&lt;999,ROUND(100/F25*G25-100,1),IF(ROUND(100/F25*G25-100,1)&gt;999,999,-999)))</f>
        <v>-11.8</v>
      </c>
      <c r="I25" s="414">
        <f>IFERROR(100/'Skjema total MA'!F25*G25,0)</f>
        <v>9.24516925514307</v>
      </c>
      <c r="J25" s="43">
        <f t="shared" si="5"/>
        <v>137414</v>
      </c>
      <c r="K25" s="43">
        <f t="shared" si="5"/>
        <v>47723.805999999997</v>
      </c>
      <c r="L25" s="164">
        <f t="shared" si="6"/>
        <v>-65.3</v>
      </c>
      <c r="M25" s="22">
        <f>IFERROR(100/'Skjema total MA'!I25*K25,0)</f>
        <v>20.53989000303104</v>
      </c>
    </row>
    <row r="26" spans="1:15" ht="15.75" x14ac:dyDescent="0.2">
      <c r="A26" s="294" t="s">
        <v>307</v>
      </c>
      <c r="B26" s="288"/>
      <c r="C26" s="288"/>
      <c r="D26" s="164"/>
      <c r="E26" s="414"/>
      <c r="F26" s="288"/>
      <c r="G26" s="288"/>
      <c r="H26" s="164"/>
      <c r="I26" s="414"/>
      <c r="J26" s="288"/>
      <c r="K26" s="288"/>
      <c r="L26" s="164"/>
      <c r="M26" s="22"/>
    </row>
    <row r="27" spans="1:15" x14ac:dyDescent="0.2">
      <c r="A27" s="294" t="s">
        <v>11</v>
      </c>
      <c r="B27" s="288"/>
      <c r="C27" s="288"/>
      <c r="D27" s="164"/>
      <c r="E27" s="414"/>
      <c r="F27" s="288"/>
      <c r="G27" s="288"/>
      <c r="H27" s="164"/>
      <c r="I27" s="414"/>
      <c r="J27" s="288"/>
      <c r="K27" s="288"/>
      <c r="L27" s="164"/>
      <c r="M27" s="22"/>
    </row>
    <row r="28" spans="1:15" ht="15.75" x14ac:dyDescent="0.2">
      <c r="A28" s="48" t="s">
        <v>297</v>
      </c>
      <c r="B28" s="43">
        <v>189234</v>
      </c>
      <c r="C28" s="285">
        <v>195547</v>
      </c>
      <c r="D28" s="164">
        <f t="shared" si="3"/>
        <v>3.3</v>
      </c>
      <c r="E28" s="26">
        <f>IFERROR(100/'Skjema total MA'!C28*C28,0)</f>
        <v>12.102749672795728</v>
      </c>
      <c r="F28" s="232"/>
      <c r="G28" s="285"/>
      <c r="H28" s="164"/>
      <c r="I28" s="26"/>
      <c r="J28" s="43">
        <f t="shared" si="5"/>
        <v>189234</v>
      </c>
      <c r="K28" s="43">
        <f t="shared" si="5"/>
        <v>195547</v>
      </c>
      <c r="L28" s="253">
        <f t="shared" si="6"/>
        <v>3.3</v>
      </c>
      <c r="M28" s="22">
        <f>IFERROR(100/'Skjema total MA'!I28*K28,0)</f>
        <v>12.102749672795728</v>
      </c>
    </row>
    <row r="29" spans="1:15" s="3" customFormat="1" ht="15.75" x14ac:dyDescent="0.2">
      <c r="A29" s="13" t="s">
        <v>25</v>
      </c>
      <c r="B29" s="234">
        <f>B30+B31+B32+B33</f>
        <v>28414232</v>
      </c>
      <c r="C29" s="234">
        <f>C30+C31+C32+C33</f>
        <v>27414633</v>
      </c>
      <c r="D29" s="169">
        <f t="shared" si="3"/>
        <v>-3.5</v>
      </c>
      <c r="E29" s="11">
        <f>IFERROR(100/'Skjema total MA'!C29*C29,0)</f>
        <v>55.445213163581982</v>
      </c>
      <c r="F29" s="234">
        <f>F30+F31+F32+F33</f>
        <v>5589745</v>
      </c>
      <c r="G29" s="234">
        <f>G30+G31+G32+G33</f>
        <v>5853762</v>
      </c>
      <c r="H29" s="169">
        <f t="shared" si="4"/>
        <v>4.7</v>
      </c>
      <c r="I29" s="11">
        <f>IFERROR(100/'Skjema total MA'!F29*G29,0)</f>
        <v>28.264448908812152</v>
      </c>
      <c r="J29" s="234">
        <f t="shared" si="5"/>
        <v>34003977</v>
      </c>
      <c r="K29" s="234">
        <f t="shared" si="5"/>
        <v>33268395</v>
      </c>
      <c r="L29" s="425">
        <f t="shared" si="6"/>
        <v>-2.2000000000000002</v>
      </c>
      <c r="M29" s="23">
        <f>IFERROR(100/'Skjema total MA'!I29*K29,0)</f>
        <v>47.421116869735378</v>
      </c>
      <c r="N29" s="146"/>
      <c r="O29" s="146"/>
    </row>
    <row r="30" spans="1:15" s="3" customFormat="1" ht="15.75" x14ac:dyDescent="0.2">
      <c r="A30" s="294" t="s">
        <v>305</v>
      </c>
      <c r="B30" s="288">
        <v>6135378</v>
      </c>
      <c r="C30" s="288">
        <v>5919538</v>
      </c>
      <c r="D30" s="164">
        <f t="shared" si="3"/>
        <v>-3.5</v>
      </c>
      <c r="E30" s="26">
        <f>IFERROR(100/'Skjema total MA'!C30*C30,0)</f>
        <v>46.024028362884906</v>
      </c>
      <c r="F30" s="288">
        <v>1744227</v>
      </c>
      <c r="G30" s="288">
        <v>1931900</v>
      </c>
      <c r="H30" s="164">
        <f t="shared" si="4"/>
        <v>10.8</v>
      </c>
      <c r="I30" s="414">
        <f>IFERROR(100/'Skjema total MA'!F30*G30,0)</f>
        <v>42.933570014936038</v>
      </c>
      <c r="J30" s="43">
        <f t="shared" si="5"/>
        <v>7879605</v>
      </c>
      <c r="K30" s="43">
        <f t="shared" si="5"/>
        <v>7851438</v>
      </c>
      <c r="L30" s="164">
        <f t="shared" si="6"/>
        <v>-0.4</v>
      </c>
      <c r="M30" s="22">
        <f>IFERROR(100/'Skjema total MA'!I30*K30,0)</f>
        <v>45.2230492859821</v>
      </c>
      <c r="N30" s="146"/>
      <c r="O30" s="146"/>
    </row>
    <row r="31" spans="1:15" s="3" customFormat="1" ht="15.75" x14ac:dyDescent="0.2">
      <c r="A31" s="294" t="s">
        <v>306</v>
      </c>
      <c r="B31" s="288">
        <v>21200636</v>
      </c>
      <c r="C31" s="288">
        <v>20454808</v>
      </c>
      <c r="D31" s="164">
        <f t="shared" si="3"/>
        <v>-3.5</v>
      </c>
      <c r="E31" s="26">
        <f>IFERROR(100/'Skjema total MA'!C31*C31,0)</f>
        <v>58.137932197107958</v>
      </c>
      <c r="F31" s="288">
        <v>3521717</v>
      </c>
      <c r="G31" s="288">
        <v>3537302</v>
      </c>
      <c r="H31" s="164">
        <f t="shared" ref="H31" si="9">IF(F31=0, "    ---- ", IF(ABS(ROUND(100/F31*G31-100,1))&lt;999,ROUND(100/F31*G31-100,1),IF(ROUND(100/F31*G31-100,1)&gt;999,999,-999)))</f>
        <v>0.4</v>
      </c>
      <c r="I31" s="414">
        <f>IFERROR(100/'Skjema total MA'!F31*G31,0)</f>
        <v>31.424001994185751</v>
      </c>
      <c r="J31" s="43">
        <f t="shared" si="5"/>
        <v>24722353</v>
      </c>
      <c r="K31" s="43">
        <f t="shared" si="5"/>
        <v>23992110</v>
      </c>
      <c r="L31" s="164">
        <f t="shared" si="6"/>
        <v>-3</v>
      </c>
      <c r="M31" s="22">
        <f>IFERROR(100/'Skjema total MA'!I31*K31,0)</f>
        <v>51.662676919646266</v>
      </c>
      <c r="N31" s="146"/>
      <c r="O31" s="146"/>
    </row>
    <row r="32" spans="1:15" ht="15.75" x14ac:dyDescent="0.2">
      <c r="A32" s="294" t="s">
        <v>406</v>
      </c>
      <c r="B32" s="288">
        <v>1078218</v>
      </c>
      <c r="C32" s="288">
        <v>1040287</v>
      </c>
      <c r="D32" s="164">
        <f t="shared" si="3"/>
        <v>-3.5</v>
      </c>
      <c r="E32" s="26">
        <f>IFERROR(100/'Skjema total MA'!C32*C32,0)</f>
        <v>78.965321323730137</v>
      </c>
      <c r="F32" s="288">
        <v>323801</v>
      </c>
      <c r="G32" s="288">
        <v>384560</v>
      </c>
      <c r="H32" s="164">
        <f t="shared" ref="H32" si="10">IF(F32=0, "    ---- ", IF(ABS(ROUND(100/F32*G32-100,1))&lt;999,ROUND(100/F32*G32-100,1),IF(ROUND(100/F32*G32-100,1)&gt;999,999,-999)))</f>
        <v>18.8</v>
      </c>
      <c r="I32" s="414">
        <f>IFERROR(100/'Skjema total MA'!F32*G32,0)</f>
        <v>9.3068462668051009</v>
      </c>
      <c r="J32" s="43">
        <f t="shared" si="5"/>
        <v>1402019</v>
      </c>
      <c r="K32" s="43">
        <f t="shared" si="5"/>
        <v>1424847</v>
      </c>
      <c r="L32" s="164">
        <f t="shared" si="6"/>
        <v>1.6</v>
      </c>
      <c r="M32" s="22">
        <f>IFERROR(100/'Skjema total MA'!I32*K32,0)</f>
        <v>26.146815884947056</v>
      </c>
    </row>
    <row r="33" spans="1:15" ht="15.75" x14ac:dyDescent="0.2">
      <c r="A33" s="294" t="s">
        <v>307</v>
      </c>
      <c r="B33" s="288"/>
      <c r="C33" s="288"/>
      <c r="D33" s="164"/>
      <c r="E33" s="414"/>
      <c r="F33" s="288"/>
      <c r="G33" s="288"/>
      <c r="H33" s="164"/>
      <c r="I33" s="414"/>
      <c r="J33" s="288"/>
      <c r="K33" s="288"/>
      <c r="L33" s="164"/>
      <c r="M33" s="22"/>
    </row>
    <row r="34" spans="1:15" ht="15.75" x14ac:dyDescent="0.2">
      <c r="A34" s="13" t="s">
        <v>24</v>
      </c>
      <c r="B34" s="234">
        <v>31934</v>
      </c>
      <c r="C34" s="307">
        <v>28843</v>
      </c>
      <c r="D34" s="169">
        <f t="shared" si="3"/>
        <v>-9.6999999999999993</v>
      </c>
      <c r="E34" s="11">
        <f>IFERROR(100/'Skjema total MA'!C34*C34,0)</f>
        <v>70.468020628623108</v>
      </c>
      <c r="F34" s="306">
        <v>-51103</v>
      </c>
      <c r="G34" s="307">
        <v>-75518</v>
      </c>
      <c r="H34" s="169">
        <f t="shared" si="4"/>
        <v>47.8</v>
      </c>
      <c r="I34" s="11">
        <f>IFERROR(100/'Skjema total MA'!F34*G34,0)</f>
        <v>-416.74032566730614</v>
      </c>
      <c r="J34" s="234">
        <f t="shared" si="5"/>
        <v>-19169</v>
      </c>
      <c r="K34" s="234">
        <f t="shared" si="5"/>
        <v>-46675</v>
      </c>
      <c r="L34" s="425">
        <f t="shared" si="6"/>
        <v>143.5</v>
      </c>
      <c r="M34" s="23">
        <f>IFERROR(100/'Skjema total MA'!I34*K34,0)</f>
        <v>-79.040855055777186</v>
      </c>
    </row>
    <row r="35" spans="1:15" ht="15.75" x14ac:dyDescent="0.2">
      <c r="A35" s="13" t="s">
        <v>23</v>
      </c>
      <c r="B35" s="234">
        <v>-67131</v>
      </c>
      <c r="C35" s="307">
        <v>-71120</v>
      </c>
      <c r="D35" s="169">
        <f t="shared" si="3"/>
        <v>5.9</v>
      </c>
      <c r="E35" s="11">
        <f>IFERROR(100/'Skjema total MA'!C35*C35,0)</f>
        <v>108.35355357994013</v>
      </c>
      <c r="F35" s="306">
        <v>56278</v>
      </c>
      <c r="G35" s="307">
        <v>23741</v>
      </c>
      <c r="H35" s="169">
        <f t="shared" si="4"/>
        <v>-57.8</v>
      </c>
      <c r="I35" s="11">
        <f>IFERROR(100/'Skjema total MA'!F35*G35,0)</f>
        <v>25.832832214000742</v>
      </c>
      <c r="J35" s="234">
        <f t="shared" si="5"/>
        <v>-10853</v>
      </c>
      <c r="K35" s="234">
        <f t="shared" si="5"/>
        <v>-47379</v>
      </c>
      <c r="L35" s="425">
        <f t="shared" si="6"/>
        <v>336.6</v>
      </c>
      <c r="M35" s="23">
        <f>IFERROR(100/'Skjema total MA'!I35*K35,0)</f>
        <v>-180.3852715299015</v>
      </c>
    </row>
    <row r="36" spans="1:15" ht="15.75" x14ac:dyDescent="0.2">
      <c r="A36" s="12" t="s">
        <v>308</v>
      </c>
      <c r="B36" s="234">
        <v>19111</v>
      </c>
      <c r="C36" s="307">
        <v>15407</v>
      </c>
      <c r="D36" s="169">
        <f t="shared" si="3"/>
        <v>-19.399999999999999</v>
      </c>
      <c r="E36" s="11">
        <f>100/'Skjema total MA'!C36*C36</f>
        <v>99.149899176902039</v>
      </c>
      <c r="F36" s="317"/>
      <c r="G36" s="318"/>
      <c r="H36" s="169"/>
      <c r="I36" s="431">
        <f>IFERROR(100/'Skjema total MA'!F36*G36,0)</f>
        <v>0</v>
      </c>
      <c r="J36" s="234">
        <f t="shared" ref="J36:J39" si="11">SUM(B36,F36)</f>
        <v>19111</v>
      </c>
      <c r="K36" s="234">
        <f t="shared" ref="K36:K39" si="12">SUM(C36,G36)</f>
        <v>15407</v>
      </c>
      <c r="L36" s="425"/>
      <c r="M36" s="23">
        <f>IFERROR(100/'Skjema total MA'!I36*K36,0)</f>
        <v>99.149899176902039</v>
      </c>
    </row>
    <row r="37" spans="1:15" ht="15.75" x14ac:dyDescent="0.2">
      <c r="A37" s="12" t="s">
        <v>309</v>
      </c>
      <c r="B37" s="234">
        <v>3575173</v>
      </c>
      <c r="C37" s="307">
        <v>3444982</v>
      </c>
      <c r="D37" s="169">
        <f t="shared" si="3"/>
        <v>-3.6</v>
      </c>
      <c r="E37" s="11">
        <f>100/'Skjema total MA'!C37*C37</f>
        <v>87.670861856051019</v>
      </c>
      <c r="F37" s="317"/>
      <c r="G37" s="319"/>
      <c r="H37" s="169"/>
      <c r="I37" s="431">
        <f>IFERROR(100/'Skjema total MA'!F37*G37,0)</f>
        <v>0</v>
      </c>
      <c r="J37" s="234">
        <f t="shared" si="11"/>
        <v>3575173</v>
      </c>
      <c r="K37" s="234">
        <f t="shared" si="12"/>
        <v>3444982</v>
      </c>
      <c r="L37" s="425"/>
      <c r="M37" s="23">
        <f>IFERROR(100/'Skjema total MA'!I37*K37,0)</f>
        <v>87.670861856051019</v>
      </c>
    </row>
    <row r="38" spans="1:15" ht="15.75" x14ac:dyDescent="0.2">
      <c r="A38" s="12" t="s">
        <v>310</v>
      </c>
      <c r="B38" s="234"/>
      <c r="C38" s="307"/>
      <c r="D38" s="169"/>
      <c r="E38" s="11"/>
      <c r="F38" s="317"/>
      <c r="G38" s="318"/>
      <c r="H38" s="169"/>
      <c r="I38" s="431"/>
      <c r="J38" s="234"/>
      <c r="K38" s="234"/>
      <c r="L38" s="425"/>
      <c r="M38" s="23"/>
    </row>
    <row r="39" spans="1:15" ht="15.75" x14ac:dyDescent="0.2">
      <c r="A39" s="18" t="s">
        <v>311</v>
      </c>
      <c r="B39" s="274">
        <v>19</v>
      </c>
      <c r="C39" s="313">
        <v>5</v>
      </c>
      <c r="D39" s="167">
        <f t="shared" si="3"/>
        <v>-73.7</v>
      </c>
      <c r="E39" s="11">
        <f>100/'Skjema total MA'!C39*C39</f>
        <v>100</v>
      </c>
      <c r="F39" s="320"/>
      <c r="G39" s="321"/>
      <c r="H39" s="167"/>
      <c r="I39" s="35"/>
      <c r="J39" s="234">
        <f t="shared" si="11"/>
        <v>19</v>
      </c>
      <c r="K39" s="234">
        <f t="shared" si="12"/>
        <v>5</v>
      </c>
      <c r="L39" s="426"/>
      <c r="M39" s="35">
        <f>IFERROR(100/'Skjema total MA'!I39*K39,0)</f>
        <v>100</v>
      </c>
    </row>
    <row r="40" spans="1:15" ht="15.75" x14ac:dyDescent="0.25">
      <c r="A40" s="46"/>
      <c r="B40" s="252"/>
      <c r="C40" s="252"/>
      <c r="D40" s="964"/>
      <c r="E40" s="964"/>
      <c r="F40" s="964"/>
      <c r="G40" s="964"/>
      <c r="H40" s="964"/>
      <c r="I40" s="964"/>
      <c r="J40" s="964"/>
      <c r="K40" s="964"/>
      <c r="L40" s="964"/>
      <c r="M40" s="300"/>
    </row>
    <row r="41" spans="1:15" x14ac:dyDescent="0.2">
      <c r="A41" s="153"/>
    </row>
    <row r="42" spans="1:15" ht="15.75" x14ac:dyDescent="0.25">
      <c r="A42" s="145" t="s">
        <v>294</v>
      </c>
      <c r="B42" s="965"/>
      <c r="C42" s="965"/>
      <c r="D42" s="965"/>
      <c r="E42" s="297"/>
      <c r="F42" s="966"/>
      <c r="G42" s="966"/>
      <c r="H42" s="966"/>
      <c r="I42" s="300"/>
      <c r="J42" s="966"/>
      <c r="K42" s="966"/>
      <c r="L42" s="966"/>
      <c r="M42" s="300"/>
    </row>
    <row r="43" spans="1:15" ht="15.75" x14ac:dyDescent="0.25">
      <c r="A43" s="161"/>
      <c r="B43" s="301"/>
      <c r="C43" s="301"/>
      <c r="D43" s="301"/>
      <c r="E43" s="301"/>
      <c r="F43" s="300"/>
      <c r="G43" s="300"/>
      <c r="H43" s="300"/>
      <c r="I43" s="300"/>
      <c r="J43" s="300"/>
      <c r="K43" s="300"/>
      <c r="L43" s="300"/>
      <c r="M43" s="300"/>
    </row>
    <row r="44" spans="1:15" ht="15.75" x14ac:dyDescent="0.25">
      <c r="A44" s="246"/>
      <c r="B44" s="960" t="s">
        <v>0</v>
      </c>
      <c r="C44" s="961"/>
      <c r="D44" s="961"/>
      <c r="E44" s="241"/>
      <c r="F44" s="300"/>
      <c r="G44" s="300"/>
      <c r="H44" s="300"/>
      <c r="I44" s="300"/>
      <c r="J44" s="300"/>
      <c r="K44" s="300"/>
      <c r="L44" s="300"/>
      <c r="M44" s="300"/>
    </row>
    <row r="45" spans="1:15" s="3" customFormat="1" x14ac:dyDescent="0.2">
      <c r="A45" s="139"/>
      <c r="B45" s="171" t="s">
        <v>504</v>
      </c>
      <c r="C45" s="171" t="s">
        <v>505</v>
      </c>
      <c r="D45" s="160" t="s">
        <v>3</v>
      </c>
      <c r="E45" s="160" t="s">
        <v>32</v>
      </c>
      <c r="F45" s="173"/>
      <c r="G45" s="173"/>
      <c r="H45" s="172"/>
      <c r="I45" s="172"/>
      <c r="J45" s="173"/>
      <c r="K45" s="173"/>
      <c r="L45" s="172"/>
      <c r="M45" s="172"/>
      <c r="N45" s="146"/>
      <c r="O45" s="146"/>
    </row>
    <row r="46" spans="1:15" s="3" customFormat="1" x14ac:dyDescent="0.2">
      <c r="A46" s="934"/>
      <c r="B46" s="242"/>
      <c r="C46" s="242"/>
      <c r="D46" s="243" t="s">
        <v>4</v>
      </c>
      <c r="E46" s="154" t="s">
        <v>33</v>
      </c>
      <c r="F46" s="172"/>
      <c r="G46" s="172"/>
      <c r="H46" s="172"/>
      <c r="I46" s="172"/>
      <c r="J46" s="172"/>
      <c r="K46" s="172"/>
      <c r="L46" s="172"/>
      <c r="M46" s="172"/>
      <c r="N46" s="146"/>
      <c r="O46" s="146"/>
    </row>
    <row r="47" spans="1:15" s="3" customFormat="1" ht="15.75" x14ac:dyDescent="0.2">
      <c r="A47" s="14" t="s">
        <v>26</v>
      </c>
      <c r="B47" s="308">
        <f>SUM(B48:B49)</f>
        <v>516768</v>
      </c>
      <c r="C47" s="309">
        <f>SUM(C48:C49)</f>
        <v>531722</v>
      </c>
      <c r="D47" s="424">
        <f t="shared" ref="D47:D57" si="13">IF(B47=0, "    ---- ", IF(ABS(ROUND(100/B47*C47-100,1))&lt;999,ROUND(100/B47*C47-100,1),IF(ROUND(100/B47*C47-100,1)&gt;999,999,-999)))</f>
        <v>2.9</v>
      </c>
      <c r="E47" s="11">
        <f>IFERROR(100/'Skjema total MA'!C47*C47,0)</f>
        <v>13.96114619652719</v>
      </c>
      <c r="F47" s="143"/>
      <c r="G47" s="32"/>
      <c r="H47" s="157"/>
      <c r="I47" s="157"/>
      <c r="J47" s="36"/>
      <c r="K47" s="36"/>
      <c r="L47" s="157"/>
      <c r="M47" s="157"/>
      <c r="N47" s="146"/>
      <c r="O47" s="146"/>
    </row>
    <row r="48" spans="1:15" s="3" customFormat="1" ht="15.75" x14ac:dyDescent="0.2">
      <c r="A48" s="37" t="s">
        <v>312</v>
      </c>
      <c r="B48" s="279">
        <v>332057</v>
      </c>
      <c r="C48" s="280">
        <v>316940</v>
      </c>
      <c r="D48" s="253">
        <f t="shared" si="13"/>
        <v>-4.5999999999999996</v>
      </c>
      <c r="E48" s="26">
        <f>IFERROR(100/'Skjema total MA'!C48*C48,0)</f>
        <v>15.466839799982562</v>
      </c>
      <c r="F48" s="143"/>
      <c r="G48" s="32"/>
      <c r="H48" s="143"/>
      <c r="I48" s="143"/>
      <c r="J48" s="32"/>
      <c r="K48" s="32"/>
      <c r="L48" s="157"/>
      <c r="M48" s="157"/>
      <c r="N48" s="146"/>
      <c r="O48" s="146"/>
    </row>
    <row r="49" spans="1:15" s="3" customFormat="1" ht="15.75" x14ac:dyDescent="0.2">
      <c r="A49" s="37" t="s">
        <v>313</v>
      </c>
      <c r="B49" s="43">
        <v>184711</v>
      </c>
      <c r="C49" s="285">
        <v>214782</v>
      </c>
      <c r="D49" s="253">
        <f>IF(B49=0, "    ---- ", IF(ABS(ROUND(100/B49*C49-100,1))&lt;999,ROUND(100/B49*C49-100,1),IF(ROUND(100/B49*C49-100,1)&gt;999,999,-999)))</f>
        <v>16.3</v>
      </c>
      <c r="E49" s="26">
        <f>IFERROR(100/'Skjema total MA'!C49*C49,0)</f>
        <v>12.207503725121351</v>
      </c>
      <c r="F49" s="143"/>
      <c r="G49" s="32"/>
      <c r="H49" s="143"/>
      <c r="I49" s="143"/>
      <c r="J49" s="36"/>
      <c r="K49" s="36"/>
      <c r="L49" s="157"/>
      <c r="M49" s="157"/>
      <c r="N49" s="146"/>
      <c r="O49" s="146"/>
    </row>
    <row r="50" spans="1:15" s="3" customFormat="1" x14ac:dyDescent="0.2">
      <c r="A50" s="294" t="s">
        <v>6</v>
      </c>
      <c r="B50" s="288"/>
      <c r="C50" s="289"/>
      <c r="D50" s="253"/>
      <c r="E50" s="22"/>
      <c r="F50" s="143"/>
      <c r="G50" s="32"/>
      <c r="H50" s="143"/>
      <c r="I50" s="143"/>
      <c r="J50" s="32"/>
      <c r="K50" s="32"/>
      <c r="L50" s="157"/>
      <c r="M50" s="157"/>
      <c r="N50" s="146"/>
      <c r="O50" s="146"/>
    </row>
    <row r="51" spans="1:15" s="3" customFormat="1" x14ac:dyDescent="0.2">
      <c r="A51" s="294" t="s">
        <v>7</v>
      </c>
      <c r="B51" s="288">
        <v>184711</v>
      </c>
      <c r="C51" s="289">
        <v>214782</v>
      </c>
      <c r="D51" s="253">
        <f t="shared" ref="D51" si="14">IF(B51=0, "    ---- ", IF(ABS(ROUND(100/B51*C51-100,1))&lt;999,ROUND(100/B51*C51-100,1),IF(ROUND(100/B51*C51-100,1)&gt;999,999,-999)))</f>
        <v>16.3</v>
      </c>
      <c r="E51" s="26">
        <f>IFERROR(100/'Skjema total MA'!C51*C51,0)</f>
        <v>14.550844315722966</v>
      </c>
      <c r="F51" s="143"/>
      <c r="G51" s="32"/>
      <c r="H51" s="143"/>
      <c r="I51" s="143"/>
      <c r="J51" s="32"/>
      <c r="K51" s="32"/>
      <c r="L51" s="157"/>
      <c r="M51" s="157"/>
      <c r="N51" s="146"/>
      <c r="O51" s="146"/>
    </row>
    <row r="52" spans="1:15" s="3" customFormat="1" x14ac:dyDescent="0.2">
      <c r="A52" s="294" t="s">
        <v>8</v>
      </c>
      <c r="B52" s="288"/>
      <c r="C52" s="289"/>
      <c r="D52" s="253"/>
      <c r="E52" s="22"/>
      <c r="F52" s="143"/>
      <c r="G52" s="32"/>
      <c r="H52" s="143"/>
      <c r="I52" s="143"/>
      <c r="J52" s="32"/>
      <c r="K52" s="32"/>
      <c r="L52" s="157"/>
      <c r="M52" s="157"/>
      <c r="N52" s="146"/>
      <c r="O52" s="146"/>
    </row>
    <row r="53" spans="1:15" s="3" customFormat="1" ht="15.75" x14ac:dyDescent="0.2">
      <c r="A53" s="38" t="s">
        <v>314</v>
      </c>
      <c r="B53" s="308">
        <f>SUM(B54:B55)</f>
        <v>25389</v>
      </c>
      <c r="C53" s="309">
        <f>SUM(C54:C55)</f>
        <v>19453</v>
      </c>
      <c r="D53" s="425">
        <f t="shared" si="13"/>
        <v>-23.4</v>
      </c>
      <c r="E53" s="11">
        <f>IFERROR(100/'Skjema total MA'!C53*C53,0)</f>
        <v>11.921693746095674</v>
      </c>
      <c r="F53" s="143"/>
      <c r="G53" s="32"/>
      <c r="H53" s="143"/>
      <c r="I53" s="143"/>
      <c r="J53" s="32"/>
      <c r="K53" s="32"/>
      <c r="L53" s="157"/>
      <c r="M53" s="157"/>
      <c r="N53" s="146"/>
      <c r="O53" s="146"/>
    </row>
    <row r="54" spans="1:15" s="3" customFormat="1" ht="15.75" x14ac:dyDescent="0.2">
      <c r="A54" s="37" t="s">
        <v>312</v>
      </c>
      <c r="B54" s="279">
        <v>25389</v>
      </c>
      <c r="C54" s="280">
        <v>19453</v>
      </c>
      <c r="D54" s="253">
        <f t="shared" si="13"/>
        <v>-23.4</v>
      </c>
      <c r="E54" s="26">
        <f>IFERROR(100/'Skjema total MA'!C54*C54,0)</f>
        <v>18.635961611930881</v>
      </c>
      <c r="F54" s="143"/>
      <c r="G54" s="32"/>
      <c r="H54" s="143"/>
      <c r="I54" s="143"/>
      <c r="J54" s="32"/>
      <c r="K54" s="32"/>
      <c r="L54" s="157"/>
      <c r="M54" s="157"/>
      <c r="N54" s="146"/>
      <c r="O54" s="146"/>
    </row>
    <row r="55" spans="1:15" s="3" customFormat="1" ht="15.75" x14ac:dyDescent="0.2">
      <c r="A55" s="37" t="s">
        <v>313</v>
      </c>
      <c r="B55" s="279"/>
      <c r="C55" s="280"/>
      <c r="D55" s="253"/>
      <c r="E55" s="26"/>
      <c r="F55" s="143"/>
      <c r="G55" s="32"/>
      <c r="H55" s="143"/>
      <c r="I55" s="143"/>
      <c r="J55" s="32"/>
      <c r="K55" s="32"/>
      <c r="L55" s="157"/>
      <c r="M55" s="157"/>
      <c r="N55" s="146"/>
      <c r="O55" s="146"/>
    </row>
    <row r="56" spans="1:15" s="3" customFormat="1" ht="15.75" x14ac:dyDescent="0.2">
      <c r="A56" s="38" t="s">
        <v>315</v>
      </c>
      <c r="B56" s="308">
        <f>SUM(B57:B58)</f>
        <v>33788</v>
      </c>
      <c r="C56" s="309">
        <f>SUM(C57:C58)</f>
        <v>51538</v>
      </c>
      <c r="D56" s="425">
        <f t="shared" si="13"/>
        <v>52.5</v>
      </c>
      <c r="E56" s="11">
        <f>IFERROR(100/'Skjema total MA'!C56*C56,0)</f>
        <v>24.783414891436397</v>
      </c>
      <c r="F56" s="143"/>
      <c r="G56" s="32"/>
      <c r="H56" s="143"/>
      <c r="I56" s="143"/>
      <c r="J56" s="32"/>
      <c r="K56" s="32"/>
      <c r="L56" s="157"/>
      <c r="M56" s="157"/>
      <c r="N56" s="146"/>
      <c r="O56" s="146"/>
    </row>
    <row r="57" spans="1:15" s="3" customFormat="1" ht="15.75" x14ac:dyDescent="0.2">
      <c r="A57" s="37" t="s">
        <v>312</v>
      </c>
      <c r="B57" s="279">
        <v>33788</v>
      </c>
      <c r="C57" s="280">
        <v>51538</v>
      </c>
      <c r="D57" s="253">
        <f t="shared" si="13"/>
        <v>52.5</v>
      </c>
      <c r="E57" s="26">
        <f>IFERROR(100/'Skjema total MA'!C57*C57,0)</f>
        <v>34.626725770703146</v>
      </c>
      <c r="F57" s="143"/>
      <c r="G57" s="32"/>
      <c r="H57" s="143"/>
      <c r="I57" s="143"/>
      <c r="J57" s="32"/>
      <c r="K57" s="32"/>
      <c r="L57" s="157"/>
      <c r="M57" s="157"/>
      <c r="N57" s="146"/>
      <c r="O57" s="146"/>
    </row>
    <row r="58" spans="1:15" s="3" customFormat="1" ht="15.75" x14ac:dyDescent="0.2">
      <c r="A58" s="45" t="s">
        <v>313</v>
      </c>
      <c r="B58" s="281"/>
      <c r="C58" s="282"/>
      <c r="D58" s="254"/>
      <c r="E58" s="21"/>
      <c r="F58" s="143"/>
      <c r="G58" s="32"/>
      <c r="H58" s="143"/>
      <c r="I58" s="143"/>
      <c r="J58" s="32"/>
      <c r="K58" s="32"/>
      <c r="L58" s="157"/>
      <c r="M58" s="157"/>
      <c r="N58" s="146"/>
      <c r="O58" s="146"/>
    </row>
    <row r="59" spans="1:15" s="3" customFormat="1" ht="15.75" x14ac:dyDescent="0.25">
      <c r="A59" s="162"/>
      <c r="B59" s="152"/>
      <c r="C59" s="152"/>
      <c r="D59" s="152"/>
      <c r="E59" s="152"/>
      <c r="F59" s="140"/>
      <c r="G59" s="140"/>
      <c r="H59" s="140"/>
      <c r="I59" s="140"/>
      <c r="J59" s="140"/>
      <c r="K59" s="140"/>
      <c r="L59" s="140"/>
      <c r="M59" s="140"/>
      <c r="N59" s="146"/>
      <c r="O59" s="146"/>
    </row>
    <row r="60" spans="1:15" x14ac:dyDescent="0.2">
      <c r="A60" s="153"/>
    </row>
    <row r="61" spans="1:15" ht="15.75" x14ac:dyDescent="0.25">
      <c r="A61" s="145" t="s">
        <v>295</v>
      </c>
      <c r="C61" s="25"/>
      <c r="D61" s="25"/>
      <c r="E61" s="25"/>
      <c r="F61" s="25"/>
      <c r="G61" s="25"/>
      <c r="H61" s="25"/>
      <c r="I61" s="25"/>
      <c r="J61" s="25"/>
      <c r="K61" s="25"/>
      <c r="L61" s="25"/>
      <c r="M61" s="25"/>
    </row>
    <row r="62" spans="1:15" ht="15.75" x14ac:dyDescent="0.25">
      <c r="B62" s="963"/>
      <c r="C62" s="963"/>
      <c r="D62" s="963"/>
      <c r="E62" s="297"/>
      <c r="F62" s="963"/>
      <c r="G62" s="963"/>
      <c r="H62" s="963"/>
      <c r="I62" s="297"/>
      <c r="J62" s="963"/>
      <c r="K62" s="963"/>
      <c r="L62" s="963"/>
      <c r="M62" s="297"/>
    </row>
    <row r="63" spans="1:15" x14ac:dyDescent="0.2">
      <c r="A63" s="142"/>
      <c r="B63" s="960" t="s">
        <v>0</v>
      </c>
      <c r="C63" s="961"/>
      <c r="D63" s="962"/>
      <c r="E63" s="298"/>
      <c r="F63" s="961" t="s">
        <v>1</v>
      </c>
      <c r="G63" s="961"/>
      <c r="H63" s="961"/>
      <c r="I63" s="302"/>
      <c r="J63" s="960" t="s">
        <v>2</v>
      </c>
      <c r="K63" s="961"/>
      <c r="L63" s="961"/>
      <c r="M63" s="302"/>
    </row>
    <row r="64" spans="1:15" x14ac:dyDescent="0.2">
      <c r="A64" s="139"/>
      <c r="B64" s="150" t="s">
        <v>504</v>
      </c>
      <c r="C64" s="150" t="s">
        <v>505</v>
      </c>
      <c r="D64" s="243" t="s">
        <v>3</v>
      </c>
      <c r="E64" s="303" t="s">
        <v>32</v>
      </c>
      <c r="F64" s="150" t="s">
        <v>504</v>
      </c>
      <c r="G64" s="150" t="s">
        <v>505</v>
      </c>
      <c r="H64" s="243" t="s">
        <v>3</v>
      </c>
      <c r="I64" s="303" t="s">
        <v>32</v>
      </c>
      <c r="J64" s="150" t="s">
        <v>504</v>
      </c>
      <c r="K64" s="150" t="s">
        <v>505</v>
      </c>
      <c r="L64" s="243" t="s">
        <v>3</v>
      </c>
      <c r="M64" s="160" t="s">
        <v>32</v>
      </c>
    </row>
    <row r="65" spans="1:15" x14ac:dyDescent="0.2">
      <c r="A65" s="934"/>
      <c r="B65" s="154"/>
      <c r="C65" s="154"/>
      <c r="D65" s="245" t="s">
        <v>4</v>
      </c>
      <c r="E65" s="154" t="s">
        <v>33</v>
      </c>
      <c r="F65" s="159"/>
      <c r="G65" s="159"/>
      <c r="H65" s="243" t="s">
        <v>4</v>
      </c>
      <c r="I65" s="154" t="s">
        <v>33</v>
      </c>
      <c r="J65" s="159"/>
      <c r="K65" s="204"/>
      <c r="L65" s="154" t="s">
        <v>4</v>
      </c>
      <c r="M65" s="154" t="s">
        <v>33</v>
      </c>
    </row>
    <row r="66" spans="1:15" ht="15.75" x14ac:dyDescent="0.2">
      <c r="A66" s="14" t="s">
        <v>26</v>
      </c>
      <c r="B66" s="350">
        <f>B67+B68+B75+B76</f>
        <v>4178130</v>
      </c>
      <c r="C66" s="350">
        <f>C67+C68+C75+C76</f>
        <v>3008713</v>
      </c>
      <c r="D66" s="348">
        <f t="shared" ref="D66:D111" si="15">IF(B66=0, "    ---- ", IF(ABS(ROUND(100/B66*C66-100,1))&lt;999,ROUND(100/B66*C66-100,1),IF(ROUND(100/B66*C66-100,1)&gt;999,999,-999)))</f>
        <v>-28</v>
      </c>
      <c r="E66" s="11">
        <f>IFERROR(100/'Skjema total MA'!C66*C66,0)</f>
        <v>30.529570515307402</v>
      </c>
      <c r="F66" s="350">
        <f>F67+F68+F75+F76</f>
        <v>6569640</v>
      </c>
      <c r="G66" s="350">
        <f>G67+G68+G75+G76</f>
        <v>7706897</v>
      </c>
      <c r="H66" s="348">
        <f t="shared" ref="H66:H111" si="16">IF(F66=0, "    ---- ", IF(ABS(ROUND(100/F66*G66-100,1))&lt;999,ROUND(100/F66*G66-100,1),IF(ROUND(100/F66*G66-100,1)&gt;999,999,-999)))</f>
        <v>17.3</v>
      </c>
      <c r="I66" s="11">
        <f>IFERROR(100/'Skjema total MA'!F66*G66,0)</f>
        <v>28.857379714161493</v>
      </c>
      <c r="J66" s="307">
        <f t="shared" ref="J66:K86" si="17">SUM(B66,F66)</f>
        <v>10747770</v>
      </c>
      <c r="K66" s="314">
        <f t="shared" si="17"/>
        <v>10715610</v>
      </c>
      <c r="L66" s="425">
        <f t="shared" ref="L66:L111" si="18">IF(J66=0, "    ---- ", IF(ABS(ROUND(100/J66*K66-100,1))&lt;999,ROUND(100/J66*K66-100,1),IF(ROUND(100/J66*K66-100,1)&gt;999,999,-999)))</f>
        <v>-0.3</v>
      </c>
      <c r="M66" s="11">
        <f>IFERROR(100/'Skjema total MA'!I66*K66,0)</f>
        <v>29.30811007513018</v>
      </c>
    </row>
    <row r="67" spans="1:15" x14ac:dyDescent="0.2">
      <c r="A67" s="20" t="s">
        <v>9</v>
      </c>
      <c r="B67" s="43">
        <v>4178130</v>
      </c>
      <c r="C67" s="143">
        <v>2983328</v>
      </c>
      <c r="D67" s="164">
        <f t="shared" si="15"/>
        <v>-28.6</v>
      </c>
      <c r="E67" s="26">
        <f>IFERROR(100/'Skjema total MA'!C67*C67,0)</f>
        <v>36.815268727604135</v>
      </c>
      <c r="F67" s="232"/>
      <c r="G67" s="143"/>
      <c r="H67" s="164"/>
      <c r="I67" s="26"/>
      <c r="J67" s="285">
        <f t="shared" si="17"/>
        <v>4178130</v>
      </c>
      <c r="K67" s="43">
        <f t="shared" si="17"/>
        <v>2983328</v>
      </c>
      <c r="L67" s="253">
        <f t="shared" si="18"/>
        <v>-28.6</v>
      </c>
      <c r="M67" s="26">
        <f>IFERROR(100/'Skjema total MA'!I67*K67,0)</f>
        <v>36.815268727604135</v>
      </c>
    </row>
    <row r="68" spans="1:15" x14ac:dyDescent="0.2">
      <c r="A68" s="20" t="s">
        <v>10</v>
      </c>
      <c r="B68" s="290"/>
      <c r="C68" s="291"/>
      <c r="D68" s="164"/>
      <c r="E68" s="26"/>
      <c r="F68" s="290">
        <v>6569640</v>
      </c>
      <c r="G68" s="291">
        <v>7706897</v>
      </c>
      <c r="H68" s="164">
        <f t="shared" si="16"/>
        <v>17.3</v>
      </c>
      <c r="I68" s="26">
        <f>IFERROR(100/'Skjema total MA'!F68*G68,0)</f>
        <v>29.182629681819243</v>
      </c>
      <c r="J68" s="285">
        <f t="shared" si="17"/>
        <v>6569640</v>
      </c>
      <c r="K68" s="43">
        <f t="shared" si="17"/>
        <v>7706897</v>
      </c>
      <c r="L68" s="253">
        <f t="shared" si="18"/>
        <v>17.3</v>
      </c>
      <c r="M68" s="26">
        <f>IFERROR(100/'Skjema total MA'!I68*K68,0)</f>
        <v>29.007786593583749</v>
      </c>
    </row>
    <row r="69" spans="1:15" ht="15.75" x14ac:dyDescent="0.2">
      <c r="A69" s="294" t="s">
        <v>316</v>
      </c>
      <c r="B69" s="279"/>
      <c r="C69" s="279"/>
      <c r="D69" s="164"/>
      <c r="E69" s="414"/>
      <c r="F69" s="279"/>
      <c r="G69" s="279"/>
      <c r="H69" s="164"/>
      <c r="I69" s="414"/>
      <c r="J69" s="288"/>
      <c r="K69" s="288"/>
      <c r="L69" s="164"/>
      <c r="M69" s="22"/>
    </row>
    <row r="70" spans="1:15" x14ac:dyDescent="0.2">
      <c r="A70" s="294" t="s">
        <v>12</v>
      </c>
      <c r="B70" s="292"/>
      <c r="C70" s="293"/>
      <c r="D70" s="164"/>
      <c r="E70" s="414"/>
      <c r="F70" s="279"/>
      <c r="G70" s="279"/>
      <c r="H70" s="164"/>
      <c r="I70" s="414"/>
      <c r="J70" s="288"/>
      <c r="K70" s="288"/>
      <c r="L70" s="164"/>
      <c r="M70" s="22"/>
    </row>
    <row r="71" spans="1:15" x14ac:dyDescent="0.2">
      <c r="A71" s="294" t="s">
        <v>13</v>
      </c>
      <c r="B71" s="233"/>
      <c r="C71" s="287"/>
      <c r="D71" s="164"/>
      <c r="E71" s="414"/>
      <c r="F71" s="279"/>
      <c r="G71" s="279"/>
      <c r="H71" s="164"/>
      <c r="I71" s="414"/>
      <c r="J71" s="288"/>
      <c r="K71" s="288"/>
      <c r="L71" s="164"/>
      <c r="M71" s="22"/>
    </row>
    <row r="72" spans="1:15" ht="15.75" x14ac:dyDescent="0.2">
      <c r="A72" s="294" t="s">
        <v>317</v>
      </c>
      <c r="B72" s="279"/>
      <c r="C72" s="279"/>
      <c r="D72" s="164"/>
      <c r="E72" s="414"/>
      <c r="F72" s="279">
        <v>6569640</v>
      </c>
      <c r="G72" s="279">
        <v>7706897</v>
      </c>
      <c r="H72" s="164">
        <f t="shared" si="16"/>
        <v>17.3</v>
      </c>
      <c r="I72" s="414">
        <f>IFERROR(100/'Skjema total MA'!F72*G72,0)</f>
        <v>29.187025650756954</v>
      </c>
      <c r="J72" s="285">
        <f t="shared" si="17"/>
        <v>6569640</v>
      </c>
      <c r="K72" s="285">
        <f t="shared" si="17"/>
        <v>7706897</v>
      </c>
      <c r="L72" s="164">
        <f t="shared" ref="L72" si="19">IF(J72=0, "    ---- ", IF(ABS(ROUND(100/J72*K72-100,1))&lt;999,ROUND(100/J72*K72-100,1),IF(ROUND(100/J72*K72-100,1)&gt;999,999,-999)))</f>
        <v>17.3</v>
      </c>
      <c r="M72" s="22">
        <f>IFERROR(100/'Skjema total MA'!I72*K72,0)</f>
        <v>29.032073173769046</v>
      </c>
    </row>
    <row r="73" spans="1:15" x14ac:dyDescent="0.2">
      <c r="A73" s="294" t="s">
        <v>12</v>
      </c>
      <c r="B73" s="233"/>
      <c r="C73" s="287"/>
      <c r="D73" s="164"/>
      <c r="E73" s="414"/>
      <c r="F73" s="279"/>
      <c r="G73" s="279"/>
      <c r="H73" s="164"/>
      <c r="I73" s="414"/>
      <c r="J73" s="288"/>
      <c r="K73" s="288"/>
      <c r="L73" s="164"/>
      <c r="M73" s="22"/>
    </row>
    <row r="74" spans="1:15" s="3" customFormat="1" x14ac:dyDescent="0.2">
      <c r="A74" s="294" t="s">
        <v>13</v>
      </c>
      <c r="B74" s="233"/>
      <c r="C74" s="287"/>
      <c r="D74" s="164"/>
      <c r="E74" s="414"/>
      <c r="F74" s="279">
        <v>6569640</v>
      </c>
      <c r="G74" s="279">
        <v>7706897</v>
      </c>
      <c r="H74" s="164">
        <f t="shared" si="16"/>
        <v>17.3</v>
      </c>
      <c r="I74" s="414">
        <f>IFERROR(100/'Skjema total MA'!F74*G74,0)</f>
        <v>29.559386184597845</v>
      </c>
      <c r="J74" s="285">
        <f t="shared" si="17"/>
        <v>6569640</v>
      </c>
      <c r="K74" s="285">
        <f t="shared" si="17"/>
        <v>7706897</v>
      </c>
      <c r="L74" s="164">
        <f t="shared" ref="L74" si="20">IF(J74=0, "    ---- ", IF(ABS(ROUND(100/J74*K74-100,1))&lt;999,ROUND(100/J74*K74-100,1),IF(ROUND(100/J74*K74-100,1)&gt;999,999,-999)))</f>
        <v>17.3</v>
      </c>
      <c r="M74" s="22">
        <f>IFERROR(100/'Skjema total MA'!I74*K74,0)</f>
        <v>29.559386184597845</v>
      </c>
      <c r="N74" s="146"/>
      <c r="O74" s="146"/>
    </row>
    <row r="75" spans="1:15" s="3" customFormat="1" x14ac:dyDescent="0.2">
      <c r="A75" s="20" t="s">
        <v>395</v>
      </c>
      <c r="B75" s="232"/>
      <c r="C75" s="143"/>
      <c r="D75" s="164"/>
      <c r="E75" s="26"/>
      <c r="F75" s="232"/>
      <c r="G75" s="143"/>
      <c r="H75" s="164"/>
      <c r="I75" s="26"/>
      <c r="J75" s="285"/>
      <c r="K75" s="285"/>
      <c r="L75" s="253"/>
      <c r="M75" s="26"/>
      <c r="N75" s="146"/>
      <c r="O75" s="146"/>
    </row>
    <row r="76" spans="1:15" s="3" customFormat="1" x14ac:dyDescent="0.2">
      <c r="A76" s="20" t="s">
        <v>394</v>
      </c>
      <c r="B76" s="232">
        <v>0</v>
      </c>
      <c r="C76" s="143">
        <v>25385</v>
      </c>
      <c r="D76" s="164" t="str">
        <f t="shared" ref="D76" si="21">IF(B76=0, "    ---- ", IF(ABS(ROUND(100/B76*C76-100,1))&lt;999,ROUND(100/B76*C76-100,1),IF(ROUND(100/B76*C76-100,1)&gt;999,999,-999)))</f>
        <v xml:space="preserve">    ---- </v>
      </c>
      <c r="E76" s="26">
        <f>IFERROR(100/'Skjema total MA'!C77*C76,0)</f>
        <v>0.31484641858320334</v>
      </c>
      <c r="F76" s="232"/>
      <c r="G76" s="143"/>
      <c r="H76" s="164"/>
      <c r="I76" s="26"/>
      <c r="J76" s="285">
        <f t="shared" ref="J76:K76" si="22">SUM(B76,F76)</f>
        <v>0</v>
      </c>
      <c r="K76" s="285">
        <f t="shared" si="22"/>
        <v>25385</v>
      </c>
      <c r="L76" s="253" t="str">
        <f t="shared" ref="L76" si="23">IF(J76=0, "    ---- ", IF(ABS(ROUND(100/J76*K76-100,1))&lt;999,ROUND(100/J76*K76-100,1),IF(ROUND(100/J76*K76-100,1)&gt;999,999,-999)))</f>
        <v xml:space="preserve">    ---- </v>
      </c>
      <c r="M76" s="26">
        <f>IFERROR(100/'Skjema total MA'!I77*K76,0)</f>
        <v>7.3667882561864212E-2</v>
      </c>
      <c r="N76" s="146"/>
      <c r="O76" s="146"/>
    </row>
    <row r="77" spans="1:15" ht="15.75" x14ac:dyDescent="0.2">
      <c r="A77" s="20" t="s">
        <v>318</v>
      </c>
      <c r="B77" s="232">
        <v>4138403</v>
      </c>
      <c r="C77" s="232">
        <v>2957698</v>
      </c>
      <c r="D77" s="164">
        <f t="shared" si="15"/>
        <v>-28.5</v>
      </c>
      <c r="E77" s="26">
        <f>IFERROR(100/'Skjema total MA'!C77*C77,0)</f>
        <v>36.683892950589062</v>
      </c>
      <c r="F77" s="232">
        <v>6569640</v>
      </c>
      <c r="G77" s="143">
        <v>7706897</v>
      </c>
      <c r="H77" s="164">
        <f t="shared" si="16"/>
        <v>17.3</v>
      </c>
      <c r="I77" s="26">
        <f>IFERROR(100/'Skjema total MA'!F77*G77,0)</f>
        <v>29.197164523431532</v>
      </c>
      <c r="J77" s="285">
        <f t="shared" si="17"/>
        <v>10708043</v>
      </c>
      <c r="K77" s="285">
        <f t="shared" si="17"/>
        <v>10664595</v>
      </c>
      <c r="L77" s="253">
        <f t="shared" si="18"/>
        <v>-0.4</v>
      </c>
      <c r="M77" s="26">
        <f>IFERROR(100/'Skjema total MA'!I77*K77,0)</f>
        <v>30.948912035841808</v>
      </c>
    </row>
    <row r="78" spans="1:15" x14ac:dyDescent="0.2">
      <c r="A78" s="20" t="s">
        <v>9</v>
      </c>
      <c r="B78" s="232">
        <v>4138403</v>
      </c>
      <c r="C78" s="143">
        <v>2957698</v>
      </c>
      <c r="D78" s="164">
        <f t="shared" si="15"/>
        <v>-28.5</v>
      </c>
      <c r="E78" s="26">
        <f>IFERROR(100/'Skjema total MA'!C78*C78,0)</f>
        <v>37.403898404048597</v>
      </c>
      <c r="F78" s="232"/>
      <c r="G78" s="143"/>
      <c r="H78" s="164"/>
      <c r="I78" s="26"/>
      <c r="J78" s="285">
        <f t="shared" si="17"/>
        <v>4138403</v>
      </c>
      <c r="K78" s="285">
        <f t="shared" si="17"/>
        <v>2957698</v>
      </c>
      <c r="L78" s="253">
        <f t="shared" si="18"/>
        <v>-28.5</v>
      </c>
      <c r="M78" s="26">
        <f>IFERROR(100/'Skjema total MA'!I78*K78,0)</f>
        <v>37.403898404048597</v>
      </c>
    </row>
    <row r="79" spans="1:15" x14ac:dyDescent="0.2">
      <c r="A79" s="20" t="s">
        <v>10</v>
      </c>
      <c r="B79" s="290"/>
      <c r="C79" s="291"/>
      <c r="D79" s="164"/>
      <c r="E79" s="26"/>
      <c r="F79" s="290">
        <v>6569640</v>
      </c>
      <c r="G79" s="291">
        <v>7706897</v>
      </c>
      <c r="H79" s="164">
        <f t="shared" si="16"/>
        <v>17.3</v>
      </c>
      <c r="I79" s="26">
        <f>IFERROR(100/'Skjema total MA'!F79*G79,0)</f>
        <v>29.197164523431532</v>
      </c>
      <c r="J79" s="285">
        <f t="shared" si="17"/>
        <v>6569640</v>
      </c>
      <c r="K79" s="285">
        <f t="shared" si="17"/>
        <v>7706897</v>
      </c>
      <c r="L79" s="253">
        <f t="shared" si="18"/>
        <v>17.3</v>
      </c>
      <c r="M79" s="26">
        <f>IFERROR(100/'Skjema total MA'!I79*K79,0)</f>
        <v>29.026496144294189</v>
      </c>
    </row>
    <row r="80" spans="1:15" ht="15.75" x14ac:dyDescent="0.2">
      <c r="A80" s="294" t="s">
        <v>316</v>
      </c>
      <c r="B80" s="279"/>
      <c r="C80" s="279"/>
      <c r="D80" s="164"/>
      <c r="E80" s="414"/>
      <c r="F80" s="279"/>
      <c r="G80" s="279"/>
      <c r="H80" s="164"/>
      <c r="I80" s="414"/>
      <c r="J80" s="288"/>
      <c r="K80" s="288"/>
      <c r="L80" s="164"/>
      <c r="M80" s="22"/>
    </row>
    <row r="81" spans="1:13" x14ac:dyDescent="0.2">
      <c r="A81" s="294" t="s">
        <v>12</v>
      </c>
      <c r="B81" s="233"/>
      <c r="C81" s="287"/>
      <c r="D81" s="164"/>
      <c r="E81" s="414"/>
      <c r="F81" s="279"/>
      <c r="G81" s="279"/>
      <c r="H81" s="164"/>
      <c r="I81" s="414"/>
      <c r="J81" s="288"/>
      <c r="K81" s="288"/>
      <c r="L81" s="164"/>
      <c r="M81" s="22"/>
    </row>
    <row r="82" spans="1:13" x14ac:dyDescent="0.2">
      <c r="A82" s="294" t="s">
        <v>13</v>
      </c>
      <c r="B82" s="233"/>
      <c r="C82" s="287"/>
      <c r="D82" s="164"/>
      <c r="E82" s="414"/>
      <c r="F82" s="279"/>
      <c r="G82" s="279"/>
      <c r="H82" s="164"/>
      <c r="I82" s="414"/>
      <c r="J82" s="288"/>
      <c r="K82" s="288"/>
      <c r="L82" s="164"/>
      <c r="M82" s="22"/>
    </row>
    <row r="83" spans="1:13" ht="15.75" x14ac:dyDescent="0.2">
      <c r="A83" s="294" t="s">
        <v>317</v>
      </c>
      <c r="B83" s="279"/>
      <c r="C83" s="279"/>
      <c r="D83" s="164"/>
      <c r="E83" s="414"/>
      <c r="F83" s="279">
        <v>6569640</v>
      </c>
      <c r="G83" s="279">
        <v>7706897</v>
      </c>
      <c r="H83" s="164">
        <f t="shared" si="16"/>
        <v>17.3</v>
      </c>
      <c r="I83" s="414">
        <f>IFERROR(100/'Skjema total MA'!F83*G83,0)</f>
        <v>29.197164523431532</v>
      </c>
      <c r="J83" s="285">
        <f t="shared" si="17"/>
        <v>6569640</v>
      </c>
      <c r="K83" s="285">
        <f t="shared" si="17"/>
        <v>7706897</v>
      </c>
      <c r="L83" s="164">
        <f t="shared" ref="L83" si="24">IF(J83=0, "    ---- ", IF(ABS(ROUND(100/J83*K83-100,1))&lt;999,ROUND(100/J83*K83-100,1),IF(ROUND(100/J83*K83-100,1)&gt;999,999,-999)))</f>
        <v>17.3</v>
      </c>
      <c r="M83" s="22">
        <f>IFERROR(100/'Skjema total MA'!I83*K83,0)</f>
        <v>29.026496144294189</v>
      </c>
    </row>
    <row r="84" spans="1:13" x14ac:dyDescent="0.2">
      <c r="A84" s="294" t="s">
        <v>12</v>
      </c>
      <c r="B84" s="233"/>
      <c r="C84" s="287"/>
      <c r="D84" s="164"/>
      <c r="E84" s="414"/>
      <c r="F84" s="279"/>
      <c r="G84" s="279"/>
      <c r="H84" s="164"/>
      <c r="I84" s="414"/>
      <c r="J84" s="288"/>
      <c r="K84" s="288"/>
      <c r="L84" s="164"/>
      <c r="M84" s="22"/>
    </row>
    <row r="85" spans="1:13" x14ac:dyDescent="0.2">
      <c r="A85" s="294" t="s">
        <v>13</v>
      </c>
      <c r="B85" s="233"/>
      <c r="C85" s="287"/>
      <c r="D85" s="164"/>
      <c r="E85" s="414"/>
      <c r="F85" s="279">
        <v>6569640</v>
      </c>
      <c r="G85" s="279">
        <v>7706897</v>
      </c>
      <c r="H85" s="164">
        <f t="shared" si="16"/>
        <v>17.3</v>
      </c>
      <c r="I85" s="414">
        <f>IFERROR(100/'Skjema total MA'!F85*G85,0)</f>
        <v>29.569585775495959</v>
      </c>
      <c r="J85" s="285">
        <f t="shared" si="17"/>
        <v>6569640</v>
      </c>
      <c r="K85" s="285">
        <f t="shared" si="17"/>
        <v>7706897</v>
      </c>
      <c r="L85" s="164">
        <f t="shared" ref="L85" si="25">IF(J85=0, "    ---- ", IF(ABS(ROUND(100/J85*K85-100,1))&lt;999,ROUND(100/J85*K85-100,1),IF(ROUND(100/J85*K85-100,1)&gt;999,999,-999)))</f>
        <v>17.3</v>
      </c>
      <c r="M85" s="22">
        <f>IFERROR(100/'Skjema total MA'!I85*K85,0)</f>
        <v>29.569585775495959</v>
      </c>
    </row>
    <row r="86" spans="1:13" ht="15.75" x14ac:dyDescent="0.2">
      <c r="A86" s="20" t="s">
        <v>327</v>
      </c>
      <c r="B86" s="232">
        <v>39727</v>
      </c>
      <c r="C86" s="143">
        <v>25630</v>
      </c>
      <c r="D86" s="164">
        <f t="shared" si="15"/>
        <v>-35.5</v>
      </c>
      <c r="E86" s="26">
        <f>IFERROR(100/'Skjema total MA'!C86*C86,0)</f>
        <v>12.813309860362871</v>
      </c>
      <c r="F86" s="232"/>
      <c r="G86" s="143"/>
      <c r="H86" s="164"/>
      <c r="I86" s="26"/>
      <c r="J86" s="285">
        <f t="shared" si="17"/>
        <v>39727</v>
      </c>
      <c r="K86" s="285">
        <f t="shared" si="17"/>
        <v>25630</v>
      </c>
      <c r="L86" s="253">
        <f t="shared" si="18"/>
        <v>-35.5</v>
      </c>
      <c r="M86" s="26">
        <f>IFERROR(100/'Skjema total MA'!I86*K86,0)</f>
        <v>12.023080375178299</v>
      </c>
    </row>
    <row r="87" spans="1:13" ht="15.75" x14ac:dyDescent="0.2">
      <c r="A87" s="13" t="s">
        <v>25</v>
      </c>
      <c r="B87" s="350">
        <f>B88+B89+B96+B97</f>
        <v>153911268</v>
      </c>
      <c r="C87" s="350">
        <f>C88+C89+C96+C97</f>
        <v>156465157</v>
      </c>
      <c r="D87" s="169">
        <f t="shared" si="15"/>
        <v>1.7</v>
      </c>
      <c r="E87" s="11">
        <f>IFERROR(100/'Skjema total MA'!C87*C87,0)</f>
        <v>41.027626438834375</v>
      </c>
      <c r="F87" s="350">
        <f>F88+F89+F96+F97</f>
        <v>49416831.588040002</v>
      </c>
      <c r="G87" s="350">
        <f>G88+G89+G96+G97</f>
        <v>63369852.714000002</v>
      </c>
      <c r="H87" s="169">
        <f t="shared" si="16"/>
        <v>28.2</v>
      </c>
      <c r="I87" s="11">
        <f>IFERROR(100/'Skjema total MA'!F87*G87,0)</f>
        <v>28.324811791721807</v>
      </c>
      <c r="J87" s="307">
        <f t="shared" ref="J87:K111" si="26">SUM(B87,F87)</f>
        <v>203328099.58803999</v>
      </c>
      <c r="K87" s="307">
        <f t="shared" si="26"/>
        <v>219835009.71399999</v>
      </c>
      <c r="L87" s="425">
        <f t="shared" si="18"/>
        <v>8.1</v>
      </c>
      <c r="M87" s="11">
        <f>IFERROR(100/'Skjema total MA'!I87*K87,0)</f>
        <v>36.330903254439889</v>
      </c>
    </row>
    <row r="88" spans="1:13" x14ac:dyDescent="0.2">
      <c r="A88" s="20" t="s">
        <v>9</v>
      </c>
      <c r="B88" s="232">
        <v>153814847</v>
      </c>
      <c r="C88" s="143">
        <v>155435118</v>
      </c>
      <c r="D88" s="164">
        <f t="shared" si="15"/>
        <v>1.1000000000000001</v>
      </c>
      <c r="E88" s="26">
        <f>IFERROR(100/'Skjema total MA'!C88*C88,0)</f>
        <v>41.633758538806305</v>
      </c>
      <c r="F88" s="232"/>
      <c r="G88" s="143"/>
      <c r="H88" s="164"/>
      <c r="I88" s="26"/>
      <c r="J88" s="285">
        <f t="shared" si="26"/>
        <v>153814847</v>
      </c>
      <c r="K88" s="285">
        <f t="shared" si="26"/>
        <v>155435118</v>
      </c>
      <c r="L88" s="253">
        <f t="shared" si="18"/>
        <v>1.1000000000000001</v>
      </c>
      <c r="M88" s="26">
        <f>IFERROR(100/'Skjema total MA'!I88*K88,0)</f>
        <v>41.633758538806305</v>
      </c>
    </row>
    <row r="89" spans="1:13" x14ac:dyDescent="0.2">
      <c r="A89" s="20" t="s">
        <v>10</v>
      </c>
      <c r="B89" s="232">
        <v>96421</v>
      </c>
      <c r="C89" s="143">
        <v>97223</v>
      </c>
      <c r="D89" s="164">
        <f t="shared" si="15"/>
        <v>0.8</v>
      </c>
      <c r="E89" s="26">
        <f>IFERROR(100/'Skjema total MA'!C89*C89,0)</f>
        <v>3.8661293847082612</v>
      </c>
      <c r="F89" s="232">
        <v>49416831.588040002</v>
      </c>
      <c r="G89" s="143">
        <v>63369852.714000002</v>
      </c>
      <c r="H89" s="164">
        <f t="shared" si="16"/>
        <v>28.2</v>
      </c>
      <c r="I89" s="26">
        <f>IFERROR(100/'Skjema total MA'!F89*G89,0)</f>
        <v>28.413577845173116</v>
      </c>
      <c r="J89" s="285">
        <f t="shared" si="26"/>
        <v>49513252.588040002</v>
      </c>
      <c r="K89" s="285">
        <f t="shared" si="26"/>
        <v>63467075.714000002</v>
      </c>
      <c r="L89" s="253">
        <f t="shared" si="18"/>
        <v>28.2</v>
      </c>
      <c r="M89" s="26">
        <f>IFERROR(100/'Skjema total MA'!I89*K89,0)</f>
        <v>28.139879147948371</v>
      </c>
    </row>
    <row r="90" spans="1:13" ht="15.75" x14ac:dyDescent="0.2">
      <c r="A90" s="294" t="s">
        <v>316</v>
      </c>
      <c r="B90" s="279"/>
      <c r="C90" s="279"/>
      <c r="D90" s="164"/>
      <c r="E90" s="414"/>
      <c r="F90" s="279">
        <v>158168</v>
      </c>
      <c r="G90" s="279">
        <v>137862.71400000001</v>
      </c>
      <c r="H90" s="164">
        <f t="shared" si="16"/>
        <v>-12.8</v>
      </c>
      <c r="I90" s="414">
        <f>IFERROR(100/'Skjema total MA'!F90*G90,0)</f>
        <v>92.020842036738756</v>
      </c>
      <c r="J90" s="285">
        <f t="shared" si="26"/>
        <v>158168</v>
      </c>
      <c r="K90" s="285">
        <f t="shared" si="26"/>
        <v>137862.71400000001</v>
      </c>
      <c r="L90" s="164">
        <f t="shared" si="18"/>
        <v>-12.8</v>
      </c>
      <c r="M90" s="22">
        <f>IFERROR(100/'Skjema total MA'!I90*K90,0)</f>
        <v>92.020842036738756</v>
      </c>
    </row>
    <row r="91" spans="1:13" x14ac:dyDescent="0.2">
      <c r="A91" s="294" t="s">
        <v>12</v>
      </c>
      <c r="B91" s="233"/>
      <c r="C91" s="287"/>
      <c r="D91" s="164"/>
      <c r="E91" s="414"/>
      <c r="F91" s="279">
        <v>158168</v>
      </c>
      <c r="G91" s="279">
        <v>137862.71400000001</v>
      </c>
      <c r="H91" s="164">
        <f t="shared" si="16"/>
        <v>-12.8</v>
      </c>
      <c r="I91" s="414">
        <f>IFERROR(100/'Skjema total MA'!F91*G91,0)</f>
        <v>99.858225714022595</v>
      </c>
      <c r="J91" s="285">
        <f t="shared" si="26"/>
        <v>158168</v>
      </c>
      <c r="K91" s="285">
        <f t="shared" si="26"/>
        <v>137862.71400000001</v>
      </c>
      <c r="L91" s="164">
        <f t="shared" ref="L91" si="27">IF(J91=0, "    ---- ", IF(ABS(ROUND(100/J91*K91-100,1))&lt;999,ROUND(100/J91*K91-100,1),IF(ROUND(100/J91*K91-100,1)&gt;999,999,-999)))</f>
        <v>-12.8</v>
      </c>
      <c r="M91" s="22">
        <f>IFERROR(100/'Skjema total MA'!I91*K91,0)</f>
        <v>99.858225714022595</v>
      </c>
    </row>
    <row r="92" spans="1:13" x14ac:dyDescent="0.2">
      <c r="A92" s="294" t="s">
        <v>13</v>
      </c>
      <c r="B92" s="233"/>
      <c r="C92" s="287"/>
      <c r="D92" s="164"/>
      <c r="E92" s="414"/>
      <c r="F92" s="279"/>
      <c r="G92" s="279"/>
      <c r="H92" s="164"/>
      <c r="I92" s="414"/>
      <c r="J92" s="288"/>
      <c r="K92" s="288"/>
      <c r="L92" s="164"/>
      <c r="M92" s="22"/>
    </row>
    <row r="93" spans="1:13" ht="15.75" x14ac:dyDescent="0.2">
      <c r="A93" s="294" t="s">
        <v>317</v>
      </c>
      <c r="B93" s="279">
        <v>96421</v>
      </c>
      <c r="C93" s="279">
        <v>97223</v>
      </c>
      <c r="D93" s="164">
        <f t="shared" ref="D93" si="28">IF(B93=0, "    ---- ", IF(ABS(ROUND(100/B93*C93-100,1))&lt;999,ROUND(100/B93*C93-100,1),IF(ROUND(100/B93*C93-100,1)&gt;999,999,-999)))</f>
        <v>0.8</v>
      </c>
      <c r="E93" s="26">
        <f>IFERROR(100/'Skjema total MA'!C94*C93,0)</f>
        <v>0</v>
      </c>
      <c r="F93" s="279">
        <v>49258663.588040002</v>
      </c>
      <c r="G93" s="279">
        <v>63231990</v>
      </c>
      <c r="H93" s="164">
        <f t="shared" si="16"/>
        <v>28.4</v>
      </c>
      <c r="I93" s="414">
        <f>IFERROR(100/'Skjema total MA'!F93*G93,0)</f>
        <v>28.370821320654667</v>
      </c>
      <c r="J93" s="285">
        <f t="shared" ref="J93:K93" si="29">SUM(B93,F93)</f>
        <v>49355084.588040002</v>
      </c>
      <c r="K93" s="285">
        <f t="shared" si="29"/>
        <v>63329213</v>
      </c>
      <c r="L93" s="164">
        <f t="shared" ref="L93" si="30">IF(J93=0, "    ---- ", IF(ABS(ROUND(100/J93*K93-100,1))&lt;999,ROUND(100/J93*K93-100,1),IF(ROUND(100/J93*K93-100,1)&gt;999,999,-999)))</f>
        <v>28.3</v>
      </c>
      <c r="M93" s="22">
        <f>IFERROR(100/'Skjema total MA'!I93*K93,0)</f>
        <v>28.097417739855974</v>
      </c>
    </row>
    <row r="94" spans="1:13" x14ac:dyDescent="0.2">
      <c r="A94" s="294" t="s">
        <v>12</v>
      </c>
      <c r="B94" s="233"/>
      <c r="C94" s="287"/>
      <c r="D94" s="164"/>
      <c r="E94" s="414"/>
      <c r="F94" s="279"/>
      <c r="G94" s="279"/>
      <c r="H94" s="164"/>
      <c r="I94" s="414"/>
      <c r="J94" s="288"/>
      <c r="K94" s="288"/>
      <c r="L94" s="164"/>
      <c r="M94" s="22"/>
    </row>
    <row r="95" spans="1:13" x14ac:dyDescent="0.2">
      <c r="A95" s="294" t="s">
        <v>13</v>
      </c>
      <c r="B95" s="233"/>
      <c r="C95" s="287"/>
      <c r="D95" s="164"/>
      <c r="E95" s="414"/>
      <c r="F95" s="279">
        <v>49258663.588040002</v>
      </c>
      <c r="G95" s="279">
        <v>63231990</v>
      </c>
      <c r="H95" s="164">
        <f t="shared" si="16"/>
        <v>28.4</v>
      </c>
      <c r="I95" s="414">
        <f>IFERROR(100/'Skjema total MA'!F95*G95,0)</f>
        <v>28.797279558619795</v>
      </c>
      <c r="J95" s="285">
        <f t="shared" ref="J95:K95" si="31">SUM(B95,F95)</f>
        <v>49258663.588040002</v>
      </c>
      <c r="K95" s="285">
        <f t="shared" si="31"/>
        <v>63231990</v>
      </c>
      <c r="L95" s="164">
        <f t="shared" ref="L95" si="32">IF(J95=0, "    ---- ", IF(ABS(ROUND(100/J95*K95-100,1))&lt;999,ROUND(100/J95*K95-100,1),IF(ROUND(100/J95*K95-100,1)&gt;999,999,-999)))</f>
        <v>28.4</v>
      </c>
      <c r="M95" s="22">
        <f>IFERROR(100/'Skjema total MA'!I95*K95,0)</f>
        <v>28.797279558619795</v>
      </c>
    </row>
    <row r="96" spans="1:13" x14ac:dyDescent="0.2">
      <c r="A96" s="20" t="s">
        <v>393</v>
      </c>
      <c r="B96" s="232"/>
      <c r="C96" s="143"/>
      <c r="D96" s="164"/>
      <c r="E96" s="26"/>
      <c r="F96" s="232"/>
      <c r="G96" s="143"/>
      <c r="H96" s="164"/>
      <c r="I96" s="26"/>
      <c r="J96" s="285"/>
      <c r="K96" s="285"/>
      <c r="L96" s="253"/>
      <c r="M96" s="26"/>
    </row>
    <row r="97" spans="1:13" x14ac:dyDescent="0.2">
      <c r="A97" s="20" t="s">
        <v>392</v>
      </c>
      <c r="B97" s="232">
        <v>0</v>
      </c>
      <c r="C97" s="143">
        <v>932816</v>
      </c>
      <c r="D97" s="164" t="str">
        <f t="shared" ref="D97" si="33">IF(B97=0, "    ---- ", IF(ABS(ROUND(100/B97*C97-100,1))&lt;999,ROUND(100/B97*C97-100,1),IF(ROUND(100/B97*C97-100,1)&gt;999,999,-999)))</f>
        <v xml:space="preserve">    ---- </v>
      </c>
      <c r="E97" s="26">
        <f>IFERROR(100/'Skjema total MA'!C98*C97,0)</f>
        <v>0.25083850163121985</v>
      </c>
      <c r="F97" s="232"/>
      <c r="G97" s="143"/>
      <c r="H97" s="164"/>
      <c r="I97" s="26"/>
      <c r="J97" s="285">
        <f t="shared" ref="J97:K97" si="34">SUM(B97,F97)</f>
        <v>0</v>
      </c>
      <c r="K97" s="285">
        <f t="shared" si="34"/>
        <v>932816</v>
      </c>
      <c r="L97" s="253" t="str">
        <f t="shared" ref="L97" si="35">IF(J97=0, "    ---- ", IF(ABS(ROUND(100/J97*K97-100,1))&lt;999,ROUND(100/J97*K97-100,1),IF(ROUND(100/J97*K97-100,1)&gt;999,999,-999)))</f>
        <v xml:space="preserve">    ---- </v>
      </c>
      <c r="M97" s="26">
        <f>IFERROR(100/'Skjema total MA'!I98*K97,0)</f>
        <v>0.15695768674935884</v>
      </c>
    </row>
    <row r="98" spans="1:13" ht="15.75" x14ac:dyDescent="0.2">
      <c r="A98" s="20" t="s">
        <v>318</v>
      </c>
      <c r="B98" s="232">
        <v>152606380</v>
      </c>
      <c r="C98" s="232">
        <v>155097842</v>
      </c>
      <c r="D98" s="164">
        <f t="shared" si="15"/>
        <v>1.6</v>
      </c>
      <c r="E98" s="26">
        <f>IFERROR(100/'Skjema total MA'!C98*C98,0)</f>
        <v>41.70652121481158</v>
      </c>
      <c r="F98" s="290">
        <v>49258663.588040002</v>
      </c>
      <c r="G98" s="290">
        <v>63231990</v>
      </c>
      <c r="H98" s="164">
        <f t="shared" si="16"/>
        <v>28.4</v>
      </c>
      <c r="I98" s="26">
        <f>IFERROR(100/'Skjema total MA'!F98*G98,0)</f>
        <v>28.427639536630736</v>
      </c>
      <c r="J98" s="285">
        <f t="shared" si="26"/>
        <v>201865043.58803999</v>
      </c>
      <c r="K98" s="285">
        <f t="shared" si="26"/>
        <v>218329832</v>
      </c>
      <c r="L98" s="253">
        <f t="shared" si="18"/>
        <v>8.1999999999999993</v>
      </c>
      <c r="M98" s="26">
        <f>IFERROR(100/'Skjema total MA'!I98*K98,0)</f>
        <v>36.736661226968813</v>
      </c>
    </row>
    <row r="99" spans="1:13" x14ac:dyDescent="0.2">
      <c r="A99" s="20" t="s">
        <v>9</v>
      </c>
      <c r="B99" s="290">
        <v>152509959</v>
      </c>
      <c r="C99" s="291">
        <v>155000619</v>
      </c>
      <c r="D99" s="164">
        <f t="shared" si="15"/>
        <v>1.6</v>
      </c>
      <c r="E99" s="26">
        <f>IFERROR(100/'Skjema total MA'!C99*C99,0)</f>
        <v>41.964149326195084</v>
      </c>
      <c r="F99" s="232"/>
      <c r="G99" s="143"/>
      <c r="H99" s="164"/>
      <c r="I99" s="26"/>
      <c r="J99" s="285">
        <f t="shared" si="26"/>
        <v>152509959</v>
      </c>
      <c r="K99" s="285">
        <f t="shared" si="26"/>
        <v>155000619</v>
      </c>
      <c r="L99" s="253">
        <f t="shared" si="18"/>
        <v>1.6</v>
      </c>
      <c r="M99" s="26">
        <f>IFERROR(100/'Skjema total MA'!I99*K99,0)</f>
        <v>41.964149326195084</v>
      </c>
    </row>
    <row r="100" spans="1:13" x14ac:dyDescent="0.2">
      <c r="A100" s="20" t="s">
        <v>10</v>
      </c>
      <c r="B100" s="290">
        <v>96421</v>
      </c>
      <c r="C100" s="291">
        <v>97223</v>
      </c>
      <c r="D100" s="164">
        <f t="shared" si="15"/>
        <v>0.8</v>
      </c>
      <c r="E100" s="26">
        <f>IFERROR(100/'Skjema total MA'!C100*C100,0)</f>
        <v>3.8661293847082612</v>
      </c>
      <c r="F100" s="232">
        <v>49258663.588040002</v>
      </c>
      <c r="G100" s="232">
        <v>63231990</v>
      </c>
      <c r="H100" s="164">
        <f t="shared" si="16"/>
        <v>28.4</v>
      </c>
      <c r="I100" s="26">
        <f>IFERROR(100/'Skjema total MA'!F100*G100,0)</f>
        <v>28.427639536630736</v>
      </c>
      <c r="J100" s="285">
        <f t="shared" si="26"/>
        <v>49355084.588040002</v>
      </c>
      <c r="K100" s="285">
        <f t="shared" si="26"/>
        <v>63329213</v>
      </c>
      <c r="L100" s="253">
        <f t="shared" si="18"/>
        <v>28.3</v>
      </c>
      <c r="M100" s="26">
        <f>IFERROR(100/'Skjema total MA'!I100*K100,0)</f>
        <v>28.153059344722298</v>
      </c>
    </row>
    <row r="101" spans="1:13" ht="15.75" x14ac:dyDescent="0.2">
      <c r="A101" s="294" t="s">
        <v>316</v>
      </c>
      <c r="B101" s="279"/>
      <c r="C101" s="279"/>
      <c r="D101" s="164"/>
      <c r="E101" s="414"/>
      <c r="F101" s="279"/>
      <c r="G101" s="279"/>
      <c r="H101" s="164"/>
      <c r="I101" s="414"/>
      <c r="J101" s="288"/>
      <c r="K101" s="288"/>
      <c r="L101" s="164"/>
      <c r="M101" s="22"/>
    </row>
    <row r="102" spans="1:13" x14ac:dyDescent="0.2">
      <c r="A102" s="294" t="s">
        <v>12</v>
      </c>
      <c r="B102" s="233"/>
      <c r="C102" s="287"/>
      <c r="D102" s="164"/>
      <c r="E102" s="414"/>
      <c r="F102" s="279"/>
      <c r="G102" s="279"/>
      <c r="H102" s="164"/>
      <c r="I102" s="414"/>
      <c r="J102" s="288"/>
      <c r="K102" s="288"/>
      <c r="L102" s="164"/>
      <c r="M102" s="22"/>
    </row>
    <row r="103" spans="1:13" x14ac:dyDescent="0.2">
      <c r="A103" s="294" t="s">
        <v>13</v>
      </c>
      <c r="B103" s="233"/>
      <c r="C103" s="287"/>
      <c r="D103" s="164"/>
      <c r="E103" s="414"/>
      <c r="F103" s="279"/>
      <c r="G103" s="279"/>
      <c r="H103" s="164"/>
      <c r="I103" s="414"/>
      <c r="J103" s="288"/>
      <c r="K103" s="288"/>
      <c r="L103" s="164"/>
      <c r="M103" s="22"/>
    </row>
    <row r="104" spans="1:13" ht="15.75" x14ac:dyDescent="0.2">
      <c r="A104" s="294" t="s">
        <v>317</v>
      </c>
      <c r="B104" s="279">
        <v>96421</v>
      </c>
      <c r="C104" s="279">
        <v>97223</v>
      </c>
      <c r="D104" s="164">
        <f t="shared" ref="D104" si="36">IF(B104=0, "    ---- ", IF(ABS(ROUND(100/B104*C104-100,1))&lt;999,ROUND(100/B104*C104-100,1),IF(ROUND(100/B104*C104-100,1)&gt;999,999,-999)))</f>
        <v>0.8</v>
      </c>
      <c r="E104" s="414" t="e">
        <f>IF(kvartal=4,IFERROR(100/'Skjema total MA'!B104*C104,0),"")</f>
        <v>#REF!</v>
      </c>
      <c r="F104" s="279">
        <v>49258663.588040002</v>
      </c>
      <c r="G104" s="279">
        <v>63231990</v>
      </c>
      <c r="H104" s="164">
        <f t="shared" si="16"/>
        <v>28.4</v>
      </c>
      <c r="I104" s="414">
        <f>IFERROR(100/'Skjema total MA'!F104*G104,0)</f>
        <v>28.427639536630736</v>
      </c>
      <c r="J104" s="285">
        <f t="shared" ref="J104:K104" si="37">SUM(B104,F104)</f>
        <v>49355084.588040002</v>
      </c>
      <c r="K104" s="285">
        <f t="shared" si="37"/>
        <v>63329213</v>
      </c>
      <c r="L104" s="164">
        <f t="shared" ref="L104" si="38">IF(J104=0, "    ---- ", IF(ABS(ROUND(100/J104*K104-100,1))&lt;999,ROUND(100/J104*K104-100,1),IF(ROUND(100/J104*K104-100,1)&gt;999,999,-999)))</f>
        <v>28.3</v>
      </c>
      <c r="M104" s="22">
        <f>IFERROR(100/'Skjema total MA'!I104*K104,0)</f>
        <v>28.153059344722298</v>
      </c>
    </row>
    <row r="105" spans="1:13" x14ac:dyDescent="0.2">
      <c r="A105" s="294" t="s">
        <v>12</v>
      </c>
      <c r="B105" s="233"/>
      <c r="C105" s="287"/>
      <c r="D105" s="164"/>
      <c r="E105" s="414"/>
      <c r="F105" s="279"/>
      <c r="G105" s="279"/>
      <c r="H105" s="164"/>
      <c r="I105" s="414"/>
      <c r="J105" s="288"/>
      <c r="K105" s="288"/>
      <c r="L105" s="164"/>
      <c r="M105" s="22"/>
    </row>
    <row r="106" spans="1:13" x14ac:dyDescent="0.2">
      <c r="A106" s="294" t="s">
        <v>13</v>
      </c>
      <c r="B106" s="233"/>
      <c r="C106" s="287"/>
      <c r="D106" s="164"/>
      <c r="E106" s="414"/>
      <c r="F106" s="279">
        <v>49258663.588040002</v>
      </c>
      <c r="G106" s="279">
        <v>63231990</v>
      </c>
      <c r="H106" s="164">
        <f t="shared" si="16"/>
        <v>28.4</v>
      </c>
      <c r="I106" s="414">
        <f>IFERROR(100/'Skjema total MA'!F106*G106,0)</f>
        <v>28.805270225136429</v>
      </c>
      <c r="J106" s="285">
        <f t="shared" ref="J106:K106" si="39">SUM(B106,F106)</f>
        <v>49258663.588040002</v>
      </c>
      <c r="K106" s="285">
        <f t="shared" si="39"/>
        <v>63231990</v>
      </c>
      <c r="L106" s="164">
        <f t="shared" ref="L106" si="40">IF(J106=0, "    ---- ", IF(ABS(ROUND(100/J106*K106-100,1))&lt;999,ROUND(100/J106*K106-100,1),IF(ROUND(100/J106*K106-100,1)&gt;999,999,-999)))</f>
        <v>28.4</v>
      </c>
      <c r="M106" s="22">
        <f>IFERROR(100/'Skjema total MA'!I106*K106,0)</f>
        <v>28.805270225136429</v>
      </c>
    </row>
    <row r="107" spans="1:13" ht="15.75" x14ac:dyDescent="0.2">
      <c r="A107" s="20" t="s">
        <v>327</v>
      </c>
      <c r="B107" s="232">
        <v>1304888</v>
      </c>
      <c r="C107" s="143">
        <v>434499</v>
      </c>
      <c r="D107" s="164">
        <f t="shared" si="15"/>
        <v>-66.7</v>
      </c>
      <c r="E107" s="26">
        <f>IFERROR(100/'Skjema total MA'!C107*C107,0)</f>
        <v>10.931433342829243</v>
      </c>
      <c r="F107" s="232">
        <v>158168</v>
      </c>
      <c r="G107" s="143">
        <v>137862.71400000001</v>
      </c>
      <c r="H107" s="164">
        <f t="shared" si="16"/>
        <v>-12.8</v>
      </c>
      <c r="I107" s="26">
        <f>IFERROR(100/'Skjema total MA'!F107*G107,0)</f>
        <v>23.159308041587575</v>
      </c>
      <c r="J107" s="285">
        <f t="shared" si="26"/>
        <v>1463056</v>
      </c>
      <c r="K107" s="43">
        <f t="shared" si="26"/>
        <v>572361.71400000004</v>
      </c>
      <c r="L107" s="253">
        <f t="shared" si="18"/>
        <v>-60.9</v>
      </c>
      <c r="M107" s="26">
        <f>IFERROR(100/'Skjema total MA'!I107*K107,0)</f>
        <v>12.524197846312116</v>
      </c>
    </row>
    <row r="108" spans="1:13" ht="15.75" x14ac:dyDescent="0.2">
      <c r="A108" s="20" t="s">
        <v>328</v>
      </c>
      <c r="B108" s="232">
        <v>116938504</v>
      </c>
      <c r="C108" s="232">
        <v>129629855</v>
      </c>
      <c r="D108" s="164">
        <f t="shared" si="15"/>
        <v>10.9</v>
      </c>
      <c r="E108" s="26">
        <f>IFERROR(100/'Skjema total MA'!C108*C108,0)</f>
        <v>43.0319070912998</v>
      </c>
      <c r="F108" s="232">
        <v>182912</v>
      </c>
      <c r="G108" s="232">
        <v>307496.19699999999</v>
      </c>
      <c r="H108" s="164">
        <f t="shared" si="16"/>
        <v>68.099999999999994</v>
      </c>
      <c r="I108" s="26">
        <f>IFERROR(100/'Skjema total MA'!F108*G108,0)</f>
        <v>4.2476165898949994</v>
      </c>
      <c r="J108" s="285">
        <f t="shared" si="26"/>
        <v>117121416</v>
      </c>
      <c r="K108" s="43">
        <f t="shared" si="26"/>
        <v>129937351.197</v>
      </c>
      <c r="L108" s="253">
        <f t="shared" si="18"/>
        <v>10.9</v>
      </c>
      <c r="M108" s="26">
        <f>IFERROR(100/'Skjema total MA'!I108*K108,0)</f>
        <v>42.121737011724925</v>
      </c>
    </row>
    <row r="109" spans="1:13" ht="15.75" x14ac:dyDescent="0.2">
      <c r="A109" s="20" t="s">
        <v>320</v>
      </c>
      <c r="B109" s="232">
        <v>96421</v>
      </c>
      <c r="C109" s="232">
        <v>97223</v>
      </c>
      <c r="D109" s="164">
        <f t="shared" si="15"/>
        <v>0.8</v>
      </c>
      <c r="E109" s="26">
        <f>IFERROR(100/'Skjema total MA'!C109*C109,0)</f>
        <v>12.39307265251982</v>
      </c>
      <c r="F109" s="232">
        <v>14768901</v>
      </c>
      <c r="G109" s="232">
        <v>19091791</v>
      </c>
      <c r="H109" s="164">
        <f t="shared" si="16"/>
        <v>29.3</v>
      </c>
      <c r="I109" s="26">
        <f>IFERROR(100/'Skjema total MA'!F109*G109,0)</f>
        <v>26.015511863437215</v>
      </c>
      <c r="J109" s="285">
        <f t="shared" si="26"/>
        <v>14865322</v>
      </c>
      <c r="K109" s="43">
        <f t="shared" si="26"/>
        <v>19189014</v>
      </c>
      <c r="L109" s="253">
        <f t="shared" si="18"/>
        <v>29.1</v>
      </c>
      <c r="M109" s="26">
        <f>IFERROR(100/'Skjema total MA'!I109*K109,0)</f>
        <v>25.871428891874285</v>
      </c>
    </row>
    <row r="110" spans="1:13" ht="15.75" x14ac:dyDescent="0.2">
      <c r="A110" s="20" t="s">
        <v>321</v>
      </c>
      <c r="B110" s="232"/>
      <c r="C110" s="232"/>
      <c r="D110" s="164"/>
      <c r="E110" s="26"/>
      <c r="F110" s="232"/>
      <c r="G110" s="232"/>
      <c r="H110" s="164"/>
      <c r="I110" s="26"/>
      <c r="J110" s="285"/>
      <c r="K110" s="43"/>
      <c r="L110" s="253"/>
      <c r="M110" s="26"/>
    </row>
    <row r="111" spans="1:13" ht="15.75" x14ac:dyDescent="0.2">
      <c r="A111" s="13" t="s">
        <v>24</v>
      </c>
      <c r="B111" s="306">
        <f>SUM(B112:B114)</f>
        <v>827412</v>
      </c>
      <c r="C111" s="157">
        <f>SUM(C112:C114)</f>
        <v>359541</v>
      </c>
      <c r="D111" s="169">
        <f t="shared" si="15"/>
        <v>-56.5</v>
      </c>
      <c r="E111" s="11">
        <f>IFERROR(100/'Skjema total MA'!C111*C111,0)</f>
        <v>65.278833092702342</v>
      </c>
      <c r="F111" s="306">
        <f>SUM(F112:F114)</f>
        <v>1467617</v>
      </c>
      <c r="G111" s="157">
        <f>SUM(G112:G114)</f>
        <v>3126775</v>
      </c>
      <c r="H111" s="169">
        <f t="shared" si="16"/>
        <v>113.1</v>
      </c>
      <c r="I111" s="11">
        <f>IFERROR(100/'Skjema total MA'!F111*G111,0)</f>
        <v>32.578599464358653</v>
      </c>
      <c r="J111" s="307">
        <f t="shared" si="26"/>
        <v>2295029</v>
      </c>
      <c r="K111" s="234">
        <f t="shared" si="26"/>
        <v>3486316</v>
      </c>
      <c r="L111" s="425">
        <f t="shared" si="18"/>
        <v>51.9</v>
      </c>
      <c r="M111" s="11">
        <f>IFERROR(100/'Skjema total MA'!I111*K111,0)</f>
        <v>34.353315200525145</v>
      </c>
    </row>
    <row r="112" spans="1:13" x14ac:dyDescent="0.2">
      <c r="A112" s="20" t="s">
        <v>9</v>
      </c>
      <c r="B112" s="232">
        <v>827412</v>
      </c>
      <c r="C112" s="143">
        <v>359541</v>
      </c>
      <c r="D112" s="164">
        <f t="shared" ref="D112:D124" si="41">IF(B112=0, "    ---- ", IF(ABS(ROUND(100/B112*C112-100,1))&lt;999,ROUND(100/B112*C112-100,1),IF(ROUND(100/B112*C112-100,1)&gt;999,999,-999)))</f>
        <v>-56.5</v>
      </c>
      <c r="E112" s="26">
        <f>IFERROR(100/'Skjema total MA'!C112*C112,0)</f>
        <v>66.108353157386702</v>
      </c>
      <c r="F112" s="232"/>
      <c r="G112" s="143"/>
      <c r="H112" s="164"/>
      <c r="I112" s="26"/>
      <c r="J112" s="285">
        <f t="shared" ref="J112:K125" si="42">SUM(B112,F112)</f>
        <v>827412</v>
      </c>
      <c r="K112" s="43">
        <f t="shared" si="42"/>
        <v>359541</v>
      </c>
      <c r="L112" s="253">
        <f t="shared" ref="L112:L125" si="43">IF(J112=0, "    ---- ", IF(ABS(ROUND(100/J112*K112-100,1))&lt;999,ROUND(100/J112*K112-100,1),IF(ROUND(100/J112*K112-100,1)&gt;999,999,-999)))</f>
        <v>-56.5</v>
      </c>
      <c r="M112" s="26">
        <f>IFERROR(100/'Skjema total MA'!I112*K112,0)</f>
        <v>66.108353157386702</v>
      </c>
    </row>
    <row r="113" spans="1:14" x14ac:dyDescent="0.2">
      <c r="A113" s="20" t="s">
        <v>10</v>
      </c>
      <c r="B113" s="232"/>
      <c r="C113" s="143"/>
      <c r="D113" s="164"/>
      <c r="E113" s="26"/>
      <c r="F113" s="232">
        <v>1467617</v>
      </c>
      <c r="G113" s="143">
        <v>3126775</v>
      </c>
      <c r="H113" s="164">
        <f t="shared" ref="H113:H125" si="44">IF(F113=0, "    ---- ", IF(ABS(ROUND(100/F113*G113-100,1))&lt;999,ROUND(100/F113*G113-100,1),IF(ROUND(100/F113*G113-100,1)&gt;999,999,-999)))</f>
        <v>113.1</v>
      </c>
      <c r="I113" s="26">
        <f>IFERROR(100/'Skjema total MA'!F113*G113,0)</f>
        <v>32.582683579621055</v>
      </c>
      <c r="J113" s="285">
        <f t="shared" si="42"/>
        <v>1467617</v>
      </c>
      <c r="K113" s="43">
        <f t="shared" si="42"/>
        <v>3126775</v>
      </c>
      <c r="L113" s="253">
        <f t="shared" si="43"/>
        <v>113.1</v>
      </c>
      <c r="M113" s="26">
        <f>IFERROR(100/'Skjema total MA'!I113*K113,0)</f>
        <v>32.573112067299121</v>
      </c>
    </row>
    <row r="114" spans="1:14" x14ac:dyDescent="0.2">
      <c r="A114" s="20" t="s">
        <v>29</v>
      </c>
      <c r="B114" s="232"/>
      <c r="C114" s="143"/>
      <c r="D114" s="164"/>
      <c r="E114" s="26"/>
      <c r="F114" s="232"/>
      <c r="G114" s="143"/>
      <c r="H114" s="164"/>
      <c r="I114" s="26"/>
      <c r="J114" s="285"/>
      <c r="K114" s="43"/>
      <c r="L114" s="253"/>
      <c r="M114" s="26"/>
    </row>
    <row r="115" spans="1:14" x14ac:dyDescent="0.2">
      <c r="A115" s="294" t="s">
        <v>15</v>
      </c>
      <c r="B115" s="279"/>
      <c r="C115" s="279"/>
      <c r="D115" s="164"/>
      <c r="E115" s="414"/>
      <c r="F115" s="279"/>
      <c r="G115" s="279"/>
      <c r="H115" s="164"/>
      <c r="I115" s="414"/>
      <c r="J115" s="288"/>
      <c r="K115" s="288"/>
      <c r="L115" s="164"/>
      <c r="M115" s="22"/>
    </row>
    <row r="116" spans="1:14" ht="15.75" x14ac:dyDescent="0.2">
      <c r="A116" s="20" t="s">
        <v>329</v>
      </c>
      <c r="B116" s="232">
        <v>465094</v>
      </c>
      <c r="C116" s="232">
        <v>120610</v>
      </c>
      <c r="D116" s="164">
        <f t="shared" si="41"/>
        <v>-74.099999999999994</v>
      </c>
      <c r="E116" s="26">
        <f>IFERROR(100/'Skjema total MA'!C116*C116,0)</f>
        <v>86.975333792451949</v>
      </c>
      <c r="F116" s="232"/>
      <c r="G116" s="232"/>
      <c r="H116" s="164"/>
      <c r="I116" s="26"/>
      <c r="J116" s="285">
        <f t="shared" si="42"/>
        <v>465094</v>
      </c>
      <c r="K116" s="43">
        <f t="shared" si="42"/>
        <v>120610</v>
      </c>
      <c r="L116" s="253">
        <f t="shared" si="43"/>
        <v>-74.099999999999994</v>
      </c>
      <c r="M116" s="26">
        <f>IFERROR(100/'Skjema total MA'!I116*K116,0)</f>
        <v>77.843009888753627</v>
      </c>
    </row>
    <row r="117" spans="1:14" ht="15.75" x14ac:dyDescent="0.2">
      <c r="A117" s="20" t="s">
        <v>322</v>
      </c>
      <c r="B117" s="232"/>
      <c r="C117" s="232"/>
      <c r="D117" s="164"/>
      <c r="E117" s="26"/>
      <c r="F117" s="232">
        <v>175760.51300000001</v>
      </c>
      <c r="G117" s="232">
        <v>255816.58799999999</v>
      </c>
      <c r="H117" s="164">
        <f t="shared" si="44"/>
        <v>45.5</v>
      </c>
      <c r="I117" s="26">
        <f>IFERROR(100/'Skjema total MA'!F117*G117,0)</f>
        <v>13.232857256089812</v>
      </c>
      <c r="J117" s="285">
        <f t="shared" si="42"/>
        <v>175760.51300000001</v>
      </c>
      <c r="K117" s="43">
        <f t="shared" si="42"/>
        <v>255816.58799999999</v>
      </c>
      <c r="L117" s="253">
        <f t="shared" si="43"/>
        <v>45.5</v>
      </c>
      <c r="M117" s="26">
        <f>IFERROR(100/'Skjema total MA'!I117*K117,0)</f>
        <v>13.226532610390322</v>
      </c>
    </row>
    <row r="118" spans="1:14" ht="15.75" x14ac:dyDescent="0.2">
      <c r="A118" s="20" t="s">
        <v>321</v>
      </c>
      <c r="B118" s="232"/>
      <c r="C118" s="232"/>
      <c r="D118" s="164"/>
      <c r="E118" s="26"/>
      <c r="F118" s="232"/>
      <c r="G118" s="232"/>
      <c r="H118" s="164"/>
      <c r="I118" s="26"/>
      <c r="J118" s="285"/>
      <c r="K118" s="43"/>
      <c r="L118" s="253"/>
      <c r="M118" s="26"/>
    </row>
    <row r="119" spans="1:14" ht="15.75" x14ac:dyDescent="0.2">
      <c r="A119" s="13" t="s">
        <v>23</v>
      </c>
      <c r="B119" s="306">
        <f>SUM(B120:B122)</f>
        <v>267283</v>
      </c>
      <c r="C119" s="157">
        <f>SUM(C120:C122)</f>
        <v>107824</v>
      </c>
      <c r="D119" s="169">
        <f t="shared" si="41"/>
        <v>-59.7</v>
      </c>
      <c r="E119" s="11">
        <f>IFERROR(100/'Skjema total MA'!C119*C119,0)</f>
        <v>24.020843216618445</v>
      </c>
      <c r="F119" s="306">
        <f>SUM(F120:F122)</f>
        <v>1097693</v>
      </c>
      <c r="G119" s="157">
        <f>SUM(G120:G122)</f>
        <v>1726502</v>
      </c>
      <c r="H119" s="169">
        <f t="shared" si="44"/>
        <v>57.3</v>
      </c>
      <c r="I119" s="11">
        <f>IFERROR(100/'Skjema total MA'!F119*G119,0)</f>
        <v>17.702898760986383</v>
      </c>
      <c r="J119" s="307">
        <f t="shared" si="42"/>
        <v>1364976</v>
      </c>
      <c r="K119" s="234">
        <f t="shared" si="42"/>
        <v>1834326</v>
      </c>
      <c r="L119" s="425">
        <f t="shared" si="43"/>
        <v>34.4</v>
      </c>
      <c r="M119" s="11">
        <f>IFERROR(100/'Skjema total MA'!I119*K119,0)</f>
        <v>17.980894256591032</v>
      </c>
    </row>
    <row r="120" spans="1:14" x14ac:dyDescent="0.2">
      <c r="A120" s="20" t="s">
        <v>9</v>
      </c>
      <c r="B120" s="232">
        <v>267283</v>
      </c>
      <c r="C120" s="143">
        <v>107824</v>
      </c>
      <c r="D120" s="164">
        <f t="shared" si="41"/>
        <v>-59.7</v>
      </c>
      <c r="E120" s="26">
        <f>IFERROR(100/'Skjema total MA'!C120*C120,0)</f>
        <v>26.223612893736668</v>
      </c>
      <c r="F120" s="232"/>
      <c r="G120" s="143"/>
      <c r="H120" s="164"/>
      <c r="I120" s="26"/>
      <c r="J120" s="285">
        <f t="shared" si="42"/>
        <v>267283</v>
      </c>
      <c r="K120" s="43">
        <f t="shared" si="42"/>
        <v>107824</v>
      </c>
      <c r="L120" s="253">
        <f t="shared" si="43"/>
        <v>-59.7</v>
      </c>
      <c r="M120" s="26">
        <f>IFERROR(100/'Skjema total MA'!I120*K120,0)</f>
        <v>26.223612893736668</v>
      </c>
    </row>
    <row r="121" spans="1:14" x14ac:dyDescent="0.2">
      <c r="A121" s="20" t="s">
        <v>10</v>
      </c>
      <c r="B121" s="232"/>
      <c r="C121" s="143"/>
      <c r="D121" s="164"/>
      <c r="E121" s="26"/>
      <c r="F121" s="232">
        <v>1097693</v>
      </c>
      <c r="G121" s="143">
        <v>1726502</v>
      </c>
      <c r="H121" s="164">
        <f t="shared" si="44"/>
        <v>57.3</v>
      </c>
      <c r="I121" s="26">
        <f>IFERROR(100/'Skjema total MA'!F121*G121,0)</f>
        <v>17.702898760986383</v>
      </c>
      <c r="J121" s="285">
        <f t="shared" si="42"/>
        <v>1097693</v>
      </c>
      <c r="K121" s="43">
        <f t="shared" si="42"/>
        <v>1726502</v>
      </c>
      <c r="L121" s="253">
        <f t="shared" si="43"/>
        <v>57.3</v>
      </c>
      <c r="M121" s="26">
        <f>IFERROR(100/'Skjema total MA'!I121*K121,0)</f>
        <v>17.635329747684327</v>
      </c>
    </row>
    <row r="122" spans="1:14" x14ac:dyDescent="0.2">
      <c r="A122" s="20" t="s">
        <v>29</v>
      </c>
      <c r="B122" s="232"/>
      <c r="C122" s="143"/>
      <c r="D122" s="164"/>
      <c r="E122" s="26"/>
      <c r="F122" s="232"/>
      <c r="G122" s="143"/>
      <c r="H122" s="164"/>
      <c r="I122" s="26"/>
      <c r="J122" s="285"/>
      <c r="K122" s="43"/>
      <c r="L122" s="253"/>
      <c r="M122" s="26"/>
    </row>
    <row r="123" spans="1:14" x14ac:dyDescent="0.2">
      <c r="A123" s="294" t="s">
        <v>14</v>
      </c>
      <c r="B123" s="279"/>
      <c r="C123" s="279"/>
      <c r="D123" s="164"/>
      <c r="E123" s="414"/>
      <c r="F123" s="279"/>
      <c r="G123" s="279"/>
      <c r="H123" s="164"/>
      <c r="I123" s="414"/>
      <c r="J123" s="288"/>
      <c r="K123" s="288"/>
      <c r="L123" s="164"/>
      <c r="M123" s="22"/>
    </row>
    <row r="124" spans="1:14" ht="15.75" x14ac:dyDescent="0.2">
      <c r="A124" s="20" t="s">
        <v>319</v>
      </c>
      <c r="B124" s="232">
        <v>47702</v>
      </c>
      <c r="C124" s="232">
        <v>67383</v>
      </c>
      <c r="D124" s="164">
        <f t="shared" si="41"/>
        <v>41.3</v>
      </c>
      <c r="E124" s="26">
        <f>IFERROR(100/'Skjema total MA'!C124*C124,0)</f>
        <v>93.515095936970809</v>
      </c>
      <c r="F124" s="232"/>
      <c r="G124" s="232"/>
      <c r="H124" s="164"/>
      <c r="I124" s="26"/>
      <c r="J124" s="285">
        <f t="shared" si="42"/>
        <v>47702</v>
      </c>
      <c r="K124" s="43">
        <f t="shared" si="42"/>
        <v>67383</v>
      </c>
      <c r="L124" s="253">
        <f t="shared" si="43"/>
        <v>41.3</v>
      </c>
      <c r="M124" s="26">
        <f>IFERROR(100/'Skjema total MA'!I124*K124,0)</f>
        <v>78.437141669213801</v>
      </c>
    </row>
    <row r="125" spans="1:14" ht="15.75" x14ac:dyDescent="0.2">
      <c r="A125" s="20" t="s">
        <v>320</v>
      </c>
      <c r="B125" s="232"/>
      <c r="C125" s="232"/>
      <c r="D125" s="164"/>
      <c r="E125" s="26"/>
      <c r="F125" s="232">
        <v>281202.39</v>
      </c>
      <c r="G125" s="232">
        <v>570015.951</v>
      </c>
      <c r="H125" s="164">
        <f t="shared" si="44"/>
        <v>102.7</v>
      </c>
      <c r="I125" s="26">
        <f>IFERROR(100/'Skjema total MA'!F125*G125,0)</f>
        <v>31.054936982291199</v>
      </c>
      <c r="J125" s="285">
        <f t="shared" si="42"/>
        <v>281202.39</v>
      </c>
      <c r="K125" s="43">
        <f t="shared" si="42"/>
        <v>570015.951</v>
      </c>
      <c r="L125" s="253">
        <f t="shared" si="43"/>
        <v>102.7</v>
      </c>
      <c r="M125" s="26">
        <f>IFERROR(100/'Skjema total MA'!I125*K125,0)</f>
        <v>30.974031774716526</v>
      </c>
    </row>
    <row r="126" spans="1:14" ht="15.75" x14ac:dyDescent="0.2">
      <c r="A126" s="10" t="s">
        <v>321</v>
      </c>
      <c r="B126" s="44"/>
      <c r="C126" s="44"/>
      <c r="D126" s="165"/>
      <c r="E126" s="415"/>
      <c r="F126" s="44"/>
      <c r="G126" s="44"/>
      <c r="H126" s="165"/>
      <c r="I126" s="21"/>
      <c r="J126" s="286"/>
      <c r="K126" s="44"/>
      <c r="L126" s="254"/>
      <c r="M126" s="21"/>
    </row>
    <row r="127" spans="1:14" x14ac:dyDescent="0.2">
      <c r="A127" s="153"/>
      <c r="L127" s="25"/>
      <c r="M127" s="25"/>
      <c r="N127" s="25"/>
    </row>
    <row r="128" spans="1:14" x14ac:dyDescent="0.2">
      <c r="L128" s="25"/>
      <c r="M128" s="25"/>
      <c r="N128" s="25"/>
    </row>
    <row r="129" spans="1:15" ht="15.75" x14ac:dyDescent="0.25">
      <c r="A129" s="163" t="s">
        <v>30</v>
      </c>
    </row>
    <row r="130" spans="1:15" ht="15.75" x14ac:dyDescent="0.25">
      <c r="B130" s="963"/>
      <c r="C130" s="963"/>
      <c r="D130" s="963"/>
      <c r="E130" s="297"/>
      <c r="F130" s="963"/>
      <c r="G130" s="963"/>
      <c r="H130" s="963"/>
      <c r="I130" s="297"/>
      <c r="J130" s="963"/>
      <c r="K130" s="963"/>
      <c r="L130" s="963"/>
      <c r="M130" s="297"/>
    </row>
    <row r="131" spans="1:15" s="3" customFormat="1" x14ac:dyDescent="0.2">
      <c r="A131" s="142"/>
      <c r="B131" s="960" t="s">
        <v>0</v>
      </c>
      <c r="C131" s="961"/>
      <c r="D131" s="961"/>
      <c r="E131" s="299"/>
      <c r="F131" s="960" t="s">
        <v>1</v>
      </c>
      <c r="G131" s="961"/>
      <c r="H131" s="961"/>
      <c r="I131" s="302"/>
      <c r="J131" s="960" t="s">
        <v>2</v>
      </c>
      <c r="K131" s="961"/>
      <c r="L131" s="961"/>
      <c r="M131" s="302"/>
      <c r="N131" s="146"/>
      <c r="O131" s="146"/>
    </row>
    <row r="132" spans="1:15" s="3" customFormat="1" x14ac:dyDescent="0.2">
      <c r="A132" s="139"/>
      <c r="B132" s="150" t="s">
        <v>504</v>
      </c>
      <c r="C132" s="150" t="s">
        <v>505</v>
      </c>
      <c r="D132" s="243" t="s">
        <v>3</v>
      </c>
      <c r="E132" s="303" t="s">
        <v>32</v>
      </c>
      <c r="F132" s="150" t="s">
        <v>504</v>
      </c>
      <c r="G132" s="150" t="s">
        <v>505</v>
      </c>
      <c r="H132" s="204" t="s">
        <v>3</v>
      </c>
      <c r="I132" s="160" t="s">
        <v>32</v>
      </c>
      <c r="J132" s="244" t="s">
        <v>504</v>
      </c>
      <c r="K132" s="244" t="s">
        <v>505</v>
      </c>
      <c r="L132" s="245" t="s">
        <v>3</v>
      </c>
      <c r="M132" s="160" t="s">
        <v>32</v>
      </c>
      <c r="N132" s="146"/>
      <c r="O132" s="146"/>
    </row>
    <row r="133" spans="1:15" s="3" customFormat="1" x14ac:dyDescent="0.2">
      <c r="A133" s="934"/>
      <c r="B133" s="154"/>
      <c r="C133" s="154"/>
      <c r="D133" s="245" t="s">
        <v>4</v>
      </c>
      <c r="E133" s="154" t="s">
        <v>33</v>
      </c>
      <c r="F133" s="159"/>
      <c r="G133" s="159"/>
      <c r="H133" s="204" t="s">
        <v>4</v>
      </c>
      <c r="I133" s="154" t="s">
        <v>33</v>
      </c>
      <c r="J133" s="154"/>
      <c r="K133" s="154"/>
      <c r="L133" s="148" t="s">
        <v>4</v>
      </c>
      <c r="M133" s="154" t="s">
        <v>33</v>
      </c>
      <c r="N133" s="146"/>
      <c r="O133" s="146"/>
    </row>
    <row r="134" spans="1:15" s="3" customFormat="1" ht="15.75" x14ac:dyDescent="0.2">
      <c r="A134" s="14" t="s">
        <v>323</v>
      </c>
      <c r="B134" s="234"/>
      <c r="C134" s="307"/>
      <c r="D134" s="348"/>
      <c r="E134" s="11"/>
      <c r="F134" s="314"/>
      <c r="G134" s="315"/>
      <c r="H134" s="428"/>
      <c r="I134" s="23"/>
      <c r="J134" s="316"/>
      <c r="K134" s="316"/>
      <c r="L134" s="424"/>
      <c r="M134" s="11"/>
      <c r="N134" s="146"/>
      <c r="O134" s="146"/>
    </row>
    <row r="135" spans="1:15" s="3" customFormat="1" ht="15.75" x14ac:dyDescent="0.2">
      <c r="A135" s="13" t="s">
        <v>324</v>
      </c>
      <c r="B135" s="234">
        <v>27793</v>
      </c>
      <c r="C135" s="307">
        <v>0</v>
      </c>
      <c r="D135" s="169">
        <f t="shared" ref="D135" si="45">IF(B135=0, "    ---- ", IF(ABS(ROUND(100/B135*C135-100,1))&lt;999,ROUND(100/B135*C135-100,1),IF(ROUND(100/B135*C135-100,1)&gt;999,999,-999)))</f>
        <v>-100</v>
      </c>
      <c r="E135" s="11">
        <f>IFERROR(100/'Skjema total MA'!C135*C135,0)</f>
        <v>0</v>
      </c>
      <c r="F135" s="234"/>
      <c r="G135" s="307"/>
      <c r="H135" s="429"/>
      <c r="I135" s="23"/>
      <c r="J135" s="306">
        <f t="shared" ref="J135:K135" si="46">SUM(B135,F135)</f>
        <v>27793</v>
      </c>
      <c r="K135" s="306">
        <f t="shared" si="46"/>
        <v>0</v>
      </c>
      <c r="L135" s="425">
        <f t="shared" ref="L135" si="47">IF(J135=0, "    ---- ", IF(ABS(ROUND(100/J135*K135-100,1))&lt;999,ROUND(100/J135*K135-100,1),IF(ROUND(100/J135*K135-100,1)&gt;999,999,-999)))</f>
        <v>-100</v>
      </c>
      <c r="M135" s="11">
        <f>IFERROR(100/'Skjema total MA'!I135*K135,0)</f>
        <v>0</v>
      </c>
      <c r="N135" s="146"/>
      <c r="O135" s="146"/>
    </row>
    <row r="136" spans="1:15" s="3" customFormat="1" ht="15.75" x14ac:dyDescent="0.2">
      <c r="A136" s="13" t="s">
        <v>325</v>
      </c>
      <c r="B136" s="234"/>
      <c r="C136" s="307"/>
      <c r="D136" s="169"/>
      <c r="E136" s="11"/>
      <c r="F136" s="234"/>
      <c r="G136" s="307"/>
      <c r="H136" s="429"/>
      <c r="I136" s="23"/>
      <c r="J136" s="306"/>
      <c r="K136" s="306"/>
      <c r="L136" s="425"/>
      <c r="M136" s="11"/>
      <c r="N136" s="146"/>
      <c r="O136" s="146"/>
    </row>
    <row r="137" spans="1:15" s="3" customFormat="1" ht="15.75" x14ac:dyDescent="0.2">
      <c r="A137" s="40" t="s">
        <v>326</v>
      </c>
      <c r="B137" s="274"/>
      <c r="C137" s="313"/>
      <c r="D137" s="167"/>
      <c r="E137" s="9"/>
      <c r="F137" s="274"/>
      <c r="G137" s="313"/>
      <c r="H137" s="430"/>
      <c r="I137" s="35"/>
      <c r="J137" s="312"/>
      <c r="K137" s="312"/>
      <c r="L137" s="426"/>
      <c r="M137" s="35"/>
      <c r="N137" s="146"/>
      <c r="O137" s="146"/>
    </row>
    <row r="138" spans="1:15" s="3" customFormat="1" x14ac:dyDescent="0.2">
      <c r="A138" s="166"/>
      <c r="B138" s="32"/>
      <c r="C138" s="32"/>
      <c r="D138" s="157"/>
      <c r="E138" s="157"/>
      <c r="F138" s="32"/>
      <c r="G138" s="32"/>
      <c r="H138" s="157"/>
      <c r="I138" s="157"/>
      <c r="J138" s="32"/>
      <c r="K138" s="32"/>
      <c r="L138" s="157"/>
      <c r="M138" s="157"/>
      <c r="N138" s="146"/>
      <c r="O138" s="146"/>
    </row>
    <row r="139" spans="1:15" x14ac:dyDescent="0.2">
      <c r="A139" s="166"/>
      <c r="B139" s="32"/>
      <c r="C139" s="32"/>
      <c r="D139" s="157"/>
      <c r="E139" s="157"/>
      <c r="F139" s="32"/>
      <c r="G139" s="32"/>
      <c r="H139" s="157"/>
      <c r="I139" s="157"/>
      <c r="J139" s="32"/>
      <c r="K139" s="32"/>
      <c r="L139" s="157"/>
      <c r="M139" s="157"/>
      <c r="N139" s="146"/>
    </row>
    <row r="140" spans="1:15" x14ac:dyDescent="0.2">
      <c r="A140" s="166"/>
      <c r="B140" s="32"/>
      <c r="C140" s="32"/>
      <c r="D140" s="157"/>
      <c r="E140" s="157"/>
      <c r="F140" s="32"/>
      <c r="G140" s="32"/>
      <c r="H140" s="157"/>
      <c r="I140" s="157"/>
      <c r="J140" s="32"/>
      <c r="K140" s="32"/>
      <c r="L140" s="157"/>
      <c r="M140" s="157"/>
      <c r="N140" s="146"/>
    </row>
    <row r="141" spans="1:15" x14ac:dyDescent="0.2">
      <c r="A141" s="144"/>
      <c r="B141" s="144"/>
      <c r="C141" s="144"/>
      <c r="D141" s="144"/>
      <c r="E141" s="144"/>
      <c r="F141" s="144"/>
      <c r="G141" s="144"/>
      <c r="H141" s="144"/>
      <c r="I141" s="144"/>
      <c r="J141" s="144"/>
      <c r="K141" s="144"/>
      <c r="L141" s="144"/>
      <c r="M141" s="144"/>
      <c r="N141" s="144"/>
    </row>
    <row r="142" spans="1:15" ht="15.75" x14ac:dyDescent="0.25">
      <c r="B142" s="140"/>
      <c r="C142" s="140"/>
      <c r="D142" s="140"/>
      <c r="E142" s="140"/>
      <c r="F142" s="140"/>
      <c r="G142" s="140"/>
      <c r="H142" s="140"/>
      <c r="I142" s="140"/>
      <c r="J142" s="140"/>
      <c r="K142" s="140"/>
      <c r="L142" s="140"/>
      <c r="M142" s="140"/>
      <c r="N142" s="140"/>
    </row>
    <row r="143" spans="1:15" ht="15.75" x14ac:dyDescent="0.25">
      <c r="B143" s="155"/>
      <c r="C143" s="155"/>
      <c r="D143" s="155"/>
      <c r="E143" s="155"/>
      <c r="F143" s="155"/>
      <c r="G143" s="155"/>
      <c r="H143" s="155"/>
      <c r="I143" s="155"/>
      <c r="J143" s="155"/>
      <c r="K143" s="155"/>
      <c r="L143" s="155"/>
      <c r="M143" s="155"/>
      <c r="N143" s="155"/>
      <c r="O143" s="152"/>
    </row>
    <row r="144" spans="1:15" ht="15.75" x14ac:dyDescent="0.25">
      <c r="B144" s="155"/>
      <c r="C144" s="155"/>
      <c r="D144" s="155"/>
      <c r="E144" s="155"/>
      <c r="F144" s="155"/>
      <c r="G144" s="155"/>
      <c r="H144" s="155"/>
      <c r="I144" s="155"/>
      <c r="J144" s="155"/>
      <c r="K144" s="155"/>
      <c r="L144" s="155"/>
      <c r="M144" s="155"/>
      <c r="N144" s="155"/>
      <c r="O144" s="152"/>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786" priority="132">
      <formula>kvartal &lt; 4</formula>
    </cfRule>
  </conditionalFormatting>
  <conditionalFormatting sqref="B30">
    <cfRule type="expression" dxfId="1785" priority="130">
      <formula>kvartal &lt; 4</formula>
    </cfRule>
  </conditionalFormatting>
  <conditionalFormatting sqref="B31">
    <cfRule type="expression" dxfId="1784" priority="129">
      <formula>kvartal &lt; 4</formula>
    </cfRule>
  </conditionalFormatting>
  <conditionalFormatting sqref="B32:B33">
    <cfRule type="expression" dxfId="1783" priority="128">
      <formula>kvartal &lt; 4</formula>
    </cfRule>
  </conditionalFormatting>
  <conditionalFormatting sqref="C30">
    <cfRule type="expression" dxfId="1782" priority="127">
      <formula>kvartal &lt; 4</formula>
    </cfRule>
  </conditionalFormatting>
  <conditionalFormatting sqref="C31">
    <cfRule type="expression" dxfId="1781" priority="126">
      <formula>kvartal &lt; 4</formula>
    </cfRule>
  </conditionalFormatting>
  <conditionalFormatting sqref="C32:C33">
    <cfRule type="expression" dxfId="1780" priority="125">
      <formula>kvartal &lt; 4</formula>
    </cfRule>
  </conditionalFormatting>
  <conditionalFormatting sqref="B23:C26">
    <cfRule type="expression" dxfId="1779" priority="124">
      <formula>kvartal &lt; 4</formula>
    </cfRule>
  </conditionalFormatting>
  <conditionalFormatting sqref="F23:G26">
    <cfRule type="expression" dxfId="1778" priority="120">
      <formula>kvartal &lt; 4</formula>
    </cfRule>
  </conditionalFormatting>
  <conditionalFormatting sqref="F30">
    <cfRule type="expression" dxfId="1777" priority="113">
      <formula>kvartal &lt; 4</formula>
    </cfRule>
  </conditionalFormatting>
  <conditionalFormatting sqref="F31">
    <cfRule type="expression" dxfId="1776" priority="112">
      <formula>kvartal &lt; 4</formula>
    </cfRule>
  </conditionalFormatting>
  <conditionalFormatting sqref="F32:F33">
    <cfRule type="expression" dxfId="1775" priority="111">
      <formula>kvartal &lt; 4</formula>
    </cfRule>
  </conditionalFormatting>
  <conditionalFormatting sqref="G30">
    <cfRule type="expression" dxfId="1774" priority="110">
      <formula>kvartal &lt; 4</formula>
    </cfRule>
  </conditionalFormatting>
  <conditionalFormatting sqref="G31">
    <cfRule type="expression" dxfId="1773" priority="109">
      <formula>kvartal &lt; 4</formula>
    </cfRule>
  </conditionalFormatting>
  <conditionalFormatting sqref="G32:G33">
    <cfRule type="expression" dxfId="1772" priority="108">
      <formula>kvartal &lt; 4</formula>
    </cfRule>
  </conditionalFormatting>
  <conditionalFormatting sqref="B27">
    <cfRule type="expression" dxfId="1771" priority="107">
      <formula>kvartal &lt; 4</formula>
    </cfRule>
  </conditionalFormatting>
  <conditionalFormatting sqref="C27">
    <cfRule type="expression" dxfId="1770" priority="106">
      <formula>kvartal &lt; 4</formula>
    </cfRule>
  </conditionalFormatting>
  <conditionalFormatting sqref="F27">
    <cfRule type="expression" dxfId="1769" priority="105">
      <formula>kvartal &lt; 4</formula>
    </cfRule>
  </conditionalFormatting>
  <conditionalFormatting sqref="G27">
    <cfRule type="expression" dxfId="1768" priority="104">
      <formula>kvartal &lt; 4</formula>
    </cfRule>
  </conditionalFormatting>
  <conditionalFormatting sqref="J26:K27">
    <cfRule type="expression" dxfId="1767" priority="103">
      <formula>kvartal &lt; 4</formula>
    </cfRule>
  </conditionalFormatting>
  <conditionalFormatting sqref="J33:K33">
    <cfRule type="expression" dxfId="1766" priority="101">
      <formula>kvartal &lt; 4</formula>
    </cfRule>
  </conditionalFormatting>
  <conditionalFormatting sqref="B69">
    <cfRule type="expression" dxfId="1765" priority="100">
      <formula>kvartal &lt; 4</formula>
    </cfRule>
  </conditionalFormatting>
  <conditionalFormatting sqref="C69">
    <cfRule type="expression" dxfId="1764" priority="99">
      <formula>kvartal &lt; 4</formula>
    </cfRule>
  </conditionalFormatting>
  <conditionalFormatting sqref="B72">
    <cfRule type="expression" dxfId="1763" priority="98">
      <formula>kvartal &lt; 4</formula>
    </cfRule>
  </conditionalFormatting>
  <conditionalFormatting sqref="C72">
    <cfRule type="expression" dxfId="1762" priority="97">
      <formula>kvartal &lt; 4</formula>
    </cfRule>
  </conditionalFormatting>
  <conditionalFormatting sqref="B80">
    <cfRule type="expression" dxfId="1761" priority="96">
      <formula>kvartal &lt; 4</formula>
    </cfRule>
  </conditionalFormatting>
  <conditionalFormatting sqref="C80">
    <cfRule type="expression" dxfId="1760" priority="95">
      <formula>kvartal &lt; 4</formula>
    </cfRule>
  </conditionalFormatting>
  <conditionalFormatting sqref="B83">
    <cfRule type="expression" dxfId="1759" priority="94">
      <formula>kvartal &lt; 4</formula>
    </cfRule>
  </conditionalFormatting>
  <conditionalFormatting sqref="C83">
    <cfRule type="expression" dxfId="1758" priority="93">
      <formula>kvartal &lt; 4</formula>
    </cfRule>
  </conditionalFormatting>
  <conditionalFormatting sqref="B90">
    <cfRule type="expression" dxfId="1757" priority="84">
      <formula>kvartal &lt; 4</formula>
    </cfRule>
  </conditionalFormatting>
  <conditionalFormatting sqref="C90">
    <cfRule type="expression" dxfId="1756" priority="83">
      <formula>kvartal &lt; 4</formula>
    </cfRule>
  </conditionalFormatting>
  <conditionalFormatting sqref="B93">
    <cfRule type="expression" dxfId="1755" priority="82">
      <formula>kvartal &lt; 4</formula>
    </cfRule>
  </conditionalFormatting>
  <conditionalFormatting sqref="C93">
    <cfRule type="expression" dxfId="1754" priority="81">
      <formula>kvartal &lt; 4</formula>
    </cfRule>
  </conditionalFormatting>
  <conditionalFormatting sqref="B101">
    <cfRule type="expression" dxfId="1753" priority="80">
      <formula>kvartal &lt; 4</formula>
    </cfRule>
  </conditionalFormatting>
  <conditionalFormatting sqref="C101">
    <cfRule type="expression" dxfId="1752" priority="79">
      <formula>kvartal &lt; 4</formula>
    </cfRule>
  </conditionalFormatting>
  <conditionalFormatting sqref="B104">
    <cfRule type="expression" dxfId="1751" priority="78">
      <formula>kvartal &lt; 4</formula>
    </cfRule>
  </conditionalFormatting>
  <conditionalFormatting sqref="C104">
    <cfRule type="expression" dxfId="1750" priority="77">
      <formula>kvartal &lt; 4</formula>
    </cfRule>
  </conditionalFormatting>
  <conditionalFormatting sqref="B115">
    <cfRule type="expression" dxfId="1749" priority="76">
      <formula>kvartal &lt; 4</formula>
    </cfRule>
  </conditionalFormatting>
  <conditionalFormatting sqref="C115">
    <cfRule type="expression" dxfId="1748" priority="75">
      <formula>kvartal &lt; 4</formula>
    </cfRule>
  </conditionalFormatting>
  <conditionalFormatting sqref="B123">
    <cfRule type="expression" dxfId="1747" priority="74">
      <formula>kvartal &lt; 4</formula>
    </cfRule>
  </conditionalFormatting>
  <conditionalFormatting sqref="C123">
    <cfRule type="expression" dxfId="1746" priority="73">
      <formula>kvartal &lt; 4</formula>
    </cfRule>
  </conditionalFormatting>
  <conditionalFormatting sqref="F70">
    <cfRule type="expression" dxfId="1745" priority="72">
      <formula>kvartal &lt; 4</formula>
    </cfRule>
  </conditionalFormatting>
  <conditionalFormatting sqref="G70">
    <cfRule type="expression" dxfId="1744" priority="71">
      <formula>kvartal &lt; 4</formula>
    </cfRule>
  </conditionalFormatting>
  <conditionalFormatting sqref="F71:G71">
    <cfRule type="expression" dxfId="1743" priority="70">
      <formula>kvartal &lt; 4</formula>
    </cfRule>
  </conditionalFormatting>
  <conditionalFormatting sqref="F73:G74">
    <cfRule type="expression" dxfId="1742" priority="69">
      <formula>kvartal &lt; 4</formula>
    </cfRule>
  </conditionalFormatting>
  <conditionalFormatting sqref="F81:G82">
    <cfRule type="expression" dxfId="1741" priority="68">
      <formula>kvartal &lt; 4</formula>
    </cfRule>
  </conditionalFormatting>
  <conditionalFormatting sqref="F84:G85">
    <cfRule type="expression" dxfId="1740" priority="67">
      <formula>kvartal &lt; 4</formula>
    </cfRule>
  </conditionalFormatting>
  <conditionalFormatting sqref="F91:G92">
    <cfRule type="expression" dxfId="1739" priority="62">
      <formula>kvartal &lt; 4</formula>
    </cfRule>
  </conditionalFormatting>
  <conditionalFormatting sqref="F94:G95">
    <cfRule type="expression" dxfId="1738" priority="61">
      <formula>kvartal &lt; 4</formula>
    </cfRule>
  </conditionalFormatting>
  <conditionalFormatting sqref="F102:G103">
    <cfRule type="expression" dxfId="1737" priority="60">
      <formula>kvartal &lt; 4</formula>
    </cfRule>
  </conditionalFormatting>
  <conditionalFormatting sqref="F105:G106">
    <cfRule type="expression" dxfId="1736" priority="59">
      <formula>kvartal &lt; 4</formula>
    </cfRule>
  </conditionalFormatting>
  <conditionalFormatting sqref="F115">
    <cfRule type="expression" dxfId="1735" priority="58">
      <formula>kvartal &lt; 4</formula>
    </cfRule>
  </conditionalFormatting>
  <conditionalFormatting sqref="G115">
    <cfRule type="expression" dxfId="1734" priority="57">
      <formula>kvartal &lt; 4</formula>
    </cfRule>
  </conditionalFormatting>
  <conditionalFormatting sqref="F123:G123">
    <cfRule type="expression" dxfId="1733" priority="56">
      <formula>kvartal &lt; 4</formula>
    </cfRule>
  </conditionalFormatting>
  <conditionalFormatting sqref="F69:G69">
    <cfRule type="expression" dxfId="1732" priority="55">
      <formula>kvartal &lt; 4</formula>
    </cfRule>
  </conditionalFormatting>
  <conditionalFormatting sqref="F72:G72">
    <cfRule type="expression" dxfId="1731" priority="54">
      <formula>kvartal &lt; 4</formula>
    </cfRule>
  </conditionalFormatting>
  <conditionalFormatting sqref="F80:G80">
    <cfRule type="expression" dxfId="1730" priority="53">
      <formula>kvartal &lt; 4</formula>
    </cfRule>
  </conditionalFormatting>
  <conditionalFormatting sqref="F83:G83">
    <cfRule type="expression" dxfId="1729" priority="52">
      <formula>kvartal &lt; 4</formula>
    </cfRule>
  </conditionalFormatting>
  <conditionalFormatting sqref="F90:G90">
    <cfRule type="expression" dxfId="1728" priority="46">
      <formula>kvartal &lt; 4</formula>
    </cfRule>
  </conditionalFormatting>
  <conditionalFormatting sqref="F93">
    <cfRule type="expression" dxfId="1727" priority="45">
      <formula>kvartal &lt; 4</formula>
    </cfRule>
  </conditionalFormatting>
  <conditionalFormatting sqref="G93">
    <cfRule type="expression" dxfId="1726" priority="44">
      <formula>kvartal &lt; 4</formula>
    </cfRule>
  </conditionalFormatting>
  <conditionalFormatting sqref="F101">
    <cfRule type="expression" dxfId="1725" priority="43">
      <formula>kvartal &lt; 4</formula>
    </cfRule>
  </conditionalFormatting>
  <conditionalFormatting sqref="G101">
    <cfRule type="expression" dxfId="1724" priority="42">
      <formula>kvartal &lt; 4</formula>
    </cfRule>
  </conditionalFormatting>
  <conditionalFormatting sqref="G104">
    <cfRule type="expression" dxfId="1723" priority="41">
      <formula>kvartal &lt; 4</formula>
    </cfRule>
  </conditionalFormatting>
  <conditionalFormatting sqref="F104">
    <cfRule type="expression" dxfId="1722" priority="40">
      <formula>kvartal &lt; 4</formula>
    </cfRule>
  </conditionalFormatting>
  <conditionalFormatting sqref="J69:K71 J73:K73">
    <cfRule type="expression" dxfId="1721" priority="39">
      <formula>kvartal &lt; 4</formula>
    </cfRule>
  </conditionalFormatting>
  <conditionalFormatting sqref="J80:K82 J84:K84">
    <cfRule type="expression" dxfId="1720" priority="37">
      <formula>kvartal &lt; 4</formula>
    </cfRule>
  </conditionalFormatting>
  <conditionalFormatting sqref="J92:K92 J94:K94">
    <cfRule type="expression" dxfId="1719" priority="34">
      <formula>kvartal &lt; 4</formula>
    </cfRule>
  </conditionalFormatting>
  <conditionalFormatting sqref="J101:K103 J105:K105">
    <cfRule type="expression" dxfId="1718" priority="33">
      <formula>kvartal &lt; 4</formula>
    </cfRule>
  </conditionalFormatting>
  <conditionalFormatting sqref="J115:K115">
    <cfRule type="expression" dxfId="1717" priority="32">
      <formula>kvartal &lt; 4</formula>
    </cfRule>
  </conditionalFormatting>
  <conditionalFormatting sqref="J123:K123">
    <cfRule type="expression" dxfId="1716" priority="31">
      <formula>kvartal &lt; 4</formula>
    </cfRule>
  </conditionalFormatting>
  <conditionalFormatting sqref="A23:A26">
    <cfRule type="expression" dxfId="1715" priority="15">
      <formula>kvartal &lt; 4</formula>
    </cfRule>
  </conditionalFormatting>
  <conditionalFormatting sqref="A30:A33">
    <cfRule type="expression" dxfId="1714" priority="13">
      <formula>kvartal &lt; 4</formula>
    </cfRule>
  </conditionalFormatting>
  <conditionalFormatting sqref="A50:A52">
    <cfRule type="expression" dxfId="1713" priority="12">
      <formula>kvartal &lt; 4</formula>
    </cfRule>
  </conditionalFormatting>
  <conditionalFormatting sqref="A69:A74">
    <cfRule type="expression" dxfId="1712" priority="10">
      <formula>kvartal &lt; 4</formula>
    </cfRule>
  </conditionalFormatting>
  <conditionalFormatting sqref="A80:A85">
    <cfRule type="expression" dxfId="1711" priority="9">
      <formula>kvartal &lt; 4</formula>
    </cfRule>
  </conditionalFormatting>
  <conditionalFormatting sqref="A90:A95">
    <cfRule type="expression" dxfId="1710" priority="6">
      <formula>kvartal &lt; 4</formula>
    </cfRule>
  </conditionalFormatting>
  <conditionalFormatting sqref="A101:A106">
    <cfRule type="expression" dxfId="1709" priority="5">
      <formula>kvartal &lt; 4</formula>
    </cfRule>
  </conditionalFormatting>
  <conditionalFormatting sqref="A115">
    <cfRule type="expression" dxfId="1708" priority="4">
      <formula>kvartal &lt; 4</formula>
    </cfRule>
  </conditionalFormatting>
  <conditionalFormatting sqref="A123">
    <cfRule type="expression" dxfId="1707" priority="3">
      <formula>kvartal &lt; 4</formula>
    </cfRule>
  </conditionalFormatting>
  <conditionalFormatting sqref="A27">
    <cfRule type="expression" dxfId="1706" priority="2">
      <formula>kvartal &lt; 4</formula>
    </cfRule>
  </conditionalFormatting>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3"/>
  <dimension ref="A1:O144"/>
  <sheetViews>
    <sheetView showGridLines="0" zoomScale="90" zoomScaleNormal="90" workbookViewId="0"/>
  </sheetViews>
  <sheetFormatPr baseColWidth="10" defaultColWidth="11.42578125" defaultRowHeight="12.75" x14ac:dyDescent="0.2"/>
  <cols>
    <col min="1" max="1" width="41.5703125" style="147" customWidth="1"/>
    <col min="2" max="2" width="10.85546875" style="147" customWidth="1"/>
    <col min="3" max="3" width="11" style="147" customWidth="1"/>
    <col min="4" max="5" width="8.7109375" style="147" customWidth="1"/>
    <col min="6" max="7" width="10.85546875" style="147" customWidth="1"/>
    <col min="8" max="9" width="8.7109375" style="147" customWidth="1"/>
    <col min="10" max="11" width="10.85546875" style="147" customWidth="1"/>
    <col min="12" max="13" width="8.7109375" style="147" customWidth="1"/>
    <col min="14" max="14" width="11.42578125" style="147"/>
    <col min="15" max="15" width="3" style="146" bestFit="1" customWidth="1"/>
    <col min="16" max="16384" width="11.42578125" style="1"/>
  </cols>
  <sheetData>
    <row r="1" spans="1:15" x14ac:dyDescent="0.2">
      <c r="A1" s="170" t="s">
        <v>152</v>
      </c>
      <c r="B1" s="932"/>
      <c r="C1" s="247" t="s">
        <v>139</v>
      </c>
      <c r="D1" s="25"/>
      <c r="E1" s="25"/>
      <c r="F1" s="25"/>
      <c r="G1" s="25"/>
      <c r="H1" s="25"/>
      <c r="I1" s="25"/>
      <c r="J1" s="25"/>
      <c r="K1" s="25"/>
      <c r="L1" s="25"/>
      <c r="M1" s="25"/>
      <c r="O1" s="423"/>
    </row>
    <row r="2" spans="1:15" ht="15.75" x14ac:dyDescent="0.25">
      <c r="A2" s="163" t="s">
        <v>31</v>
      </c>
      <c r="B2" s="965"/>
      <c r="C2" s="965"/>
      <c r="D2" s="965"/>
      <c r="E2" s="297"/>
      <c r="F2" s="965"/>
      <c r="G2" s="965"/>
      <c r="H2" s="965"/>
      <c r="I2" s="297"/>
      <c r="J2" s="965"/>
      <c r="K2" s="965"/>
      <c r="L2" s="965"/>
      <c r="M2" s="297"/>
    </row>
    <row r="3" spans="1:15" ht="15.75" x14ac:dyDescent="0.25">
      <c r="A3" s="161"/>
      <c r="B3" s="297"/>
      <c r="C3" s="297"/>
      <c r="D3" s="297"/>
      <c r="E3" s="297"/>
      <c r="F3" s="297"/>
      <c r="G3" s="297"/>
      <c r="H3" s="297"/>
      <c r="I3" s="297"/>
      <c r="J3" s="297"/>
      <c r="K3" s="297"/>
      <c r="L3" s="297"/>
      <c r="M3" s="297"/>
    </row>
    <row r="4" spans="1:15" x14ac:dyDescent="0.2">
      <c r="A4" s="142"/>
      <c r="B4" s="960" t="s">
        <v>0</v>
      </c>
      <c r="C4" s="961"/>
      <c r="D4" s="961"/>
      <c r="E4" s="299"/>
      <c r="F4" s="960" t="s">
        <v>1</v>
      </c>
      <c r="G4" s="961"/>
      <c r="H4" s="961"/>
      <c r="I4" s="302"/>
      <c r="J4" s="960" t="s">
        <v>2</v>
      </c>
      <c r="K4" s="961"/>
      <c r="L4" s="961"/>
      <c r="M4" s="302"/>
    </row>
    <row r="5" spans="1:15" x14ac:dyDescent="0.2">
      <c r="A5" s="156"/>
      <c r="B5" s="150" t="s">
        <v>504</v>
      </c>
      <c r="C5" s="150" t="s">
        <v>505</v>
      </c>
      <c r="D5" s="243" t="s">
        <v>3</v>
      </c>
      <c r="E5" s="303" t="s">
        <v>32</v>
      </c>
      <c r="F5" s="150" t="s">
        <v>504</v>
      </c>
      <c r="G5" s="150" t="s">
        <v>505</v>
      </c>
      <c r="H5" s="243" t="s">
        <v>3</v>
      </c>
      <c r="I5" s="160" t="s">
        <v>32</v>
      </c>
      <c r="J5" s="150" t="s">
        <v>504</v>
      </c>
      <c r="K5" s="150" t="s">
        <v>505</v>
      </c>
      <c r="L5" s="243" t="s">
        <v>3</v>
      </c>
      <c r="M5" s="160" t="s">
        <v>32</v>
      </c>
      <c r="O5" s="931"/>
    </row>
    <row r="6" spans="1:15" x14ac:dyDescent="0.2">
      <c r="A6" s="933"/>
      <c r="B6" s="154"/>
      <c r="C6" s="154"/>
      <c r="D6" s="245" t="s">
        <v>4</v>
      </c>
      <c r="E6" s="154" t="s">
        <v>33</v>
      </c>
      <c r="F6" s="159"/>
      <c r="G6" s="159"/>
      <c r="H6" s="243" t="s">
        <v>4</v>
      </c>
      <c r="I6" s="154" t="s">
        <v>33</v>
      </c>
      <c r="J6" s="159"/>
      <c r="K6" s="159"/>
      <c r="L6" s="243" t="s">
        <v>4</v>
      </c>
      <c r="M6" s="154" t="s">
        <v>33</v>
      </c>
    </row>
    <row r="7" spans="1:15" ht="15.75" x14ac:dyDescent="0.2">
      <c r="A7" s="14" t="s">
        <v>26</v>
      </c>
      <c r="B7" s="304">
        <v>351394</v>
      </c>
      <c r="C7" s="305">
        <v>267318</v>
      </c>
      <c r="D7" s="348">
        <f>IF(B7=0, "    ---- ", IF(ABS(ROUND(100/B7*C7-100,1))&lt;999,ROUND(100/B7*C7-100,1),IF(ROUND(100/B7*C7-100,1)&gt;999,999,-999)))</f>
        <v>-23.9</v>
      </c>
      <c r="E7" s="11">
        <f>IFERROR(100/'Skjema total MA'!C7*C7,0)</f>
        <v>5.7317994054386148</v>
      </c>
      <c r="F7" s="304"/>
      <c r="G7" s="305"/>
      <c r="H7" s="348"/>
      <c r="I7" s="158"/>
      <c r="J7" s="306">
        <v>351394</v>
      </c>
      <c r="K7" s="307">
        <v>267318</v>
      </c>
      <c r="L7" s="424">
        <f>IF(J7=0, "    ---- ", IF(ABS(ROUND(100/J7*K7-100,1))&lt;999,ROUND(100/J7*K7-100,1),IF(ROUND(100/J7*K7-100,1)&gt;999,999,-999)))</f>
        <v>-23.9</v>
      </c>
      <c r="M7" s="11">
        <f>IFERROR(100/'Skjema total MA'!I7*K7,0)</f>
        <v>1.9843417345325438</v>
      </c>
    </row>
    <row r="8" spans="1:15" ht="15.75" x14ac:dyDescent="0.2">
      <c r="A8" s="20" t="s">
        <v>28</v>
      </c>
      <c r="B8" s="279">
        <v>174437</v>
      </c>
      <c r="C8" s="280">
        <v>132335</v>
      </c>
      <c r="D8" s="164">
        <f>IF(AND(_xlfn.NUMBERVALUE(B8)=0,_xlfn.NUMBERVALUE(C8)=0),,IF(B8=0, "    ---- ", IF(ABS(ROUND(100/B8*C8-100,1))&lt;999,IF(ROUND(100/B8*C8-100,1)=0,"    ---- ",ROUND(100/B8*C8-100,1)),IF(ROUND(100/B8*C8-100,1)&gt;999,999,-999))))</f>
        <v>-24.1</v>
      </c>
      <c r="E8" s="26">
        <f>IFERROR(100/'Skjema total MA'!C8*C8,0)</f>
        <v>5.3171315956220955</v>
      </c>
      <c r="F8" s="283"/>
      <c r="G8" s="284"/>
      <c r="H8" s="164"/>
      <c r="I8" s="174"/>
      <c r="J8" s="232">
        <v>174437</v>
      </c>
      <c r="K8" s="285">
        <v>132335</v>
      </c>
      <c r="L8" s="164">
        <f>IF(AND(_xlfn.NUMBERVALUE(J8)=0,_xlfn.NUMBERVALUE(K8)=0),,IF(J8=0, "    ---- ", IF(ABS(ROUND(100/J8*K8-100,1))&lt;999,IF(ROUND(100/J8*K8-100,1)=0,"    ---- ",ROUND(100/J8*K8-100,1)),IF(ROUND(100/J8*K8-100,1)&gt;999,999,-999))))</f>
        <v>-24.1</v>
      </c>
      <c r="M8" s="26">
        <f>IFERROR(100/'Skjema total MA'!I8*K8,0)</f>
        <v>5.3171315956220955</v>
      </c>
    </row>
    <row r="9" spans="1:15" ht="15.75" x14ac:dyDescent="0.2">
      <c r="A9" s="20" t="s">
        <v>27</v>
      </c>
      <c r="B9" s="279">
        <v>176957</v>
      </c>
      <c r="C9" s="280">
        <v>134983</v>
      </c>
      <c r="D9" s="164">
        <f t="shared" ref="D9:D10" si="0">IF(B9=0, "    ---- ", IF(ABS(ROUND(100/B9*C9-100,1))&lt;999,ROUND(100/B9*C9-100,1),IF(ROUND(100/B9*C9-100,1)&gt;999,999,-999)))</f>
        <v>-23.7</v>
      </c>
      <c r="E9" s="26">
        <f>IFERROR(100/'Skjema total MA'!C9*C9,0)</f>
        <v>12.475071415692277</v>
      </c>
      <c r="F9" s="283"/>
      <c r="G9" s="284"/>
      <c r="H9" s="164"/>
      <c r="I9" s="174"/>
      <c r="J9" s="232">
        <v>176957</v>
      </c>
      <c r="K9" s="285">
        <v>134983</v>
      </c>
      <c r="L9" s="164">
        <f>IF(AND(_xlfn.NUMBERVALUE(J9)=0,_xlfn.NUMBERVALUE(K9)=0),,IF(J9=0, "    ---- ", IF(ABS(ROUND(100/J9*K9-100,1))&lt;999,IF(ROUND(100/J9*K9-100,1)=0,"    ---- ",ROUND(100/J9*K9-100,1)),IF(ROUND(100/J9*K9-100,1)&gt;999,999,-999))))</f>
        <v>-23.7</v>
      </c>
      <c r="M9" s="26">
        <f>IFERROR(100/'Skjema total MA'!I9*K9,0)</f>
        <v>12.475071415692277</v>
      </c>
    </row>
    <row r="10" spans="1:15" ht="15.75" x14ac:dyDescent="0.2">
      <c r="A10" s="13" t="s">
        <v>25</v>
      </c>
      <c r="B10" s="308">
        <v>401746</v>
      </c>
      <c r="C10" s="309">
        <v>422298</v>
      </c>
      <c r="D10" s="169">
        <f t="shared" si="0"/>
        <v>5.0999999999999996</v>
      </c>
      <c r="E10" s="11">
        <f>IFERROR(100/'Skjema total MA'!C10*C10,0)</f>
        <v>1.7567861831848306</v>
      </c>
      <c r="F10" s="308"/>
      <c r="G10" s="309"/>
      <c r="H10" s="169"/>
      <c r="I10" s="158"/>
      <c r="J10" s="306">
        <v>401746</v>
      </c>
      <c r="K10" s="307">
        <v>422298</v>
      </c>
      <c r="L10" s="425">
        <f t="shared" ref="L10" si="1">IF(J10=0, "    ---- ", IF(ABS(ROUND(100/J10*K10-100,1))&lt;999,ROUND(100/J10*K10-100,1),IF(ROUND(100/J10*K10-100,1)&gt;999,999,-999)))</f>
        <v>5.0999999999999996</v>
      </c>
      <c r="M10" s="11">
        <f>IFERROR(100/'Skjema total MA'!I10*K10,0)</f>
        <v>0.63677421909580312</v>
      </c>
    </row>
    <row r="11" spans="1:15" s="42" customFormat="1" ht="15.75" x14ac:dyDescent="0.2">
      <c r="A11" s="13" t="s">
        <v>24</v>
      </c>
      <c r="B11" s="308"/>
      <c r="C11" s="309"/>
      <c r="D11" s="169"/>
      <c r="E11" s="11"/>
      <c r="F11" s="308"/>
      <c r="G11" s="309"/>
      <c r="H11" s="169"/>
      <c r="I11" s="158"/>
      <c r="J11" s="306"/>
      <c r="K11" s="307"/>
      <c r="L11" s="425"/>
      <c r="M11" s="11"/>
      <c r="N11" s="141"/>
      <c r="O11" s="146"/>
    </row>
    <row r="12" spans="1:15" s="42" customFormat="1" ht="15.75" x14ac:dyDescent="0.2">
      <c r="A12" s="40" t="s">
        <v>23</v>
      </c>
      <c r="B12" s="310"/>
      <c r="C12" s="311"/>
      <c r="D12" s="167"/>
      <c r="E12" s="35"/>
      <c r="F12" s="310"/>
      <c r="G12" s="311"/>
      <c r="H12" s="167"/>
      <c r="I12" s="167"/>
      <c r="J12" s="312"/>
      <c r="K12" s="313"/>
      <c r="L12" s="426"/>
      <c r="M12" s="35"/>
      <c r="N12" s="141"/>
      <c r="O12" s="146"/>
    </row>
    <row r="13" spans="1:15" s="42" customFormat="1" x14ac:dyDescent="0.2">
      <c r="A13" s="166"/>
      <c r="B13" s="143"/>
      <c r="C13" s="32"/>
      <c r="D13" s="157"/>
      <c r="E13" s="157"/>
      <c r="F13" s="143"/>
      <c r="G13" s="32"/>
      <c r="H13" s="157"/>
      <c r="I13" s="157"/>
      <c r="J13" s="47"/>
      <c r="K13" s="47"/>
      <c r="L13" s="157"/>
      <c r="M13" s="157"/>
      <c r="N13" s="141"/>
      <c r="O13" s="423"/>
    </row>
    <row r="14" spans="1:15" x14ac:dyDescent="0.2">
      <c r="A14" s="151" t="s">
        <v>296</v>
      </c>
      <c r="B14" s="25"/>
    </row>
    <row r="15" spans="1:15" x14ac:dyDescent="0.2">
      <c r="F15" s="144"/>
      <c r="G15" s="144"/>
      <c r="H15" s="144"/>
      <c r="I15" s="144"/>
      <c r="J15" s="144"/>
      <c r="K15" s="144"/>
      <c r="L15" s="144"/>
      <c r="M15" s="144"/>
    </row>
    <row r="16" spans="1:15" s="3" customFormat="1" ht="15.75" x14ac:dyDescent="0.25">
      <c r="A16" s="162"/>
      <c r="B16" s="146"/>
      <c r="C16" s="152"/>
      <c r="D16" s="152"/>
      <c r="E16" s="152"/>
      <c r="F16" s="152"/>
      <c r="G16" s="152"/>
      <c r="H16" s="152"/>
      <c r="I16" s="152"/>
      <c r="J16" s="152"/>
      <c r="K16" s="152"/>
      <c r="L16" s="152"/>
      <c r="M16" s="152"/>
      <c r="N16" s="146"/>
      <c r="O16" s="146"/>
    </row>
    <row r="17" spans="1:15" ht="15.75" x14ac:dyDescent="0.25">
      <c r="A17" s="145" t="s">
        <v>293</v>
      </c>
      <c r="B17" s="155"/>
      <c r="C17" s="155"/>
      <c r="D17" s="149"/>
      <c r="E17" s="149"/>
      <c r="F17" s="155"/>
      <c r="G17" s="155"/>
      <c r="H17" s="155"/>
      <c r="I17" s="155"/>
      <c r="J17" s="155"/>
      <c r="K17" s="155"/>
      <c r="L17" s="155"/>
      <c r="M17" s="155"/>
    </row>
    <row r="18" spans="1:15" ht="15.75" x14ac:dyDescent="0.25">
      <c r="B18" s="963"/>
      <c r="C18" s="963"/>
      <c r="D18" s="963"/>
      <c r="E18" s="297"/>
      <c r="F18" s="963"/>
      <c r="G18" s="963"/>
      <c r="H18" s="963"/>
      <c r="I18" s="297"/>
      <c r="J18" s="963"/>
      <c r="K18" s="963"/>
      <c r="L18" s="963"/>
      <c r="M18" s="297"/>
    </row>
    <row r="19" spans="1:15" x14ac:dyDescent="0.2">
      <c r="A19" s="142"/>
      <c r="B19" s="960" t="s">
        <v>0</v>
      </c>
      <c r="C19" s="961"/>
      <c r="D19" s="961"/>
      <c r="E19" s="299"/>
      <c r="F19" s="960" t="s">
        <v>1</v>
      </c>
      <c r="G19" s="961"/>
      <c r="H19" s="961"/>
      <c r="I19" s="302"/>
      <c r="J19" s="960" t="s">
        <v>2</v>
      </c>
      <c r="K19" s="961"/>
      <c r="L19" s="961"/>
      <c r="M19" s="302"/>
    </row>
    <row r="20" spans="1:15" x14ac:dyDescent="0.2">
      <c r="A20" s="139" t="s">
        <v>5</v>
      </c>
      <c r="B20" s="240" t="s">
        <v>504</v>
      </c>
      <c r="C20" s="240" t="s">
        <v>505</v>
      </c>
      <c r="D20" s="160" t="s">
        <v>3</v>
      </c>
      <c r="E20" s="303" t="s">
        <v>32</v>
      </c>
      <c r="F20" s="240" t="s">
        <v>504</v>
      </c>
      <c r="G20" s="240" t="s">
        <v>505</v>
      </c>
      <c r="H20" s="160" t="s">
        <v>3</v>
      </c>
      <c r="I20" s="160" t="s">
        <v>32</v>
      </c>
      <c r="J20" s="240" t="s">
        <v>504</v>
      </c>
      <c r="K20" s="240" t="s">
        <v>505</v>
      </c>
      <c r="L20" s="160" t="s">
        <v>3</v>
      </c>
      <c r="M20" s="160" t="s">
        <v>32</v>
      </c>
    </row>
    <row r="21" spans="1:15" x14ac:dyDescent="0.2">
      <c r="A21" s="934"/>
      <c r="B21" s="154"/>
      <c r="C21" s="154"/>
      <c r="D21" s="245" t="s">
        <v>4</v>
      </c>
      <c r="E21" s="154" t="s">
        <v>33</v>
      </c>
      <c r="F21" s="159"/>
      <c r="G21" s="159"/>
      <c r="H21" s="243" t="s">
        <v>4</v>
      </c>
      <c r="I21" s="154" t="s">
        <v>33</v>
      </c>
      <c r="J21" s="159"/>
      <c r="K21" s="159"/>
      <c r="L21" s="154" t="s">
        <v>4</v>
      </c>
      <c r="M21" s="154" t="s">
        <v>33</v>
      </c>
    </row>
    <row r="22" spans="1:15" ht="15.75" x14ac:dyDescent="0.2">
      <c r="A22" s="14" t="s">
        <v>26</v>
      </c>
      <c r="B22" s="314"/>
      <c r="C22" s="314"/>
      <c r="D22" s="348"/>
      <c r="E22" s="11"/>
      <c r="F22" s="314"/>
      <c r="G22" s="314"/>
      <c r="H22" s="348"/>
      <c r="I22" s="11"/>
      <c r="J22" s="314"/>
      <c r="K22" s="314"/>
      <c r="L22" s="424"/>
      <c r="M22" s="23"/>
    </row>
    <row r="23" spans="1:15" ht="15.75" x14ac:dyDescent="0.2">
      <c r="A23" s="294" t="s">
        <v>305</v>
      </c>
      <c r="B23" s="288"/>
      <c r="C23" s="288"/>
      <c r="D23" s="164"/>
      <c r="E23" s="414"/>
      <c r="F23" s="288"/>
      <c r="G23" s="288"/>
      <c r="H23" s="164"/>
      <c r="I23" s="414"/>
      <c r="J23" s="288"/>
      <c r="K23" s="288"/>
      <c r="L23" s="164"/>
      <c r="M23" s="22"/>
    </row>
    <row r="24" spans="1:15" ht="15.75" x14ac:dyDescent="0.2">
      <c r="A24" s="294" t="s">
        <v>306</v>
      </c>
      <c r="B24" s="288"/>
      <c r="C24" s="288"/>
      <c r="D24" s="164"/>
      <c r="E24" s="414"/>
      <c r="F24" s="288"/>
      <c r="G24" s="288"/>
      <c r="H24" s="164"/>
      <c r="I24" s="414"/>
      <c r="J24" s="288"/>
      <c r="K24" s="288"/>
      <c r="L24" s="164"/>
      <c r="M24" s="22"/>
    </row>
    <row r="25" spans="1:15" ht="15.75" x14ac:dyDescent="0.2">
      <c r="A25" s="294" t="s">
        <v>406</v>
      </c>
      <c r="B25" s="288"/>
      <c r="C25" s="288"/>
      <c r="D25" s="164"/>
      <c r="E25" s="414"/>
      <c r="F25" s="288"/>
      <c r="G25" s="288"/>
      <c r="H25" s="164"/>
      <c r="I25" s="414"/>
      <c r="J25" s="288"/>
      <c r="K25" s="288"/>
      <c r="L25" s="164"/>
      <c r="M25" s="22"/>
    </row>
    <row r="26" spans="1:15" ht="15.75" x14ac:dyDescent="0.2">
      <c r="A26" s="294" t="s">
        <v>307</v>
      </c>
      <c r="B26" s="288"/>
      <c r="C26" s="288"/>
      <c r="D26" s="164"/>
      <c r="E26" s="414"/>
      <c r="F26" s="288"/>
      <c r="G26" s="288"/>
      <c r="H26" s="164"/>
      <c r="I26" s="414"/>
      <c r="J26" s="288"/>
      <c r="K26" s="288"/>
      <c r="L26" s="164"/>
      <c r="M26" s="22"/>
    </row>
    <row r="27" spans="1:15" x14ac:dyDescent="0.2">
      <c r="A27" s="294" t="s">
        <v>11</v>
      </c>
      <c r="B27" s="288"/>
      <c r="C27" s="288"/>
      <c r="D27" s="164"/>
      <c r="E27" s="414"/>
      <c r="F27" s="288"/>
      <c r="G27" s="288"/>
      <c r="H27" s="164"/>
      <c r="I27" s="414"/>
      <c r="J27" s="288"/>
      <c r="K27" s="288"/>
      <c r="L27" s="164"/>
      <c r="M27" s="22"/>
    </row>
    <row r="28" spans="1:15" ht="15.75" x14ac:dyDescent="0.2">
      <c r="A28" s="48" t="s">
        <v>297</v>
      </c>
      <c r="B28" s="43"/>
      <c r="C28" s="285"/>
      <c r="D28" s="164"/>
      <c r="E28" s="26"/>
      <c r="F28" s="232"/>
      <c r="G28" s="285"/>
      <c r="H28" s="164"/>
      <c r="I28" s="26"/>
      <c r="J28" s="43"/>
      <c r="K28" s="43"/>
      <c r="L28" s="253"/>
      <c r="M28" s="22"/>
    </row>
    <row r="29" spans="1:15" s="3" customFormat="1" ht="15.75" x14ac:dyDescent="0.2">
      <c r="A29" s="13" t="s">
        <v>25</v>
      </c>
      <c r="B29" s="234"/>
      <c r="C29" s="234"/>
      <c r="D29" s="169"/>
      <c r="E29" s="11"/>
      <c r="F29" s="234"/>
      <c r="G29" s="234"/>
      <c r="H29" s="169"/>
      <c r="I29" s="11"/>
      <c r="J29" s="234"/>
      <c r="K29" s="234"/>
      <c r="L29" s="425"/>
      <c r="M29" s="23"/>
      <c r="N29" s="146"/>
      <c r="O29" s="146"/>
    </row>
    <row r="30" spans="1:15" s="3" customFormat="1" ht="15.75" x14ac:dyDescent="0.2">
      <c r="A30" s="294" t="s">
        <v>305</v>
      </c>
      <c r="B30" s="288"/>
      <c r="C30" s="288"/>
      <c r="D30" s="164"/>
      <c r="E30" s="414"/>
      <c r="F30" s="288"/>
      <c r="G30" s="288"/>
      <c r="H30" s="164"/>
      <c r="I30" s="414"/>
      <c r="J30" s="288"/>
      <c r="K30" s="288"/>
      <c r="L30" s="164"/>
      <c r="M30" s="22"/>
      <c r="N30" s="146"/>
      <c r="O30" s="146"/>
    </row>
    <row r="31" spans="1:15" s="3" customFormat="1" ht="15.75" x14ac:dyDescent="0.2">
      <c r="A31" s="294" t="s">
        <v>306</v>
      </c>
      <c r="B31" s="288"/>
      <c r="C31" s="288"/>
      <c r="D31" s="164"/>
      <c r="E31" s="414"/>
      <c r="F31" s="288"/>
      <c r="G31" s="288"/>
      <c r="H31" s="164"/>
      <c r="I31" s="414"/>
      <c r="J31" s="288"/>
      <c r="K31" s="288"/>
      <c r="L31" s="164"/>
      <c r="M31" s="22"/>
      <c r="N31" s="146"/>
      <c r="O31" s="146"/>
    </row>
    <row r="32" spans="1:15" ht="15.75" x14ac:dyDescent="0.2">
      <c r="A32" s="294" t="s">
        <v>406</v>
      </c>
      <c r="B32" s="288"/>
      <c r="C32" s="288"/>
      <c r="D32" s="164"/>
      <c r="E32" s="414"/>
      <c r="F32" s="288"/>
      <c r="G32" s="288"/>
      <c r="H32" s="164"/>
      <c r="I32" s="414"/>
      <c r="J32" s="288"/>
      <c r="K32" s="288"/>
      <c r="L32" s="164"/>
      <c r="M32" s="22"/>
    </row>
    <row r="33" spans="1:15" ht="15.75" x14ac:dyDescent="0.2">
      <c r="A33" s="294" t="s">
        <v>307</v>
      </c>
      <c r="B33" s="288"/>
      <c r="C33" s="288"/>
      <c r="D33" s="164"/>
      <c r="E33" s="414"/>
      <c r="F33" s="288"/>
      <c r="G33" s="288"/>
      <c r="H33" s="164"/>
      <c r="I33" s="414"/>
      <c r="J33" s="288"/>
      <c r="K33" s="288"/>
      <c r="L33" s="164"/>
      <c r="M33" s="22"/>
    </row>
    <row r="34" spans="1:15" ht="15.75" x14ac:dyDescent="0.2">
      <c r="A34" s="13" t="s">
        <v>24</v>
      </c>
      <c r="B34" s="234"/>
      <c r="C34" s="307"/>
      <c r="D34" s="169"/>
      <c r="E34" s="11"/>
      <c r="F34" s="306"/>
      <c r="G34" s="307"/>
      <c r="H34" s="169"/>
      <c r="I34" s="11"/>
      <c r="J34" s="234"/>
      <c r="K34" s="234"/>
      <c r="L34" s="425"/>
      <c r="M34" s="23"/>
    </row>
    <row r="35" spans="1:15" ht="15.75" x14ac:dyDescent="0.2">
      <c r="A35" s="13" t="s">
        <v>23</v>
      </c>
      <c r="B35" s="234"/>
      <c r="C35" s="307"/>
      <c r="D35" s="169"/>
      <c r="E35" s="11"/>
      <c r="F35" s="306"/>
      <c r="G35" s="307"/>
      <c r="H35" s="169"/>
      <c r="I35" s="11"/>
      <c r="J35" s="234"/>
      <c r="K35" s="234"/>
      <c r="L35" s="425"/>
      <c r="M35" s="23"/>
    </row>
    <row r="36" spans="1:15" ht="15.75" x14ac:dyDescent="0.2">
      <c r="A36" s="12" t="s">
        <v>308</v>
      </c>
      <c r="B36" s="234"/>
      <c r="C36" s="307"/>
      <c r="D36" s="169"/>
      <c r="E36" s="11"/>
      <c r="F36" s="317"/>
      <c r="G36" s="318"/>
      <c r="H36" s="169"/>
      <c r="I36" s="431"/>
      <c r="J36" s="234"/>
      <c r="K36" s="234"/>
      <c r="L36" s="425"/>
      <c r="M36" s="23"/>
    </row>
    <row r="37" spans="1:15" ht="15.75" x14ac:dyDescent="0.2">
      <c r="A37" s="12" t="s">
        <v>309</v>
      </c>
      <c r="B37" s="234"/>
      <c r="C37" s="307"/>
      <c r="D37" s="169"/>
      <c r="E37" s="11"/>
      <c r="F37" s="317"/>
      <c r="G37" s="319"/>
      <c r="H37" s="169"/>
      <c r="I37" s="431"/>
      <c r="J37" s="234"/>
      <c r="K37" s="234"/>
      <c r="L37" s="425"/>
      <c r="M37" s="23"/>
    </row>
    <row r="38" spans="1:15" ht="15.75" x14ac:dyDescent="0.2">
      <c r="A38" s="12" t="s">
        <v>310</v>
      </c>
      <c r="B38" s="234"/>
      <c r="C38" s="307"/>
      <c r="D38" s="169"/>
      <c r="E38" s="11"/>
      <c r="F38" s="317"/>
      <c r="G38" s="318"/>
      <c r="H38" s="169"/>
      <c r="I38" s="431"/>
      <c r="J38" s="234"/>
      <c r="K38" s="234"/>
      <c r="L38" s="425"/>
      <c r="M38" s="23"/>
    </row>
    <row r="39" spans="1:15" ht="15.75" x14ac:dyDescent="0.2">
      <c r="A39" s="18" t="s">
        <v>311</v>
      </c>
      <c r="B39" s="274"/>
      <c r="C39" s="313"/>
      <c r="D39" s="167"/>
      <c r="E39" s="11"/>
      <c r="F39" s="320"/>
      <c r="G39" s="321"/>
      <c r="H39" s="167"/>
      <c r="I39" s="35"/>
      <c r="J39" s="234"/>
      <c r="K39" s="234"/>
      <c r="L39" s="426"/>
      <c r="M39" s="35"/>
    </row>
    <row r="40" spans="1:15" ht="15.75" x14ac:dyDescent="0.25">
      <c r="A40" s="46"/>
      <c r="B40" s="252"/>
      <c r="C40" s="252"/>
      <c r="D40" s="964"/>
      <c r="E40" s="964"/>
      <c r="F40" s="964"/>
      <c r="G40" s="964"/>
      <c r="H40" s="964"/>
      <c r="I40" s="964"/>
      <c r="J40" s="964"/>
      <c r="K40" s="964"/>
      <c r="L40" s="964"/>
      <c r="M40" s="300"/>
    </row>
    <row r="41" spans="1:15" x14ac:dyDescent="0.2">
      <c r="A41" s="153"/>
    </row>
    <row r="42" spans="1:15" ht="15.75" x14ac:dyDescent="0.25">
      <c r="A42" s="145" t="s">
        <v>294</v>
      </c>
      <c r="B42" s="965"/>
      <c r="C42" s="965"/>
      <c r="D42" s="965"/>
      <c r="E42" s="297"/>
      <c r="F42" s="966"/>
      <c r="G42" s="966"/>
      <c r="H42" s="966"/>
      <c r="I42" s="300"/>
      <c r="J42" s="966"/>
      <c r="K42" s="966"/>
      <c r="L42" s="966"/>
      <c r="M42" s="300"/>
    </row>
    <row r="43" spans="1:15" ht="15.75" x14ac:dyDescent="0.25">
      <c r="A43" s="161"/>
      <c r="B43" s="301"/>
      <c r="C43" s="301"/>
      <c r="D43" s="301"/>
      <c r="E43" s="301"/>
      <c r="F43" s="300"/>
      <c r="G43" s="300"/>
      <c r="H43" s="300"/>
      <c r="I43" s="300"/>
      <c r="J43" s="300"/>
      <c r="K43" s="300"/>
      <c r="L43" s="300"/>
      <c r="M43" s="300"/>
    </row>
    <row r="44" spans="1:15" ht="15.75" x14ac:dyDescent="0.25">
      <c r="A44" s="246"/>
      <c r="B44" s="960" t="s">
        <v>0</v>
      </c>
      <c r="C44" s="961"/>
      <c r="D44" s="961"/>
      <c r="E44" s="241"/>
      <c r="F44" s="300"/>
      <c r="G44" s="300"/>
      <c r="H44" s="300"/>
      <c r="I44" s="300"/>
      <c r="J44" s="300"/>
      <c r="K44" s="300"/>
      <c r="L44" s="300"/>
      <c r="M44" s="300"/>
    </row>
    <row r="45" spans="1:15" s="3" customFormat="1" x14ac:dyDescent="0.2">
      <c r="A45" s="139"/>
      <c r="B45" s="171" t="s">
        <v>504</v>
      </c>
      <c r="C45" s="171" t="s">
        <v>505</v>
      </c>
      <c r="D45" s="160" t="s">
        <v>3</v>
      </c>
      <c r="E45" s="160" t="s">
        <v>32</v>
      </c>
      <c r="F45" s="173"/>
      <c r="G45" s="173"/>
      <c r="H45" s="172"/>
      <c r="I45" s="172"/>
      <c r="J45" s="173"/>
      <c r="K45" s="173"/>
      <c r="L45" s="172"/>
      <c r="M45" s="172"/>
      <c r="N45" s="146"/>
      <c r="O45" s="146"/>
    </row>
    <row r="46" spans="1:15" s="3" customFormat="1" x14ac:dyDescent="0.2">
      <c r="A46" s="934"/>
      <c r="B46" s="242"/>
      <c r="C46" s="242"/>
      <c r="D46" s="243" t="s">
        <v>4</v>
      </c>
      <c r="E46" s="154" t="s">
        <v>33</v>
      </c>
      <c r="F46" s="172"/>
      <c r="G46" s="172"/>
      <c r="H46" s="172"/>
      <c r="I46" s="172"/>
      <c r="J46" s="172"/>
      <c r="K46" s="172"/>
      <c r="L46" s="172"/>
      <c r="M46" s="172"/>
      <c r="N46" s="146"/>
      <c r="O46" s="146"/>
    </row>
    <row r="47" spans="1:15" s="3" customFormat="1" ht="15.75" x14ac:dyDescent="0.2">
      <c r="A47" s="14" t="s">
        <v>26</v>
      </c>
      <c r="B47" s="308"/>
      <c r="C47" s="309"/>
      <c r="D47" s="424"/>
      <c r="E47" s="11"/>
      <c r="F47" s="143"/>
      <c r="G47" s="32"/>
      <c r="H47" s="157"/>
      <c r="I47" s="157"/>
      <c r="J47" s="36"/>
      <c r="K47" s="36"/>
      <c r="L47" s="157"/>
      <c r="M47" s="157"/>
      <c r="N47" s="146"/>
      <c r="O47" s="146"/>
    </row>
    <row r="48" spans="1:15" s="3" customFormat="1" ht="15.75" x14ac:dyDescent="0.2">
      <c r="A48" s="37" t="s">
        <v>312</v>
      </c>
      <c r="B48" s="279"/>
      <c r="C48" s="280"/>
      <c r="D48" s="253"/>
      <c r="E48" s="26"/>
      <c r="F48" s="143"/>
      <c r="G48" s="32"/>
      <c r="H48" s="143"/>
      <c r="I48" s="143"/>
      <c r="J48" s="32"/>
      <c r="K48" s="32"/>
      <c r="L48" s="157"/>
      <c r="M48" s="157"/>
      <c r="N48" s="146"/>
      <c r="O48" s="146"/>
    </row>
    <row r="49" spans="1:15" s="3" customFormat="1" ht="15.75" x14ac:dyDescent="0.2">
      <c r="A49" s="37" t="s">
        <v>313</v>
      </c>
      <c r="B49" s="43"/>
      <c r="C49" s="285"/>
      <c r="D49" s="253"/>
      <c r="E49" s="26"/>
      <c r="F49" s="143"/>
      <c r="G49" s="32"/>
      <c r="H49" s="143"/>
      <c r="I49" s="143"/>
      <c r="J49" s="36"/>
      <c r="K49" s="36"/>
      <c r="L49" s="157"/>
      <c r="M49" s="157"/>
      <c r="N49" s="146"/>
      <c r="O49" s="146"/>
    </row>
    <row r="50" spans="1:15" s="3" customFormat="1" x14ac:dyDescent="0.2">
      <c r="A50" s="294" t="s">
        <v>6</v>
      </c>
      <c r="B50" s="288"/>
      <c r="C50" s="289"/>
      <c r="D50" s="253"/>
      <c r="E50" s="22"/>
      <c r="F50" s="143"/>
      <c r="G50" s="32"/>
      <c r="H50" s="143"/>
      <c r="I50" s="143"/>
      <c r="J50" s="32"/>
      <c r="K50" s="32"/>
      <c r="L50" s="157"/>
      <c r="M50" s="157"/>
      <c r="N50" s="146"/>
      <c r="O50" s="146"/>
    </row>
    <row r="51" spans="1:15" s="3" customFormat="1" x14ac:dyDescent="0.2">
      <c r="A51" s="294" t="s">
        <v>7</v>
      </c>
      <c r="B51" s="288"/>
      <c r="C51" s="289"/>
      <c r="D51" s="253"/>
      <c r="E51" s="22"/>
      <c r="F51" s="143"/>
      <c r="G51" s="32"/>
      <c r="H51" s="143"/>
      <c r="I51" s="143"/>
      <c r="J51" s="32"/>
      <c r="K51" s="32"/>
      <c r="L51" s="157"/>
      <c r="M51" s="157"/>
      <c r="N51" s="146"/>
      <c r="O51" s="146"/>
    </row>
    <row r="52" spans="1:15" s="3" customFormat="1" x14ac:dyDescent="0.2">
      <c r="A52" s="294" t="s">
        <v>8</v>
      </c>
      <c r="B52" s="288"/>
      <c r="C52" s="289"/>
      <c r="D52" s="253"/>
      <c r="E52" s="22"/>
      <c r="F52" s="143"/>
      <c r="G52" s="32"/>
      <c r="H52" s="143"/>
      <c r="I52" s="143"/>
      <c r="J52" s="32"/>
      <c r="K52" s="32"/>
      <c r="L52" s="157"/>
      <c r="M52" s="157"/>
      <c r="N52" s="146"/>
      <c r="O52" s="146"/>
    </row>
    <row r="53" spans="1:15" s="3" customFormat="1" ht="15.75" x14ac:dyDescent="0.2">
      <c r="A53" s="38" t="s">
        <v>314</v>
      </c>
      <c r="B53" s="308"/>
      <c r="C53" s="309"/>
      <c r="D53" s="425"/>
      <c r="E53" s="11"/>
      <c r="F53" s="143"/>
      <c r="G53" s="32"/>
      <c r="H53" s="143"/>
      <c r="I53" s="143"/>
      <c r="J53" s="32"/>
      <c r="K53" s="32"/>
      <c r="L53" s="157"/>
      <c r="M53" s="157"/>
      <c r="N53" s="146"/>
      <c r="O53" s="146"/>
    </row>
    <row r="54" spans="1:15" s="3" customFormat="1" ht="15.75" x14ac:dyDescent="0.2">
      <c r="A54" s="37" t="s">
        <v>312</v>
      </c>
      <c r="B54" s="279"/>
      <c r="C54" s="280"/>
      <c r="D54" s="253"/>
      <c r="E54" s="26"/>
      <c r="F54" s="143"/>
      <c r="G54" s="32"/>
      <c r="H54" s="143"/>
      <c r="I54" s="143"/>
      <c r="J54" s="32"/>
      <c r="K54" s="32"/>
      <c r="L54" s="157"/>
      <c r="M54" s="157"/>
      <c r="N54" s="146"/>
      <c r="O54" s="146"/>
    </row>
    <row r="55" spans="1:15" s="3" customFormat="1" ht="15.75" x14ac:dyDescent="0.2">
      <c r="A55" s="37" t="s">
        <v>313</v>
      </c>
      <c r="B55" s="279"/>
      <c r="C55" s="280"/>
      <c r="D55" s="253"/>
      <c r="E55" s="26"/>
      <c r="F55" s="143"/>
      <c r="G55" s="32"/>
      <c r="H55" s="143"/>
      <c r="I55" s="143"/>
      <c r="J55" s="32"/>
      <c r="K55" s="32"/>
      <c r="L55" s="157"/>
      <c r="M55" s="157"/>
      <c r="N55" s="146"/>
      <c r="O55" s="146"/>
    </row>
    <row r="56" spans="1:15" s="3" customFormat="1" ht="15.75" x14ac:dyDescent="0.2">
      <c r="A56" s="38" t="s">
        <v>315</v>
      </c>
      <c r="B56" s="308"/>
      <c r="C56" s="309"/>
      <c r="D56" s="425"/>
      <c r="E56" s="11"/>
      <c r="F56" s="143"/>
      <c r="G56" s="32"/>
      <c r="H56" s="143"/>
      <c r="I56" s="143"/>
      <c r="J56" s="32"/>
      <c r="K56" s="32"/>
      <c r="L56" s="157"/>
      <c r="M56" s="157"/>
      <c r="N56" s="146"/>
      <c r="O56" s="146"/>
    </row>
    <row r="57" spans="1:15" s="3" customFormat="1" ht="15.75" x14ac:dyDescent="0.2">
      <c r="A57" s="37" t="s">
        <v>312</v>
      </c>
      <c r="B57" s="279"/>
      <c r="C57" s="280"/>
      <c r="D57" s="253"/>
      <c r="E57" s="26"/>
      <c r="F57" s="143"/>
      <c r="G57" s="32"/>
      <c r="H57" s="143"/>
      <c r="I57" s="143"/>
      <c r="J57" s="32"/>
      <c r="K57" s="32"/>
      <c r="L57" s="157"/>
      <c r="M57" s="157"/>
      <c r="N57" s="146"/>
      <c r="O57" s="146"/>
    </row>
    <row r="58" spans="1:15" s="3" customFormat="1" ht="15.75" x14ac:dyDescent="0.2">
      <c r="A58" s="45" t="s">
        <v>313</v>
      </c>
      <c r="B58" s="281"/>
      <c r="C58" s="282"/>
      <c r="D58" s="254"/>
      <c r="E58" s="21"/>
      <c r="F58" s="143"/>
      <c r="G58" s="32"/>
      <c r="H58" s="143"/>
      <c r="I58" s="143"/>
      <c r="J58" s="32"/>
      <c r="K58" s="32"/>
      <c r="L58" s="157"/>
      <c r="M58" s="157"/>
      <c r="N58" s="146"/>
      <c r="O58" s="146"/>
    </row>
    <row r="59" spans="1:15" s="3" customFormat="1" ht="15.75" x14ac:dyDescent="0.25">
      <c r="A59" s="162"/>
      <c r="B59" s="152"/>
      <c r="C59" s="152"/>
      <c r="D59" s="152"/>
      <c r="E59" s="152"/>
      <c r="F59" s="140"/>
      <c r="G59" s="140"/>
      <c r="H59" s="140"/>
      <c r="I59" s="140"/>
      <c r="J59" s="140"/>
      <c r="K59" s="140"/>
      <c r="L59" s="140"/>
      <c r="M59" s="140"/>
      <c r="N59" s="146"/>
      <c r="O59" s="146"/>
    </row>
    <row r="60" spans="1:15" x14ac:dyDescent="0.2">
      <c r="A60" s="153"/>
    </row>
    <row r="61" spans="1:15" ht="15.75" x14ac:dyDescent="0.25">
      <c r="A61" s="145" t="s">
        <v>295</v>
      </c>
      <c r="C61" s="25"/>
      <c r="D61" s="25"/>
      <c r="E61" s="25"/>
      <c r="F61" s="25"/>
      <c r="G61" s="25"/>
      <c r="H61" s="25"/>
      <c r="I61" s="25"/>
      <c r="J61" s="25"/>
      <c r="K61" s="25"/>
      <c r="L61" s="25"/>
      <c r="M61" s="25"/>
    </row>
    <row r="62" spans="1:15" ht="15.75" x14ac:dyDescent="0.25">
      <c r="B62" s="963"/>
      <c r="C62" s="963"/>
      <c r="D62" s="963"/>
      <c r="E62" s="297"/>
      <c r="F62" s="963"/>
      <c r="G62" s="963"/>
      <c r="H62" s="963"/>
      <c r="I62" s="297"/>
      <c r="J62" s="963"/>
      <c r="K62" s="963"/>
      <c r="L62" s="963"/>
      <c r="M62" s="297"/>
    </row>
    <row r="63" spans="1:15" x14ac:dyDescent="0.2">
      <c r="A63" s="142"/>
      <c r="B63" s="960" t="s">
        <v>0</v>
      </c>
      <c r="C63" s="961"/>
      <c r="D63" s="962"/>
      <c r="E63" s="298"/>
      <c r="F63" s="961" t="s">
        <v>1</v>
      </c>
      <c r="G63" s="961"/>
      <c r="H63" s="961"/>
      <c r="I63" s="302"/>
      <c r="J63" s="960" t="s">
        <v>2</v>
      </c>
      <c r="K63" s="961"/>
      <c r="L63" s="961"/>
      <c r="M63" s="302"/>
    </row>
    <row r="64" spans="1:15" x14ac:dyDescent="0.2">
      <c r="A64" s="139"/>
      <c r="B64" s="150" t="s">
        <v>504</v>
      </c>
      <c r="C64" s="150" t="s">
        <v>505</v>
      </c>
      <c r="D64" s="243" t="s">
        <v>3</v>
      </c>
      <c r="E64" s="303" t="s">
        <v>32</v>
      </c>
      <c r="F64" s="150" t="s">
        <v>504</v>
      </c>
      <c r="G64" s="150" t="s">
        <v>505</v>
      </c>
      <c r="H64" s="243" t="s">
        <v>3</v>
      </c>
      <c r="I64" s="303" t="s">
        <v>32</v>
      </c>
      <c r="J64" s="150" t="s">
        <v>504</v>
      </c>
      <c r="K64" s="150" t="s">
        <v>505</v>
      </c>
      <c r="L64" s="243" t="s">
        <v>3</v>
      </c>
      <c r="M64" s="160" t="s">
        <v>32</v>
      </c>
    </row>
    <row r="65" spans="1:15" x14ac:dyDescent="0.2">
      <c r="A65" s="934"/>
      <c r="B65" s="154"/>
      <c r="C65" s="154"/>
      <c r="D65" s="245" t="s">
        <v>4</v>
      </c>
      <c r="E65" s="154" t="s">
        <v>33</v>
      </c>
      <c r="F65" s="159"/>
      <c r="G65" s="159"/>
      <c r="H65" s="243" t="s">
        <v>4</v>
      </c>
      <c r="I65" s="154" t="s">
        <v>33</v>
      </c>
      <c r="J65" s="159"/>
      <c r="K65" s="204"/>
      <c r="L65" s="154" t="s">
        <v>4</v>
      </c>
      <c r="M65" s="154" t="s">
        <v>33</v>
      </c>
    </row>
    <row r="66" spans="1:15" ht="15.75" x14ac:dyDescent="0.2">
      <c r="A66" s="14" t="s">
        <v>26</v>
      </c>
      <c r="B66" s="350"/>
      <c r="C66" s="350"/>
      <c r="D66" s="348"/>
      <c r="E66" s="11"/>
      <c r="F66" s="350"/>
      <c r="G66" s="350"/>
      <c r="H66" s="348"/>
      <c r="I66" s="11"/>
      <c r="J66" s="307"/>
      <c r="K66" s="314"/>
      <c r="L66" s="425"/>
      <c r="M66" s="11"/>
    </row>
    <row r="67" spans="1:15" x14ac:dyDescent="0.2">
      <c r="A67" s="416" t="s">
        <v>9</v>
      </c>
      <c r="B67" s="43"/>
      <c r="C67" s="143"/>
      <c r="D67" s="164"/>
      <c r="E67" s="26"/>
      <c r="F67" s="232"/>
      <c r="G67" s="143"/>
      <c r="H67" s="164"/>
      <c r="I67" s="26"/>
      <c r="J67" s="285"/>
      <c r="K67" s="43"/>
      <c r="L67" s="253"/>
      <c r="M67" s="26"/>
    </row>
    <row r="68" spans="1:15" x14ac:dyDescent="0.2">
      <c r="A68" s="20" t="s">
        <v>10</v>
      </c>
      <c r="B68" s="290"/>
      <c r="C68" s="291"/>
      <c r="D68" s="164"/>
      <c r="E68" s="26"/>
      <c r="F68" s="290"/>
      <c r="G68" s="291"/>
      <c r="H68" s="164"/>
      <c r="I68" s="26"/>
      <c r="J68" s="285"/>
      <c r="K68" s="43"/>
      <c r="L68" s="253"/>
      <c r="M68" s="26"/>
    </row>
    <row r="69" spans="1:15" ht="15.75" x14ac:dyDescent="0.2">
      <c r="A69" s="294" t="s">
        <v>316</v>
      </c>
      <c r="B69" s="279"/>
      <c r="C69" s="279"/>
      <c r="D69" s="164"/>
      <c r="E69" s="414"/>
      <c r="F69" s="279"/>
      <c r="G69" s="279"/>
      <c r="H69" s="164"/>
      <c r="I69" s="414"/>
      <c r="J69" s="288"/>
      <c r="K69" s="288"/>
      <c r="L69" s="164"/>
      <c r="M69" s="22"/>
    </row>
    <row r="70" spans="1:15" x14ac:dyDescent="0.2">
      <c r="A70" s="294" t="s">
        <v>12</v>
      </c>
      <c r="B70" s="292"/>
      <c r="C70" s="293"/>
      <c r="D70" s="164"/>
      <c r="E70" s="414"/>
      <c r="F70" s="279"/>
      <c r="G70" s="279"/>
      <c r="H70" s="164"/>
      <c r="I70" s="414"/>
      <c r="J70" s="288"/>
      <c r="K70" s="288"/>
      <c r="L70" s="164"/>
      <c r="M70" s="22"/>
    </row>
    <row r="71" spans="1:15" x14ac:dyDescent="0.2">
      <c r="A71" s="294" t="s">
        <v>13</v>
      </c>
      <c r="B71" s="233"/>
      <c r="C71" s="287"/>
      <c r="D71" s="164"/>
      <c r="E71" s="414"/>
      <c r="F71" s="279"/>
      <c r="G71" s="279"/>
      <c r="H71" s="164"/>
      <c r="I71" s="414"/>
      <c r="J71" s="288"/>
      <c r="K71" s="288"/>
      <c r="L71" s="164"/>
      <c r="M71" s="22"/>
    </row>
    <row r="72" spans="1:15" ht="15.75" x14ac:dyDescent="0.2">
      <c r="A72" s="294" t="s">
        <v>317</v>
      </c>
      <c r="B72" s="279"/>
      <c r="C72" s="279"/>
      <c r="D72" s="164"/>
      <c r="E72" s="414"/>
      <c r="F72" s="279"/>
      <c r="G72" s="279"/>
      <c r="H72" s="164"/>
      <c r="I72" s="414"/>
      <c r="J72" s="288"/>
      <c r="K72" s="288"/>
      <c r="L72" s="164"/>
      <c r="M72" s="22"/>
    </row>
    <row r="73" spans="1:15" x14ac:dyDescent="0.2">
      <c r="A73" s="294" t="s">
        <v>12</v>
      </c>
      <c r="B73" s="233"/>
      <c r="C73" s="287"/>
      <c r="D73" s="164"/>
      <c r="E73" s="414"/>
      <c r="F73" s="279"/>
      <c r="G73" s="279"/>
      <c r="H73" s="164"/>
      <c r="I73" s="414"/>
      <c r="J73" s="288"/>
      <c r="K73" s="288"/>
      <c r="L73" s="164"/>
      <c r="M73" s="22"/>
    </row>
    <row r="74" spans="1:15" s="3" customFormat="1" x14ac:dyDescent="0.2">
      <c r="A74" s="294" t="s">
        <v>13</v>
      </c>
      <c r="B74" s="233"/>
      <c r="C74" s="287"/>
      <c r="D74" s="164"/>
      <c r="E74" s="414"/>
      <c r="F74" s="279"/>
      <c r="G74" s="279"/>
      <c r="H74" s="164"/>
      <c r="I74" s="414"/>
      <c r="J74" s="288"/>
      <c r="K74" s="288"/>
      <c r="L74" s="164"/>
      <c r="M74" s="22"/>
      <c r="N74" s="146"/>
      <c r="O74" s="146"/>
    </row>
    <row r="75" spans="1:15" s="3" customFormat="1" x14ac:dyDescent="0.2">
      <c r="A75" s="20" t="s">
        <v>395</v>
      </c>
      <c r="B75" s="232"/>
      <c r="C75" s="143"/>
      <c r="D75" s="164"/>
      <c r="E75" s="26"/>
      <c r="F75" s="232"/>
      <c r="G75" s="143"/>
      <c r="H75" s="164"/>
      <c r="I75" s="26"/>
      <c r="J75" s="285"/>
      <c r="K75" s="43"/>
      <c r="L75" s="253"/>
      <c r="M75" s="26"/>
      <c r="N75" s="146"/>
      <c r="O75" s="146"/>
    </row>
    <row r="76" spans="1:15" s="3" customFormat="1" x14ac:dyDescent="0.2">
      <c r="A76" s="20" t="s">
        <v>394</v>
      </c>
      <c r="B76" s="232"/>
      <c r="C76" s="143"/>
      <c r="D76" s="164"/>
      <c r="E76" s="26"/>
      <c r="F76" s="232"/>
      <c r="G76" s="143"/>
      <c r="H76" s="164"/>
      <c r="I76" s="26"/>
      <c r="J76" s="285"/>
      <c r="K76" s="43"/>
      <c r="L76" s="253"/>
      <c r="M76" s="26"/>
      <c r="N76" s="146"/>
      <c r="O76" s="146"/>
    </row>
    <row r="77" spans="1:15" ht="15.75" x14ac:dyDescent="0.2">
      <c r="A77" s="20" t="s">
        <v>318</v>
      </c>
      <c r="B77" s="232"/>
      <c r="C77" s="232"/>
      <c r="D77" s="164"/>
      <c r="E77" s="26"/>
      <c r="F77" s="232"/>
      <c r="G77" s="143"/>
      <c r="H77" s="164"/>
      <c r="I77" s="26"/>
      <c r="J77" s="285"/>
      <c r="K77" s="43"/>
      <c r="L77" s="253"/>
      <c r="M77" s="26"/>
    </row>
    <row r="78" spans="1:15" x14ac:dyDescent="0.2">
      <c r="A78" s="20" t="s">
        <v>9</v>
      </c>
      <c r="B78" s="232"/>
      <c r="C78" s="143"/>
      <c r="D78" s="164"/>
      <c r="E78" s="26"/>
      <c r="F78" s="232"/>
      <c r="G78" s="143"/>
      <c r="H78" s="164"/>
      <c r="I78" s="26"/>
      <c r="J78" s="285"/>
      <c r="K78" s="43"/>
      <c r="L78" s="253"/>
      <c r="M78" s="26"/>
    </row>
    <row r="79" spans="1:15" x14ac:dyDescent="0.2">
      <c r="A79" s="20" t="s">
        <v>10</v>
      </c>
      <c r="B79" s="290"/>
      <c r="C79" s="291"/>
      <c r="D79" s="164"/>
      <c r="E79" s="26"/>
      <c r="F79" s="290"/>
      <c r="G79" s="291"/>
      <c r="H79" s="164"/>
      <c r="I79" s="26"/>
      <c r="J79" s="285"/>
      <c r="K79" s="43"/>
      <c r="L79" s="253"/>
      <c r="M79" s="26"/>
    </row>
    <row r="80" spans="1:15" ht="15.75" x14ac:dyDescent="0.2">
      <c r="A80" s="294" t="s">
        <v>316</v>
      </c>
      <c r="B80" s="279"/>
      <c r="C80" s="279"/>
      <c r="D80" s="164"/>
      <c r="E80" s="414"/>
      <c r="F80" s="279"/>
      <c r="G80" s="279"/>
      <c r="H80" s="164"/>
      <c r="I80" s="414"/>
      <c r="J80" s="288"/>
      <c r="K80" s="288"/>
      <c r="L80" s="164"/>
      <c r="M80" s="22"/>
    </row>
    <row r="81" spans="1:13" x14ac:dyDescent="0.2">
      <c r="A81" s="294" t="s">
        <v>12</v>
      </c>
      <c r="B81" s="233"/>
      <c r="C81" s="287"/>
      <c r="D81" s="164"/>
      <c r="E81" s="414"/>
      <c r="F81" s="279"/>
      <c r="G81" s="279"/>
      <c r="H81" s="164"/>
      <c r="I81" s="414"/>
      <c r="J81" s="288"/>
      <c r="K81" s="288"/>
      <c r="L81" s="164"/>
      <c r="M81" s="22"/>
    </row>
    <row r="82" spans="1:13" x14ac:dyDescent="0.2">
      <c r="A82" s="294" t="s">
        <v>13</v>
      </c>
      <c r="B82" s="233"/>
      <c r="C82" s="287"/>
      <c r="D82" s="164"/>
      <c r="E82" s="414"/>
      <c r="F82" s="279"/>
      <c r="G82" s="279"/>
      <c r="H82" s="164"/>
      <c r="I82" s="414"/>
      <c r="J82" s="288"/>
      <c r="K82" s="288"/>
      <c r="L82" s="164"/>
      <c r="M82" s="22"/>
    </row>
    <row r="83" spans="1:13" ht="15.75" x14ac:dyDescent="0.2">
      <c r="A83" s="294" t="s">
        <v>317</v>
      </c>
      <c r="B83" s="279"/>
      <c r="C83" s="279"/>
      <c r="D83" s="164"/>
      <c r="E83" s="414"/>
      <c r="F83" s="279"/>
      <c r="G83" s="279"/>
      <c r="H83" s="164"/>
      <c r="I83" s="414"/>
      <c r="J83" s="288"/>
      <c r="K83" s="288"/>
      <c r="L83" s="164"/>
      <c r="M83" s="22"/>
    </row>
    <row r="84" spans="1:13" x14ac:dyDescent="0.2">
      <c r="A84" s="294" t="s">
        <v>12</v>
      </c>
      <c r="B84" s="233"/>
      <c r="C84" s="287"/>
      <c r="D84" s="164"/>
      <c r="E84" s="414"/>
      <c r="F84" s="279"/>
      <c r="G84" s="279"/>
      <c r="H84" s="164"/>
      <c r="I84" s="414"/>
      <c r="J84" s="288"/>
      <c r="K84" s="288"/>
      <c r="L84" s="164"/>
      <c r="M84" s="22"/>
    </row>
    <row r="85" spans="1:13" x14ac:dyDescent="0.2">
      <c r="A85" s="294" t="s">
        <v>13</v>
      </c>
      <c r="B85" s="233"/>
      <c r="C85" s="287"/>
      <c r="D85" s="164"/>
      <c r="E85" s="414"/>
      <c r="F85" s="279"/>
      <c r="G85" s="279"/>
      <c r="H85" s="164"/>
      <c r="I85" s="414"/>
      <c r="J85" s="288"/>
      <c r="K85" s="288"/>
      <c r="L85" s="164"/>
      <c r="M85" s="22"/>
    </row>
    <row r="86" spans="1:13" ht="15.75" x14ac:dyDescent="0.2">
      <c r="A86" s="20" t="s">
        <v>327</v>
      </c>
      <c r="B86" s="232"/>
      <c r="C86" s="143"/>
      <c r="D86" s="164"/>
      <c r="E86" s="26"/>
      <c r="F86" s="232"/>
      <c r="G86" s="143"/>
      <c r="H86" s="164"/>
      <c r="I86" s="26"/>
      <c r="J86" s="285"/>
      <c r="K86" s="43"/>
      <c r="L86" s="253"/>
      <c r="M86" s="26"/>
    </row>
    <row r="87" spans="1:13" ht="15.75" x14ac:dyDescent="0.2">
      <c r="A87" s="13" t="s">
        <v>25</v>
      </c>
      <c r="B87" s="350"/>
      <c r="C87" s="350"/>
      <c r="D87" s="169"/>
      <c r="E87" s="11"/>
      <c r="F87" s="350"/>
      <c r="G87" s="350"/>
      <c r="H87" s="169"/>
      <c r="I87" s="11"/>
      <c r="J87" s="307"/>
      <c r="K87" s="234"/>
      <c r="L87" s="425"/>
      <c r="M87" s="11"/>
    </row>
    <row r="88" spans="1:13" x14ac:dyDescent="0.2">
      <c r="A88" s="20" t="s">
        <v>9</v>
      </c>
      <c r="B88" s="232"/>
      <c r="C88" s="143"/>
      <c r="D88" s="164"/>
      <c r="E88" s="26"/>
      <c r="F88" s="232"/>
      <c r="G88" s="143"/>
      <c r="H88" s="164"/>
      <c r="I88" s="26"/>
      <c r="J88" s="285"/>
      <c r="K88" s="43"/>
      <c r="L88" s="253"/>
      <c r="M88" s="26"/>
    </row>
    <row r="89" spans="1:13" x14ac:dyDescent="0.2">
      <c r="A89" s="20" t="s">
        <v>10</v>
      </c>
      <c r="B89" s="232"/>
      <c r="C89" s="143"/>
      <c r="D89" s="164"/>
      <c r="E89" s="26"/>
      <c r="F89" s="232"/>
      <c r="G89" s="143"/>
      <c r="H89" s="164"/>
      <c r="I89" s="26"/>
      <c r="J89" s="285"/>
      <c r="K89" s="43"/>
      <c r="L89" s="253"/>
      <c r="M89" s="26"/>
    </row>
    <row r="90" spans="1:13" ht="15.75" x14ac:dyDescent="0.2">
      <c r="A90" s="294" t="s">
        <v>316</v>
      </c>
      <c r="B90" s="279"/>
      <c r="C90" s="279"/>
      <c r="D90" s="164"/>
      <c r="E90" s="414"/>
      <c r="F90" s="279"/>
      <c r="G90" s="279"/>
      <c r="H90" s="164"/>
      <c r="I90" s="414"/>
      <c r="J90" s="288"/>
      <c r="K90" s="288"/>
      <c r="L90" s="164"/>
      <c r="M90" s="22"/>
    </row>
    <row r="91" spans="1:13" x14ac:dyDescent="0.2">
      <c r="A91" s="294" t="s">
        <v>12</v>
      </c>
      <c r="B91" s="233"/>
      <c r="C91" s="287"/>
      <c r="D91" s="164"/>
      <c r="E91" s="414"/>
      <c r="F91" s="279"/>
      <c r="G91" s="279"/>
      <c r="H91" s="164"/>
      <c r="I91" s="414"/>
      <c r="J91" s="288"/>
      <c r="K91" s="288"/>
      <c r="L91" s="164"/>
      <c r="M91" s="22"/>
    </row>
    <row r="92" spans="1:13" x14ac:dyDescent="0.2">
      <c r="A92" s="294" t="s">
        <v>13</v>
      </c>
      <c r="B92" s="233"/>
      <c r="C92" s="287"/>
      <c r="D92" s="164"/>
      <c r="E92" s="414"/>
      <c r="F92" s="279"/>
      <c r="G92" s="279"/>
      <c r="H92" s="164"/>
      <c r="I92" s="414"/>
      <c r="J92" s="288"/>
      <c r="K92" s="288"/>
      <c r="L92" s="164"/>
      <c r="M92" s="22"/>
    </row>
    <row r="93" spans="1:13" ht="15.75" x14ac:dyDescent="0.2">
      <c r="A93" s="294" t="s">
        <v>317</v>
      </c>
      <c r="B93" s="279"/>
      <c r="C93" s="279"/>
      <c r="D93" s="164"/>
      <c r="E93" s="414"/>
      <c r="F93" s="279"/>
      <c r="G93" s="279"/>
      <c r="H93" s="164"/>
      <c r="I93" s="414"/>
      <c r="J93" s="288"/>
      <c r="K93" s="288"/>
      <c r="L93" s="164"/>
      <c r="M93" s="22"/>
    </row>
    <row r="94" spans="1:13" x14ac:dyDescent="0.2">
      <c r="A94" s="294" t="s">
        <v>12</v>
      </c>
      <c r="B94" s="233"/>
      <c r="C94" s="287"/>
      <c r="D94" s="164"/>
      <c r="E94" s="414"/>
      <c r="F94" s="279"/>
      <c r="G94" s="279"/>
      <c r="H94" s="164"/>
      <c r="I94" s="414"/>
      <c r="J94" s="288"/>
      <c r="K94" s="288"/>
      <c r="L94" s="164"/>
      <c r="M94" s="22"/>
    </row>
    <row r="95" spans="1:13" x14ac:dyDescent="0.2">
      <c r="A95" s="294" t="s">
        <v>13</v>
      </c>
      <c r="B95" s="233"/>
      <c r="C95" s="287"/>
      <c r="D95" s="164"/>
      <c r="E95" s="414"/>
      <c r="F95" s="279"/>
      <c r="G95" s="279"/>
      <c r="H95" s="164"/>
      <c r="I95" s="414"/>
      <c r="J95" s="288"/>
      <c r="K95" s="288"/>
      <c r="L95" s="164"/>
      <c r="M95" s="22"/>
    </row>
    <row r="96" spans="1:13" x14ac:dyDescent="0.2">
      <c r="A96" s="20" t="s">
        <v>393</v>
      </c>
      <c r="B96" s="232"/>
      <c r="C96" s="143"/>
      <c r="D96" s="164"/>
      <c r="E96" s="26"/>
      <c r="F96" s="232"/>
      <c r="G96" s="143"/>
      <c r="H96" s="164"/>
      <c r="I96" s="26"/>
      <c r="J96" s="285"/>
      <c r="K96" s="43"/>
      <c r="L96" s="253"/>
      <c r="M96" s="26"/>
    </row>
    <row r="97" spans="1:13" x14ac:dyDescent="0.2">
      <c r="A97" s="20" t="s">
        <v>392</v>
      </c>
      <c r="B97" s="232"/>
      <c r="C97" s="143"/>
      <c r="D97" s="164"/>
      <c r="E97" s="26"/>
      <c r="F97" s="232"/>
      <c r="G97" s="143"/>
      <c r="H97" s="164"/>
      <c r="I97" s="26"/>
      <c r="J97" s="285"/>
      <c r="K97" s="43"/>
      <c r="L97" s="253"/>
      <c r="M97" s="26"/>
    </row>
    <row r="98" spans="1:13" ht="15.75" x14ac:dyDescent="0.2">
      <c r="A98" s="20" t="s">
        <v>318</v>
      </c>
      <c r="B98" s="232"/>
      <c r="C98" s="232"/>
      <c r="D98" s="164"/>
      <c r="E98" s="26"/>
      <c r="F98" s="290"/>
      <c r="G98" s="290"/>
      <c r="H98" s="164"/>
      <c r="I98" s="26"/>
      <c r="J98" s="285"/>
      <c r="K98" s="43"/>
      <c r="L98" s="253"/>
      <c r="M98" s="26"/>
    </row>
    <row r="99" spans="1:13" x14ac:dyDescent="0.2">
      <c r="A99" s="20" t="s">
        <v>9</v>
      </c>
      <c r="B99" s="290"/>
      <c r="C99" s="291"/>
      <c r="D99" s="164"/>
      <c r="E99" s="26"/>
      <c r="F99" s="232"/>
      <c r="G99" s="143"/>
      <c r="H99" s="164"/>
      <c r="I99" s="26"/>
      <c r="J99" s="285"/>
      <c r="K99" s="43"/>
      <c r="L99" s="253"/>
      <c r="M99" s="26"/>
    </row>
    <row r="100" spans="1:13" x14ac:dyDescent="0.2">
      <c r="A100" s="20" t="s">
        <v>10</v>
      </c>
      <c r="B100" s="290"/>
      <c r="C100" s="291"/>
      <c r="D100" s="164"/>
      <c r="E100" s="26"/>
      <c r="F100" s="232"/>
      <c r="G100" s="232"/>
      <c r="H100" s="164"/>
      <c r="I100" s="26"/>
      <c r="J100" s="285"/>
      <c r="K100" s="43"/>
      <c r="L100" s="253"/>
      <c r="M100" s="26"/>
    </row>
    <row r="101" spans="1:13" ht="15.75" x14ac:dyDescent="0.2">
      <c r="A101" s="294" t="s">
        <v>316</v>
      </c>
      <c r="B101" s="279"/>
      <c r="C101" s="279"/>
      <c r="D101" s="164"/>
      <c r="E101" s="414"/>
      <c r="F101" s="279"/>
      <c r="G101" s="279"/>
      <c r="H101" s="164"/>
      <c r="I101" s="414"/>
      <c r="J101" s="288"/>
      <c r="K101" s="288"/>
      <c r="L101" s="164"/>
      <c r="M101" s="22"/>
    </row>
    <row r="102" spans="1:13" x14ac:dyDescent="0.2">
      <c r="A102" s="294" t="s">
        <v>12</v>
      </c>
      <c r="B102" s="233"/>
      <c r="C102" s="287"/>
      <c r="D102" s="164"/>
      <c r="E102" s="414"/>
      <c r="F102" s="279"/>
      <c r="G102" s="279"/>
      <c r="H102" s="164"/>
      <c r="I102" s="414"/>
      <c r="J102" s="288"/>
      <c r="K102" s="288"/>
      <c r="L102" s="164"/>
      <c r="M102" s="22"/>
    </row>
    <row r="103" spans="1:13" x14ac:dyDescent="0.2">
      <c r="A103" s="294" t="s">
        <v>13</v>
      </c>
      <c r="B103" s="233"/>
      <c r="C103" s="287"/>
      <c r="D103" s="164"/>
      <c r="E103" s="414"/>
      <c r="F103" s="279"/>
      <c r="G103" s="279"/>
      <c r="H103" s="164"/>
      <c r="I103" s="414"/>
      <c r="J103" s="288"/>
      <c r="K103" s="288"/>
      <c r="L103" s="164"/>
      <c r="M103" s="22"/>
    </row>
    <row r="104" spans="1:13" ht="15.75" x14ac:dyDescent="0.2">
      <c r="A104" s="294" t="s">
        <v>317</v>
      </c>
      <c r="B104" s="279"/>
      <c r="C104" s="279"/>
      <c r="D104" s="164"/>
      <c r="E104" s="414"/>
      <c r="F104" s="279"/>
      <c r="G104" s="279"/>
      <c r="H104" s="164"/>
      <c r="I104" s="414"/>
      <c r="J104" s="288"/>
      <c r="K104" s="288"/>
      <c r="L104" s="164"/>
      <c r="M104" s="22"/>
    </row>
    <row r="105" spans="1:13" x14ac:dyDescent="0.2">
      <c r="A105" s="294" t="s">
        <v>12</v>
      </c>
      <c r="B105" s="233"/>
      <c r="C105" s="287"/>
      <c r="D105" s="164"/>
      <c r="E105" s="414"/>
      <c r="F105" s="279"/>
      <c r="G105" s="279"/>
      <c r="H105" s="164"/>
      <c r="I105" s="414"/>
      <c r="J105" s="288"/>
      <c r="K105" s="288"/>
      <c r="L105" s="164"/>
      <c r="M105" s="22"/>
    </row>
    <row r="106" spans="1:13" x14ac:dyDescent="0.2">
      <c r="A106" s="294" t="s">
        <v>13</v>
      </c>
      <c r="B106" s="233"/>
      <c r="C106" s="287"/>
      <c r="D106" s="164"/>
      <c r="E106" s="414"/>
      <c r="F106" s="279"/>
      <c r="G106" s="279"/>
      <c r="H106" s="164"/>
      <c r="I106" s="414"/>
      <c r="J106" s="288"/>
      <c r="K106" s="288"/>
      <c r="L106" s="164"/>
      <c r="M106" s="22"/>
    </row>
    <row r="107" spans="1:13" ht="15.75" x14ac:dyDescent="0.2">
      <c r="A107" s="20" t="s">
        <v>327</v>
      </c>
      <c r="B107" s="232"/>
      <c r="C107" s="143"/>
      <c r="D107" s="164"/>
      <c r="E107" s="26"/>
      <c r="F107" s="232"/>
      <c r="G107" s="143"/>
      <c r="H107" s="164"/>
      <c r="I107" s="26"/>
      <c r="J107" s="285"/>
      <c r="K107" s="43"/>
      <c r="L107" s="253"/>
      <c r="M107" s="26"/>
    </row>
    <row r="108" spans="1:13" ht="15.75" x14ac:dyDescent="0.2">
      <c r="A108" s="20" t="s">
        <v>328</v>
      </c>
      <c r="B108" s="232"/>
      <c r="C108" s="232"/>
      <c r="D108" s="164"/>
      <c r="E108" s="26"/>
      <c r="F108" s="232"/>
      <c r="G108" s="232"/>
      <c r="H108" s="164"/>
      <c r="I108" s="26"/>
      <c r="J108" s="285"/>
      <c r="K108" s="43"/>
      <c r="L108" s="253"/>
      <c r="M108" s="26"/>
    </row>
    <row r="109" spans="1:13" ht="15.75" x14ac:dyDescent="0.2">
      <c r="A109" s="20" t="s">
        <v>320</v>
      </c>
      <c r="B109" s="232"/>
      <c r="C109" s="232"/>
      <c r="D109" s="164"/>
      <c r="E109" s="26"/>
      <c r="F109" s="232"/>
      <c r="G109" s="232"/>
      <c r="H109" s="164"/>
      <c r="I109" s="26"/>
      <c r="J109" s="285"/>
      <c r="K109" s="43"/>
      <c r="L109" s="253"/>
      <c r="M109" s="26"/>
    </row>
    <row r="110" spans="1:13" ht="15.75" x14ac:dyDescent="0.2">
      <c r="A110" s="20" t="s">
        <v>321</v>
      </c>
      <c r="B110" s="232"/>
      <c r="C110" s="232"/>
      <c r="D110" s="164"/>
      <c r="E110" s="26"/>
      <c r="F110" s="232"/>
      <c r="G110" s="232"/>
      <c r="H110" s="164"/>
      <c r="I110" s="26"/>
      <c r="J110" s="285"/>
      <c r="K110" s="43"/>
      <c r="L110" s="253"/>
      <c r="M110" s="26"/>
    </row>
    <row r="111" spans="1:13" ht="15.75" x14ac:dyDescent="0.2">
      <c r="A111" s="13" t="s">
        <v>24</v>
      </c>
      <c r="B111" s="306"/>
      <c r="C111" s="157"/>
      <c r="D111" s="169"/>
      <c r="E111" s="11"/>
      <c r="F111" s="306"/>
      <c r="G111" s="157"/>
      <c r="H111" s="169"/>
      <c r="I111" s="11"/>
      <c r="J111" s="307"/>
      <c r="K111" s="234"/>
      <c r="L111" s="425"/>
      <c r="M111" s="11"/>
    </row>
    <row r="112" spans="1:13" x14ac:dyDescent="0.2">
      <c r="A112" s="20" t="s">
        <v>9</v>
      </c>
      <c r="B112" s="232"/>
      <c r="C112" s="143"/>
      <c r="D112" s="164"/>
      <c r="E112" s="26"/>
      <c r="F112" s="232"/>
      <c r="G112" s="143"/>
      <c r="H112" s="164"/>
      <c r="I112" s="26"/>
      <c r="J112" s="285"/>
      <c r="K112" s="43"/>
      <c r="L112" s="253"/>
      <c r="M112" s="26"/>
    </row>
    <row r="113" spans="1:14" x14ac:dyDescent="0.2">
      <c r="A113" s="20" t="s">
        <v>10</v>
      </c>
      <c r="B113" s="232"/>
      <c r="C113" s="143"/>
      <c r="D113" s="164"/>
      <c r="E113" s="26"/>
      <c r="F113" s="232"/>
      <c r="G113" s="143"/>
      <c r="H113" s="164"/>
      <c r="I113" s="26"/>
      <c r="J113" s="285"/>
      <c r="K113" s="43"/>
      <c r="L113" s="253"/>
      <c r="M113" s="26"/>
    </row>
    <row r="114" spans="1:14" x14ac:dyDescent="0.2">
      <c r="A114" s="20" t="s">
        <v>29</v>
      </c>
      <c r="B114" s="232"/>
      <c r="C114" s="143"/>
      <c r="D114" s="164"/>
      <c r="E114" s="26"/>
      <c r="F114" s="232"/>
      <c r="G114" s="143"/>
      <c r="H114" s="164"/>
      <c r="I114" s="26"/>
      <c r="J114" s="285"/>
      <c r="K114" s="43"/>
      <c r="L114" s="253"/>
      <c r="M114" s="26"/>
    </row>
    <row r="115" spans="1:14" x14ac:dyDescent="0.2">
      <c r="A115" s="294" t="s">
        <v>15</v>
      </c>
      <c r="B115" s="279"/>
      <c r="C115" s="279"/>
      <c r="D115" s="164"/>
      <c r="E115" s="414"/>
      <c r="F115" s="279"/>
      <c r="G115" s="279"/>
      <c r="H115" s="164"/>
      <c r="I115" s="414"/>
      <c r="J115" s="288"/>
      <c r="K115" s="288"/>
      <c r="L115" s="164"/>
      <c r="M115" s="22"/>
    </row>
    <row r="116" spans="1:14" ht="15.75" x14ac:dyDescent="0.2">
      <c r="A116" s="20" t="s">
        <v>329</v>
      </c>
      <c r="B116" s="232"/>
      <c r="C116" s="232"/>
      <c r="D116" s="164"/>
      <c r="E116" s="26"/>
      <c r="F116" s="232"/>
      <c r="G116" s="232"/>
      <c r="H116" s="164"/>
      <c r="I116" s="26"/>
      <c r="J116" s="285"/>
      <c r="K116" s="43"/>
      <c r="L116" s="253"/>
      <c r="M116" s="26"/>
    </row>
    <row r="117" spans="1:14" ht="15.75" x14ac:dyDescent="0.2">
      <c r="A117" s="20" t="s">
        <v>322</v>
      </c>
      <c r="B117" s="232"/>
      <c r="C117" s="232"/>
      <c r="D117" s="164"/>
      <c r="E117" s="26"/>
      <c r="F117" s="232"/>
      <c r="G117" s="232"/>
      <c r="H117" s="164"/>
      <c r="I117" s="26"/>
      <c r="J117" s="285"/>
      <c r="K117" s="43"/>
      <c r="L117" s="253"/>
      <c r="M117" s="26"/>
    </row>
    <row r="118" spans="1:14" ht="15.75" x14ac:dyDescent="0.2">
      <c r="A118" s="20" t="s">
        <v>321</v>
      </c>
      <c r="B118" s="232"/>
      <c r="C118" s="232"/>
      <c r="D118" s="164"/>
      <c r="E118" s="26"/>
      <c r="F118" s="232"/>
      <c r="G118" s="232"/>
      <c r="H118" s="164"/>
      <c r="I118" s="26"/>
      <c r="J118" s="285"/>
      <c r="K118" s="43"/>
      <c r="L118" s="253"/>
      <c r="M118" s="26"/>
    </row>
    <row r="119" spans="1:14" ht="15.75" x14ac:dyDescent="0.2">
      <c r="A119" s="13" t="s">
        <v>23</v>
      </c>
      <c r="B119" s="306"/>
      <c r="C119" s="157"/>
      <c r="D119" s="169"/>
      <c r="E119" s="11"/>
      <c r="F119" s="306"/>
      <c r="G119" s="157"/>
      <c r="H119" s="169"/>
      <c r="I119" s="11"/>
      <c r="J119" s="307"/>
      <c r="K119" s="234"/>
      <c r="L119" s="425"/>
      <c r="M119" s="11"/>
    </row>
    <row r="120" spans="1:14" x14ac:dyDescent="0.2">
      <c r="A120" s="20" t="s">
        <v>9</v>
      </c>
      <c r="B120" s="232"/>
      <c r="C120" s="143"/>
      <c r="D120" s="164"/>
      <c r="E120" s="26"/>
      <c r="F120" s="232"/>
      <c r="G120" s="143"/>
      <c r="H120" s="164"/>
      <c r="I120" s="26"/>
      <c r="J120" s="285"/>
      <c r="K120" s="43"/>
      <c r="L120" s="253"/>
      <c r="M120" s="26"/>
    </row>
    <row r="121" spans="1:14" x14ac:dyDescent="0.2">
      <c r="A121" s="20" t="s">
        <v>10</v>
      </c>
      <c r="B121" s="232"/>
      <c r="C121" s="143"/>
      <c r="D121" s="164"/>
      <c r="E121" s="26"/>
      <c r="F121" s="232"/>
      <c r="G121" s="143"/>
      <c r="H121" s="164"/>
      <c r="I121" s="26"/>
      <c r="J121" s="285"/>
      <c r="K121" s="43"/>
      <c r="L121" s="253"/>
      <c r="M121" s="26"/>
    </row>
    <row r="122" spans="1:14" x14ac:dyDescent="0.2">
      <c r="A122" s="20" t="s">
        <v>29</v>
      </c>
      <c r="B122" s="232"/>
      <c r="C122" s="143"/>
      <c r="D122" s="164"/>
      <c r="E122" s="26"/>
      <c r="F122" s="232"/>
      <c r="G122" s="143"/>
      <c r="H122" s="164"/>
      <c r="I122" s="26"/>
      <c r="J122" s="285"/>
      <c r="K122" s="43"/>
      <c r="L122" s="253"/>
      <c r="M122" s="26"/>
    </row>
    <row r="123" spans="1:14" x14ac:dyDescent="0.2">
      <c r="A123" s="294" t="s">
        <v>14</v>
      </c>
      <c r="B123" s="279"/>
      <c r="C123" s="279"/>
      <c r="D123" s="164"/>
      <c r="E123" s="414"/>
      <c r="F123" s="279"/>
      <c r="G123" s="279"/>
      <c r="H123" s="164"/>
      <c r="I123" s="414"/>
      <c r="J123" s="288"/>
      <c r="K123" s="288"/>
      <c r="L123" s="164"/>
      <c r="M123" s="22"/>
    </row>
    <row r="124" spans="1:14" ht="15.75" x14ac:dyDescent="0.2">
      <c r="A124" s="20" t="s">
        <v>319</v>
      </c>
      <c r="B124" s="232"/>
      <c r="C124" s="232"/>
      <c r="D124" s="164"/>
      <c r="E124" s="26"/>
      <c r="F124" s="232"/>
      <c r="G124" s="232"/>
      <c r="H124" s="164"/>
      <c r="I124" s="26"/>
      <c r="J124" s="285"/>
      <c r="K124" s="43"/>
      <c r="L124" s="253"/>
      <c r="M124" s="26"/>
    </row>
    <row r="125" spans="1:14" ht="15.75" x14ac:dyDescent="0.2">
      <c r="A125" s="20" t="s">
        <v>320</v>
      </c>
      <c r="B125" s="232"/>
      <c r="C125" s="232"/>
      <c r="D125" s="164"/>
      <c r="E125" s="26"/>
      <c r="F125" s="232"/>
      <c r="G125" s="232"/>
      <c r="H125" s="164"/>
      <c r="I125" s="26"/>
      <c r="J125" s="285"/>
      <c r="K125" s="43"/>
      <c r="L125" s="253"/>
      <c r="M125" s="26"/>
    </row>
    <row r="126" spans="1:14" ht="15.75" x14ac:dyDescent="0.2">
      <c r="A126" s="10" t="s">
        <v>321</v>
      </c>
      <c r="B126" s="44"/>
      <c r="C126" s="44"/>
      <c r="D126" s="165"/>
      <c r="E126" s="415"/>
      <c r="F126" s="44"/>
      <c r="G126" s="44"/>
      <c r="H126" s="165"/>
      <c r="I126" s="21"/>
      <c r="J126" s="286"/>
      <c r="K126" s="44"/>
      <c r="L126" s="254"/>
      <c r="M126" s="21"/>
    </row>
    <row r="127" spans="1:14" x14ac:dyDescent="0.2">
      <c r="A127" s="153"/>
      <c r="L127" s="25"/>
      <c r="M127" s="25"/>
      <c r="N127" s="25"/>
    </row>
    <row r="128" spans="1:14" x14ac:dyDescent="0.2">
      <c r="L128" s="25"/>
      <c r="M128" s="25"/>
      <c r="N128" s="25"/>
    </row>
    <row r="129" spans="1:15" ht="15.75" x14ac:dyDescent="0.25">
      <c r="A129" s="163" t="s">
        <v>30</v>
      </c>
    </row>
    <row r="130" spans="1:15" ht="15.75" x14ac:dyDescent="0.25">
      <c r="B130" s="963"/>
      <c r="C130" s="963"/>
      <c r="D130" s="963"/>
      <c r="E130" s="297"/>
      <c r="F130" s="963"/>
      <c r="G130" s="963"/>
      <c r="H130" s="963"/>
      <c r="I130" s="297"/>
      <c r="J130" s="963"/>
      <c r="K130" s="963"/>
      <c r="L130" s="963"/>
      <c r="M130" s="297"/>
    </row>
    <row r="131" spans="1:15" s="3" customFormat="1" x14ac:dyDescent="0.2">
      <c r="A131" s="142"/>
      <c r="B131" s="960" t="s">
        <v>0</v>
      </c>
      <c r="C131" s="961"/>
      <c r="D131" s="961"/>
      <c r="E131" s="299"/>
      <c r="F131" s="960" t="s">
        <v>1</v>
      </c>
      <c r="G131" s="961"/>
      <c r="H131" s="961"/>
      <c r="I131" s="302"/>
      <c r="J131" s="960" t="s">
        <v>2</v>
      </c>
      <c r="K131" s="961"/>
      <c r="L131" s="961"/>
      <c r="M131" s="302"/>
      <c r="N131" s="146"/>
      <c r="O131" s="146"/>
    </row>
    <row r="132" spans="1:15" s="3" customFormat="1" x14ac:dyDescent="0.2">
      <c r="A132" s="139"/>
      <c r="B132" s="150" t="s">
        <v>504</v>
      </c>
      <c r="C132" s="150" t="s">
        <v>505</v>
      </c>
      <c r="D132" s="243" t="s">
        <v>3</v>
      </c>
      <c r="E132" s="303" t="s">
        <v>32</v>
      </c>
      <c r="F132" s="150" t="s">
        <v>504</v>
      </c>
      <c r="G132" s="150" t="s">
        <v>505</v>
      </c>
      <c r="H132" s="204" t="s">
        <v>3</v>
      </c>
      <c r="I132" s="160" t="s">
        <v>32</v>
      </c>
      <c r="J132" s="244" t="s">
        <v>504</v>
      </c>
      <c r="K132" s="244" t="s">
        <v>505</v>
      </c>
      <c r="L132" s="245" t="s">
        <v>3</v>
      </c>
      <c r="M132" s="160" t="s">
        <v>32</v>
      </c>
      <c r="N132" s="146"/>
      <c r="O132" s="146"/>
    </row>
    <row r="133" spans="1:15" s="3" customFormat="1" x14ac:dyDescent="0.2">
      <c r="A133" s="934"/>
      <c r="B133" s="154"/>
      <c r="C133" s="154"/>
      <c r="D133" s="245" t="s">
        <v>4</v>
      </c>
      <c r="E133" s="154" t="s">
        <v>33</v>
      </c>
      <c r="F133" s="159"/>
      <c r="G133" s="159"/>
      <c r="H133" s="204" t="s">
        <v>4</v>
      </c>
      <c r="I133" s="154" t="s">
        <v>33</v>
      </c>
      <c r="J133" s="154"/>
      <c r="K133" s="154"/>
      <c r="L133" s="148" t="s">
        <v>4</v>
      </c>
      <c r="M133" s="154" t="s">
        <v>33</v>
      </c>
      <c r="N133" s="146"/>
      <c r="O133" s="146"/>
    </row>
    <row r="134" spans="1:15" s="3" customFormat="1" ht="15.75" x14ac:dyDescent="0.2">
      <c r="A134" s="14" t="s">
        <v>323</v>
      </c>
      <c r="B134" s="234"/>
      <c r="C134" s="307"/>
      <c r="D134" s="348"/>
      <c r="E134" s="11"/>
      <c r="F134" s="314"/>
      <c r="G134" s="315"/>
      <c r="H134" s="428"/>
      <c r="I134" s="23"/>
      <c r="J134" s="316"/>
      <c r="K134" s="316"/>
      <c r="L134" s="424"/>
      <c r="M134" s="11"/>
      <c r="N134" s="146"/>
      <c r="O134" s="146"/>
    </row>
    <row r="135" spans="1:15" s="3" customFormat="1" ht="15.75" x14ac:dyDescent="0.2">
      <c r="A135" s="13" t="s">
        <v>324</v>
      </c>
      <c r="B135" s="234"/>
      <c r="C135" s="307"/>
      <c r="D135" s="169"/>
      <c r="E135" s="11"/>
      <c r="F135" s="234"/>
      <c r="G135" s="307"/>
      <c r="H135" s="429"/>
      <c r="I135" s="23"/>
      <c r="J135" s="306"/>
      <c r="K135" s="306"/>
      <c r="L135" s="425"/>
      <c r="M135" s="11"/>
      <c r="N135" s="146"/>
      <c r="O135" s="146"/>
    </row>
    <row r="136" spans="1:15" s="3" customFormat="1" ht="15.75" x14ac:dyDescent="0.2">
      <c r="A136" s="13" t="s">
        <v>325</v>
      </c>
      <c r="B136" s="234"/>
      <c r="C136" s="307"/>
      <c r="D136" s="169"/>
      <c r="E136" s="11"/>
      <c r="F136" s="234"/>
      <c r="G136" s="307"/>
      <c r="H136" s="429"/>
      <c r="I136" s="23"/>
      <c r="J136" s="306"/>
      <c r="K136" s="306"/>
      <c r="L136" s="425"/>
      <c r="M136" s="11"/>
      <c r="N136" s="146"/>
      <c r="O136" s="146"/>
    </row>
    <row r="137" spans="1:15" s="3" customFormat="1" ht="15.75" x14ac:dyDescent="0.2">
      <c r="A137" s="40" t="s">
        <v>326</v>
      </c>
      <c r="B137" s="274"/>
      <c r="C137" s="313"/>
      <c r="D137" s="167"/>
      <c r="E137" s="9"/>
      <c r="F137" s="274"/>
      <c r="G137" s="313"/>
      <c r="H137" s="430"/>
      <c r="I137" s="35"/>
      <c r="J137" s="312"/>
      <c r="K137" s="312"/>
      <c r="L137" s="426"/>
      <c r="M137" s="35"/>
      <c r="N137" s="146"/>
      <c r="O137" s="146"/>
    </row>
    <row r="138" spans="1:15" s="3" customFormat="1" x14ac:dyDescent="0.2">
      <c r="A138" s="166"/>
      <c r="B138" s="32"/>
      <c r="C138" s="32"/>
      <c r="D138" s="157"/>
      <c r="E138" s="157"/>
      <c r="F138" s="32"/>
      <c r="G138" s="32"/>
      <c r="H138" s="157"/>
      <c r="I138" s="157"/>
      <c r="J138" s="32"/>
      <c r="K138" s="32"/>
      <c r="L138" s="157"/>
      <c r="M138" s="157"/>
      <c r="N138" s="146"/>
      <c r="O138" s="146"/>
    </row>
    <row r="139" spans="1:15" x14ac:dyDescent="0.2">
      <c r="A139" s="166"/>
      <c r="B139" s="32"/>
      <c r="C139" s="32"/>
      <c r="D139" s="157"/>
      <c r="E139" s="157"/>
      <c r="F139" s="32"/>
      <c r="G139" s="32"/>
      <c r="H139" s="157"/>
      <c r="I139" s="157"/>
      <c r="J139" s="32"/>
      <c r="K139" s="32"/>
      <c r="L139" s="157"/>
      <c r="M139" s="157"/>
      <c r="N139" s="146"/>
    </row>
    <row r="140" spans="1:15" x14ac:dyDescent="0.2">
      <c r="A140" s="166"/>
      <c r="B140" s="32"/>
      <c r="C140" s="32"/>
      <c r="D140" s="157"/>
      <c r="E140" s="157"/>
      <c r="F140" s="32"/>
      <c r="G140" s="32"/>
      <c r="H140" s="157"/>
      <c r="I140" s="157"/>
      <c r="J140" s="32"/>
      <c r="K140" s="32"/>
      <c r="L140" s="157"/>
      <c r="M140" s="157"/>
      <c r="N140" s="146"/>
    </row>
    <row r="141" spans="1:15" x14ac:dyDescent="0.2">
      <c r="A141" s="144"/>
      <c r="B141" s="144"/>
      <c r="C141" s="144"/>
      <c r="D141" s="144"/>
      <c r="E141" s="144"/>
      <c r="F141" s="144"/>
      <c r="G141" s="144"/>
      <c r="H141" s="144"/>
      <c r="I141" s="144"/>
      <c r="J141" s="144"/>
      <c r="K141" s="144"/>
      <c r="L141" s="144"/>
      <c r="M141" s="144"/>
      <c r="N141" s="144"/>
    </row>
    <row r="142" spans="1:15" ht="15.75" x14ac:dyDescent="0.25">
      <c r="B142" s="140"/>
      <c r="C142" s="140"/>
      <c r="D142" s="140"/>
      <c r="E142" s="140"/>
      <c r="F142" s="140"/>
      <c r="G142" s="140"/>
      <c r="H142" s="140"/>
      <c r="I142" s="140"/>
      <c r="J142" s="140"/>
      <c r="K142" s="140"/>
      <c r="L142" s="140"/>
      <c r="M142" s="140"/>
      <c r="N142" s="140"/>
    </row>
    <row r="143" spans="1:15" ht="15.75" x14ac:dyDescent="0.25">
      <c r="B143" s="155"/>
      <c r="C143" s="155"/>
      <c r="D143" s="155"/>
      <c r="E143" s="155"/>
      <c r="F143" s="155"/>
      <c r="G143" s="155"/>
      <c r="H143" s="155"/>
      <c r="I143" s="155"/>
      <c r="J143" s="155"/>
      <c r="K143" s="155"/>
      <c r="L143" s="155"/>
      <c r="M143" s="155"/>
      <c r="N143" s="155"/>
      <c r="O143" s="152"/>
    </row>
    <row r="144" spans="1:15" ht="15.75" x14ac:dyDescent="0.25">
      <c r="B144" s="155"/>
      <c r="C144" s="155"/>
      <c r="D144" s="155"/>
      <c r="E144" s="155"/>
      <c r="F144" s="155"/>
      <c r="G144" s="155"/>
      <c r="H144" s="155"/>
      <c r="I144" s="155"/>
      <c r="J144" s="155"/>
      <c r="K144" s="155"/>
      <c r="L144" s="155"/>
      <c r="M144" s="155"/>
      <c r="N144" s="155"/>
      <c r="O144" s="152"/>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705" priority="132">
      <formula>kvartal &lt; 4</formula>
    </cfRule>
  </conditionalFormatting>
  <conditionalFormatting sqref="B30">
    <cfRule type="expression" dxfId="1704" priority="130">
      <formula>kvartal &lt; 4</formula>
    </cfRule>
  </conditionalFormatting>
  <conditionalFormatting sqref="B31">
    <cfRule type="expression" dxfId="1703" priority="129">
      <formula>kvartal &lt; 4</formula>
    </cfRule>
  </conditionalFormatting>
  <conditionalFormatting sqref="B32:B33">
    <cfRule type="expression" dxfId="1702" priority="128">
      <formula>kvartal &lt; 4</formula>
    </cfRule>
  </conditionalFormatting>
  <conditionalFormatting sqref="C30">
    <cfRule type="expression" dxfId="1701" priority="127">
      <formula>kvartal &lt; 4</formula>
    </cfRule>
  </conditionalFormatting>
  <conditionalFormatting sqref="C31">
    <cfRule type="expression" dxfId="1700" priority="126">
      <formula>kvartal &lt; 4</formula>
    </cfRule>
  </conditionalFormatting>
  <conditionalFormatting sqref="C32:C33">
    <cfRule type="expression" dxfId="1699" priority="125">
      <formula>kvartal &lt; 4</formula>
    </cfRule>
  </conditionalFormatting>
  <conditionalFormatting sqref="B23:C26">
    <cfRule type="expression" dxfId="1698" priority="124">
      <formula>kvartal &lt; 4</formula>
    </cfRule>
  </conditionalFormatting>
  <conditionalFormatting sqref="F23:G26">
    <cfRule type="expression" dxfId="1697" priority="120">
      <formula>kvartal &lt; 4</formula>
    </cfRule>
  </conditionalFormatting>
  <conditionalFormatting sqref="F30">
    <cfRule type="expression" dxfId="1696" priority="113">
      <formula>kvartal &lt; 4</formula>
    </cfRule>
  </conditionalFormatting>
  <conditionalFormatting sqref="F31">
    <cfRule type="expression" dxfId="1695" priority="112">
      <formula>kvartal &lt; 4</formula>
    </cfRule>
  </conditionalFormatting>
  <conditionalFormatting sqref="F32:F33">
    <cfRule type="expression" dxfId="1694" priority="111">
      <formula>kvartal &lt; 4</formula>
    </cfRule>
  </conditionalFormatting>
  <conditionalFormatting sqref="G30">
    <cfRule type="expression" dxfId="1693" priority="110">
      <formula>kvartal &lt; 4</formula>
    </cfRule>
  </conditionalFormatting>
  <conditionalFormatting sqref="G31">
    <cfRule type="expression" dxfId="1692" priority="109">
      <formula>kvartal &lt; 4</formula>
    </cfRule>
  </conditionalFormatting>
  <conditionalFormatting sqref="G32:G33">
    <cfRule type="expression" dxfId="1691" priority="108">
      <formula>kvartal &lt; 4</formula>
    </cfRule>
  </conditionalFormatting>
  <conditionalFormatting sqref="B27">
    <cfRule type="expression" dxfId="1690" priority="107">
      <formula>kvartal &lt; 4</formula>
    </cfRule>
  </conditionalFormatting>
  <conditionalFormatting sqref="C27">
    <cfRule type="expression" dxfId="1689" priority="106">
      <formula>kvartal &lt; 4</formula>
    </cfRule>
  </conditionalFormatting>
  <conditionalFormatting sqref="F27">
    <cfRule type="expression" dxfId="1688" priority="105">
      <formula>kvartal &lt; 4</formula>
    </cfRule>
  </conditionalFormatting>
  <conditionalFormatting sqref="G27">
    <cfRule type="expression" dxfId="1687" priority="104">
      <formula>kvartal &lt; 4</formula>
    </cfRule>
  </conditionalFormatting>
  <conditionalFormatting sqref="J23:K27">
    <cfRule type="expression" dxfId="1686" priority="103">
      <formula>kvartal &lt; 4</formula>
    </cfRule>
  </conditionalFormatting>
  <conditionalFormatting sqref="J30:K33">
    <cfRule type="expression" dxfId="1685" priority="101">
      <formula>kvartal &lt; 4</formula>
    </cfRule>
  </conditionalFormatting>
  <conditionalFormatting sqref="B69">
    <cfRule type="expression" dxfId="1684" priority="100">
      <formula>kvartal &lt; 4</formula>
    </cfRule>
  </conditionalFormatting>
  <conditionalFormatting sqref="C69">
    <cfRule type="expression" dxfId="1683" priority="99">
      <formula>kvartal &lt; 4</formula>
    </cfRule>
  </conditionalFormatting>
  <conditionalFormatting sqref="B72">
    <cfRule type="expression" dxfId="1682" priority="98">
      <formula>kvartal &lt; 4</formula>
    </cfRule>
  </conditionalFormatting>
  <conditionalFormatting sqref="C72">
    <cfRule type="expression" dxfId="1681" priority="97">
      <formula>kvartal &lt; 4</formula>
    </cfRule>
  </conditionalFormatting>
  <conditionalFormatting sqref="B80">
    <cfRule type="expression" dxfId="1680" priority="96">
      <formula>kvartal &lt; 4</formula>
    </cfRule>
  </conditionalFormatting>
  <conditionalFormatting sqref="C80">
    <cfRule type="expression" dxfId="1679" priority="95">
      <formula>kvartal &lt; 4</formula>
    </cfRule>
  </conditionalFormatting>
  <conditionalFormatting sqref="B83">
    <cfRule type="expression" dxfId="1678" priority="94">
      <formula>kvartal &lt; 4</formula>
    </cfRule>
  </conditionalFormatting>
  <conditionalFormatting sqref="C83">
    <cfRule type="expression" dxfId="1677" priority="93">
      <formula>kvartal &lt; 4</formula>
    </cfRule>
  </conditionalFormatting>
  <conditionalFormatting sqref="B90">
    <cfRule type="expression" dxfId="1676" priority="84">
      <formula>kvartal &lt; 4</formula>
    </cfRule>
  </conditionalFormatting>
  <conditionalFormatting sqref="C90">
    <cfRule type="expression" dxfId="1675" priority="83">
      <formula>kvartal &lt; 4</formula>
    </cfRule>
  </conditionalFormatting>
  <conditionalFormatting sqref="B93">
    <cfRule type="expression" dxfId="1674" priority="82">
      <formula>kvartal &lt; 4</formula>
    </cfRule>
  </conditionalFormatting>
  <conditionalFormatting sqref="C93">
    <cfRule type="expression" dxfId="1673" priority="81">
      <formula>kvartal &lt; 4</formula>
    </cfRule>
  </conditionalFormatting>
  <conditionalFormatting sqref="B101">
    <cfRule type="expression" dxfId="1672" priority="80">
      <formula>kvartal &lt; 4</formula>
    </cfRule>
  </conditionalFormatting>
  <conditionalFormatting sqref="C101">
    <cfRule type="expression" dxfId="1671" priority="79">
      <formula>kvartal &lt; 4</formula>
    </cfRule>
  </conditionalFormatting>
  <conditionalFormatting sqref="B104">
    <cfRule type="expression" dxfId="1670" priority="78">
      <formula>kvartal &lt; 4</formula>
    </cfRule>
  </conditionalFormatting>
  <conditionalFormatting sqref="C104">
    <cfRule type="expression" dxfId="1669" priority="77">
      <formula>kvartal &lt; 4</formula>
    </cfRule>
  </conditionalFormatting>
  <conditionalFormatting sqref="B115">
    <cfRule type="expression" dxfId="1668" priority="76">
      <formula>kvartal &lt; 4</formula>
    </cfRule>
  </conditionalFormatting>
  <conditionalFormatting sqref="C115">
    <cfRule type="expression" dxfId="1667" priority="75">
      <formula>kvartal &lt; 4</formula>
    </cfRule>
  </conditionalFormatting>
  <conditionalFormatting sqref="B123">
    <cfRule type="expression" dxfId="1666" priority="74">
      <formula>kvartal &lt; 4</formula>
    </cfRule>
  </conditionalFormatting>
  <conditionalFormatting sqref="C123">
    <cfRule type="expression" dxfId="1665" priority="73">
      <formula>kvartal &lt; 4</formula>
    </cfRule>
  </conditionalFormatting>
  <conditionalFormatting sqref="F70">
    <cfRule type="expression" dxfId="1664" priority="72">
      <formula>kvartal &lt; 4</formula>
    </cfRule>
  </conditionalFormatting>
  <conditionalFormatting sqref="G70">
    <cfRule type="expression" dxfId="1663" priority="71">
      <formula>kvartal &lt; 4</formula>
    </cfRule>
  </conditionalFormatting>
  <conditionalFormatting sqref="F71:G71">
    <cfRule type="expression" dxfId="1662" priority="70">
      <formula>kvartal &lt; 4</formula>
    </cfRule>
  </conditionalFormatting>
  <conditionalFormatting sqref="F73:G74">
    <cfRule type="expression" dxfId="1661" priority="69">
      <formula>kvartal &lt; 4</formula>
    </cfRule>
  </conditionalFormatting>
  <conditionalFormatting sqref="F81:G82">
    <cfRule type="expression" dxfId="1660" priority="68">
      <formula>kvartal &lt; 4</formula>
    </cfRule>
  </conditionalFormatting>
  <conditionalFormatting sqref="F84:G85">
    <cfRule type="expression" dxfId="1659" priority="67">
      <formula>kvartal &lt; 4</formula>
    </cfRule>
  </conditionalFormatting>
  <conditionalFormatting sqref="F91:G92">
    <cfRule type="expression" dxfId="1658" priority="62">
      <formula>kvartal &lt; 4</formula>
    </cfRule>
  </conditionalFormatting>
  <conditionalFormatting sqref="F94:G95">
    <cfRule type="expression" dxfId="1657" priority="61">
      <formula>kvartal &lt; 4</formula>
    </cfRule>
  </conditionalFormatting>
  <conditionalFormatting sqref="F102:G103">
    <cfRule type="expression" dxfId="1656" priority="60">
      <formula>kvartal &lt; 4</formula>
    </cfRule>
  </conditionalFormatting>
  <conditionalFormatting sqref="F105:G106">
    <cfRule type="expression" dxfId="1655" priority="59">
      <formula>kvartal &lt; 4</formula>
    </cfRule>
  </conditionalFormatting>
  <conditionalFormatting sqref="F115">
    <cfRule type="expression" dxfId="1654" priority="58">
      <formula>kvartal &lt; 4</formula>
    </cfRule>
  </conditionalFormatting>
  <conditionalFormatting sqref="G115">
    <cfRule type="expression" dxfId="1653" priority="57">
      <formula>kvartal &lt; 4</formula>
    </cfRule>
  </conditionalFormatting>
  <conditionalFormatting sqref="F123:G123">
    <cfRule type="expression" dxfId="1652" priority="56">
      <formula>kvartal &lt; 4</formula>
    </cfRule>
  </conditionalFormatting>
  <conditionalFormatting sqref="F69:G69">
    <cfRule type="expression" dxfId="1651" priority="55">
      <formula>kvartal &lt; 4</formula>
    </cfRule>
  </conditionalFormatting>
  <conditionalFormatting sqref="F72:G72">
    <cfRule type="expression" dxfId="1650" priority="54">
      <formula>kvartal &lt; 4</formula>
    </cfRule>
  </conditionalFormatting>
  <conditionalFormatting sqref="F80:G80">
    <cfRule type="expression" dxfId="1649" priority="53">
      <formula>kvartal &lt; 4</formula>
    </cfRule>
  </conditionalFormatting>
  <conditionalFormatting sqref="F83:G83">
    <cfRule type="expression" dxfId="1648" priority="52">
      <formula>kvartal &lt; 4</formula>
    </cfRule>
  </conditionalFormatting>
  <conditionalFormatting sqref="F90:G90">
    <cfRule type="expression" dxfId="1647" priority="46">
      <formula>kvartal &lt; 4</formula>
    </cfRule>
  </conditionalFormatting>
  <conditionalFormatting sqref="F93">
    <cfRule type="expression" dxfId="1646" priority="45">
      <formula>kvartal &lt; 4</formula>
    </cfRule>
  </conditionalFormatting>
  <conditionalFormatting sqref="G93">
    <cfRule type="expression" dxfId="1645" priority="44">
      <formula>kvartal &lt; 4</formula>
    </cfRule>
  </conditionalFormatting>
  <conditionalFormatting sqref="F101">
    <cfRule type="expression" dxfId="1644" priority="43">
      <formula>kvartal &lt; 4</formula>
    </cfRule>
  </conditionalFormatting>
  <conditionalFormatting sqref="G101">
    <cfRule type="expression" dxfId="1643" priority="42">
      <formula>kvartal &lt; 4</formula>
    </cfRule>
  </conditionalFormatting>
  <conditionalFormatting sqref="G104">
    <cfRule type="expression" dxfId="1642" priority="41">
      <formula>kvartal &lt; 4</formula>
    </cfRule>
  </conditionalFormatting>
  <conditionalFormatting sqref="F104">
    <cfRule type="expression" dxfId="1641" priority="40">
      <formula>kvartal &lt; 4</formula>
    </cfRule>
  </conditionalFormatting>
  <conditionalFormatting sqref="J69:K73">
    <cfRule type="expression" dxfId="1640" priority="39">
      <formula>kvartal &lt; 4</formula>
    </cfRule>
  </conditionalFormatting>
  <conditionalFormatting sqref="J74:K74">
    <cfRule type="expression" dxfId="1639" priority="38">
      <formula>kvartal &lt; 4</formula>
    </cfRule>
  </conditionalFormatting>
  <conditionalFormatting sqref="J80:K85">
    <cfRule type="expression" dxfId="1638" priority="37">
      <formula>kvartal &lt; 4</formula>
    </cfRule>
  </conditionalFormatting>
  <conditionalFormatting sqref="J90:K95">
    <cfRule type="expression" dxfId="1637" priority="34">
      <formula>kvartal &lt; 4</formula>
    </cfRule>
  </conditionalFormatting>
  <conditionalFormatting sqref="J101:K106">
    <cfRule type="expression" dxfId="1636" priority="33">
      <formula>kvartal &lt; 4</formula>
    </cfRule>
  </conditionalFormatting>
  <conditionalFormatting sqref="J115:K115">
    <cfRule type="expression" dxfId="1635" priority="32">
      <formula>kvartal &lt; 4</formula>
    </cfRule>
  </conditionalFormatting>
  <conditionalFormatting sqref="J123:K123">
    <cfRule type="expression" dxfId="1634" priority="31">
      <formula>kvartal &lt; 4</formula>
    </cfRule>
  </conditionalFormatting>
  <conditionalFormatting sqref="A23:A26">
    <cfRule type="expression" dxfId="1633" priority="15">
      <formula>kvartal &lt; 4</formula>
    </cfRule>
  </conditionalFormatting>
  <conditionalFormatting sqref="A30:A33">
    <cfRule type="expression" dxfId="1632" priority="13">
      <formula>kvartal &lt; 4</formula>
    </cfRule>
  </conditionalFormatting>
  <conditionalFormatting sqref="A50:A52">
    <cfRule type="expression" dxfId="1631" priority="12">
      <formula>kvartal &lt; 4</formula>
    </cfRule>
  </conditionalFormatting>
  <conditionalFormatting sqref="A69:A74">
    <cfRule type="expression" dxfId="1630" priority="10">
      <formula>kvartal &lt; 4</formula>
    </cfRule>
  </conditionalFormatting>
  <conditionalFormatting sqref="A80:A85">
    <cfRule type="expression" dxfId="1629" priority="9">
      <formula>kvartal &lt; 4</formula>
    </cfRule>
  </conditionalFormatting>
  <conditionalFormatting sqref="A90:A95">
    <cfRule type="expression" dxfId="1628" priority="6">
      <formula>kvartal &lt; 4</formula>
    </cfRule>
  </conditionalFormatting>
  <conditionalFormatting sqref="A101:A106">
    <cfRule type="expression" dxfId="1627" priority="5">
      <formula>kvartal &lt; 4</formula>
    </cfRule>
  </conditionalFormatting>
  <conditionalFormatting sqref="A115">
    <cfRule type="expression" dxfId="1626" priority="4">
      <formula>kvartal &lt; 4</formula>
    </cfRule>
  </conditionalFormatting>
  <conditionalFormatting sqref="A123">
    <cfRule type="expression" dxfId="1625" priority="3">
      <formula>kvartal &lt; 4</formula>
    </cfRule>
  </conditionalFormatting>
  <conditionalFormatting sqref="A27">
    <cfRule type="expression" dxfId="1624" priority="2">
      <formula>kvartal &lt; 4</formula>
    </cfRule>
  </conditionalFormatting>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dimension ref="A1:R144"/>
  <sheetViews>
    <sheetView showGridLines="0" zoomScale="90" zoomScaleNormal="90" workbookViewId="0">
      <selection activeCell="A43" sqref="A43"/>
    </sheetView>
  </sheetViews>
  <sheetFormatPr baseColWidth="10" defaultColWidth="11.42578125" defaultRowHeight="12.75" x14ac:dyDescent="0.2"/>
  <cols>
    <col min="1" max="1" width="41.5703125" style="147" customWidth="1"/>
    <col min="2" max="2" width="10.85546875" style="147" customWidth="1"/>
    <col min="3" max="3" width="11" style="147" customWidth="1"/>
    <col min="4" max="5" width="8.7109375" style="147" customWidth="1"/>
    <col min="6" max="7" width="10.85546875" style="147" customWidth="1"/>
    <col min="8" max="9" width="8.7109375" style="147" customWidth="1"/>
    <col min="10" max="11" width="10.85546875" style="147" customWidth="1"/>
    <col min="12" max="13" width="8.7109375" style="147" customWidth="1"/>
    <col min="14" max="14" width="11.42578125" style="147"/>
    <col min="15" max="15" width="3" style="146" bestFit="1" customWidth="1"/>
    <col min="16" max="16384" width="11.42578125" style="1"/>
  </cols>
  <sheetData>
    <row r="1" spans="1:18" x14ac:dyDescent="0.2">
      <c r="A1" s="170" t="s">
        <v>152</v>
      </c>
      <c r="B1" s="932"/>
      <c r="C1" s="247" t="s">
        <v>140</v>
      </c>
      <c r="D1" s="25"/>
      <c r="E1" s="25"/>
      <c r="F1" s="25"/>
      <c r="G1" s="25"/>
      <c r="H1" s="25"/>
      <c r="I1" s="25"/>
      <c r="J1" s="25"/>
      <c r="K1" s="25"/>
      <c r="L1" s="25"/>
      <c r="M1" s="25"/>
      <c r="O1" s="423"/>
    </row>
    <row r="2" spans="1:18" ht="15.75" x14ac:dyDescent="0.25">
      <c r="A2" s="163" t="s">
        <v>31</v>
      </c>
      <c r="B2" s="965"/>
      <c r="C2" s="965"/>
      <c r="D2" s="965"/>
      <c r="E2" s="297"/>
      <c r="F2" s="965"/>
      <c r="G2" s="965"/>
      <c r="H2" s="965"/>
      <c r="I2" s="297"/>
      <c r="J2" s="965"/>
      <c r="K2" s="965"/>
      <c r="L2" s="965"/>
      <c r="M2" s="297"/>
    </row>
    <row r="3" spans="1:18" ht="15.75" x14ac:dyDescent="0.25">
      <c r="A3" s="161"/>
      <c r="B3" s="297"/>
      <c r="C3" s="297"/>
      <c r="D3" s="297"/>
      <c r="E3" s="297"/>
      <c r="F3" s="297"/>
      <c r="G3" s="297"/>
      <c r="H3" s="297"/>
      <c r="I3" s="297"/>
      <c r="J3" s="297"/>
      <c r="K3" s="297"/>
      <c r="L3" s="297"/>
      <c r="M3" s="297"/>
    </row>
    <row r="4" spans="1:18" x14ac:dyDescent="0.2">
      <c r="A4" s="142"/>
      <c r="B4" s="960" t="s">
        <v>0</v>
      </c>
      <c r="C4" s="961"/>
      <c r="D4" s="961"/>
      <c r="E4" s="299"/>
      <c r="F4" s="960" t="s">
        <v>1</v>
      </c>
      <c r="G4" s="961"/>
      <c r="H4" s="961"/>
      <c r="I4" s="302"/>
      <c r="J4" s="960" t="s">
        <v>2</v>
      </c>
      <c r="K4" s="961"/>
      <c r="L4" s="961"/>
      <c r="M4" s="302"/>
    </row>
    <row r="5" spans="1:18" x14ac:dyDescent="0.2">
      <c r="A5" s="156"/>
      <c r="B5" s="150" t="s">
        <v>504</v>
      </c>
      <c r="C5" s="150" t="s">
        <v>505</v>
      </c>
      <c r="D5" s="243" t="s">
        <v>3</v>
      </c>
      <c r="E5" s="303" t="s">
        <v>32</v>
      </c>
      <c r="F5" s="150" t="s">
        <v>504</v>
      </c>
      <c r="G5" s="150" t="s">
        <v>505</v>
      </c>
      <c r="H5" s="243" t="s">
        <v>3</v>
      </c>
      <c r="I5" s="160" t="s">
        <v>32</v>
      </c>
      <c r="J5" s="150" t="s">
        <v>504</v>
      </c>
      <c r="K5" s="150" t="s">
        <v>505</v>
      </c>
      <c r="L5" s="243" t="s">
        <v>3</v>
      </c>
      <c r="M5" s="160" t="s">
        <v>32</v>
      </c>
      <c r="O5" s="931"/>
    </row>
    <row r="6" spans="1:18" x14ac:dyDescent="0.2">
      <c r="A6" s="933"/>
      <c r="B6" s="154"/>
      <c r="C6" s="154"/>
      <c r="D6" s="245" t="s">
        <v>4</v>
      </c>
      <c r="E6" s="154" t="s">
        <v>33</v>
      </c>
      <c r="F6" s="159"/>
      <c r="G6" s="159"/>
      <c r="H6" s="243" t="s">
        <v>4</v>
      </c>
      <c r="I6" s="154" t="s">
        <v>33</v>
      </c>
      <c r="J6" s="159"/>
      <c r="K6" s="159"/>
      <c r="L6" s="243" t="s">
        <v>4</v>
      </c>
      <c r="M6" s="154" t="s">
        <v>33</v>
      </c>
    </row>
    <row r="7" spans="1:18" ht="15.75" x14ac:dyDescent="0.2">
      <c r="A7" s="14" t="s">
        <v>26</v>
      </c>
      <c r="B7" s="304">
        <v>234703</v>
      </c>
      <c r="C7" s="305">
        <v>264427.09999999998</v>
      </c>
      <c r="D7" s="348">
        <f>IF(B7=0, "    ---- ", IF(ABS(ROUND(100/B7*C7-100,1))&lt;999,ROUND(100/B7*C7-100,1),IF(ROUND(100/B7*C7-100,1)&gt;999,999,-999)))</f>
        <v>12.7</v>
      </c>
      <c r="E7" s="11">
        <f>IFERROR(100/'Skjema total MA'!C7*C7,0)</f>
        <v>5.6698130861440568</v>
      </c>
      <c r="F7" s="304"/>
      <c r="G7" s="305"/>
      <c r="H7" s="348"/>
      <c r="I7" s="158"/>
      <c r="J7" s="306">
        <v>234703</v>
      </c>
      <c r="K7" s="307">
        <v>264427.09999999998</v>
      </c>
      <c r="L7" s="424">
        <f>IF(J7=0, "    ---- ", IF(ABS(ROUND(100/J7*K7-100,1))&lt;999,ROUND(100/J7*K7-100,1),IF(ROUND(100/J7*K7-100,1)&gt;999,999,-999)))</f>
        <v>12.7</v>
      </c>
      <c r="M7" s="11">
        <f>IFERROR(100/'Skjema total MA'!I7*K7,0)</f>
        <v>1.9628821488691761</v>
      </c>
    </row>
    <row r="8" spans="1:18" ht="15.75" x14ac:dyDescent="0.2">
      <c r="A8" s="20" t="s">
        <v>28</v>
      </c>
      <c r="B8" s="279">
        <v>122044</v>
      </c>
      <c r="C8" s="280">
        <v>139401.60000000001</v>
      </c>
      <c r="D8" s="164">
        <f>IF(AND(_xlfn.NUMBERVALUE(B8)=0,_xlfn.NUMBERVALUE(C8)=0),,IF(B8=0, "    ---- ", IF(ABS(ROUND(100/B8*C8-100,1))&lt;999,IF(ROUND(100/B8*C8-100,1)=0,"    ---- ",ROUND(100/B8*C8-100,1)),IF(ROUND(100/B8*C8-100,1)&gt;999,999,-999))))</f>
        <v>14.2</v>
      </c>
      <c r="E8" s="26">
        <f>IFERROR(100/'Skjema total MA'!C8*C8,0)</f>
        <v>5.601062846867972</v>
      </c>
      <c r="F8" s="283"/>
      <c r="G8" s="284"/>
      <c r="H8" s="164"/>
      <c r="I8" s="174"/>
      <c r="J8" s="232">
        <v>122044</v>
      </c>
      <c r="K8" s="285">
        <v>139401.60000000001</v>
      </c>
      <c r="L8" s="164">
        <f>IF(AND(_xlfn.NUMBERVALUE(J8)=0,_xlfn.NUMBERVALUE(K8)=0),,IF(J8=0, "    ---- ", IF(ABS(ROUND(100/J8*K8-100,1))&lt;999,IF(ROUND(100/J8*K8-100,1)=0,"    ---- ",ROUND(100/J8*K8-100,1)),IF(ROUND(100/J8*K8-100,1)&gt;999,999,-999))))</f>
        <v>14.2</v>
      </c>
      <c r="M8" s="26">
        <f>IFERROR(100/'Skjema total MA'!I8*K8,0)</f>
        <v>5.601062846867972</v>
      </c>
    </row>
    <row r="9" spans="1:18" ht="15.75" x14ac:dyDescent="0.2">
      <c r="A9" s="20" t="s">
        <v>27</v>
      </c>
      <c r="B9" s="279">
        <v>112659</v>
      </c>
      <c r="C9" s="280">
        <v>125025.5</v>
      </c>
      <c r="D9" s="164">
        <f t="shared" ref="D9:D10" si="0">IF(B9=0, "    ---- ", IF(ABS(ROUND(100/B9*C9-100,1))&lt;999,ROUND(100/B9*C9-100,1),IF(ROUND(100/B9*C9-100,1)&gt;999,999,-999)))</f>
        <v>11</v>
      </c>
      <c r="E9" s="26">
        <f>IFERROR(100/'Skjema total MA'!C9*C9,0)</f>
        <v>11.554803503275485</v>
      </c>
      <c r="F9" s="283"/>
      <c r="G9" s="284"/>
      <c r="H9" s="164"/>
      <c r="I9" s="174"/>
      <c r="J9" s="232">
        <v>112659</v>
      </c>
      <c r="K9" s="285">
        <v>125025.5</v>
      </c>
      <c r="L9" s="164">
        <f>IF(AND(_xlfn.NUMBERVALUE(J9)=0,_xlfn.NUMBERVALUE(K9)=0),,IF(J9=0, "    ---- ", IF(ABS(ROUND(100/J9*K9-100,1))&lt;999,IF(ROUND(100/J9*K9-100,1)=0,"    ---- ",ROUND(100/J9*K9-100,1)),IF(ROUND(100/J9*K9-100,1)&gt;999,999,-999))))</f>
        <v>11</v>
      </c>
      <c r="M9" s="26">
        <f>IFERROR(100/'Skjema total MA'!I9*K9,0)</f>
        <v>11.554803503275485</v>
      </c>
    </row>
    <row r="10" spans="1:18" ht="15.75" x14ac:dyDescent="0.2">
      <c r="A10" s="13" t="s">
        <v>25</v>
      </c>
      <c r="B10" s="308">
        <v>214223</v>
      </c>
      <c r="C10" s="309">
        <v>247746.4</v>
      </c>
      <c r="D10" s="169">
        <f t="shared" si="0"/>
        <v>15.6</v>
      </c>
      <c r="E10" s="11">
        <f>IFERROR(100/'Skjema total MA'!C10*C10,0)</f>
        <v>1.0306405724246439</v>
      </c>
      <c r="F10" s="308"/>
      <c r="G10" s="309"/>
      <c r="H10" s="169"/>
      <c r="I10" s="158"/>
      <c r="J10" s="306">
        <v>214223</v>
      </c>
      <c r="K10" s="307">
        <v>247746.4</v>
      </c>
      <c r="L10" s="425">
        <f t="shared" ref="L10" si="1">IF(J10=0, "    ---- ", IF(ABS(ROUND(100/J10*K10-100,1))&lt;999,ROUND(100/J10*K10-100,1),IF(ROUND(100/J10*K10-100,1)&gt;999,999,-999)))</f>
        <v>15.6</v>
      </c>
      <c r="M10" s="11">
        <f>IFERROR(100/'Skjema total MA'!I10*K10,0)</f>
        <v>0.37357155466944308</v>
      </c>
    </row>
    <row r="11" spans="1:18" s="42" customFormat="1" ht="15.75" x14ac:dyDescent="0.2">
      <c r="A11" s="13" t="s">
        <v>24</v>
      </c>
      <c r="B11" s="308"/>
      <c r="C11" s="309"/>
      <c r="D11" s="169"/>
      <c r="E11" s="11"/>
      <c r="F11" s="308"/>
      <c r="G11" s="309"/>
      <c r="H11" s="169"/>
      <c r="I11" s="158"/>
      <c r="J11" s="306"/>
      <c r="K11" s="307"/>
      <c r="L11" s="425"/>
      <c r="M11" s="11"/>
      <c r="N11" s="141"/>
      <c r="O11" s="146"/>
      <c r="R11" s="141"/>
    </row>
    <row r="12" spans="1:18" s="42" customFormat="1" ht="15.75" x14ac:dyDescent="0.2">
      <c r="A12" s="40" t="s">
        <v>23</v>
      </c>
      <c r="B12" s="310"/>
      <c r="C12" s="311"/>
      <c r="D12" s="167"/>
      <c r="E12" s="35"/>
      <c r="F12" s="310"/>
      <c r="G12" s="311"/>
      <c r="H12" s="167"/>
      <c r="I12" s="167"/>
      <c r="J12" s="312"/>
      <c r="K12" s="313"/>
      <c r="L12" s="426"/>
      <c r="M12" s="35"/>
      <c r="N12" s="141"/>
      <c r="O12" s="146"/>
    </row>
    <row r="13" spans="1:18" s="42" customFormat="1" x14ac:dyDescent="0.2">
      <c r="A13" s="166"/>
      <c r="B13" s="143"/>
      <c r="C13" s="32"/>
      <c r="D13" s="157"/>
      <c r="E13" s="157"/>
      <c r="F13" s="143"/>
      <c r="G13" s="32"/>
      <c r="H13" s="157"/>
      <c r="I13" s="157"/>
      <c r="J13" s="47"/>
      <c r="K13" s="47"/>
      <c r="L13" s="157"/>
      <c r="M13" s="157"/>
      <c r="N13" s="141"/>
      <c r="O13" s="423"/>
    </row>
    <row r="14" spans="1:18" x14ac:dyDescent="0.2">
      <c r="A14" s="151" t="s">
        <v>296</v>
      </c>
      <c r="B14" s="25"/>
    </row>
    <row r="15" spans="1:18" x14ac:dyDescent="0.2">
      <c r="F15" s="144"/>
      <c r="G15" s="144"/>
      <c r="H15" s="144"/>
      <c r="I15" s="144"/>
      <c r="J15" s="144"/>
      <c r="K15" s="144"/>
      <c r="L15" s="144"/>
      <c r="M15" s="144"/>
    </row>
    <row r="16" spans="1:18" s="3" customFormat="1" ht="15.75" x14ac:dyDescent="0.25">
      <c r="A16" s="162"/>
      <c r="B16" s="146"/>
      <c r="C16" s="152"/>
      <c r="D16" s="152"/>
      <c r="E16" s="152"/>
      <c r="F16" s="152"/>
      <c r="G16" s="152"/>
      <c r="H16" s="152"/>
      <c r="I16" s="152"/>
      <c r="J16" s="152"/>
      <c r="K16" s="152"/>
      <c r="L16" s="152"/>
      <c r="M16" s="152"/>
      <c r="N16" s="146"/>
      <c r="O16" s="146"/>
    </row>
    <row r="17" spans="1:15" ht="15.75" x14ac:dyDescent="0.25">
      <c r="A17" s="145" t="s">
        <v>293</v>
      </c>
      <c r="B17" s="155"/>
      <c r="C17" s="155"/>
      <c r="D17" s="149"/>
      <c r="E17" s="149"/>
      <c r="F17" s="155"/>
      <c r="G17" s="155"/>
      <c r="H17" s="155"/>
      <c r="I17" s="155"/>
      <c r="J17" s="155"/>
      <c r="K17" s="155"/>
      <c r="L17" s="155"/>
      <c r="M17" s="155"/>
    </row>
    <row r="18" spans="1:15" ht="15.75" x14ac:dyDescent="0.25">
      <c r="B18" s="963"/>
      <c r="C18" s="963"/>
      <c r="D18" s="963"/>
      <c r="E18" s="297"/>
      <c r="F18" s="963"/>
      <c r="G18" s="963"/>
      <c r="H18" s="963"/>
      <c r="I18" s="297"/>
      <c r="J18" s="963"/>
      <c r="K18" s="963"/>
      <c r="L18" s="963"/>
      <c r="M18" s="297"/>
    </row>
    <row r="19" spans="1:15" x14ac:dyDescent="0.2">
      <c r="A19" s="142"/>
      <c r="B19" s="960" t="s">
        <v>0</v>
      </c>
      <c r="C19" s="961"/>
      <c r="D19" s="961"/>
      <c r="E19" s="299"/>
      <c r="F19" s="960" t="s">
        <v>1</v>
      </c>
      <c r="G19" s="961"/>
      <c r="H19" s="961"/>
      <c r="I19" s="302"/>
      <c r="J19" s="960" t="s">
        <v>2</v>
      </c>
      <c r="K19" s="961"/>
      <c r="L19" s="961"/>
      <c r="M19" s="302"/>
    </row>
    <row r="20" spans="1:15" x14ac:dyDescent="0.2">
      <c r="A20" s="139" t="s">
        <v>5</v>
      </c>
      <c r="B20" s="240" t="s">
        <v>504</v>
      </c>
      <c r="C20" s="240" t="s">
        <v>505</v>
      </c>
      <c r="D20" s="160" t="s">
        <v>3</v>
      </c>
      <c r="E20" s="303" t="s">
        <v>32</v>
      </c>
      <c r="F20" s="240" t="s">
        <v>504</v>
      </c>
      <c r="G20" s="240" t="s">
        <v>505</v>
      </c>
      <c r="H20" s="160" t="s">
        <v>3</v>
      </c>
      <c r="I20" s="160" t="s">
        <v>32</v>
      </c>
      <c r="J20" s="240" t="s">
        <v>504</v>
      </c>
      <c r="K20" s="240" t="s">
        <v>505</v>
      </c>
      <c r="L20" s="160" t="s">
        <v>3</v>
      </c>
      <c r="M20" s="160" t="s">
        <v>32</v>
      </c>
    </row>
    <row r="21" spans="1:15" x14ac:dyDescent="0.2">
      <c r="A21" s="934"/>
      <c r="B21" s="154"/>
      <c r="C21" s="154"/>
      <c r="D21" s="245" t="s">
        <v>4</v>
      </c>
      <c r="E21" s="154" t="s">
        <v>33</v>
      </c>
      <c r="F21" s="159"/>
      <c r="G21" s="159"/>
      <c r="H21" s="243" t="s">
        <v>4</v>
      </c>
      <c r="I21" s="154" t="s">
        <v>33</v>
      </c>
      <c r="J21" s="159"/>
      <c r="K21" s="159"/>
      <c r="L21" s="154" t="s">
        <v>4</v>
      </c>
      <c r="M21" s="154" t="s">
        <v>33</v>
      </c>
    </row>
    <row r="22" spans="1:15" ht="15.75" x14ac:dyDescent="0.2">
      <c r="A22" s="14" t="s">
        <v>26</v>
      </c>
      <c r="B22" s="314">
        <f>B23+B24+B25+B26</f>
        <v>119712</v>
      </c>
      <c r="C22" s="314">
        <f>C23+C24+C25+C26</f>
        <v>124580.3</v>
      </c>
      <c r="D22" s="348">
        <f t="shared" ref="D22:D32" si="2">IF(B22=0, "    ---- ", IF(ABS(ROUND(100/B22*C22-100,1))&lt;999,ROUND(100/B22*C22-100,1),IF(ROUND(100/B22*C22-100,1)&gt;999,999,-999)))</f>
        <v>4.0999999999999996</v>
      </c>
      <c r="E22" s="11">
        <f>IFERROR(100/'Skjema total MA'!C22*C22,0)</f>
        <v>7.6364340898859453</v>
      </c>
      <c r="F22" s="314">
        <f>F23+F24+F25+F26</f>
        <v>6369</v>
      </c>
      <c r="G22" s="314">
        <f>G23+G24+G25+G26</f>
        <v>18304</v>
      </c>
      <c r="H22" s="348">
        <f t="shared" ref="H22:H29" si="3">IF(F22=0, "    ---- ", IF(ABS(ROUND(100/F22*G22-100,1))&lt;999,ROUND(100/F22*G22-100,1),IF(ROUND(100/F22*G22-100,1)&gt;999,999,-999)))</f>
        <v>187.4</v>
      </c>
      <c r="I22" s="11">
        <f>IFERROR(100/'Skjema total MA'!F22*G22,0)</f>
        <v>1.5774677610989014</v>
      </c>
      <c r="J22" s="314">
        <f t="shared" ref="J22:K33" si="4">SUM(B22,F22)</f>
        <v>126081</v>
      </c>
      <c r="K22" s="314">
        <f t="shared" si="4"/>
        <v>142884.29999999999</v>
      </c>
      <c r="L22" s="424">
        <f t="shared" ref="L22:L30" si="5">IF(J22=0, "    ---- ", IF(ABS(ROUND(100/J22*K22-100,1))&lt;999,ROUND(100/J22*K22-100,1),IF(ROUND(100/J22*K22-100,1)&gt;999,999,-999)))</f>
        <v>13.3</v>
      </c>
      <c r="M22" s="23">
        <f>IFERROR(100/'Skjema total MA'!I22*K22,0)</f>
        <v>5.1181195679508198</v>
      </c>
    </row>
    <row r="23" spans="1:15" ht="15.75" x14ac:dyDescent="0.2">
      <c r="A23" s="294" t="s">
        <v>305</v>
      </c>
      <c r="B23" s="288">
        <v>119118</v>
      </c>
      <c r="C23" s="288">
        <v>124030.6</v>
      </c>
      <c r="D23" s="164">
        <f t="shared" si="2"/>
        <v>4.0999999999999996</v>
      </c>
      <c r="E23" s="26">
        <f>IFERROR(100/'Skjema total MA'!C23*C23,0)</f>
        <v>7.9412906654788316</v>
      </c>
      <c r="F23" s="288"/>
      <c r="G23" s="288"/>
      <c r="H23" s="164"/>
      <c r="I23" s="414"/>
      <c r="J23" s="43">
        <f t="shared" si="4"/>
        <v>119118</v>
      </c>
      <c r="K23" s="43">
        <f t="shared" si="4"/>
        <v>124030.6</v>
      </c>
      <c r="L23" s="164">
        <f t="shared" si="5"/>
        <v>4.0999999999999996</v>
      </c>
      <c r="M23" s="22">
        <f>IFERROR(100/'Skjema total MA'!I23*K23,0)</f>
        <v>7.2301542240189249</v>
      </c>
    </row>
    <row r="24" spans="1:15" ht="15.75" x14ac:dyDescent="0.2">
      <c r="A24" s="294" t="s">
        <v>306</v>
      </c>
      <c r="B24" s="288"/>
      <c r="C24" s="288"/>
      <c r="D24" s="164"/>
      <c r="E24" s="414"/>
      <c r="F24" s="288"/>
      <c r="G24" s="288"/>
      <c r="H24" s="164"/>
      <c r="I24" s="414"/>
      <c r="J24" s="288"/>
      <c r="K24" s="288"/>
      <c r="L24" s="164"/>
      <c r="M24" s="22"/>
    </row>
    <row r="25" spans="1:15" ht="15.75" x14ac:dyDescent="0.2">
      <c r="A25" s="294" t="s">
        <v>406</v>
      </c>
      <c r="B25" s="288">
        <v>594</v>
      </c>
      <c r="C25" s="288">
        <v>549.70000000000005</v>
      </c>
      <c r="D25" s="164">
        <f t="shared" si="2"/>
        <v>-7.5</v>
      </c>
      <c r="E25" s="26">
        <f>IFERROR(100/'Skjema total MA'!C25*C25,0)</f>
        <v>1.8616540116865949</v>
      </c>
      <c r="F25" s="288">
        <v>6369</v>
      </c>
      <c r="G25" s="288">
        <v>7559</v>
      </c>
      <c r="H25" s="164">
        <f t="shared" ref="H25" si="6">IF(F25=0, "    ---- ", IF(ABS(ROUND(100/F25*G25-100,1))&lt;999,ROUND(100/F25*G25-100,1),IF(ROUND(100/F25*G25-100,1)&gt;999,999,-999)))</f>
        <v>18.7</v>
      </c>
      <c r="I25" s="414">
        <f>IFERROR(100/'Skjema total MA'!F25*G25,0)</f>
        <v>3.7269603967589178</v>
      </c>
      <c r="J25" s="43">
        <f t="shared" si="4"/>
        <v>6963</v>
      </c>
      <c r="K25" s="43">
        <f t="shared" si="4"/>
        <v>8108.7</v>
      </c>
      <c r="L25" s="164">
        <f t="shared" ref="L25:L26" si="7">IF(J25=0, "    ---- ", IF(ABS(ROUND(100/J25*K25-100,1))&lt;999,ROUND(100/J25*K25-100,1),IF(ROUND(100/J25*K25-100,1)&gt;999,999,-999)))</f>
        <v>16.5</v>
      </c>
      <c r="M25" s="22">
        <f>IFERROR(100/'Skjema total MA'!I25*K25,0)</f>
        <v>3.4899103828302751</v>
      </c>
    </row>
    <row r="26" spans="1:15" ht="15.75" x14ac:dyDescent="0.2">
      <c r="A26" s="294" t="s">
        <v>307</v>
      </c>
      <c r="B26" s="288"/>
      <c r="C26" s="288"/>
      <c r="D26" s="164"/>
      <c r="E26" s="414"/>
      <c r="F26" s="288">
        <v>0</v>
      </c>
      <c r="G26" s="288">
        <v>10745</v>
      </c>
      <c r="H26" s="164" t="str">
        <f t="shared" ref="H26" si="8">IF(F26=0, "    ---- ", IF(ABS(ROUND(100/F26*G26-100,1))&lt;999,ROUND(100/F26*G26-100,1),IF(ROUND(100/F26*G26-100,1)&gt;999,999,-999)))</f>
        <v xml:space="preserve">    ---- </v>
      </c>
      <c r="I26" s="414">
        <f>IFERROR(100/'Skjema total MA'!F26*G26,0)</f>
        <v>1.3379608239228555</v>
      </c>
      <c r="J26" s="43">
        <f t="shared" si="4"/>
        <v>0</v>
      </c>
      <c r="K26" s="43">
        <f t="shared" si="4"/>
        <v>10745</v>
      </c>
      <c r="L26" s="164" t="str">
        <f t="shared" si="7"/>
        <v xml:space="preserve">    ---- </v>
      </c>
      <c r="M26" s="22">
        <f>IFERROR(100/'Skjema total MA'!I26*K26,0)</f>
        <v>1.3379608239228555</v>
      </c>
    </row>
    <row r="27" spans="1:15" x14ac:dyDescent="0.2">
      <c r="A27" s="294" t="s">
        <v>11</v>
      </c>
      <c r="B27" s="288"/>
      <c r="C27" s="288"/>
      <c r="D27" s="164"/>
      <c r="E27" s="414"/>
      <c r="F27" s="288"/>
      <c r="G27" s="288"/>
      <c r="H27" s="164"/>
      <c r="I27" s="414"/>
      <c r="J27" s="288"/>
      <c r="K27" s="288"/>
      <c r="L27" s="164"/>
      <c r="M27" s="22"/>
    </row>
    <row r="28" spans="1:15" ht="15.75" x14ac:dyDescent="0.2">
      <c r="A28" s="48" t="s">
        <v>297</v>
      </c>
      <c r="B28" s="43">
        <v>118524</v>
      </c>
      <c r="C28" s="285">
        <v>123480.9</v>
      </c>
      <c r="D28" s="164">
        <f t="shared" si="2"/>
        <v>4.2</v>
      </c>
      <c r="E28" s="26">
        <f>IFERROR(100/'Skjema total MA'!C28*C28,0)</f>
        <v>7.6424512882914177</v>
      </c>
      <c r="F28" s="232"/>
      <c r="G28" s="285"/>
      <c r="H28" s="164"/>
      <c r="I28" s="26"/>
      <c r="J28" s="43">
        <f t="shared" si="4"/>
        <v>118524</v>
      </c>
      <c r="K28" s="43">
        <f t="shared" si="4"/>
        <v>123480.9</v>
      </c>
      <c r="L28" s="253">
        <f t="shared" si="5"/>
        <v>4.2</v>
      </c>
      <c r="M28" s="22">
        <f>IFERROR(100/'Skjema total MA'!I28*K28,0)</f>
        <v>7.6424512882914177</v>
      </c>
    </row>
    <row r="29" spans="1:15" s="3" customFormat="1" ht="15.75" x14ac:dyDescent="0.2">
      <c r="A29" s="13" t="s">
        <v>25</v>
      </c>
      <c r="B29" s="234">
        <f>B30+B31+B32+B33</f>
        <v>322957</v>
      </c>
      <c r="C29" s="234">
        <f>C30+C31+C32+C33</f>
        <v>376555.49</v>
      </c>
      <c r="D29" s="169">
        <f t="shared" si="2"/>
        <v>16.600000000000001</v>
      </c>
      <c r="E29" s="11">
        <f>IFERROR(100/'Skjema total MA'!C29*C29,0)</f>
        <v>0.76157136267215619</v>
      </c>
      <c r="F29" s="234">
        <f>F30+F31+F32+F33</f>
        <v>77441</v>
      </c>
      <c r="G29" s="234">
        <f>G30+G31+G32+G33</f>
        <v>115856</v>
      </c>
      <c r="H29" s="169">
        <f t="shared" si="3"/>
        <v>49.6</v>
      </c>
      <c r="I29" s="11">
        <f>IFERROR(100/'Skjema total MA'!F29*G29,0)</f>
        <v>0.55940196966999012</v>
      </c>
      <c r="J29" s="234">
        <f t="shared" si="4"/>
        <v>400398</v>
      </c>
      <c r="K29" s="234">
        <f t="shared" si="4"/>
        <v>492411.49</v>
      </c>
      <c r="L29" s="425">
        <f t="shared" si="5"/>
        <v>23</v>
      </c>
      <c r="M29" s="23">
        <f>IFERROR(100/'Skjema total MA'!I29*K29,0)</f>
        <v>0.70188846847858255</v>
      </c>
      <c r="N29" s="146"/>
      <c r="O29" s="146"/>
    </row>
    <row r="30" spans="1:15" s="3" customFormat="1" ht="15.75" x14ac:dyDescent="0.2">
      <c r="A30" s="294" t="s">
        <v>305</v>
      </c>
      <c r="B30" s="288">
        <v>321279</v>
      </c>
      <c r="C30" s="288">
        <v>374895.17</v>
      </c>
      <c r="D30" s="164">
        <f t="shared" si="2"/>
        <v>16.7</v>
      </c>
      <c r="E30" s="26">
        <f>IFERROR(100/'Skjema total MA'!C30*C30,0)</f>
        <v>2.9147859068036319</v>
      </c>
      <c r="F30" s="288"/>
      <c r="G30" s="288"/>
      <c r="H30" s="164"/>
      <c r="I30" s="414"/>
      <c r="J30" s="43">
        <f t="shared" si="4"/>
        <v>321279</v>
      </c>
      <c r="K30" s="43">
        <f t="shared" si="4"/>
        <v>374895.17</v>
      </c>
      <c r="L30" s="164">
        <f t="shared" si="5"/>
        <v>16.7</v>
      </c>
      <c r="M30" s="22">
        <f>IFERROR(100/'Skjema total MA'!I30*K30,0)</f>
        <v>2.1593372768130674</v>
      </c>
      <c r="N30" s="146"/>
      <c r="O30" s="146"/>
    </row>
    <row r="31" spans="1:15" s="3" customFormat="1" ht="15.75" x14ac:dyDescent="0.2">
      <c r="A31" s="294" t="s">
        <v>306</v>
      </c>
      <c r="B31" s="288"/>
      <c r="C31" s="288"/>
      <c r="D31" s="164"/>
      <c r="E31" s="26"/>
      <c r="F31" s="288"/>
      <c r="G31" s="288"/>
      <c r="H31" s="164"/>
      <c r="I31" s="414"/>
      <c r="J31" s="288"/>
      <c r="K31" s="288"/>
      <c r="L31" s="164"/>
      <c r="M31" s="22"/>
      <c r="N31" s="146"/>
      <c r="O31" s="146"/>
    </row>
    <row r="32" spans="1:15" ht="15.75" x14ac:dyDescent="0.2">
      <c r="A32" s="294" t="s">
        <v>406</v>
      </c>
      <c r="B32" s="288">
        <v>1678</v>
      </c>
      <c r="C32" s="288">
        <v>1660.32</v>
      </c>
      <c r="D32" s="164">
        <f t="shared" si="2"/>
        <v>-1.1000000000000001</v>
      </c>
      <c r="E32" s="26">
        <f>IFERROR(100/'Skjema total MA'!C32*C32,0)</f>
        <v>0.1260303188449107</v>
      </c>
      <c r="F32" s="288">
        <v>77441</v>
      </c>
      <c r="G32" s="288">
        <v>105111</v>
      </c>
      <c r="H32" s="164">
        <f t="shared" ref="H32:H33" si="9">IF(F32=0, "    ---- ", IF(ABS(ROUND(100/F32*G32-100,1))&lt;999,ROUND(100/F32*G32-100,1),IF(ROUND(100/F32*G32-100,1)&gt;999,999,-999)))</f>
        <v>35.700000000000003</v>
      </c>
      <c r="I32" s="414">
        <f>IFERROR(100/'Skjema total MA'!F32*G32,0)</f>
        <v>2.5438212969371516</v>
      </c>
      <c r="J32" s="43">
        <f t="shared" si="4"/>
        <v>79119</v>
      </c>
      <c r="K32" s="43">
        <f t="shared" si="4"/>
        <v>106771.32</v>
      </c>
      <c r="L32" s="164">
        <f t="shared" ref="L32:L33" si="10">IF(J32=0, "    ---- ", IF(ABS(ROUND(100/J32*K32-100,1))&lt;999,ROUND(100/J32*K32-100,1),IF(ROUND(100/J32*K32-100,1)&gt;999,999,-999)))</f>
        <v>35</v>
      </c>
      <c r="M32" s="22">
        <f>IFERROR(100/'Skjema total MA'!I32*K32,0)</f>
        <v>1.9593191730991224</v>
      </c>
    </row>
    <row r="33" spans="1:15" ht="15.75" x14ac:dyDescent="0.2">
      <c r="A33" s="294" t="s">
        <v>307</v>
      </c>
      <c r="B33" s="288"/>
      <c r="C33" s="288"/>
      <c r="D33" s="164"/>
      <c r="E33" s="414"/>
      <c r="F33" s="288">
        <v>0</v>
      </c>
      <c r="G33" s="288">
        <v>10745</v>
      </c>
      <c r="H33" s="164" t="str">
        <f t="shared" si="9"/>
        <v xml:space="preserve">    ---- </v>
      </c>
      <c r="I33" s="414">
        <f>IFERROR(100/'Skjema total MA'!F34*G33,0)</f>
        <v>59.295463323912237</v>
      </c>
      <c r="J33" s="43">
        <f t="shared" si="4"/>
        <v>0</v>
      </c>
      <c r="K33" s="43">
        <f t="shared" si="4"/>
        <v>10745</v>
      </c>
      <c r="L33" s="164" t="str">
        <f t="shared" si="10"/>
        <v xml:space="preserve">    ---- </v>
      </c>
      <c r="M33" s="22">
        <f>IFERROR(100/'Skjema total MA'!I34*K33,0)</f>
        <v>18.195907607377094</v>
      </c>
    </row>
    <row r="34" spans="1:15" ht="15.75" x14ac:dyDescent="0.2">
      <c r="A34" s="13" t="s">
        <v>24</v>
      </c>
      <c r="B34" s="234"/>
      <c r="C34" s="307"/>
      <c r="D34" s="169"/>
      <c r="E34" s="11"/>
      <c r="F34" s="306"/>
      <c r="G34" s="307"/>
      <c r="H34" s="169"/>
      <c r="I34" s="11"/>
      <c r="J34" s="234"/>
      <c r="K34" s="234"/>
      <c r="L34" s="425"/>
      <c r="M34" s="23"/>
    </row>
    <row r="35" spans="1:15" ht="15.75" x14ac:dyDescent="0.2">
      <c r="A35" s="13" t="s">
        <v>23</v>
      </c>
      <c r="B35" s="234"/>
      <c r="C35" s="307"/>
      <c r="D35" s="169"/>
      <c r="E35" s="11"/>
      <c r="F35" s="306"/>
      <c r="G35" s="307"/>
      <c r="H35" s="169"/>
      <c r="I35" s="11"/>
      <c r="J35" s="234"/>
      <c r="K35" s="234"/>
      <c r="L35" s="425"/>
      <c r="M35" s="23"/>
    </row>
    <row r="36" spans="1:15" ht="15.75" x14ac:dyDescent="0.2">
      <c r="A36" s="12" t="s">
        <v>308</v>
      </c>
      <c r="B36" s="234"/>
      <c r="C36" s="307"/>
      <c r="D36" s="169"/>
      <c r="E36" s="11"/>
      <c r="F36" s="317"/>
      <c r="G36" s="318"/>
      <c r="H36" s="169"/>
      <c r="I36" s="431"/>
      <c r="J36" s="234"/>
      <c r="K36" s="234"/>
      <c r="L36" s="425"/>
      <c r="M36" s="23"/>
    </row>
    <row r="37" spans="1:15" ht="15.75" x14ac:dyDescent="0.2">
      <c r="A37" s="12" t="s">
        <v>309</v>
      </c>
      <c r="B37" s="234"/>
      <c r="C37" s="307"/>
      <c r="D37" s="169"/>
      <c r="E37" s="11"/>
      <c r="F37" s="317"/>
      <c r="G37" s="319"/>
      <c r="H37" s="169"/>
      <c r="I37" s="431"/>
      <c r="J37" s="234"/>
      <c r="K37" s="234"/>
      <c r="L37" s="425"/>
      <c r="M37" s="23"/>
    </row>
    <row r="38" spans="1:15" ht="15.75" x14ac:dyDescent="0.2">
      <c r="A38" s="12" t="s">
        <v>310</v>
      </c>
      <c r="B38" s="234"/>
      <c r="C38" s="307"/>
      <c r="D38" s="169"/>
      <c r="E38" s="11"/>
      <c r="F38" s="317"/>
      <c r="G38" s="318"/>
      <c r="H38" s="169"/>
      <c r="I38" s="431"/>
      <c r="J38" s="234"/>
      <c r="K38" s="234"/>
      <c r="L38" s="425"/>
      <c r="M38" s="23"/>
    </row>
    <row r="39" spans="1:15" ht="15.75" x14ac:dyDescent="0.2">
      <c r="A39" s="18" t="s">
        <v>311</v>
      </c>
      <c r="B39" s="274"/>
      <c r="C39" s="313"/>
      <c r="D39" s="167"/>
      <c r="E39" s="11"/>
      <c r="F39" s="320"/>
      <c r="G39" s="321"/>
      <c r="H39" s="167"/>
      <c r="I39" s="35"/>
      <c r="J39" s="234"/>
      <c r="K39" s="234"/>
      <c r="L39" s="426"/>
      <c r="M39" s="35"/>
    </row>
    <row r="40" spans="1:15" ht="15.75" x14ac:dyDescent="0.25">
      <c r="A40" s="46"/>
      <c r="B40" s="252"/>
      <c r="C40" s="252"/>
      <c r="D40" s="964"/>
      <c r="E40" s="964"/>
      <c r="F40" s="964"/>
      <c r="G40" s="964"/>
      <c r="H40" s="964"/>
      <c r="I40" s="964"/>
      <c r="J40" s="964"/>
      <c r="K40" s="964"/>
      <c r="L40" s="964"/>
      <c r="M40" s="300"/>
    </row>
    <row r="41" spans="1:15" x14ac:dyDescent="0.2">
      <c r="A41" s="153"/>
    </row>
    <row r="42" spans="1:15" ht="15.75" x14ac:dyDescent="0.25">
      <c r="A42" s="145" t="s">
        <v>294</v>
      </c>
      <c r="B42" s="965"/>
      <c r="C42" s="965"/>
      <c r="D42" s="965"/>
      <c r="E42" s="297"/>
      <c r="F42" s="966"/>
      <c r="G42" s="966"/>
      <c r="H42" s="966"/>
      <c r="I42" s="300"/>
      <c r="J42" s="966"/>
      <c r="K42" s="966"/>
      <c r="L42" s="966"/>
      <c r="M42" s="300"/>
    </row>
    <row r="43" spans="1:15" ht="15.75" x14ac:dyDescent="0.25">
      <c r="A43" s="161"/>
      <c r="B43" s="301"/>
      <c r="C43" s="301"/>
      <c r="D43" s="301"/>
      <c r="E43" s="301"/>
      <c r="F43" s="300"/>
      <c r="G43" s="300"/>
      <c r="H43" s="300"/>
      <c r="I43" s="300"/>
      <c r="J43" s="300"/>
      <c r="K43" s="300"/>
      <c r="L43" s="300"/>
      <c r="M43" s="300"/>
    </row>
    <row r="44" spans="1:15" ht="15.75" x14ac:dyDescent="0.25">
      <c r="A44" s="246"/>
      <c r="B44" s="960" t="s">
        <v>0</v>
      </c>
      <c r="C44" s="961"/>
      <c r="D44" s="961"/>
      <c r="E44" s="241"/>
      <c r="F44" s="300"/>
      <c r="G44" s="300"/>
      <c r="H44" s="300"/>
      <c r="I44" s="300"/>
      <c r="J44" s="300"/>
      <c r="K44" s="300"/>
      <c r="L44" s="300"/>
      <c r="M44" s="300"/>
    </row>
    <row r="45" spans="1:15" s="3" customFormat="1" x14ac:dyDescent="0.2">
      <c r="A45" s="139"/>
      <c r="B45" s="171" t="s">
        <v>504</v>
      </c>
      <c r="C45" s="171" t="s">
        <v>505</v>
      </c>
      <c r="D45" s="160" t="s">
        <v>3</v>
      </c>
      <c r="E45" s="160" t="s">
        <v>32</v>
      </c>
      <c r="F45" s="173"/>
      <c r="G45" s="173"/>
      <c r="H45" s="172"/>
      <c r="I45" s="172"/>
      <c r="J45" s="173"/>
      <c r="K45" s="173"/>
      <c r="L45" s="172"/>
      <c r="M45" s="172"/>
      <c r="N45" s="146"/>
      <c r="O45" s="146"/>
    </row>
    <row r="46" spans="1:15" s="3" customFormat="1" x14ac:dyDescent="0.2">
      <c r="A46" s="934"/>
      <c r="B46" s="242"/>
      <c r="C46" s="242"/>
      <c r="D46" s="243" t="s">
        <v>4</v>
      </c>
      <c r="E46" s="154" t="s">
        <v>33</v>
      </c>
      <c r="F46" s="172"/>
      <c r="G46" s="172"/>
      <c r="H46" s="172"/>
      <c r="I46" s="172"/>
      <c r="J46" s="172"/>
      <c r="K46" s="172"/>
      <c r="L46" s="172"/>
      <c r="M46" s="172"/>
      <c r="N46" s="146"/>
      <c r="O46" s="146"/>
    </row>
    <row r="47" spans="1:15" s="3" customFormat="1" ht="15.75" x14ac:dyDescent="0.2">
      <c r="A47" s="14" t="s">
        <v>26</v>
      </c>
      <c r="B47" s="308">
        <f>SUM(B48:B49)</f>
        <v>28305</v>
      </c>
      <c r="C47" s="309">
        <f>SUM(C48:C49)</f>
        <v>29231.8</v>
      </c>
      <c r="D47" s="424">
        <f t="shared" ref="D47:D48" si="11">IF(B47=0, "    ---- ", IF(ABS(ROUND(100/B47*C47-100,1))&lt;999,ROUND(100/B47*C47-100,1),IF(ROUND(100/B47*C47-100,1)&gt;999,999,-999)))</f>
        <v>3.3</v>
      </c>
      <c r="E47" s="11">
        <f>IFERROR(100/'Skjema total MA'!C47*C47,0)</f>
        <v>0.76752406969740494</v>
      </c>
      <c r="F47" s="143"/>
      <c r="G47" s="32"/>
      <c r="H47" s="157"/>
      <c r="I47" s="157"/>
      <c r="J47" s="36"/>
      <c r="K47" s="36"/>
      <c r="L47" s="157"/>
      <c r="M47" s="157"/>
      <c r="N47" s="146"/>
      <c r="O47" s="146"/>
    </row>
    <row r="48" spans="1:15" s="3" customFormat="1" ht="15.75" x14ac:dyDescent="0.2">
      <c r="A48" s="37" t="s">
        <v>312</v>
      </c>
      <c r="B48" s="279">
        <v>28305</v>
      </c>
      <c r="C48" s="280">
        <v>29231.8</v>
      </c>
      <c r="D48" s="253">
        <f t="shared" si="11"/>
        <v>3.3</v>
      </c>
      <c r="E48" s="26">
        <f>IFERROR(100/'Skjema total MA'!C48*C48,0)</f>
        <v>1.4265273164167673</v>
      </c>
      <c r="F48" s="143"/>
      <c r="G48" s="32"/>
      <c r="H48" s="143"/>
      <c r="I48" s="143"/>
      <c r="J48" s="32"/>
      <c r="K48" s="32"/>
      <c r="L48" s="157"/>
      <c r="M48" s="157"/>
      <c r="N48" s="146"/>
      <c r="O48" s="146"/>
    </row>
    <row r="49" spans="1:15" s="3" customFormat="1" ht="15.75" x14ac:dyDescent="0.2">
      <c r="A49" s="37" t="s">
        <v>313</v>
      </c>
      <c r="B49" s="43"/>
      <c r="C49" s="285"/>
      <c r="D49" s="253"/>
      <c r="E49" s="26"/>
      <c r="F49" s="143"/>
      <c r="G49" s="32"/>
      <c r="H49" s="143"/>
      <c r="I49" s="143"/>
      <c r="J49" s="36"/>
      <c r="K49" s="36"/>
      <c r="L49" s="157"/>
      <c r="M49" s="157"/>
      <c r="N49" s="146"/>
      <c r="O49" s="146"/>
    </row>
    <row r="50" spans="1:15" s="3" customFormat="1" x14ac:dyDescent="0.2">
      <c r="A50" s="294" t="s">
        <v>6</v>
      </c>
      <c r="B50" s="288"/>
      <c r="C50" s="289"/>
      <c r="D50" s="253"/>
      <c r="E50" s="22"/>
      <c r="F50" s="143"/>
      <c r="G50" s="32"/>
      <c r="H50" s="143"/>
      <c r="I50" s="143"/>
      <c r="J50" s="32"/>
      <c r="K50" s="32"/>
      <c r="L50" s="157"/>
      <c r="M50" s="157"/>
      <c r="N50" s="146"/>
      <c r="O50" s="146"/>
    </row>
    <row r="51" spans="1:15" s="3" customFormat="1" x14ac:dyDescent="0.2">
      <c r="A51" s="294" t="s">
        <v>7</v>
      </c>
      <c r="B51" s="288"/>
      <c r="C51" s="289"/>
      <c r="D51" s="253"/>
      <c r="E51" s="22"/>
      <c r="F51" s="143"/>
      <c r="G51" s="32"/>
      <c r="H51" s="143"/>
      <c r="I51" s="143"/>
      <c r="J51" s="32"/>
      <c r="K51" s="32"/>
      <c r="L51" s="157"/>
      <c r="M51" s="157"/>
      <c r="N51" s="146"/>
      <c r="O51" s="146"/>
    </row>
    <row r="52" spans="1:15" s="3" customFormat="1" x14ac:dyDescent="0.2">
      <c r="A52" s="294" t="s">
        <v>8</v>
      </c>
      <c r="B52" s="288"/>
      <c r="C52" s="289"/>
      <c r="D52" s="253"/>
      <c r="E52" s="22"/>
      <c r="F52" s="143"/>
      <c r="G52" s="32"/>
      <c r="H52" s="143"/>
      <c r="I52" s="143"/>
      <c r="J52" s="32"/>
      <c r="K52" s="32"/>
      <c r="L52" s="157"/>
      <c r="M52" s="157"/>
      <c r="N52" s="146"/>
      <c r="O52" s="146"/>
    </row>
    <row r="53" spans="1:15" s="3" customFormat="1" ht="15.75" x14ac:dyDescent="0.2">
      <c r="A53" s="38" t="s">
        <v>314</v>
      </c>
      <c r="B53" s="308"/>
      <c r="C53" s="309"/>
      <c r="D53" s="425"/>
      <c r="E53" s="11"/>
      <c r="F53" s="143"/>
      <c r="G53" s="32"/>
      <c r="H53" s="143"/>
      <c r="I53" s="143"/>
      <c r="J53" s="32"/>
      <c r="K53" s="32"/>
      <c r="L53" s="157"/>
      <c r="M53" s="157"/>
      <c r="N53" s="146"/>
      <c r="O53" s="146"/>
    </row>
    <row r="54" spans="1:15" s="3" customFormat="1" ht="15.75" x14ac:dyDescent="0.2">
      <c r="A54" s="37" t="s">
        <v>312</v>
      </c>
      <c r="B54" s="279"/>
      <c r="C54" s="280"/>
      <c r="D54" s="253"/>
      <c r="E54" s="26"/>
      <c r="F54" s="143"/>
      <c r="G54" s="32"/>
      <c r="H54" s="143"/>
      <c r="I54" s="143"/>
      <c r="J54" s="32"/>
      <c r="K54" s="32"/>
      <c r="L54" s="157"/>
      <c r="M54" s="157"/>
      <c r="N54" s="146"/>
      <c r="O54" s="146"/>
    </row>
    <row r="55" spans="1:15" s="3" customFormat="1" ht="15.75" x14ac:dyDescent="0.2">
      <c r="A55" s="37" t="s">
        <v>313</v>
      </c>
      <c r="B55" s="279"/>
      <c r="C55" s="280"/>
      <c r="D55" s="253"/>
      <c r="E55" s="26"/>
      <c r="F55" s="143"/>
      <c r="G55" s="32"/>
      <c r="H55" s="143"/>
      <c r="I55" s="143"/>
      <c r="J55" s="32"/>
      <c r="K55" s="32"/>
      <c r="L55" s="157"/>
      <c r="M55" s="157"/>
      <c r="N55" s="146"/>
      <c r="O55" s="146"/>
    </row>
    <row r="56" spans="1:15" s="3" customFormat="1" ht="15.75" x14ac:dyDescent="0.2">
      <c r="A56" s="38" t="s">
        <v>315</v>
      </c>
      <c r="B56" s="308"/>
      <c r="C56" s="309"/>
      <c r="D56" s="425"/>
      <c r="E56" s="11"/>
      <c r="F56" s="143"/>
      <c r="G56" s="32"/>
      <c r="H56" s="143"/>
      <c r="I56" s="143"/>
      <c r="J56" s="32"/>
      <c r="K56" s="32"/>
      <c r="L56" s="157"/>
      <c r="M56" s="157"/>
      <c r="N56" s="146"/>
      <c r="O56" s="146"/>
    </row>
    <row r="57" spans="1:15" s="3" customFormat="1" ht="15.75" x14ac:dyDescent="0.2">
      <c r="A57" s="37" t="s">
        <v>312</v>
      </c>
      <c r="B57" s="279"/>
      <c r="C57" s="280"/>
      <c r="D57" s="253"/>
      <c r="E57" s="26"/>
      <c r="F57" s="143"/>
      <c r="G57" s="32"/>
      <c r="H57" s="143"/>
      <c r="I57" s="143"/>
      <c r="J57" s="32"/>
      <c r="K57" s="32"/>
      <c r="L57" s="157"/>
      <c r="M57" s="157"/>
      <c r="N57" s="146"/>
      <c r="O57" s="146"/>
    </row>
    <row r="58" spans="1:15" s="3" customFormat="1" ht="15.75" x14ac:dyDescent="0.2">
      <c r="A58" s="45" t="s">
        <v>313</v>
      </c>
      <c r="B58" s="281"/>
      <c r="C58" s="282"/>
      <c r="D58" s="254"/>
      <c r="E58" s="21"/>
      <c r="F58" s="143"/>
      <c r="G58" s="32"/>
      <c r="H58" s="143"/>
      <c r="I58" s="143"/>
      <c r="J58" s="32"/>
      <c r="K58" s="32"/>
      <c r="L58" s="157"/>
      <c r="M58" s="157"/>
      <c r="N58" s="146"/>
      <c r="O58" s="146"/>
    </row>
    <row r="59" spans="1:15" s="3" customFormat="1" ht="15.75" x14ac:dyDescent="0.25">
      <c r="A59" s="162"/>
      <c r="B59" s="152"/>
      <c r="C59" s="152"/>
      <c r="D59" s="152"/>
      <c r="E59" s="152"/>
      <c r="F59" s="140"/>
      <c r="G59" s="140"/>
      <c r="H59" s="140"/>
      <c r="I59" s="140"/>
      <c r="J59" s="140"/>
      <c r="K59" s="140"/>
      <c r="L59" s="140"/>
      <c r="M59" s="140"/>
      <c r="N59" s="146"/>
      <c r="O59" s="146"/>
    </row>
    <row r="60" spans="1:15" x14ac:dyDescent="0.2">
      <c r="A60" s="153"/>
    </row>
    <row r="61" spans="1:15" ht="15.75" x14ac:dyDescent="0.25">
      <c r="A61" s="145" t="s">
        <v>295</v>
      </c>
      <c r="C61" s="25"/>
      <c r="D61" s="25"/>
      <c r="E61" s="25"/>
      <c r="F61" s="25"/>
      <c r="G61" s="25"/>
      <c r="H61" s="25"/>
      <c r="I61" s="25"/>
      <c r="J61" s="25"/>
      <c r="K61" s="25"/>
      <c r="L61" s="25"/>
      <c r="M61" s="25"/>
    </row>
    <row r="62" spans="1:15" ht="15.75" x14ac:dyDescent="0.25">
      <c r="B62" s="963"/>
      <c r="C62" s="963"/>
      <c r="D62" s="963"/>
      <c r="E62" s="297"/>
      <c r="F62" s="963"/>
      <c r="G62" s="963"/>
      <c r="H62" s="963"/>
      <c r="I62" s="297"/>
      <c r="J62" s="963"/>
      <c r="K62" s="963"/>
      <c r="L62" s="963"/>
      <c r="M62" s="297"/>
    </row>
    <row r="63" spans="1:15" x14ac:dyDescent="0.2">
      <c r="A63" s="142"/>
      <c r="B63" s="960" t="s">
        <v>0</v>
      </c>
      <c r="C63" s="961"/>
      <c r="D63" s="962"/>
      <c r="E63" s="298"/>
      <c r="F63" s="961" t="s">
        <v>1</v>
      </c>
      <c r="G63" s="961"/>
      <c r="H63" s="961"/>
      <c r="I63" s="302"/>
      <c r="J63" s="960" t="s">
        <v>2</v>
      </c>
      <c r="K63" s="961"/>
      <c r="L63" s="961"/>
      <c r="M63" s="302"/>
    </row>
    <row r="64" spans="1:15" x14ac:dyDescent="0.2">
      <c r="A64" s="139"/>
      <c r="B64" s="150" t="s">
        <v>504</v>
      </c>
      <c r="C64" s="150" t="s">
        <v>505</v>
      </c>
      <c r="D64" s="243" t="s">
        <v>3</v>
      </c>
      <c r="E64" s="303" t="s">
        <v>32</v>
      </c>
      <c r="F64" s="150" t="s">
        <v>504</v>
      </c>
      <c r="G64" s="150" t="s">
        <v>505</v>
      </c>
      <c r="H64" s="243" t="s">
        <v>3</v>
      </c>
      <c r="I64" s="303" t="s">
        <v>32</v>
      </c>
      <c r="J64" s="150" t="s">
        <v>504</v>
      </c>
      <c r="K64" s="150" t="s">
        <v>505</v>
      </c>
      <c r="L64" s="243" t="s">
        <v>3</v>
      </c>
      <c r="M64" s="160" t="s">
        <v>32</v>
      </c>
    </row>
    <row r="65" spans="1:15" x14ac:dyDescent="0.2">
      <c r="A65" s="934"/>
      <c r="B65" s="154"/>
      <c r="C65" s="154"/>
      <c r="D65" s="245" t="s">
        <v>4</v>
      </c>
      <c r="E65" s="154" t="s">
        <v>33</v>
      </c>
      <c r="F65" s="159"/>
      <c r="G65" s="159"/>
      <c r="H65" s="243" t="s">
        <v>4</v>
      </c>
      <c r="I65" s="154" t="s">
        <v>33</v>
      </c>
      <c r="J65" s="159"/>
      <c r="K65" s="204"/>
      <c r="L65" s="154" t="s">
        <v>4</v>
      </c>
      <c r="M65" s="154" t="s">
        <v>33</v>
      </c>
    </row>
    <row r="66" spans="1:15" ht="15.75" x14ac:dyDescent="0.2">
      <c r="A66" s="14" t="s">
        <v>26</v>
      </c>
      <c r="B66" s="350">
        <f>B67+B68+B75+B76</f>
        <v>70271</v>
      </c>
      <c r="C66" s="350">
        <f>C67+C68+C75+C76</f>
        <v>76453.100000000006</v>
      </c>
      <c r="D66" s="348">
        <f t="shared" ref="D66:D111" si="12">IF(B66=0, "    ---- ", IF(ABS(ROUND(100/B66*C66-100,1))&lt;999,ROUND(100/B66*C66-100,1),IF(ROUND(100/B66*C66-100,1)&gt;999,999,-999)))</f>
        <v>8.8000000000000007</v>
      </c>
      <c r="E66" s="11">
        <f>IFERROR(100/'Skjema total MA'!C66*C66,0)</f>
        <v>0.77577366387682989</v>
      </c>
      <c r="F66" s="350">
        <f>F67+F68+F75+F76</f>
        <v>310947</v>
      </c>
      <c r="G66" s="350">
        <f>G67+G68+G75+G76</f>
        <v>349724</v>
      </c>
      <c r="H66" s="348">
        <f t="shared" ref="H66:H111" si="13">IF(F66=0, "    ---- ", IF(ABS(ROUND(100/F66*G66-100,1))&lt;999,ROUND(100/F66*G66-100,1),IF(ROUND(100/F66*G66-100,1)&gt;999,999,-999)))</f>
        <v>12.5</v>
      </c>
      <c r="I66" s="11">
        <f>IFERROR(100/'Skjema total MA'!F66*G66,0)</f>
        <v>1.3094917790072209</v>
      </c>
      <c r="J66" s="307">
        <f t="shared" ref="J66:K85" si="14">SUM(B66,F66)</f>
        <v>381218</v>
      </c>
      <c r="K66" s="314">
        <f t="shared" si="14"/>
        <v>426177.1</v>
      </c>
      <c r="L66" s="425">
        <f t="shared" ref="L66:L111" si="15">IF(J66=0, "    ---- ", IF(ABS(ROUND(100/J66*K66-100,1))&lt;999,ROUND(100/J66*K66-100,1),IF(ROUND(100/J66*K66-100,1)&gt;999,999,-999)))</f>
        <v>11.8</v>
      </c>
      <c r="M66" s="11">
        <f>IFERROR(100/'Skjema total MA'!I66*K66,0)</f>
        <v>1.16563082813762</v>
      </c>
    </row>
    <row r="67" spans="1:15" x14ac:dyDescent="0.2">
      <c r="A67" s="416" t="s">
        <v>9</v>
      </c>
      <c r="B67" s="43"/>
      <c r="C67" s="143"/>
      <c r="D67" s="164"/>
      <c r="E67" s="26"/>
      <c r="F67" s="232"/>
      <c r="G67" s="143"/>
      <c r="H67" s="164"/>
      <c r="I67" s="26"/>
      <c r="J67" s="285"/>
      <c r="K67" s="43"/>
      <c r="L67" s="253"/>
      <c r="M67" s="26"/>
    </row>
    <row r="68" spans="1:15" x14ac:dyDescent="0.2">
      <c r="A68" s="20" t="s">
        <v>10</v>
      </c>
      <c r="B68" s="290">
        <v>70271</v>
      </c>
      <c r="C68" s="291">
        <v>76453.100000000006</v>
      </c>
      <c r="D68" s="164">
        <f t="shared" si="12"/>
        <v>8.8000000000000007</v>
      </c>
      <c r="E68" s="26">
        <f>IFERROR(100/'Skjema total MA'!C68*C68,0)</f>
        <v>48.029281740885679</v>
      </c>
      <c r="F68" s="290">
        <v>310947</v>
      </c>
      <c r="G68" s="291">
        <v>349724</v>
      </c>
      <c r="H68" s="164">
        <f t="shared" si="13"/>
        <v>12.5</v>
      </c>
      <c r="I68" s="26">
        <f>IFERROR(100/'Skjema total MA'!F68*G68,0)</f>
        <v>1.3242509900994592</v>
      </c>
      <c r="J68" s="285">
        <f t="shared" si="14"/>
        <v>381218</v>
      </c>
      <c r="K68" s="43">
        <f t="shared" si="14"/>
        <v>426177.1</v>
      </c>
      <c r="L68" s="253">
        <f t="shared" si="15"/>
        <v>11.8</v>
      </c>
      <c r="M68" s="26">
        <f>IFERROR(100/'Skjema total MA'!I68*K68,0)</f>
        <v>1.6040767598000076</v>
      </c>
    </row>
    <row r="69" spans="1:15" ht="15.75" x14ac:dyDescent="0.2">
      <c r="A69" s="294" t="s">
        <v>316</v>
      </c>
      <c r="B69" s="279"/>
      <c r="C69" s="279"/>
      <c r="D69" s="164"/>
      <c r="E69" s="414"/>
      <c r="F69" s="279"/>
      <c r="G69" s="279"/>
      <c r="H69" s="164"/>
      <c r="I69" s="414"/>
      <c r="J69" s="288"/>
      <c r="K69" s="288"/>
      <c r="L69" s="164"/>
      <c r="M69" s="22"/>
    </row>
    <row r="70" spans="1:15" x14ac:dyDescent="0.2">
      <c r="A70" s="294" t="s">
        <v>12</v>
      </c>
      <c r="B70" s="292"/>
      <c r="C70" s="293"/>
      <c r="D70" s="164"/>
      <c r="E70" s="414"/>
      <c r="F70" s="279"/>
      <c r="G70" s="279"/>
      <c r="H70" s="164"/>
      <c r="I70" s="414"/>
      <c r="J70" s="288"/>
      <c r="K70" s="288"/>
      <c r="L70" s="164"/>
      <c r="M70" s="22"/>
    </row>
    <row r="71" spans="1:15" x14ac:dyDescent="0.2">
      <c r="A71" s="294" t="s">
        <v>13</v>
      </c>
      <c r="B71" s="233"/>
      <c r="C71" s="287"/>
      <c r="D71" s="164"/>
      <c r="E71" s="414"/>
      <c r="F71" s="279"/>
      <c r="G71" s="279"/>
      <c r="H71" s="164"/>
      <c r="I71" s="414"/>
      <c r="J71" s="288"/>
      <c r="K71" s="288"/>
      <c r="L71" s="164"/>
      <c r="M71" s="22"/>
    </row>
    <row r="72" spans="1:15" ht="15.75" x14ac:dyDescent="0.2">
      <c r="A72" s="294" t="s">
        <v>317</v>
      </c>
      <c r="B72" s="279">
        <v>70271</v>
      </c>
      <c r="C72" s="279">
        <v>76453.100000000006</v>
      </c>
      <c r="D72" s="164">
        <f t="shared" si="12"/>
        <v>8.8000000000000007</v>
      </c>
      <c r="E72" s="26">
        <f>IFERROR(100/'Skjema total MA'!C72*C72,0)</f>
        <v>54.248147411017683</v>
      </c>
      <c r="F72" s="279">
        <v>310947</v>
      </c>
      <c r="G72" s="279">
        <v>349724</v>
      </c>
      <c r="H72" s="164">
        <f t="shared" ref="H72" si="16">IF(F72=0, "    ---- ", IF(ABS(ROUND(100/F72*G72-100,1))&lt;999,ROUND(100/F72*G72-100,1),IF(ROUND(100/F72*G72-100,1)&gt;999,999,-999)))</f>
        <v>12.5</v>
      </c>
      <c r="I72" s="414">
        <f>IFERROR(100/'Skjema total MA'!F72*G72,0)</f>
        <v>1.3244504706220057</v>
      </c>
      <c r="J72" s="285">
        <f t="shared" si="14"/>
        <v>381218</v>
      </c>
      <c r="K72" s="285">
        <f t="shared" si="14"/>
        <v>426177.1</v>
      </c>
      <c r="L72" s="164">
        <f t="shared" ref="L72" si="17">IF(J72=0, "    ---- ", IF(ABS(ROUND(100/J72*K72-100,1))&lt;999,ROUND(100/J72*K72-100,1),IF(ROUND(100/J72*K72-100,1)&gt;999,999,-999)))</f>
        <v>11.8</v>
      </c>
      <c r="M72" s="22">
        <f>IFERROR(100/'Skjema total MA'!I72*K72,0)</f>
        <v>1.6054197626080493</v>
      </c>
    </row>
    <row r="73" spans="1:15" x14ac:dyDescent="0.2">
      <c r="A73" s="294" t="s">
        <v>12</v>
      </c>
      <c r="B73" s="233"/>
      <c r="C73" s="287"/>
      <c r="D73" s="164"/>
      <c r="E73" s="414"/>
      <c r="F73" s="279"/>
      <c r="G73" s="279"/>
      <c r="H73" s="164"/>
      <c r="I73" s="414"/>
      <c r="J73" s="288"/>
      <c r="K73" s="288"/>
      <c r="L73" s="164"/>
      <c r="M73" s="22"/>
    </row>
    <row r="74" spans="1:15" s="3" customFormat="1" x14ac:dyDescent="0.2">
      <c r="A74" s="294" t="s">
        <v>13</v>
      </c>
      <c r="B74" s="233"/>
      <c r="C74" s="287"/>
      <c r="D74" s="164"/>
      <c r="E74" s="26">
        <f>IFERROR(100/'Skjema total MA'!C74*C74,0)</f>
        <v>0</v>
      </c>
      <c r="F74" s="279">
        <v>310947</v>
      </c>
      <c r="G74" s="279">
        <v>349724</v>
      </c>
      <c r="H74" s="164">
        <f t="shared" ref="H74" si="18">IF(F74=0, "    ---- ", IF(ABS(ROUND(100/F74*G74-100,1))&lt;999,ROUND(100/F74*G74-100,1),IF(ROUND(100/F74*G74-100,1)&gt;999,999,-999)))</f>
        <v>12.5</v>
      </c>
      <c r="I74" s="414">
        <f>IFERROR(100/'Skjema total MA'!F74*G74,0)</f>
        <v>1.3413474676023693</v>
      </c>
      <c r="J74" s="285">
        <f t="shared" si="14"/>
        <v>310947</v>
      </c>
      <c r="K74" s="285">
        <f t="shared" si="14"/>
        <v>349724</v>
      </c>
      <c r="L74" s="164">
        <f t="shared" ref="L74" si="19">IF(J74=0, "    ---- ", IF(ABS(ROUND(100/J74*K74-100,1))&lt;999,ROUND(100/J74*K74-100,1),IF(ROUND(100/J74*K74-100,1)&gt;999,999,-999)))</f>
        <v>12.5</v>
      </c>
      <c r="M74" s="22">
        <f>IFERROR(100/'Skjema total MA'!I74*K74,0)</f>
        <v>1.3413474676023693</v>
      </c>
      <c r="N74" s="146"/>
      <c r="O74" s="146"/>
    </row>
    <row r="75" spans="1:15" s="3" customFormat="1" x14ac:dyDescent="0.2">
      <c r="A75" s="20" t="s">
        <v>395</v>
      </c>
      <c r="B75" s="232"/>
      <c r="C75" s="143"/>
      <c r="D75" s="164"/>
      <c r="E75" s="26"/>
      <c r="F75" s="232"/>
      <c r="G75" s="143"/>
      <c r="H75" s="164"/>
      <c r="I75" s="26"/>
      <c r="J75" s="285"/>
      <c r="K75" s="285"/>
      <c r="L75" s="253"/>
      <c r="M75" s="26"/>
      <c r="N75" s="146"/>
      <c r="O75" s="146"/>
    </row>
    <row r="76" spans="1:15" s="3" customFormat="1" x14ac:dyDescent="0.2">
      <c r="A76" s="20" t="s">
        <v>394</v>
      </c>
      <c r="B76" s="232"/>
      <c r="C76" s="143"/>
      <c r="D76" s="164"/>
      <c r="E76" s="26"/>
      <c r="F76" s="232"/>
      <c r="G76" s="143"/>
      <c r="H76" s="164"/>
      <c r="I76" s="26"/>
      <c r="J76" s="285"/>
      <c r="K76" s="285"/>
      <c r="L76" s="253"/>
      <c r="M76" s="26"/>
      <c r="N76" s="146"/>
      <c r="O76" s="146"/>
    </row>
    <row r="77" spans="1:15" ht="15.75" x14ac:dyDescent="0.2">
      <c r="A77" s="20" t="s">
        <v>318</v>
      </c>
      <c r="B77" s="232">
        <v>70271</v>
      </c>
      <c r="C77" s="232">
        <v>76453.100000000006</v>
      </c>
      <c r="D77" s="164">
        <f t="shared" si="12"/>
        <v>8.8000000000000007</v>
      </c>
      <c r="E77" s="26">
        <f>IFERROR(100/'Skjema total MA'!C77*C77,0)</f>
        <v>0.94823654617228692</v>
      </c>
      <c r="F77" s="232">
        <v>310947</v>
      </c>
      <c r="G77" s="143">
        <v>349724</v>
      </c>
      <c r="H77" s="164">
        <f t="shared" si="13"/>
        <v>12.5</v>
      </c>
      <c r="I77" s="26">
        <f>IFERROR(100/'Skjema total MA'!F77*G77,0)</f>
        <v>1.3249105529492049</v>
      </c>
      <c r="J77" s="285">
        <f t="shared" si="14"/>
        <v>381218</v>
      </c>
      <c r="K77" s="285">
        <f t="shared" si="14"/>
        <v>426177.1</v>
      </c>
      <c r="L77" s="253">
        <f t="shared" si="15"/>
        <v>11.8</v>
      </c>
      <c r="M77" s="26">
        <f>IFERROR(100/'Skjema total MA'!I77*K77,0)</f>
        <v>1.2367762282196517</v>
      </c>
    </row>
    <row r="78" spans="1:15" x14ac:dyDescent="0.2">
      <c r="A78" s="20" t="s">
        <v>9</v>
      </c>
      <c r="B78" s="232"/>
      <c r="C78" s="143"/>
      <c r="D78" s="164"/>
      <c r="E78" s="26"/>
      <c r="F78" s="232"/>
      <c r="G78" s="143"/>
      <c r="H78" s="164"/>
      <c r="I78" s="26"/>
      <c r="J78" s="285"/>
      <c r="K78" s="285"/>
      <c r="L78" s="253"/>
      <c r="M78" s="26"/>
    </row>
    <row r="79" spans="1:15" x14ac:dyDescent="0.2">
      <c r="A79" s="20" t="s">
        <v>10</v>
      </c>
      <c r="B79" s="290">
        <v>70271</v>
      </c>
      <c r="C79" s="291">
        <v>76453.100000000006</v>
      </c>
      <c r="D79" s="164">
        <f t="shared" si="12"/>
        <v>8.8000000000000007</v>
      </c>
      <c r="E79" s="26">
        <f>IFERROR(100/'Skjema total MA'!C79*C79,0)</f>
        <v>49.260381661855511</v>
      </c>
      <c r="F79" s="290">
        <v>310947</v>
      </c>
      <c r="G79" s="291">
        <v>349724</v>
      </c>
      <c r="H79" s="164">
        <f t="shared" si="13"/>
        <v>12.5</v>
      </c>
      <c r="I79" s="26">
        <f>IFERROR(100/'Skjema total MA'!F79*G79,0)</f>
        <v>1.3249105529492049</v>
      </c>
      <c r="J79" s="285">
        <f t="shared" si="14"/>
        <v>381218</v>
      </c>
      <c r="K79" s="285">
        <f t="shared" si="14"/>
        <v>426177.1</v>
      </c>
      <c r="L79" s="253">
        <f t="shared" si="15"/>
        <v>11.8</v>
      </c>
      <c r="M79" s="26">
        <f>IFERROR(100/'Skjema total MA'!I79*K79,0)</f>
        <v>1.6051113632291283</v>
      </c>
    </row>
    <row r="80" spans="1:15" ht="15.75" x14ac:dyDescent="0.2">
      <c r="A80" s="294" t="s">
        <v>316</v>
      </c>
      <c r="B80" s="279"/>
      <c r="C80" s="279"/>
      <c r="D80" s="164"/>
      <c r="E80" s="414"/>
      <c r="F80" s="279"/>
      <c r="G80" s="279"/>
      <c r="H80" s="164"/>
      <c r="I80" s="414"/>
      <c r="J80" s="288"/>
      <c r="K80" s="288"/>
      <c r="L80" s="164"/>
      <c r="M80" s="22"/>
    </row>
    <row r="81" spans="1:13" x14ac:dyDescent="0.2">
      <c r="A81" s="294" t="s">
        <v>12</v>
      </c>
      <c r="B81" s="233"/>
      <c r="C81" s="287"/>
      <c r="D81" s="164"/>
      <c r="E81" s="414"/>
      <c r="F81" s="279"/>
      <c r="G81" s="279"/>
      <c r="H81" s="164"/>
      <c r="I81" s="414"/>
      <c r="J81" s="288"/>
      <c r="K81" s="288"/>
      <c r="L81" s="164"/>
      <c r="M81" s="22"/>
    </row>
    <row r="82" spans="1:13" x14ac:dyDescent="0.2">
      <c r="A82" s="294" t="s">
        <v>13</v>
      </c>
      <c r="B82" s="233"/>
      <c r="C82" s="287"/>
      <c r="D82" s="164"/>
      <c r="E82" s="414"/>
      <c r="F82" s="279"/>
      <c r="G82" s="279"/>
      <c r="H82" s="164"/>
      <c r="I82" s="414"/>
      <c r="J82" s="288"/>
      <c r="K82" s="288"/>
      <c r="L82" s="164"/>
      <c r="M82" s="22"/>
    </row>
    <row r="83" spans="1:13" ht="15.75" x14ac:dyDescent="0.2">
      <c r="A83" s="294" t="s">
        <v>317</v>
      </c>
      <c r="B83" s="279">
        <v>70271</v>
      </c>
      <c r="C83" s="279">
        <v>76453.100000000006</v>
      </c>
      <c r="D83" s="164">
        <f t="shared" si="12"/>
        <v>8.8000000000000007</v>
      </c>
      <c r="E83" s="26">
        <f>IFERROR(100/'Skjema total MA'!C83*C83,0)</f>
        <v>49.260381661855511</v>
      </c>
      <c r="F83" s="279">
        <v>310947</v>
      </c>
      <c r="G83" s="279">
        <v>349724</v>
      </c>
      <c r="H83" s="164">
        <f t="shared" ref="H83" si="20">IF(F83=0, "    ---- ", IF(ABS(ROUND(100/F83*G83-100,1))&lt;999,ROUND(100/F83*G83-100,1),IF(ROUND(100/F83*G83-100,1)&gt;999,999,-999)))</f>
        <v>12.5</v>
      </c>
      <c r="I83" s="414">
        <f>IFERROR(100/'Skjema total MA'!F83*G83,0)</f>
        <v>1.3249105529492049</v>
      </c>
      <c r="J83" s="285">
        <f t="shared" si="14"/>
        <v>381218</v>
      </c>
      <c r="K83" s="285">
        <f t="shared" si="14"/>
        <v>426177.1</v>
      </c>
      <c r="L83" s="164">
        <f t="shared" ref="L83" si="21">IF(J83=0, "    ---- ", IF(ABS(ROUND(100/J83*K83-100,1))&lt;999,ROUND(100/J83*K83-100,1),IF(ROUND(100/J83*K83-100,1)&gt;999,999,-999)))</f>
        <v>11.8</v>
      </c>
      <c r="M83" s="22">
        <f>IFERROR(100/'Skjema total MA'!I83*K83,0)</f>
        <v>1.6051113632291283</v>
      </c>
    </row>
    <row r="84" spans="1:13" x14ac:dyDescent="0.2">
      <c r="A84" s="294" t="s">
        <v>12</v>
      </c>
      <c r="B84" s="233"/>
      <c r="C84" s="287"/>
      <c r="D84" s="164"/>
      <c r="E84" s="414"/>
      <c r="F84" s="279"/>
      <c r="G84" s="279"/>
      <c r="H84" s="164"/>
      <c r="I84" s="414"/>
      <c r="J84" s="288"/>
      <c r="K84" s="288"/>
      <c r="L84" s="164"/>
      <c r="M84" s="22"/>
    </row>
    <row r="85" spans="1:13" x14ac:dyDescent="0.2">
      <c r="A85" s="294" t="s">
        <v>13</v>
      </c>
      <c r="B85" s="233"/>
      <c r="C85" s="287"/>
      <c r="D85" s="164"/>
      <c r="E85" s="26">
        <f>IFERROR(100/'Skjema total MA'!C85*C85,0)</f>
        <v>0</v>
      </c>
      <c r="F85" s="279">
        <v>310947</v>
      </c>
      <c r="G85" s="279">
        <v>349724</v>
      </c>
      <c r="H85" s="164">
        <f t="shared" ref="H85" si="22">IF(F85=0, "    ---- ", IF(ABS(ROUND(100/F85*G85-100,1))&lt;999,ROUND(100/F85*G85-100,1),IF(ROUND(100/F85*G85-100,1)&gt;999,999,-999)))</f>
        <v>12.5</v>
      </c>
      <c r="I85" s="414">
        <f>IFERROR(100/'Skjema total MA'!F85*G85,0)</f>
        <v>1.3418103052044874</v>
      </c>
      <c r="J85" s="285">
        <f t="shared" si="14"/>
        <v>310947</v>
      </c>
      <c r="K85" s="285">
        <f t="shared" si="14"/>
        <v>349724</v>
      </c>
      <c r="L85" s="164">
        <f t="shared" ref="L85" si="23">IF(J85=0, "    ---- ", IF(ABS(ROUND(100/J85*K85-100,1))&lt;999,ROUND(100/J85*K85-100,1),IF(ROUND(100/J85*K85-100,1)&gt;999,999,-999)))</f>
        <v>12.5</v>
      </c>
      <c r="M85" s="22">
        <f>IFERROR(100/'Skjema total MA'!I85*K85,0)</f>
        <v>1.3418103052044874</v>
      </c>
    </row>
    <row r="86" spans="1:13" ht="15.75" x14ac:dyDescent="0.2">
      <c r="A86" s="20" t="s">
        <v>327</v>
      </c>
      <c r="B86" s="232"/>
      <c r="C86" s="143"/>
      <c r="D86" s="164"/>
      <c r="E86" s="26"/>
      <c r="F86" s="232"/>
      <c r="G86" s="143"/>
      <c r="H86" s="164"/>
      <c r="I86" s="26"/>
      <c r="J86" s="285"/>
      <c r="K86" s="285"/>
      <c r="L86" s="253"/>
      <c r="M86" s="26"/>
    </row>
    <row r="87" spans="1:13" ht="15.75" x14ac:dyDescent="0.2">
      <c r="A87" s="13" t="s">
        <v>25</v>
      </c>
      <c r="B87" s="350">
        <f>B88+B89+B96+B97</f>
        <v>130276</v>
      </c>
      <c r="C87" s="350">
        <f>C88+C89+C96+C97</f>
        <v>150641</v>
      </c>
      <c r="D87" s="169">
        <f t="shared" si="12"/>
        <v>15.6</v>
      </c>
      <c r="E87" s="11">
        <f>IFERROR(100/'Skjema total MA'!C87*C87,0)</f>
        <v>3.9500440819373282E-2</v>
      </c>
      <c r="F87" s="350">
        <f>F88+F89+F96+F97</f>
        <v>2583122</v>
      </c>
      <c r="G87" s="350">
        <f>G88+G89+G96+G97</f>
        <v>3134873.1</v>
      </c>
      <c r="H87" s="169">
        <f t="shared" si="13"/>
        <v>21.4</v>
      </c>
      <c r="I87" s="11">
        <f>IFERROR(100/'Skjema total MA'!F87*G87,0)</f>
        <v>1.4012134594848837</v>
      </c>
      <c r="J87" s="307">
        <f t="shared" ref="J87:K111" si="24">SUM(B87,F87)</f>
        <v>2713398</v>
      </c>
      <c r="K87" s="307">
        <f t="shared" si="24"/>
        <v>3285514.1</v>
      </c>
      <c r="L87" s="425">
        <f t="shared" si="15"/>
        <v>21.1</v>
      </c>
      <c r="M87" s="11">
        <f>IFERROR(100/'Skjema total MA'!I87*K87,0)</f>
        <v>0.54297855042966092</v>
      </c>
    </row>
    <row r="88" spans="1:13" x14ac:dyDescent="0.2">
      <c r="A88" s="20" t="s">
        <v>9</v>
      </c>
      <c r="B88" s="232"/>
      <c r="C88" s="143"/>
      <c r="D88" s="164"/>
      <c r="E88" s="26"/>
      <c r="F88" s="232"/>
      <c r="G88" s="143"/>
      <c r="H88" s="164"/>
      <c r="I88" s="26"/>
      <c r="J88" s="285"/>
      <c r="K88" s="285"/>
      <c r="L88" s="253"/>
      <c r="M88" s="26"/>
    </row>
    <row r="89" spans="1:13" x14ac:dyDescent="0.2">
      <c r="A89" s="20" t="s">
        <v>10</v>
      </c>
      <c r="B89" s="232">
        <v>130276</v>
      </c>
      <c r="C89" s="143">
        <v>150641</v>
      </c>
      <c r="D89" s="164">
        <f t="shared" si="12"/>
        <v>15.6</v>
      </c>
      <c r="E89" s="26">
        <f>IFERROR(100/'Skjema total MA'!C89*C89,0)</f>
        <v>5.9903273571257545</v>
      </c>
      <c r="F89" s="232">
        <v>2583122</v>
      </c>
      <c r="G89" s="143">
        <v>3134873.1</v>
      </c>
      <c r="H89" s="164">
        <f t="shared" si="13"/>
        <v>21.4</v>
      </c>
      <c r="I89" s="26">
        <f>IFERROR(100/'Skjema total MA'!F89*G89,0)</f>
        <v>1.4056046692043314</v>
      </c>
      <c r="J89" s="285">
        <f t="shared" si="24"/>
        <v>2713398</v>
      </c>
      <c r="K89" s="285">
        <f t="shared" si="24"/>
        <v>3285514.1</v>
      </c>
      <c r="L89" s="253">
        <f t="shared" si="15"/>
        <v>21.1</v>
      </c>
      <c r="M89" s="26">
        <f>IFERROR(100/'Skjema total MA'!I89*K89,0)</f>
        <v>1.4567233273753344</v>
      </c>
    </row>
    <row r="90" spans="1:13" ht="15.75" x14ac:dyDescent="0.2">
      <c r="A90" s="294" t="s">
        <v>316</v>
      </c>
      <c r="B90" s="279"/>
      <c r="C90" s="279"/>
      <c r="D90" s="164"/>
      <c r="E90" s="414"/>
      <c r="F90" s="279"/>
      <c r="G90" s="279"/>
      <c r="H90" s="164"/>
      <c r="I90" s="414"/>
      <c r="J90" s="288"/>
      <c r="K90" s="288"/>
      <c r="L90" s="164"/>
      <c r="M90" s="22"/>
    </row>
    <row r="91" spans="1:13" x14ac:dyDescent="0.2">
      <c r="A91" s="294" t="s">
        <v>12</v>
      </c>
      <c r="B91" s="233"/>
      <c r="C91" s="287"/>
      <c r="D91" s="164"/>
      <c r="E91" s="414"/>
      <c r="F91" s="279"/>
      <c r="G91" s="279"/>
      <c r="H91" s="164"/>
      <c r="I91" s="414"/>
      <c r="J91" s="288"/>
      <c r="K91" s="288"/>
      <c r="L91" s="164"/>
      <c r="M91" s="22"/>
    </row>
    <row r="92" spans="1:13" x14ac:dyDescent="0.2">
      <c r="A92" s="294" t="s">
        <v>13</v>
      </c>
      <c r="B92" s="233"/>
      <c r="C92" s="287"/>
      <c r="D92" s="164"/>
      <c r="E92" s="414"/>
      <c r="F92" s="279"/>
      <c r="G92" s="279"/>
      <c r="H92" s="164"/>
      <c r="I92" s="414"/>
      <c r="J92" s="288"/>
      <c r="K92" s="288"/>
      <c r="L92" s="164"/>
      <c r="M92" s="22"/>
    </row>
    <row r="93" spans="1:13" ht="15.75" x14ac:dyDescent="0.2">
      <c r="A93" s="294" t="s">
        <v>317</v>
      </c>
      <c r="B93" s="279">
        <v>130276</v>
      </c>
      <c r="C93" s="279">
        <v>150641</v>
      </c>
      <c r="D93" s="164">
        <f t="shared" si="12"/>
        <v>15.6</v>
      </c>
      <c r="E93" s="26">
        <f>IFERROR(100/'Skjema total MA'!C93*C93,0)</f>
        <v>5.9903273571257545</v>
      </c>
      <c r="F93" s="279">
        <v>2583122</v>
      </c>
      <c r="G93" s="279">
        <v>3134873.1</v>
      </c>
      <c r="H93" s="164">
        <f t="shared" ref="H93" si="25">IF(F93=0, "    ---- ", IF(ABS(ROUND(100/F93*G93-100,1))&lt;999,ROUND(100/F93*G93-100,1),IF(ROUND(100/F93*G93-100,1)&gt;999,999,-999)))</f>
        <v>21.4</v>
      </c>
      <c r="I93" s="414">
        <f>IFERROR(100/'Skjema total MA'!F93*G93,0)</f>
        <v>1.4065495105092658</v>
      </c>
      <c r="J93" s="285">
        <f t="shared" ref="J93:K93" si="26">SUM(B93,F93)</f>
        <v>2713398</v>
      </c>
      <c r="K93" s="285">
        <f t="shared" si="26"/>
        <v>3285514.1</v>
      </c>
      <c r="L93" s="164">
        <f t="shared" ref="L93" si="27">IF(J93=0, "    ---- ", IF(ABS(ROUND(100/J93*K93-100,1))&lt;999,ROUND(100/J93*K93-100,1),IF(ROUND(100/J93*K93-100,1)&gt;999,999,-999)))</f>
        <v>21.1</v>
      </c>
      <c r="M93" s="22">
        <f>IFERROR(100/'Skjema total MA'!I93*K93,0)</f>
        <v>1.457691605261018</v>
      </c>
    </row>
    <row r="94" spans="1:13" x14ac:dyDescent="0.2">
      <c r="A94" s="294" t="s">
        <v>12</v>
      </c>
      <c r="B94" s="233"/>
      <c r="C94" s="287"/>
      <c r="D94" s="164"/>
      <c r="E94" s="414"/>
      <c r="F94" s="279"/>
      <c r="G94" s="279"/>
      <c r="H94" s="164"/>
      <c r="I94" s="414"/>
      <c r="J94" s="288"/>
      <c r="K94" s="288"/>
      <c r="L94" s="164"/>
      <c r="M94" s="22"/>
    </row>
    <row r="95" spans="1:13" x14ac:dyDescent="0.2">
      <c r="A95" s="294" t="s">
        <v>13</v>
      </c>
      <c r="B95" s="233"/>
      <c r="C95" s="287"/>
      <c r="D95" s="164"/>
      <c r="E95" s="26">
        <f>IFERROR(100/'Skjema total MA'!C95*C95,0)</f>
        <v>0</v>
      </c>
      <c r="F95" s="279">
        <v>2583122</v>
      </c>
      <c r="G95" s="279">
        <v>3134873.1</v>
      </c>
      <c r="H95" s="164">
        <f t="shared" ref="H95" si="28">IF(F95=0, "    ---- ", IF(ABS(ROUND(100/F95*G95-100,1))&lt;999,ROUND(100/F95*G95-100,1),IF(ROUND(100/F95*G95-100,1)&gt;999,999,-999)))</f>
        <v>21.4</v>
      </c>
      <c r="I95" s="414">
        <f>IFERROR(100/'Skjema total MA'!F95*G95,0)</f>
        <v>1.4276921703950338</v>
      </c>
      <c r="J95" s="285">
        <f t="shared" ref="J95:K95" si="29">SUM(B95,F95)</f>
        <v>2583122</v>
      </c>
      <c r="K95" s="285">
        <f t="shared" si="29"/>
        <v>3134873.1</v>
      </c>
      <c r="L95" s="164">
        <f t="shared" ref="L95" si="30">IF(J95=0, "    ---- ", IF(ABS(ROUND(100/J95*K95-100,1))&lt;999,ROUND(100/J95*K95-100,1),IF(ROUND(100/J95*K95-100,1)&gt;999,999,-999)))</f>
        <v>21.4</v>
      </c>
      <c r="M95" s="22">
        <f>IFERROR(100/'Skjema total MA'!I95*K95,0)</f>
        <v>1.4276921703950338</v>
      </c>
    </row>
    <row r="96" spans="1:13" x14ac:dyDescent="0.2">
      <c r="A96" s="20" t="s">
        <v>393</v>
      </c>
      <c r="B96" s="232"/>
      <c r="C96" s="143"/>
      <c r="D96" s="164"/>
      <c r="E96" s="26"/>
      <c r="F96" s="232"/>
      <c r="G96" s="143"/>
      <c r="H96" s="164"/>
      <c r="I96" s="26"/>
      <c r="J96" s="285"/>
      <c r="K96" s="285"/>
      <c r="L96" s="253"/>
      <c r="M96" s="26"/>
    </row>
    <row r="97" spans="1:13" x14ac:dyDescent="0.2">
      <c r="A97" s="20" t="s">
        <v>392</v>
      </c>
      <c r="B97" s="232"/>
      <c r="C97" s="143"/>
      <c r="D97" s="164"/>
      <c r="E97" s="26"/>
      <c r="F97" s="232"/>
      <c r="G97" s="143"/>
      <c r="H97" s="164"/>
      <c r="I97" s="26"/>
      <c r="J97" s="285"/>
      <c r="K97" s="285"/>
      <c r="L97" s="253"/>
      <c r="M97" s="26"/>
    </row>
    <row r="98" spans="1:13" ht="15.75" x14ac:dyDescent="0.2">
      <c r="A98" s="20" t="s">
        <v>318</v>
      </c>
      <c r="B98" s="232">
        <v>130276</v>
      </c>
      <c r="C98" s="232">
        <v>150641</v>
      </c>
      <c r="D98" s="164">
        <f t="shared" si="12"/>
        <v>15.6</v>
      </c>
      <c r="E98" s="26">
        <f>IFERROR(100/'Skjema total MA'!C98*C98,0)</f>
        <v>4.0508055955545991E-2</v>
      </c>
      <c r="F98" s="290">
        <v>2583122</v>
      </c>
      <c r="G98" s="290">
        <v>3134873.1</v>
      </c>
      <c r="H98" s="164">
        <f t="shared" si="13"/>
        <v>21.4</v>
      </c>
      <c r="I98" s="26">
        <f>IFERROR(100/'Skjema total MA'!F98*G98,0)</f>
        <v>1.4093664058316078</v>
      </c>
      <c r="J98" s="285">
        <f t="shared" si="24"/>
        <v>2713398</v>
      </c>
      <c r="K98" s="285">
        <f t="shared" si="24"/>
        <v>3285514.1</v>
      </c>
      <c r="L98" s="253">
        <f t="shared" si="15"/>
        <v>21.1</v>
      </c>
      <c r="M98" s="26">
        <f>IFERROR(100/'Skjema total MA'!I98*K98,0)</f>
        <v>0.55282788129534832</v>
      </c>
    </row>
    <row r="99" spans="1:13" x14ac:dyDescent="0.2">
      <c r="A99" s="20" t="s">
        <v>9</v>
      </c>
      <c r="B99" s="290"/>
      <c r="C99" s="291"/>
      <c r="D99" s="164"/>
      <c r="E99" s="26"/>
      <c r="F99" s="232"/>
      <c r="G99" s="143"/>
      <c r="H99" s="164"/>
      <c r="I99" s="26"/>
      <c r="J99" s="285"/>
      <c r="K99" s="285"/>
      <c r="L99" s="253"/>
      <c r="M99" s="26"/>
    </row>
    <row r="100" spans="1:13" x14ac:dyDescent="0.2">
      <c r="A100" s="20" t="s">
        <v>10</v>
      </c>
      <c r="B100" s="290">
        <v>130276</v>
      </c>
      <c r="C100" s="291">
        <v>150641</v>
      </c>
      <c r="D100" s="164">
        <f t="shared" si="12"/>
        <v>15.6</v>
      </c>
      <c r="E100" s="26">
        <f>IFERROR(100/'Skjema total MA'!C100*C100,0)</f>
        <v>5.9903273571257545</v>
      </c>
      <c r="F100" s="232">
        <v>2583122</v>
      </c>
      <c r="G100" s="232">
        <v>3134873.1</v>
      </c>
      <c r="H100" s="164">
        <f t="shared" si="13"/>
        <v>21.4</v>
      </c>
      <c r="I100" s="26">
        <f>IFERROR(100/'Skjema total MA'!F100*G100,0)</f>
        <v>1.4093664058316078</v>
      </c>
      <c r="J100" s="285">
        <f t="shared" si="24"/>
        <v>2713398</v>
      </c>
      <c r="K100" s="285">
        <f t="shared" si="24"/>
        <v>3285514.1</v>
      </c>
      <c r="L100" s="253">
        <f t="shared" si="15"/>
        <v>21.1</v>
      </c>
      <c r="M100" s="26">
        <f>IFERROR(100/'Skjema total MA'!I100*K100,0)</f>
        <v>1.4605782869151063</v>
      </c>
    </row>
    <row r="101" spans="1:13" ht="15.75" x14ac:dyDescent="0.2">
      <c r="A101" s="294" t="s">
        <v>316</v>
      </c>
      <c r="B101" s="279"/>
      <c r="C101" s="279"/>
      <c r="D101" s="164"/>
      <c r="E101" s="414"/>
      <c r="F101" s="279"/>
      <c r="G101" s="279"/>
      <c r="H101" s="164"/>
      <c r="I101" s="414"/>
      <c r="J101" s="288"/>
      <c r="K101" s="288"/>
      <c r="L101" s="164"/>
      <c r="M101" s="22"/>
    </row>
    <row r="102" spans="1:13" x14ac:dyDescent="0.2">
      <c r="A102" s="294" t="s">
        <v>12</v>
      </c>
      <c r="B102" s="233"/>
      <c r="C102" s="287"/>
      <c r="D102" s="164"/>
      <c r="E102" s="414"/>
      <c r="F102" s="279"/>
      <c r="G102" s="279"/>
      <c r="H102" s="164"/>
      <c r="I102" s="414"/>
      <c r="J102" s="288"/>
      <c r="K102" s="288"/>
      <c r="L102" s="164"/>
      <c r="M102" s="22"/>
    </row>
    <row r="103" spans="1:13" x14ac:dyDescent="0.2">
      <c r="A103" s="294" t="s">
        <v>13</v>
      </c>
      <c r="B103" s="233"/>
      <c r="C103" s="287"/>
      <c r="D103" s="164"/>
      <c r="E103" s="414"/>
      <c r="F103" s="279"/>
      <c r="G103" s="279"/>
      <c r="H103" s="164"/>
      <c r="I103" s="414"/>
      <c r="J103" s="288"/>
      <c r="K103" s="288"/>
      <c r="L103" s="164"/>
      <c r="M103" s="22"/>
    </row>
    <row r="104" spans="1:13" ht="15.75" x14ac:dyDescent="0.2">
      <c r="A104" s="294" t="s">
        <v>317</v>
      </c>
      <c r="B104" s="279">
        <v>130276</v>
      </c>
      <c r="C104" s="279">
        <v>150641</v>
      </c>
      <c r="D104" s="164">
        <f t="shared" si="12"/>
        <v>15.6</v>
      </c>
      <c r="E104" s="26">
        <f>IFERROR(100/'Skjema total MA'!C104*C104,0)</f>
        <v>5.9903273571257545</v>
      </c>
      <c r="F104" s="279">
        <v>2583122</v>
      </c>
      <c r="G104" s="279">
        <v>3134873.1</v>
      </c>
      <c r="H104" s="164">
        <f t="shared" ref="H104" si="31">IF(F104=0, "    ---- ", IF(ABS(ROUND(100/F104*G104-100,1))&lt;999,ROUND(100/F104*G104-100,1),IF(ROUND(100/F104*G104-100,1)&gt;999,999,-999)))</f>
        <v>21.4</v>
      </c>
      <c r="I104" s="414">
        <f>IFERROR(100/'Skjema total MA'!F104*G104,0)</f>
        <v>1.4093664058316078</v>
      </c>
      <c r="J104" s="285">
        <f t="shared" ref="J104:K104" si="32">SUM(B104,F104)</f>
        <v>2713398</v>
      </c>
      <c r="K104" s="285">
        <f t="shared" si="32"/>
        <v>3285514.1</v>
      </c>
      <c r="L104" s="164">
        <f t="shared" ref="L104" si="33">IF(J104=0, "    ---- ", IF(ABS(ROUND(100/J104*K104-100,1))&lt;999,ROUND(100/J104*K104-100,1),IF(ROUND(100/J104*K104-100,1)&gt;999,999,-999)))</f>
        <v>21.1</v>
      </c>
      <c r="M104" s="22">
        <f>IFERROR(100/'Skjema total MA'!I104*K104,0)</f>
        <v>1.4605782869151063</v>
      </c>
    </row>
    <row r="105" spans="1:13" x14ac:dyDescent="0.2">
      <c r="A105" s="294" t="s">
        <v>12</v>
      </c>
      <c r="B105" s="233"/>
      <c r="C105" s="287"/>
      <c r="D105" s="164"/>
      <c r="E105" s="414"/>
      <c r="F105" s="279"/>
      <c r="G105" s="279"/>
      <c r="H105" s="164"/>
      <c r="I105" s="414"/>
      <c r="J105" s="288"/>
      <c r="K105" s="288"/>
      <c r="L105" s="164"/>
      <c r="M105" s="22"/>
    </row>
    <row r="106" spans="1:13" x14ac:dyDescent="0.2">
      <c r="A106" s="294" t="s">
        <v>13</v>
      </c>
      <c r="B106" s="233"/>
      <c r="C106" s="287"/>
      <c r="D106" s="164"/>
      <c r="E106" s="26">
        <f>IFERROR(100/'Skjema total MA'!C106*C106,0)</f>
        <v>0</v>
      </c>
      <c r="F106" s="279">
        <v>2583122</v>
      </c>
      <c r="G106" s="279">
        <v>3134873.1</v>
      </c>
      <c r="H106" s="164">
        <f t="shared" ref="H106" si="34">IF(F106=0, "    ---- ", IF(ABS(ROUND(100/F106*G106-100,1))&lt;999,ROUND(100/F106*G106-100,1),IF(ROUND(100/F106*G106-100,1)&gt;999,999,-999)))</f>
        <v>21.4</v>
      </c>
      <c r="I106" s="414">
        <f>IFERROR(100/'Skjema total MA'!F106*G106,0)</f>
        <v>1.4280883262888158</v>
      </c>
      <c r="J106" s="285">
        <f t="shared" ref="J106:K106" si="35">SUM(B106,F106)</f>
        <v>2583122</v>
      </c>
      <c r="K106" s="285">
        <f t="shared" si="35"/>
        <v>3134873.1</v>
      </c>
      <c r="L106" s="164">
        <f t="shared" ref="L106" si="36">IF(J106=0, "    ---- ", IF(ABS(ROUND(100/J106*K106-100,1))&lt;999,ROUND(100/J106*K106-100,1),IF(ROUND(100/J106*K106-100,1)&gt;999,999,-999)))</f>
        <v>21.4</v>
      </c>
      <c r="M106" s="22">
        <f>IFERROR(100/'Skjema total MA'!I106*K106,0)</f>
        <v>1.4280883262888158</v>
      </c>
    </row>
    <row r="107" spans="1:13" ht="15.75" x14ac:dyDescent="0.2">
      <c r="A107" s="20" t="s">
        <v>327</v>
      </c>
      <c r="B107" s="232"/>
      <c r="C107" s="143"/>
      <c r="D107" s="164"/>
      <c r="E107" s="26"/>
      <c r="F107" s="232"/>
      <c r="G107" s="143"/>
      <c r="H107" s="164"/>
      <c r="I107" s="26"/>
      <c r="J107" s="285"/>
      <c r="K107" s="43"/>
      <c r="L107" s="253"/>
      <c r="M107" s="26"/>
    </row>
    <row r="108" spans="1:13" ht="15.75" x14ac:dyDescent="0.2">
      <c r="A108" s="20" t="s">
        <v>328</v>
      </c>
      <c r="B108" s="232"/>
      <c r="C108" s="232"/>
      <c r="D108" s="164"/>
      <c r="E108" s="26"/>
      <c r="F108" s="232"/>
      <c r="G108" s="232"/>
      <c r="H108" s="164"/>
      <c r="I108" s="26"/>
      <c r="J108" s="285"/>
      <c r="K108" s="43"/>
      <c r="L108" s="253"/>
      <c r="M108" s="26"/>
    </row>
    <row r="109" spans="1:13" ht="15.75" x14ac:dyDescent="0.2">
      <c r="A109" s="20" t="s">
        <v>320</v>
      </c>
      <c r="B109" s="232"/>
      <c r="C109" s="232"/>
      <c r="D109" s="164"/>
      <c r="E109" s="26"/>
      <c r="F109" s="232"/>
      <c r="G109" s="232">
        <v>1055858</v>
      </c>
      <c r="H109" s="164"/>
      <c r="I109" s="26"/>
      <c r="J109" s="285"/>
      <c r="K109" s="43"/>
      <c r="L109" s="253"/>
      <c r="M109" s="26"/>
    </row>
    <row r="110" spans="1:13" ht="15.75" x14ac:dyDescent="0.2">
      <c r="A110" s="20" t="s">
        <v>321</v>
      </c>
      <c r="B110" s="232"/>
      <c r="C110" s="232"/>
      <c r="D110" s="164"/>
      <c r="E110" s="26"/>
      <c r="F110" s="232"/>
      <c r="G110" s="232"/>
      <c r="H110" s="164"/>
      <c r="I110" s="26"/>
      <c r="J110" s="285"/>
      <c r="K110" s="43"/>
      <c r="L110" s="253"/>
      <c r="M110" s="26"/>
    </row>
    <row r="111" spans="1:13" ht="15.75" x14ac:dyDescent="0.2">
      <c r="A111" s="13" t="s">
        <v>24</v>
      </c>
      <c r="B111" s="306">
        <f>SUM(B112:B114)</f>
        <v>1012.162</v>
      </c>
      <c r="C111" s="157">
        <f>SUM(C112:C114)</f>
        <v>594.09500000000003</v>
      </c>
      <c r="D111" s="169">
        <f t="shared" si="12"/>
        <v>-41.3</v>
      </c>
      <c r="E111" s="11">
        <f>IFERROR(100/'Skjema total MA'!C111*C111,0)</f>
        <v>0.10786482861817985</v>
      </c>
      <c r="F111" s="306">
        <f>SUM(F112:F114)</f>
        <v>63484</v>
      </c>
      <c r="G111" s="157">
        <f>SUM(G112:G114)</f>
        <v>81079.184999999998</v>
      </c>
      <c r="H111" s="169">
        <f t="shared" si="13"/>
        <v>27.7</v>
      </c>
      <c r="I111" s="11">
        <f>IFERROR(100/'Skjema total MA'!F111*G111,0)</f>
        <v>0.84478297703276883</v>
      </c>
      <c r="J111" s="307">
        <f t="shared" si="24"/>
        <v>64496.161999999997</v>
      </c>
      <c r="K111" s="234">
        <f t="shared" si="24"/>
        <v>81673.279999999999</v>
      </c>
      <c r="L111" s="425">
        <f t="shared" si="15"/>
        <v>26.6</v>
      </c>
      <c r="M111" s="11">
        <f>IFERROR(100/'Skjema total MA'!I111*K111,0)</f>
        <v>0.80478876019865853</v>
      </c>
    </row>
    <row r="112" spans="1:13" x14ac:dyDescent="0.2">
      <c r="A112" s="20" t="s">
        <v>9</v>
      </c>
      <c r="B112" s="232"/>
      <c r="C112" s="143"/>
      <c r="D112" s="164"/>
      <c r="E112" s="26"/>
      <c r="F112" s="232"/>
      <c r="G112" s="143"/>
      <c r="H112" s="164"/>
      <c r="I112" s="26"/>
      <c r="J112" s="285"/>
      <c r="K112" s="43"/>
      <c r="L112" s="253"/>
      <c r="M112" s="26"/>
    </row>
    <row r="113" spans="1:14" x14ac:dyDescent="0.2">
      <c r="A113" s="20" t="s">
        <v>10</v>
      </c>
      <c r="B113" s="232">
        <v>1012.162</v>
      </c>
      <c r="C113" s="143">
        <v>594.09500000000003</v>
      </c>
      <c r="D113" s="164">
        <f t="shared" ref="D113:D121" si="37">IF(B113=0, "    ---- ", IF(ABS(ROUND(100/B113*C113-100,1))&lt;999,ROUND(100/B113*C113-100,1),IF(ROUND(100/B113*C113-100,1)&gt;999,999,-999)))</f>
        <v>-41.3</v>
      </c>
      <c r="E113" s="26">
        <f>IFERROR(100/'Skjema total MA'!C113*C113,0)</f>
        <v>21.068072682448175</v>
      </c>
      <c r="F113" s="232">
        <v>63484</v>
      </c>
      <c r="G113" s="143">
        <v>81079.184999999998</v>
      </c>
      <c r="H113" s="164">
        <f t="shared" ref="H113:H121" si="38">IF(F113=0, "    ---- ", IF(ABS(ROUND(100/F113*G113-100,1))&lt;999,ROUND(100/F113*G113-100,1),IF(ROUND(100/F113*G113-100,1)&gt;999,999,-999)))</f>
        <v>27.7</v>
      </c>
      <c r="I113" s="26">
        <f>IFERROR(100/'Skjema total MA'!F113*G113,0)</f>
        <v>0.84488888063533762</v>
      </c>
      <c r="J113" s="285">
        <f t="shared" ref="J113:K121" si="39">SUM(B113,F113)</f>
        <v>64496.161999999997</v>
      </c>
      <c r="K113" s="43">
        <f t="shared" si="39"/>
        <v>81673.279999999999</v>
      </c>
      <c r="L113" s="253">
        <f t="shared" ref="L113:L121" si="40">IF(J113=0, "    ---- ", IF(ABS(ROUND(100/J113*K113-100,1))&lt;999,ROUND(100/J113*K113-100,1),IF(ROUND(100/J113*K113-100,1)&gt;999,999,-999)))</f>
        <v>26.6</v>
      </c>
      <c r="M113" s="26">
        <f>IFERROR(100/'Skjema total MA'!I113*K113,0)</f>
        <v>0.85082965750458539</v>
      </c>
    </row>
    <row r="114" spans="1:14" x14ac:dyDescent="0.2">
      <c r="A114" s="20" t="s">
        <v>29</v>
      </c>
      <c r="B114" s="232"/>
      <c r="C114" s="143"/>
      <c r="D114" s="164"/>
      <c r="E114" s="26"/>
      <c r="F114" s="232"/>
      <c r="G114" s="143"/>
      <c r="H114" s="164"/>
      <c r="I114" s="26"/>
      <c r="J114" s="285"/>
      <c r="K114" s="43"/>
      <c r="L114" s="253"/>
      <c r="M114" s="26"/>
    </row>
    <row r="115" spans="1:14" x14ac:dyDescent="0.2">
      <c r="A115" s="294" t="s">
        <v>15</v>
      </c>
      <c r="B115" s="279"/>
      <c r="C115" s="279"/>
      <c r="D115" s="164"/>
      <c r="E115" s="414"/>
      <c r="F115" s="279"/>
      <c r="G115" s="279"/>
      <c r="H115" s="164"/>
      <c r="I115" s="414"/>
      <c r="J115" s="288"/>
      <c r="K115" s="288"/>
      <c r="L115" s="164"/>
      <c r="M115" s="22"/>
    </row>
    <row r="116" spans="1:14" ht="15.75" x14ac:dyDescent="0.2">
      <c r="A116" s="20" t="s">
        <v>329</v>
      </c>
      <c r="B116" s="232"/>
      <c r="C116" s="232"/>
      <c r="D116" s="164"/>
      <c r="E116" s="26"/>
      <c r="F116" s="232"/>
      <c r="G116" s="232"/>
      <c r="H116" s="164"/>
      <c r="I116" s="26"/>
      <c r="J116" s="285"/>
      <c r="K116" s="43"/>
      <c r="L116" s="253"/>
      <c r="M116" s="26"/>
    </row>
    <row r="117" spans="1:14" ht="15.75" x14ac:dyDescent="0.2">
      <c r="A117" s="20" t="s">
        <v>322</v>
      </c>
      <c r="B117" s="232"/>
      <c r="C117" s="232"/>
      <c r="D117" s="164"/>
      <c r="E117" s="26"/>
      <c r="F117" s="232"/>
      <c r="G117" s="232"/>
      <c r="H117" s="164"/>
      <c r="I117" s="26"/>
      <c r="J117" s="285"/>
      <c r="K117" s="43"/>
      <c r="L117" s="253"/>
      <c r="M117" s="26"/>
    </row>
    <row r="118" spans="1:14" ht="15.75" x14ac:dyDescent="0.2">
      <c r="A118" s="20" t="s">
        <v>321</v>
      </c>
      <c r="B118" s="232"/>
      <c r="C118" s="232"/>
      <c r="D118" s="164"/>
      <c r="E118" s="26"/>
      <c r="F118" s="232"/>
      <c r="G118" s="232"/>
      <c r="H118" s="164"/>
      <c r="I118" s="26"/>
      <c r="J118" s="285"/>
      <c r="K118" s="43"/>
      <c r="L118" s="253"/>
      <c r="M118" s="26"/>
    </row>
    <row r="119" spans="1:14" ht="15.75" x14ac:dyDescent="0.2">
      <c r="A119" s="13" t="s">
        <v>23</v>
      </c>
      <c r="B119" s="306">
        <f>SUM(B120:B122)</f>
        <v>8446.9660000000003</v>
      </c>
      <c r="C119" s="157">
        <f>SUM(C120:C122)</f>
        <v>2370.998</v>
      </c>
      <c r="D119" s="169">
        <f t="shared" si="37"/>
        <v>-71.900000000000006</v>
      </c>
      <c r="E119" s="11">
        <f>IFERROR(100/'Skjema total MA'!C119*C119,0)</f>
        <v>0.52820681133064906</v>
      </c>
      <c r="F119" s="306">
        <f>SUM(F120:F122)</f>
        <v>91698</v>
      </c>
      <c r="G119" s="157">
        <f>SUM(G120:G122)</f>
        <v>121742.42</v>
      </c>
      <c r="H119" s="169">
        <f t="shared" si="38"/>
        <v>32.799999999999997</v>
      </c>
      <c r="I119" s="11">
        <f>IFERROR(100/'Skjema total MA'!F119*G119,0)</f>
        <v>1.248300746930779</v>
      </c>
      <c r="J119" s="307">
        <f t="shared" si="39"/>
        <v>100144.966</v>
      </c>
      <c r="K119" s="234">
        <f t="shared" si="39"/>
        <v>124113.41800000001</v>
      </c>
      <c r="L119" s="425">
        <f t="shared" si="40"/>
        <v>23.9</v>
      </c>
      <c r="M119" s="11">
        <f>IFERROR(100/'Skjema total MA'!I119*K119,0)</f>
        <v>1.2166159367975387</v>
      </c>
    </row>
    <row r="120" spans="1:14" x14ac:dyDescent="0.2">
      <c r="A120" s="20" t="s">
        <v>9</v>
      </c>
      <c r="B120" s="232"/>
      <c r="C120" s="143"/>
      <c r="D120" s="164"/>
      <c r="E120" s="26"/>
      <c r="F120" s="232"/>
      <c r="G120" s="143"/>
      <c r="H120" s="164"/>
      <c r="I120" s="26"/>
      <c r="J120" s="285"/>
      <c r="K120" s="43"/>
      <c r="L120" s="253"/>
      <c r="M120" s="26"/>
    </row>
    <row r="121" spans="1:14" x14ac:dyDescent="0.2">
      <c r="A121" s="20" t="s">
        <v>10</v>
      </c>
      <c r="B121" s="232">
        <v>8446.9660000000003</v>
      </c>
      <c r="C121" s="143">
        <v>2370.998</v>
      </c>
      <c r="D121" s="164">
        <f t="shared" si="37"/>
        <v>-71.900000000000006</v>
      </c>
      <c r="E121" s="26">
        <f>IFERROR(100/'Skjema total MA'!C121*C121,0)</f>
        <v>6.3451880130490599</v>
      </c>
      <c r="F121" s="232">
        <v>91698</v>
      </c>
      <c r="G121" s="143">
        <v>121742.42</v>
      </c>
      <c r="H121" s="164">
        <f t="shared" si="38"/>
        <v>32.799999999999997</v>
      </c>
      <c r="I121" s="26">
        <f>IFERROR(100/'Skjema total MA'!F121*G121,0)</f>
        <v>1.248300746930779</v>
      </c>
      <c r="J121" s="285">
        <f t="shared" si="39"/>
        <v>100144.966</v>
      </c>
      <c r="K121" s="43">
        <f t="shared" si="39"/>
        <v>124113.41800000001</v>
      </c>
      <c r="L121" s="253">
        <f t="shared" si="40"/>
        <v>23.9</v>
      </c>
      <c r="M121" s="26">
        <f>IFERROR(100/'Skjema total MA'!I121*K121,0)</f>
        <v>1.2677547159181857</v>
      </c>
    </row>
    <row r="122" spans="1:14" x14ac:dyDescent="0.2">
      <c r="A122" s="20" t="s">
        <v>29</v>
      </c>
      <c r="B122" s="232"/>
      <c r="C122" s="143"/>
      <c r="D122" s="164"/>
      <c r="E122" s="26"/>
      <c r="F122" s="232"/>
      <c r="G122" s="143"/>
      <c r="H122" s="164"/>
      <c r="I122" s="26"/>
      <c r="J122" s="285"/>
      <c r="K122" s="43"/>
      <c r="L122" s="253"/>
      <c r="M122" s="26"/>
    </row>
    <row r="123" spans="1:14" x14ac:dyDescent="0.2">
      <c r="A123" s="294" t="s">
        <v>14</v>
      </c>
      <c r="B123" s="279"/>
      <c r="C123" s="279"/>
      <c r="D123" s="164"/>
      <c r="E123" s="414"/>
      <c r="F123" s="279"/>
      <c r="G123" s="279"/>
      <c r="H123" s="164"/>
      <c r="I123" s="414"/>
      <c r="J123" s="288"/>
      <c r="K123" s="288"/>
      <c r="L123" s="164"/>
      <c r="M123" s="22"/>
    </row>
    <row r="124" spans="1:14" ht="15.75" x14ac:dyDescent="0.2">
      <c r="A124" s="20" t="s">
        <v>319</v>
      </c>
      <c r="B124" s="232"/>
      <c r="C124" s="232"/>
      <c r="D124" s="164"/>
      <c r="E124" s="26"/>
      <c r="F124" s="232"/>
      <c r="G124" s="232"/>
      <c r="H124" s="164"/>
      <c r="I124" s="26"/>
      <c r="J124" s="285"/>
      <c r="K124" s="43"/>
      <c r="L124" s="253"/>
      <c r="M124" s="26"/>
    </row>
    <row r="125" spans="1:14" ht="15.75" x14ac:dyDescent="0.2">
      <c r="A125" s="20" t="s">
        <v>320</v>
      </c>
      <c r="B125" s="232"/>
      <c r="C125" s="232"/>
      <c r="D125" s="164"/>
      <c r="E125" s="26"/>
      <c r="F125" s="232"/>
      <c r="G125" s="232"/>
      <c r="H125" s="164"/>
      <c r="I125" s="26"/>
      <c r="J125" s="285"/>
      <c r="K125" s="43"/>
      <c r="L125" s="253"/>
      <c r="M125" s="26"/>
    </row>
    <row r="126" spans="1:14" ht="15.75" x14ac:dyDescent="0.2">
      <c r="A126" s="10" t="s">
        <v>321</v>
      </c>
      <c r="B126" s="44"/>
      <c r="C126" s="44"/>
      <c r="D126" s="165"/>
      <c r="E126" s="415"/>
      <c r="F126" s="44"/>
      <c r="G126" s="44"/>
      <c r="H126" s="165"/>
      <c r="I126" s="21"/>
      <c r="J126" s="286"/>
      <c r="K126" s="44"/>
      <c r="L126" s="254"/>
      <c r="M126" s="21"/>
    </row>
    <row r="127" spans="1:14" x14ac:dyDescent="0.2">
      <c r="A127" s="153"/>
      <c r="L127" s="25"/>
      <c r="M127" s="25"/>
      <c r="N127" s="25"/>
    </row>
    <row r="128" spans="1:14" x14ac:dyDescent="0.2">
      <c r="L128" s="25"/>
      <c r="M128" s="25"/>
      <c r="N128" s="25"/>
    </row>
    <row r="129" spans="1:15" ht="15.75" x14ac:dyDescent="0.25">
      <c r="A129" s="163" t="s">
        <v>30</v>
      </c>
    </row>
    <row r="130" spans="1:15" ht="15.75" x14ac:dyDescent="0.25">
      <c r="B130" s="963"/>
      <c r="C130" s="963"/>
      <c r="D130" s="963"/>
      <c r="E130" s="297"/>
      <c r="F130" s="963"/>
      <c r="G130" s="963"/>
      <c r="H130" s="963"/>
      <c r="I130" s="297"/>
      <c r="J130" s="963"/>
      <c r="K130" s="963"/>
      <c r="L130" s="963"/>
      <c r="M130" s="297"/>
    </row>
    <row r="131" spans="1:15" s="3" customFormat="1" x14ac:dyDescent="0.2">
      <c r="A131" s="142"/>
      <c r="B131" s="960" t="s">
        <v>0</v>
      </c>
      <c r="C131" s="961"/>
      <c r="D131" s="961"/>
      <c r="E131" s="299"/>
      <c r="F131" s="960" t="s">
        <v>1</v>
      </c>
      <c r="G131" s="961"/>
      <c r="H131" s="961"/>
      <c r="I131" s="302"/>
      <c r="J131" s="960" t="s">
        <v>2</v>
      </c>
      <c r="K131" s="961"/>
      <c r="L131" s="961"/>
      <c r="M131" s="302"/>
      <c r="N131" s="146"/>
      <c r="O131" s="146"/>
    </row>
    <row r="132" spans="1:15" s="3" customFormat="1" x14ac:dyDescent="0.2">
      <c r="A132" s="139"/>
      <c r="B132" s="150" t="s">
        <v>504</v>
      </c>
      <c r="C132" s="150" t="s">
        <v>505</v>
      </c>
      <c r="D132" s="243" t="s">
        <v>3</v>
      </c>
      <c r="E132" s="303" t="s">
        <v>32</v>
      </c>
      <c r="F132" s="150" t="s">
        <v>504</v>
      </c>
      <c r="G132" s="150" t="s">
        <v>505</v>
      </c>
      <c r="H132" s="204" t="s">
        <v>3</v>
      </c>
      <c r="I132" s="160" t="s">
        <v>32</v>
      </c>
      <c r="J132" s="244" t="s">
        <v>504</v>
      </c>
      <c r="K132" s="244" t="s">
        <v>505</v>
      </c>
      <c r="L132" s="245" t="s">
        <v>3</v>
      </c>
      <c r="M132" s="160" t="s">
        <v>32</v>
      </c>
      <c r="N132" s="146"/>
      <c r="O132" s="146"/>
    </row>
    <row r="133" spans="1:15" s="3" customFormat="1" x14ac:dyDescent="0.2">
      <c r="A133" s="934"/>
      <c r="B133" s="154"/>
      <c r="C133" s="154"/>
      <c r="D133" s="245" t="s">
        <v>4</v>
      </c>
      <c r="E133" s="154" t="s">
        <v>33</v>
      </c>
      <c r="F133" s="159"/>
      <c r="G133" s="159"/>
      <c r="H133" s="204" t="s">
        <v>4</v>
      </c>
      <c r="I133" s="154" t="s">
        <v>33</v>
      </c>
      <c r="J133" s="154"/>
      <c r="K133" s="154"/>
      <c r="L133" s="148" t="s">
        <v>4</v>
      </c>
      <c r="M133" s="154" t="s">
        <v>33</v>
      </c>
      <c r="N133" s="146"/>
      <c r="O133" s="146"/>
    </row>
    <row r="134" spans="1:15" s="3" customFormat="1" ht="15.75" x14ac:dyDescent="0.2">
      <c r="A134" s="14" t="s">
        <v>323</v>
      </c>
      <c r="B134" s="234"/>
      <c r="C134" s="307"/>
      <c r="D134" s="348"/>
      <c r="E134" s="11"/>
      <c r="F134" s="314"/>
      <c r="G134" s="315"/>
      <c r="H134" s="428"/>
      <c r="I134" s="23"/>
      <c r="J134" s="316"/>
      <c r="K134" s="316"/>
      <c r="L134" s="424"/>
      <c r="M134" s="11"/>
      <c r="N134" s="146"/>
      <c r="O134" s="146"/>
    </row>
    <row r="135" spans="1:15" s="3" customFormat="1" ht="15.75" x14ac:dyDescent="0.2">
      <c r="A135" s="13" t="s">
        <v>324</v>
      </c>
      <c r="B135" s="234"/>
      <c r="C135" s="307"/>
      <c r="D135" s="169"/>
      <c r="E135" s="11"/>
      <c r="F135" s="234"/>
      <c r="G135" s="307"/>
      <c r="H135" s="429"/>
      <c r="I135" s="23"/>
      <c r="J135" s="306"/>
      <c r="K135" s="306"/>
      <c r="L135" s="425"/>
      <c r="M135" s="11"/>
      <c r="N135" s="146"/>
      <c r="O135" s="146"/>
    </row>
    <row r="136" spans="1:15" s="3" customFormat="1" ht="15.75" x14ac:dyDescent="0.2">
      <c r="A136" s="13" t="s">
        <v>325</v>
      </c>
      <c r="B136" s="234"/>
      <c r="C136" s="307"/>
      <c r="D136" s="169"/>
      <c r="E136" s="11"/>
      <c r="F136" s="234"/>
      <c r="G136" s="307"/>
      <c r="H136" s="429"/>
      <c r="I136" s="23"/>
      <c r="J136" s="306"/>
      <c r="K136" s="306"/>
      <c r="L136" s="425"/>
      <c r="M136" s="11"/>
      <c r="N136" s="146"/>
      <c r="O136" s="146"/>
    </row>
    <row r="137" spans="1:15" s="3" customFormat="1" ht="15.75" x14ac:dyDescent="0.2">
      <c r="A137" s="40" t="s">
        <v>326</v>
      </c>
      <c r="B137" s="274"/>
      <c r="C137" s="313"/>
      <c r="D137" s="167"/>
      <c r="E137" s="9"/>
      <c r="F137" s="274"/>
      <c r="G137" s="313"/>
      <c r="H137" s="430"/>
      <c r="I137" s="35"/>
      <c r="J137" s="312"/>
      <c r="K137" s="312"/>
      <c r="L137" s="426"/>
      <c r="M137" s="35"/>
      <c r="N137" s="146"/>
      <c r="O137" s="146"/>
    </row>
    <row r="138" spans="1:15" s="3" customFormat="1" x14ac:dyDescent="0.2">
      <c r="A138" s="166"/>
      <c r="B138" s="32"/>
      <c r="C138" s="32"/>
      <c r="D138" s="157"/>
      <c r="E138" s="157"/>
      <c r="F138" s="32"/>
      <c r="G138" s="32"/>
      <c r="H138" s="157"/>
      <c r="I138" s="157"/>
      <c r="J138" s="32"/>
      <c r="K138" s="32"/>
      <c r="L138" s="157"/>
      <c r="M138" s="157"/>
      <c r="N138" s="146"/>
      <c r="O138" s="146"/>
    </row>
    <row r="139" spans="1:15" x14ac:dyDescent="0.2">
      <c r="A139" s="166"/>
      <c r="B139" s="32"/>
      <c r="C139" s="32"/>
      <c r="D139" s="157"/>
      <c r="E139" s="157"/>
      <c r="F139" s="32"/>
      <c r="G139" s="32"/>
      <c r="H139" s="157"/>
      <c r="I139" s="157"/>
      <c r="J139" s="32"/>
      <c r="K139" s="32"/>
      <c r="L139" s="157"/>
      <c r="M139" s="157"/>
      <c r="N139" s="146"/>
    </row>
    <row r="140" spans="1:15" x14ac:dyDescent="0.2">
      <c r="A140" s="166"/>
      <c r="B140" s="32"/>
      <c r="C140" s="32"/>
      <c r="D140" s="157"/>
      <c r="E140" s="157"/>
      <c r="F140" s="32"/>
      <c r="G140" s="32"/>
      <c r="H140" s="157"/>
      <c r="I140" s="157"/>
      <c r="J140" s="32"/>
      <c r="K140" s="32"/>
      <c r="L140" s="157"/>
      <c r="M140" s="157"/>
      <c r="N140" s="146"/>
    </row>
    <row r="141" spans="1:15" x14ac:dyDescent="0.2">
      <c r="A141" s="144"/>
      <c r="B141" s="144"/>
      <c r="C141" s="144"/>
      <c r="D141" s="144"/>
      <c r="E141" s="144"/>
      <c r="F141" s="144"/>
      <c r="G141" s="144"/>
      <c r="H141" s="144"/>
      <c r="I141" s="144"/>
      <c r="J141" s="144"/>
      <c r="K141" s="144"/>
      <c r="L141" s="144"/>
      <c r="M141" s="144"/>
      <c r="N141" s="144"/>
    </row>
    <row r="142" spans="1:15" ht="15.75" x14ac:dyDescent="0.25">
      <c r="B142" s="140"/>
      <c r="C142" s="140"/>
      <c r="D142" s="140"/>
      <c r="E142" s="140"/>
      <c r="F142" s="140"/>
      <c r="G142" s="140"/>
      <c r="H142" s="140"/>
      <c r="I142" s="140"/>
      <c r="J142" s="140"/>
      <c r="K142" s="140"/>
      <c r="L142" s="140"/>
      <c r="M142" s="140"/>
      <c r="N142" s="140"/>
    </row>
    <row r="143" spans="1:15" ht="15.75" x14ac:dyDescent="0.25">
      <c r="B143" s="155"/>
      <c r="C143" s="155"/>
      <c r="D143" s="155"/>
      <c r="E143" s="155"/>
      <c r="F143" s="155"/>
      <c r="G143" s="155"/>
      <c r="H143" s="155"/>
      <c r="I143" s="155"/>
      <c r="J143" s="155"/>
      <c r="K143" s="155"/>
      <c r="L143" s="155"/>
      <c r="M143" s="155"/>
      <c r="N143" s="155"/>
      <c r="O143" s="152"/>
    </row>
    <row r="144" spans="1:15" ht="15.75" x14ac:dyDescent="0.25">
      <c r="B144" s="155"/>
      <c r="C144" s="155"/>
      <c r="D144" s="155"/>
      <c r="E144" s="155"/>
      <c r="F144" s="155"/>
      <c r="G144" s="155"/>
      <c r="H144" s="155"/>
      <c r="I144" s="155"/>
      <c r="J144" s="155"/>
      <c r="K144" s="155"/>
      <c r="L144" s="155"/>
      <c r="M144" s="155"/>
      <c r="N144" s="155"/>
      <c r="O144" s="152"/>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623" priority="132">
      <formula>kvartal &lt; 4</formula>
    </cfRule>
  </conditionalFormatting>
  <conditionalFormatting sqref="B30">
    <cfRule type="expression" dxfId="1622" priority="130">
      <formula>kvartal &lt; 4</formula>
    </cfRule>
  </conditionalFormatting>
  <conditionalFormatting sqref="B31">
    <cfRule type="expression" dxfId="1621" priority="129">
      <formula>kvartal &lt; 4</formula>
    </cfRule>
  </conditionalFormatting>
  <conditionalFormatting sqref="B32:B33">
    <cfRule type="expression" dxfId="1620" priority="128">
      <formula>kvartal &lt; 4</formula>
    </cfRule>
  </conditionalFormatting>
  <conditionalFormatting sqref="C30">
    <cfRule type="expression" dxfId="1619" priority="127">
      <formula>kvartal &lt; 4</formula>
    </cfRule>
  </conditionalFormatting>
  <conditionalFormatting sqref="C31">
    <cfRule type="expression" dxfId="1618" priority="126">
      <formula>kvartal &lt; 4</formula>
    </cfRule>
  </conditionalFormatting>
  <conditionalFormatting sqref="C32:C33">
    <cfRule type="expression" dxfId="1617" priority="125">
      <formula>kvartal &lt; 4</formula>
    </cfRule>
  </conditionalFormatting>
  <conditionalFormatting sqref="B23:C26">
    <cfRule type="expression" dxfId="1616" priority="124">
      <formula>kvartal &lt; 4</formula>
    </cfRule>
  </conditionalFormatting>
  <conditionalFormatting sqref="F23:G26">
    <cfRule type="expression" dxfId="1615" priority="120">
      <formula>kvartal &lt; 4</formula>
    </cfRule>
  </conditionalFormatting>
  <conditionalFormatting sqref="F30">
    <cfRule type="expression" dxfId="1614" priority="113">
      <formula>kvartal &lt; 4</formula>
    </cfRule>
  </conditionalFormatting>
  <conditionalFormatting sqref="F31">
    <cfRule type="expression" dxfId="1613" priority="112">
      <formula>kvartal &lt; 4</formula>
    </cfRule>
  </conditionalFormatting>
  <conditionalFormatting sqref="F32:F33">
    <cfRule type="expression" dxfId="1612" priority="111">
      <formula>kvartal &lt; 4</formula>
    </cfRule>
  </conditionalFormatting>
  <conditionalFormatting sqref="G30">
    <cfRule type="expression" dxfId="1611" priority="110">
      <formula>kvartal &lt; 4</formula>
    </cfRule>
  </conditionalFormatting>
  <conditionalFormatting sqref="G31">
    <cfRule type="expression" dxfId="1610" priority="109">
      <formula>kvartal &lt; 4</formula>
    </cfRule>
  </conditionalFormatting>
  <conditionalFormatting sqref="G32:G33">
    <cfRule type="expression" dxfId="1609" priority="108">
      <formula>kvartal &lt; 4</formula>
    </cfRule>
  </conditionalFormatting>
  <conditionalFormatting sqref="B27">
    <cfRule type="expression" dxfId="1608" priority="107">
      <formula>kvartal &lt; 4</formula>
    </cfRule>
  </conditionalFormatting>
  <conditionalFormatting sqref="C27">
    <cfRule type="expression" dxfId="1607" priority="106">
      <formula>kvartal &lt; 4</formula>
    </cfRule>
  </conditionalFormatting>
  <conditionalFormatting sqref="F27">
    <cfRule type="expression" dxfId="1606" priority="105">
      <formula>kvartal &lt; 4</formula>
    </cfRule>
  </conditionalFormatting>
  <conditionalFormatting sqref="G27">
    <cfRule type="expression" dxfId="1605" priority="104">
      <formula>kvartal &lt; 4</formula>
    </cfRule>
  </conditionalFormatting>
  <conditionalFormatting sqref="J24:K24 J27:K27">
    <cfRule type="expression" dxfId="1604" priority="103">
      <formula>kvartal &lt; 4</formula>
    </cfRule>
  </conditionalFormatting>
  <conditionalFormatting sqref="J31:K31">
    <cfRule type="expression" dxfId="1603" priority="101">
      <formula>kvartal &lt; 4</formula>
    </cfRule>
  </conditionalFormatting>
  <conditionalFormatting sqref="B69">
    <cfRule type="expression" dxfId="1602" priority="100">
      <formula>kvartal &lt; 4</formula>
    </cfRule>
  </conditionalFormatting>
  <conditionalFormatting sqref="C69">
    <cfRule type="expression" dxfId="1601" priority="99">
      <formula>kvartal &lt; 4</formula>
    </cfRule>
  </conditionalFormatting>
  <conditionalFormatting sqref="B72">
    <cfRule type="expression" dxfId="1600" priority="98">
      <formula>kvartal &lt; 4</formula>
    </cfRule>
  </conditionalFormatting>
  <conditionalFormatting sqref="C72">
    <cfRule type="expression" dxfId="1599" priority="97">
      <formula>kvartal &lt; 4</formula>
    </cfRule>
  </conditionalFormatting>
  <conditionalFormatting sqref="B80">
    <cfRule type="expression" dxfId="1598" priority="96">
      <formula>kvartal &lt; 4</formula>
    </cfRule>
  </conditionalFormatting>
  <conditionalFormatting sqref="C80">
    <cfRule type="expression" dxfId="1597" priority="95">
      <formula>kvartal &lt; 4</formula>
    </cfRule>
  </conditionalFormatting>
  <conditionalFormatting sqref="B83">
    <cfRule type="expression" dxfId="1596" priority="94">
      <formula>kvartal &lt; 4</formula>
    </cfRule>
  </conditionalFormatting>
  <conditionalFormatting sqref="C83">
    <cfRule type="expression" dxfId="1595" priority="93">
      <formula>kvartal &lt; 4</formula>
    </cfRule>
  </conditionalFormatting>
  <conditionalFormatting sqref="B90">
    <cfRule type="expression" dxfId="1594" priority="84">
      <formula>kvartal &lt; 4</formula>
    </cfRule>
  </conditionalFormatting>
  <conditionalFormatting sqref="C90">
    <cfRule type="expression" dxfId="1593" priority="83">
      <formula>kvartal &lt; 4</formula>
    </cfRule>
  </conditionalFormatting>
  <conditionalFormatting sqref="B93">
    <cfRule type="expression" dxfId="1592" priority="82">
      <formula>kvartal &lt; 4</formula>
    </cfRule>
  </conditionalFormatting>
  <conditionalFormatting sqref="C93">
    <cfRule type="expression" dxfId="1591" priority="81">
      <formula>kvartal &lt; 4</formula>
    </cfRule>
  </conditionalFormatting>
  <conditionalFormatting sqref="B101">
    <cfRule type="expression" dxfId="1590" priority="80">
      <formula>kvartal &lt; 4</formula>
    </cfRule>
  </conditionalFormatting>
  <conditionalFormatting sqref="C101">
    <cfRule type="expression" dxfId="1589" priority="79">
      <formula>kvartal &lt; 4</formula>
    </cfRule>
  </conditionalFormatting>
  <conditionalFormatting sqref="B104">
    <cfRule type="expression" dxfId="1588" priority="78">
      <formula>kvartal &lt; 4</formula>
    </cfRule>
  </conditionalFormatting>
  <conditionalFormatting sqref="C104">
    <cfRule type="expression" dxfId="1587" priority="77">
      <formula>kvartal &lt; 4</formula>
    </cfRule>
  </conditionalFormatting>
  <conditionalFormatting sqref="B115">
    <cfRule type="expression" dxfId="1586" priority="76">
      <formula>kvartal &lt; 4</formula>
    </cfRule>
  </conditionalFormatting>
  <conditionalFormatting sqref="C115">
    <cfRule type="expression" dxfId="1585" priority="75">
      <formula>kvartal &lt; 4</formula>
    </cfRule>
  </conditionalFormatting>
  <conditionalFormatting sqref="B123">
    <cfRule type="expression" dxfId="1584" priority="74">
      <formula>kvartal &lt; 4</formula>
    </cfRule>
  </conditionalFormatting>
  <conditionalFormatting sqref="C123">
    <cfRule type="expression" dxfId="1583" priority="73">
      <formula>kvartal &lt; 4</formula>
    </cfRule>
  </conditionalFormatting>
  <conditionalFormatting sqref="F70">
    <cfRule type="expression" dxfId="1582" priority="72">
      <formula>kvartal &lt; 4</formula>
    </cfRule>
  </conditionalFormatting>
  <conditionalFormatting sqref="G70">
    <cfRule type="expression" dxfId="1581" priority="71">
      <formula>kvartal &lt; 4</formula>
    </cfRule>
  </conditionalFormatting>
  <conditionalFormatting sqref="F71:G71">
    <cfRule type="expression" dxfId="1580" priority="70">
      <formula>kvartal &lt; 4</formula>
    </cfRule>
  </conditionalFormatting>
  <conditionalFormatting sqref="F73:G74">
    <cfRule type="expression" dxfId="1579" priority="69">
      <formula>kvartal &lt; 4</formula>
    </cfRule>
  </conditionalFormatting>
  <conditionalFormatting sqref="F81:G82">
    <cfRule type="expression" dxfId="1578" priority="68">
      <formula>kvartal &lt; 4</formula>
    </cfRule>
  </conditionalFormatting>
  <conditionalFormatting sqref="F84:G85">
    <cfRule type="expression" dxfId="1577" priority="67">
      <formula>kvartal &lt; 4</formula>
    </cfRule>
  </conditionalFormatting>
  <conditionalFormatting sqref="F91:G92">
    <cfRule type="expression" dxfId="1576" priority="62">
      <formula>kvartal &lt; 4</formula>
    </cfRule>
  </conditionalFormatting>
  <conditionalFormatting sqref="F94:G95">
    <cfRule type="expression" dxfId="1575" priority="61">
      <formula>kvartal &lt; 4</formula>
    </cfRule>
  </conditionalFormatting>
  <conditionalFormatting sqref="F102:G103">
    <cfRule type="expression" dxfId="1574" priority="60">
      <formula>kvartal &lt; 4</formula>
    </cfRule>
  </conditionalFormatting>
  <conditionalFormatting sqref="F105:G106">
    <cfRule type="expression" dxfId="1573" priority="59">
      <formula>kvartal &lt; 4</formula>
    </cfRule>
  </conditionalFormatting>
  <conditionalFormatting sqref="F115">
    <cfRule type="expression" dxfId="1572" priority="58">
      <formula>kvartal &lt; 4</formula>
    </cfRule>
  </conditionalFormatting>
  <conditionalFormatting sqref="G115">
    <cfRule type="expression" dxfId="1571" priority="57">
      <formula>kvartal &lt; 4</formula>
    </cfRule>
  </conditionalFormatting>
  <conditionalFormatting sqref="F123:G123">
    <cfRule type="expression" dxfId="1570" priority="56">
      <formula>kvartal &lt; 4</formula>
    </cfRule>
  </conditionalFormatting>
  <conditionalFormatting sqref="F69:G69">
    <cfRule type="expression" dxfId="1569" priority="55">
      <formula>kvartal &lt; 4</formula>
    </cfRule>
  </conditionalFormatting>
  <conditionalFormatting sqref="F72:G72">
    <cfRule type="expression" dxfId="1568" priority="54">
      <formula>kvartal &lt; 4</formula>
    </cfRule>
  </conditionalFormatting>
  <conditionalFormatting sqref="F80:G80">
    <cfRule type="expression" dxfId="1567" priority="53">
      <formula>kvartal &lt; 4</formula>
    </cfRule>
  </conditionalFormatting>
  <conditionalFormatting sqref="F83:G83">
    <cfRule type="expression" dxfId="1566" priority="52">
      <formula>kvartal &lt; 4</formula>
    </cfRule>
  </conditionalFormatting>
  <conditionalFormatting sqref="F90:G90">
    <cfRule type="expression" dxfId="1565" priority="46">
      <formula>kvartal &lt; 4</formula>
    </cfRule>
  </conditionalFormatting>
  <conditionalFormatting sqref="F93">
    <cfRule type="expression" dxfId="1564" priority="45">
      <formula>kvartal &lt; 4</formula>
    </cfRule>
  </conditionalFormatting>
  <conditionalFormatting sqref="G93">
    <cfRule type="expression" dxfId="1563" priority="44">
      <formula>kvartal &lt; 4</formula>
    </cfRule>
  </conditionalFormatting>
  <conditionalFormatting sqref="F101">
    <cfRule type="expression" dxfId="1562" priority="43">
      <formula>kvartal &lt; 4</formula>
    </cfRule>
  </conditionalFormatting>
  <conditionalFormatting sqref="G101">
    <cfRule type="expression" dxfId="1561" priority="42">
      <formula>kvartal &lt; 4</formula>
    </cfRule>
  </conditionalFormatting>
  <conditionalFormatting sqref="G104">
    <cfRule type="expression" dxfId="1560" priority="41">
      <formula>kvartal &lt; 4</formula>
    </cfRule>
  </conditionalFormatting>
  <conditionalFormatting sqref="F104">
    <cfRule type="expression" dxfId="1559" priority="40">
      <formula>kvartal &lt; 4</formula>
    </cfRule>
  </conditionalFormatting>
  <conditionalFormatting sqref="J69:K71 J73:K73">
    <cfRule type="expression" dxfId="1558" priority="39">
      <formula>kvartal &lt; 4</formula>
    </cfRule>
  </conditionalFormatting>
  <conditionalFormatting sqref="J80:K82 J84:K84">
    <cfRule type="expression" dxfId="1557" priority="37">
      <formula>kvartal &lt; 4</formula>
    </cfRule>
  </conditionalFormatting>
  <conditionalFormatting sqref="J90:K92 J94:K94">
    <cfRule type="expression" dxfId="1556" priority="34">
      <formula>kvartal &lt; 4</formula>
    </cfRule>
  </conditionalFormatting>
  <conditionalFormatting sqref="J101:K103 J105:K105">
    <cfRule type="expression" dxfId="1555" priority="33">
      <formula>kvartal &lt; 4</formula>
    </cfRule>
  </conditionalFormatting>
  <conditionalFormatting sqref="J115:K115">
    <cfRule type="expression" dxfId="1554" priority="32">
      <formula>kvartal &lt; 4</formula>
    </cfRule>
  </conditionalFormatting>
  <conditionalFormatting sqref="J123:K123">
    <cfRule type="expression" dxfId="1553" priority="31">
      <formula>kvartal &lt; 4</formula>
    </cfRule>
  </conditionalFormatting>
  <conditionalFormatting sqref="A23:A26">
    <cfRule type="expression" dxfId="1552" priority="15">
      <formula>kvartal &lt; 4</formula>
    </cfRule>
  </conditionalFormatting>
  <conditionalFormatting sqref="A30:A33">
    <cfRule type="expression" dxfId="1551" priority="13">
      <formula>kvartal &lt; 4</formula>
    </cfRule>
  </conditionalFormatting>
  <conditionalFormatting sqref="A50:A52">
    <cfRule type="expression" dxfId="1550" priority="12">
      <formula>kvartal &lt; 4</formula>
    </cfRule>
  </conditionalFormatting>
  <conditionalFormatting sqref="A69:A74">
    <cfRule type="expression" dxfId="1549" priority="10">
      <formula>kvartal &lt; 4</formula>
    </cfRule>
  </conditionalFormatting>
  <conditionalFormatting sqref="A80:A85">
    <cfRule type="expression" dxfId="1548" priority="9">
      <formula>kvartal &lt; 4</formula>
    </cfRule>
  </conditionalFormatting>
  <conditionalFormatting sqref="A90:A95">
    <cfRule type="expression" dxfId="1547" priority="6">
      <formula>kvartal &lt; 4</formula>
    </cfRule>
  </conditionalFormatting>
  <conditionalFormatting sqref="A101:A106">
    <cfRule type="expression" dxfId="1546" priority="5">
      <formula>kvartal &lt; 4</formula>
    </cfRule>
  </conditionalFormatting>
  <conditionalFormatting sqref="A115">
    <cfRule type="expression" dxfId="1545" priority="4">
      <formula>kvartal &lt; 4</formula>
    </cfRule>
  </conditionalFormatting>
  <conditionalFormatting sqref="A123">
    <cfRule type="expression" dxfId="1544" priority="3">
      <formula>kvartal &lt; 4</formula>
    </cfRule>
  </conditionalFormatting>
  <conditionalFormatting sqref="A27">
    <cfRule type="expression" dxfId="1543" priority="2">
      <formula>kvartal &lt; 4</formula>
    </cfRule>
  </conditionalFormatting>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dimension ref="A1:O144"/>
  <sheetViews>
    <sheetView showGridLines="0" zoomScale="90" zoomScaleNormal="90" workbookViewId="0"/>
  </sheetViews>
  <sheetFormatPr baseColWidth="10" defaultColWidth="11.42578125" defaultRowHeight="12.75" x14ac:dyDescent="0.2"/>
  <cols>
    <col min="1" max="1" width="41.5703125" style="147" customWidth="1"/>
    <col min="2" max="2" width="10.85546875" style="147" customWidth="1"/>
    <col min="3" max="3" width="11" style="147" customWidth="1"/>
    <col min="4" max="5" width="8.7109375" style="147" customWidth="1"/>
    <col min="6" max="7" width="10.85546875" style="147" customWidth="1"/>
    <col min="8" max="9" width="8.7109375" style="147" customWidth="1"/>
    <col min="10" max="11" width="10.85546875" style="147" customWidth="1"/>
    <col min="12" max="13" width="8.7109375" style="147" customWidth="1"/>
    <col min="14" max="14" width="11.42578125" style="147"/>
    <col min="15" max="15" width="3" style="146" bestFit="1" customWidth="1"/>
    <col min="16" max="16384" width="11.42578125" style="1"/>
  </cols>
  <sheetData>
    <row r="1" spans="1:15" x14ac:dyDescent="0.2">
      <c r="A1" s="170" t="s">
        <v>152</v>
      </c>
      <c r="B1" s="932"/>
      <c r="C1" s="247" t="s">
        <v>141</v>
      </c>
      <c r="D1" s="25"/>
      <c r="E1" s="25"/>
      <c r="F1" s="25"/>
      <c r="G1" s="25"/>
      <c r="H1" s="25"/>
      <c r="I1" s="25"/>
      <c r="J1" s="25"/>
      <c r="K1" s="25"/>
      <c r="L1" s="25"/>
      <c r="M1" s="25"/>
      <c r="O1" s="423"/>
    </row>
    <row r="2" spans="1:15" ht="15.75" x14ac:dyDescent="0.25">
      <c r="A2" s="163" t="s">
        <v>31</v>
      </c>
      <c r="B2" s="965"/>
      <c r="C2" s="965"/>
      <c r="D2" s="965"/>
      <c r="E2" s="297"/>
      <c r="F2" s="965"/>
      <c r="G2" s="965"/>
      <c r="H2" s="965"/>
      <c r="I2" s="297"/>
      <c r="J2" s="965"/>
      <c r="K2" s="965"/>
      <c r="L2" s="965"/>
      <c r="M2" s="297"/>
    </row>
    <row r="3" spans="1:15" ht="15.75" x14ac:dyDescent="0.25">
      <c r="A3" s="161"/>
      <c r="B3" s="297"/>
      <c r="C3" s="297"/>
      <c r="D3" s="297"/>
      <c r="E3" s="297"/>
      <c r="F3" s="297"/>
      <c r="G3" s="297"/>
      <c r="H3" s="297"/>
      <c r="I3" s="297"/>
      <c r="J3" s="297"/>
      <c r="K3" s="297"/>
      <c r="L3" s="297"/>
      <c r="M3" s="297"/>
    </row>
    <row r="4" spans="1:15" x14ac:dyDescent="0.2">
      <c r="A4" s="142"/>
      <c r="B4" s="960" t="s">
        <v>0</v>
      </c>
      <c r="C4" s="961"/>
      <c r="D4" s="961"/>
      <c r="E4" s="299"/>
      <c r="F4" s="960" t="s">
        <v>1</v>
      </c>
      <c r="G4" s="961"/>
      <c r="H4" s="961"/>
      <c r="I4" s="302"/>
      <c r="J4" s="960" t="s">
        <v>2</v>
      </c>
      <c r="K4" s="961"/>
      <c r="L4" s="961"/>
      <c r="M4" s="302"/>
    </row>
    <row r="5" spans="1:15" x14ac:dyDescent="0.2">
      <c r="A5" s="156"/>
      <c r="B5" s="150" t="s">
        <v>504</v>
      </c>
      <c r="C5" s="150" t="s">
        <v>505</v>
      </c>
      <c r="D5" s="243" t="s">
        <v>3</v>
      </c>
      <c r="E5" s="303" t="s">
        <v>32</v>
      </c>
      <c r="F5" s="150" t="s">
        <v>504</v>
      </c>
      <c r="G5" s="150" t="s">
        <v>505</v>
      </c>
      <c r="H5" s="243" t="s">
        <v>3</v>
      </c>
      <c r="I5" s="160" t="s">
        <v>32</v>
      </c>
      <c r="J5" s="150" t="s">
        <v>504</v>
      </c>
      <c r="K5" s="150" t="s">
        <v>505</v>
      </c>
      <c r="L5" s="243" t="s">
        <v>3</v>
      </c>
      <c r="M5" s="160" t="s">
        <v>32</v>
      </c>
      <c r="O5" s="931"/>
    </row>
    <row r="6" spans="1:15" x14ac:dyDescent="0.2">
      <c r="A6" s="933"/>
      <c r="B6" s="154"/>
      <c r="C6" s="154"/>
      <c r="D6" s="245" t="s">
        <v>4</v>
      </c>
      <c r="E6" s="154" t="s">
        <v>33</v>
      </c>
      <c r="F6" s="159"/>
      <c r="G6" s="159"/>
      <c r="H6" s="243" t="s">
        <v>4</v>
      </c>
      <c r="I6" s="154" t="s">
        <v>33</v>
      </c>
      <c r="J6" s="159"/>
      <c r="K6" s="159"/>
      <c r="L6" s="243" t="s">
        <v>4</v>
      </c>
      <c r="M6" s="154" t="s">
        <v>33</v>
      </c>
    </row>
    <row r="7" spans="1:15" ht="15.75" x14ac:dyDescent="0.2">
      <c r="A7" s="14" t="s">
        <v>26</v>
      </c>
      <c r="B7" s="304"/>
      <c r="C7" s="305"/>
      <c r="D7" s="348"/>
      <c r="E7" s="11"/>
      <c r="F7" s="304"/>
      <c r="G7" s="305"/>
      <c r="H7" s="348"/>
      <c r="I7" s="158"/>
      <c r="J7" s="306"/>
      <c r="K7" s="307"/>
      <c r="L7" s="424"/>
      <c r="M7" s="11"/>
    </row>
    <row r="8" spans="1:15" ht="15.75" x14ac:dyDescent="0.2">
      <c r="A8" s="20" t="s">
        <v>28</v>
      </c>
      <c r="B8" s="279"/>
      <c r="C8" s="280"/>
      <c r="D8" s="164"/>
      <c r="E8" s="26"/>
      <c r="F8" s="283"/>
      <c r="G8" s="284"/>
      <c r="H8" s="164"/>
      <c r="I8" s="174"/>
      <c r="J8" s="232"/>
      <c r="K8" s="285"/>
      <c r="L8" s="164"/>
      <c r="M8" s="26"/>
    </row>
    <row r="9" spans="1:15" ht="15.75" x14ac:dyDescent="0.2">
      <c r="A9" s="20" t="s">
        <v>27</v>
      </c>
      <c r="B9" s="279"/>
      <c r="C9" s="280"/>
      <c r="D9" s="164"/>
      <c r="E9" s="26"/>
      <c r="F9" s="283"/>
      <c r="G9" s="284"/>
      <c r="H9" s="164"/>
      <c r="I9" s="174"/>
      <c r="J9" s="232"/>
      <c r="K9" s="285"/>
      <c r="L9" s="164"/>
      <c r="M9" s="26"/>
    </row>
    <row r="10" spans="1:15" ht="15.75" x14ac:dyDescent="0.2">
      <c r="A10" s="13" t="s">
        <v>25</v>
      </c>
      <c r="B10" s="308"/>
      <c r="C10" s="309"/>
      <c r="D10" s="169"/>
      <c r="E10" s="11"/>
      <c r="F10" s="308"/>
      <c r="G10" s="309"/>
      <c r="H10" s="169"/>
      <c r="I10" s="158"/>
      <c r="J10" s="306"/>
      <c r="K10" s="307"/>
      <c r="L10" s="425"/>
      <c r="M10" s="11"/>
    </row>
    <row r="11" spans="1:15" s="42" customFormat="1" ht="15.75" x14ac:dyDescent="0.2">
      <c r="A11" s="13" t="s">
        <v>24</v>
      </c>
      <c r="B11" s="308"/>
      <c r="C11" s="309"/>
      <c r="D11" s="169"/>
      <c r="E11" s="11"/>
      <c r="F11" s="308"/>
      <c r="G11" s="309"/>
      <c r="H11" s="169"/>
      <c r="I11" s="158"/>
      <c r="J11" s="306"/>
      <c r="K11" s="307"/>
      <c r="L11" s="425"/>
      <c r="M11" s="11"/>
      <c r="N11" s="141"/>
      <c r="O11" s="146"/>
    </row>
    <row r="12" spans="1:15" s="42" customFormat="1" ht="15.75" x14ac:dyDescent="0.2">
      <c r="A12" s="40" t="s">
        <v>23</v>
      </c>
      <c r="B12" s="310"/>
      <c r="C12" s="311"/>
      <c r="D12" s="167"/>
      <c r="E12" s="35"/>
      <c r="F12" s="310"/>
      <c r="G12" s="311"/>
      <c r="H12" s="167"/>
      <c r="I12" s="167"/>
      <c r="J12" s="312"/>
      <c r="K12" s="313"/>
      <c r="L12" s="426"/>
      <c r="M12" s="35"/>
      <c r="N12" s="141"/>
      <c r="O12" s="146"/>
    </row>
    <row r="13" spans="1:15" s="42" customFormat="1" x14ac:dyDescent="0.2">
      <c r="A13" s="166"/>
      <c r="B13" s="143"/>
      <c r="C13" s="32"/>
      <c r="D13" s="157"/>
      <c r="E13" s="157"/>
      <c r="F13" s="143"/>
      <c r="G13" s="32"/>
      <c r="H13" s="157"/>
      <c r="I13" s="157"/>
      <c r="J13" s="47"/>
      <c r="K13" s="47"/>
      <c r="L13" s="157"/>
      <c r="M13" s="157"/>
      <c r="N13" s="141"/>
      <c r="O13" s="423"/>
    </row>
    <row r="14" spans="1:15" x14ac:dyDescent="0.2">
      <c r="A14" s="151" t="s">
        <v>296</v>
      </c>
      <c r="B14" s="25"/>
    </row>
    <row r="15" spans="1:15" x14ac:dyDescent="0.2">
      <c r="F15" s="144"/>
      <c r="G15" s="144"/>
      <c r="H15" s="144"/>
      <c r="I15" s="144"/>
      <c r="J15" s="144"/>
      <c r="K15" s="144"/>
      <c r="L15" s="144"/>
      <c r="M15" s="144"/>
    </row>
    <row r="16" spans="1:15" s="3" customFormat="1" ht="15.75" x14ac:dyDescent="0.25">
      <c r="A16" s="162"/>
      <c r="B16" s="146"/>
      <c r="C16" s="152"/>
      <c r="D16" s="152"/>
      <c r="E16" s="152"/>
      <c r="F16" s="152"/>
      <c r="G16" s="152"/>
      <c r="H16" s="152"/>
      <c r="I16" s="152"/>
      <c r="J16" s="152"/>
      <c r="K16" s="152"/>
      <c r="L16" s="152"/>
      <c r="M16" s="152"/>
      <c r="N16" s="146"/>
      <c r="O16" s="146"/>
    </row>
    <row r="17" spans="1:15" ht="15.75" x14ac:dyDescent="0.25">
      <c r="A17" s="145" t="s">
        <v>293</v>
      </c>
      <c r="B17" s="155"/>
      <c r="C17" s="155"/>
      <c r="D17" s="149"/>
      <c r="E17" s="149"/>
      <c r="F17" s="155"/>
      <c r="G17" s="155"/>
      <c r="H17" s="155"/>
      <c r="I17" s="155"/>
      <c r="J17" s="155"/>
      <c r="K17" s="155"/>
      <c r="L17" s="155"/>
      <c r="M17" s="155"/>
    </row>
    <row r="18" spans="1:15" ht="15.75" x14ac:dyDescent="0.25">
      <c r="B18" s="963"/>
      <c r="C18" s="963"/>
      <c r="D18" s="963"/>
      <c r="E18" s="297"/>
      <c r="F18" s="963"/>
      <c r="G18" s="963"/>
      <c r="H18" s="963"/>
      <c r="I18" s="297"/>
      <c r="J18" s="963"/>
      <c r="K18" s="963"/>
      <c r="L18" s="963"/>
      <c r="M18" s="297"/>
    </row>
    <row r="19" spans="1:15" x14ac:dyDescent="0.2">
      <c r="A19" s="142"/>
      <c r="B19" s="960" t="s">
        <v>0</v>
      </c>
      <c r="C19" s="961"/>
      <c r="D19" s="961"/>
      <c r="E19" s="299"/>
      <c r="F19" s="960" t="s">
        <v>1</v>
      </c>
      <c r="G19" s="961"/>
      <c r="H19" s="961"/>
      <c r="I19" s="302"/>
      <c r="J19" s="960" t="s">
        <v>2</v>
      </c>
      <c r="K19" s="961"/>
      <c r="L19" s="961"/>
      <c r="M19" s="302"/>
    </row>
    <row r="20" spans="1:15" x14ac:dyDescent="0.2">
      <c r="A20" s="139" t="s">
        <v>5</v>
      </c>
      <c r="B20" s="240" t="s">
        <v>504</v>
      </c>
      <c r="C20" s="240" t="s">
        <v>505</v>
      </c>
      <c r="D20" s="160" t="s">
        <v>3</v>
      </c>
      <c r="E20" s="303" t="s">
        <v>32</v>
      </c>
      <c r="F20" s="240" t="s">
        <v>504</v>
      </c>
      <c r="G20" s="240" t="s">
        <v>505</v>
      </c>
      <c r="H20" s="160" t="s">
        <v>3</v>
      </c>
      <c r="I20" s="160" t="s">
        <v>32</v>
      </c>
      <c r="J20" s="240" t="s">
        <v>504</v>
      </c>
      <c r="K20" s="240" t="s">
        <v>505</v>
      </c>
      <c r="L20" s="160" t="s">
        <v>3</v>
      </c>
      <c r="M20" s="160" t="s">
        <v>32</v>
      </c>
    </row>
    <row r="21" spans="1:15" x14ac:dyDescent="0.2">
      <c r="A21" s="934"/>
      <c r="B21" s="154"/>
      <c r="C21" s="154"/>
      <c r="D21" s="245" t="s">
        <v>4</v>
      </c>
      <c r="E21" s="154" t="s">
        <v>33</v>
      </c>
      <c r="F21" s="159"/>
      <c r="G21" s="159"/>
      <c r="H21" s="243" t="s">
        <v>4</v>
      </c>
      <c r="I21" s="154" t="s">
        <v>33</v>
      </c>
      <c r="J21" s="159"/>
      <c r="K21" s="159"/>
      <c r="L21" s="154" t="s">
        <v>4</v>
      </c>
      <c r="M21" s="154" t="s">
        <v>33</v>
      </c>
    </row>
    <row r="22" spans="1:15" ht="15.75" x14ac:dyDescent="0.2">
      <c r="A22" s="14" t="s">
        <v>26</v>
      </c>
      <c r="B22" s="314"/>
      <c r="C22" s="314"/>
      <c r="D22" s="348"/>
      <c r="E22" s="11"/>
      <c r="F22" s="314"/>
      <c r="G22" s="314"/>
      <c r="H22" s="348"/>
      <c r="I22" s="11"/>
      <c r="J22" s="314"/>
      <c r="K22" s="314"/>
      <c r="L22" s="424"/>
      <c r="M22" s="23"/>
    </row>
    <row r="23" spans="1:15" ht="15.75" x14ac:dyDescent="0.2">
      <c r="A23" s="294" t="s">
        <v>305</v>
      </c>
      <c r="B23" s="288"/>
      <c r="C23" s="288"/>
      <c r="D23" s="164"/>
      <c r="E23" s="414"/>
      <c r="F23" s="288"/>
      <c r="G23" s="288"/>
      <c r="H23" s="164"/>
      <c r="I23" s="414"/>
      <c r="J23" s="288"/>
      <c r="K23" s="288"/>
      <c r="L23" s="164"/>
      <c r="M23" s="22"/>
    </row>
    <row r="24" spans="1:15" ht="15.75" x14ac:dyDescent="0.2">
      <c r="A24" s="294" t="s">
        <v>306</v>
      </c>
      <c r="B24" s="288"/>
      <c r="C24" s="288"/>
      <c r="D24" s="164"/>
      <c r="E24" s="414"/>
      <c r="F24" s="288"/>
      <c r="G24" s="288"/>
      <c r="H24" s="164"/>
      <c r="I24" s="414"/>
      <c r="J24" s="288"/>
      <c r="K24" s="288"/>
      <c r="L24" s="164"/>
      <c r="M24" s="22"/>
    </row>
    <row r="25" spans="1:15" ht="15.75" x14ac:dyDescent="0.2">
      <c r="A25" s="294" t="s">
        <v>406</v>
      </c>
      <c r="B25" s="288"/>
      <c r="C25" s="288"/>
      <c r="D25" s="164"/>
      <c r="E25" s="414"/>
      <c r="F25" s="288"/>
      <c r="G25" s="288"/>
      <c r="H25" s="164"/>
      <c r="I25" s="414"/>
      <c r="J25" s="288"/>
      <c r="K25" s="288"/>
      <c r="L25" s="164"/>
      <c r="M25" s="22"/>
    </row>
    <row r="26" spans="1:15" ht="15.75" x14ac:dyDescent="0.2">
      <c r="A26" s="294" t="s">
        <v>307</v>
      </c>
      <c r="B26" s="288"/>
      <c r="C26" s="288"/>
      <c r="D26" s="164"/>
      <c r="E26" s="414"/>
      <c r="F26" s="288"/>
      <c r="G26" s="288"/>
      <c r="H26" s="164"/>
      <c r="I26" s="414"/>
      <c r="J26" s="288"/>
      <c r="K26" s="288"/>
      <c r="L26" s="164"/>
      <c r="M26" s="22"/>
    </row>
    <row r="27" spans="1:15" x14ac:dyDescent="0.2">
      <c r="A27" s="294" t="s">
        <v>11</v>
      </c>
      <c r="B27" s="288"/>
      <c r="C27" s="288"/>
      <c r="D27" s="164"/>
      <c r="E27" s="414"/>
      <c r="F27" s="288"/>
      <c r="G27" s="288"/>
      <c r="H27" s="164"/>
      <c r="I27" s="414"/>
      <c r="J27" s="288"/>
      <c r="K27" s="288"/>
      <c r="L27" s="164"/>
      <c r="M27" s="22"/>
    </row>
    <row r="28" spans="1:15" ht="15.75" x14ac:dyDescent="0.2">
      <c r="A28" s="48" t="s">
        <v>297</v>
      </c>
      <c r="B28" s="43"/>
      <c r="C28" s="285"/>
      <c r="D28" s="164"/>
      <c r="E28" s="26"/>
      <c r="F28" s="232"/>
      <c r="G28" s="285"/>
      <c r="H28" s="164"/>
      <c r="I28" s="26"/>
      <c r="J28" s="43"/>
      <c r="K28" s="43"/>
      <c r="L28" s="253"/>
      <c r="M28" s="22"/>
    </row>
    <row r="29" spans="1:15" s="3" customFormat="1" ht="15.75" x14ac:dyDescent="0.2">
      <c r="A29" s="13" t="s">
        <v>25</v>
      </c>
      <c r="B29" s="234"/>
      <c r="C29" s="234"/>
      <c r="D29" s="169"/>
      <c r="E29" s="11"/>
      <c r="F29" s="234"/>
      <c r="G29" s="234"/>
      <c r="H29" s="169"/>
      <c r="I29" s="11"/>
      <c r="J29" s="234"/>
      <c r="K29" s="234"/>
      <c r="L29" s="425"/>
      <c r="M29" s="23"/>
      <c r="N29" s="146"/>
      <c r="O29" s="146"/>
    </row>
    <row r="30" spans="1:15" s="3" customFormat="1" ht="15.75" x14ac:dyDescent="0.2">
      <c r="A30" s="294" t="s">
        <v>305</v>
      </c>
      <c r="B30" s="288"/>
      <c r="C30" s="288"/>
      <c r="D30" s="164"/>
      <c r="E30" s="414"/>
      <c r="F30" s="288"/>
      <c r="G30" s="288"/>
      <c r="H30" s="164"/>
      <c r="I30" s="414"/>
      <c r="J30" s="288"/>
      <c r="K30" s="288"/>
      <c r="L30" s="164"/>
      <c r="M30" s="22"/>
      <c r="N30" s="146"/>
      <c r="O30" s="146"/>
    </row>
    <row r="31" spans="1:15" s="3" customFormat="1" ht="15.75" x14ac:dyDescent="0.2">
      <c r="A31" s="294" t="s">
        <v>306</v>
      </c>
      <c r="B31" s="288"/>
      <c r="C31" s="288"/>
      <c r="D31" s="164"/>
      <c r="E31" s="414"/>
      <c r="F31" s="288"/>
      <c r="G31" s="288"/>
      <c r="H31" s="164"/>
      <c r="I31" s="414"/>
      <c r="J31" s="288"/>
      <c r="K31" s="288"/>
      <c r="L31" s="164"/>
      <c r="M31" s="22"/>
      <c r="N31" s="146"/>
      <c r="O31" s="146"/>
    </row>
    <row r="32" spans="1:15" ht="15.75" x14ac:dyDescent="0.2">
      <c r="A32" s="294" t="s">
        <v>406</v>
      </c>
      <c r="B32" s="288"/>
      <c r="C32" s="288"/>
      <c r="D32" s="164"/>
      <c r="E32" s="414"/>
      <c r="F32" s="288"/>
      <c r="G32" s="288"/>
      <c r="H32" s="164"/>
      <c r="I32" s="414"/>
      <c r="J32" s="288"/>
      <c r="K32" s="288"/>
      <c r="L32" s="164"/>
      <c r="M32" s="22"/>
    </row>
    <row r="33" spans="1:15" ht="15.75" x14ac:dyDescent="0.2">
      <c r="A33" s="294" t="s">
        <v>307</v>
      </c>
      <c r="B33" s="288"/>
      <c r="C33" s="288"/>
      <c r="D33" s="164"/>
      <c r="E33" s="414"/>
      <c r="F33" s="288"/>
      <c r="G33" s="288"/>
      <c r="H33" s="164"/>
      <c r="I33" s="414"/>
      <c r="J33" s="288"/>
      <c r="K33" s="288"/>
      <c r="L33" s="164"/>
      <c r="M33" s="22"/>
    </row>
    <row r="34" spans="1:15" ht="15.75" x14ac:dyDescent="0.2">
      <c r="A34" s="13" t="s">
        <v>24</v>
      </c>
      <c r="B34" s="234"/>
      <c r="C34" s="307"/>
      <c r="D34" s="169"/>
      <c r="E34" s="11"/>
      <c r="F34" s="306"/>
      <c r="G34" s="307"/>
      <c r="H34" s="169"/>
      <c r="I34" s="11"/>
      <c r="J34" s="234"/>
      <c r="K34" s="234"/>
      <c r="L34" s="425"/>
      <c r="M34" s="23"/>
    </row>
    <row r="35" spans="1:15" ht="15.75" x14ac:dyDescent="0.2">
      <c r="A35" s="13" t="s">
        <v>23</v>
      </c>
      <c r="B35" s="234"/>
      <c r="C35" s="307"/>
      <c r="D35" s="169"/>
      <c r="E35" s="11"/>
      <c r="F35" s="306"/>
      <c r="G35" s="307"/>
      <c r="H35" s="169"/>
      <c r="I35" s="11"/>
      <c r="J35" s="234"/>
      <c r="K35" s="234"/>
      <c r="L35" s="425"/>
      <c r="M35" s="23"/>
    </row>
    <row r="36" spans="1:15" ht="15.75" x14ac:dyDescent="0.2">
      <c r="A36" s="12" t="s">
        <v>308</v>
      </c>
      <c r="B36" s="234"/>
      <c r="C36" s="307"/>
      <c r="D36" s="169"/>
      <c r="E36" s="11"/>
      <c r="F36" s="317"/>
      <c r="G36" s="318"/>
      <c r="H36" s="169"/>
      <c r="I36" s="431"/>
      <c r="J36" s="234"/>
      <c r="K36" s="234"/>
      <c r="L36" s="425"/>
      <c r="M36" s="23"/>
    </row>
    <row r="37" spans="1:15" ht="15.75" x14ac:dyDescent="0.2">
      <c r="A37" s="12" t="s">
        <v>309</v>
      </c>
      <c r="B37" s="234"/>
      <c r="C37" s="307"/>
      <c r="D37" s="169"/>
      <c r="E37" s="11"/>
      <c r="F37" s="317"/>
      <c r="G37" s="319"/>
      <c r="H37" s="169"/>
      <c r="I37" s="431"/>
      <c r="J37" s="234"/>
      <c r="K37" s="234"/>
      <c r="L37" s="425"/>
      <c r="M37" s="23"/>
    </row>
    <row r="38" spans="1:15" ht="15.75" x14ac:dyDescent="0.2">
      <c r="A38" s="12" t="s">
        <v>310</v>
      </c>
      <c r="B38" s="234"/>
      <c r="C38" s="307"/>
      <c r="D38" s="169"/>
      <c r="E38" s="11"/>
      <c r="F38" s="317"/>
      <c r="G38" s="318"/>
      <c r="H38" s="169"/>
      <c r="I38" s="431"/>
      <c r="J38" s="234"/>
      <c r="K38" s="234"/>
      <c r="L38" s="425"/>
      <c r="M38" s="23"/>
    </row>
    <row r="39" spans="1:15" ht="15.75" x14ac:dyDescent="0.2">
      <c r="A39" s="18" t="s">
        <v>311</v>
      </c>
      <c r="B39" s="274"/>
      <c r="C39" s="313"/>
      <c r="D39" s="167"/>
      <c r="E39" s="11"/>
      <c r="F39" s="320"/>
      <c r="G39" s="321"/>
      <c r="H39" s="167"/>
      <c r="I39" s="35"/>
      <c r="J39" s="234"/>
      <c r="K39" s="234"/>
      <c r="L39" s="426"/>
      <c r="M39" s="35"/>
    </row>
    <row r="40" spans="1:15" ht="15.75" x14ac:dyDescent="0.25">
      <c r="A40" s="46"/>
      <c r="B40" s="252"/>
      <c r="C40" s="252"/>
      <c r="D40" s="964"/>
      <c r="E40" s="964"/>
      <c r="F40" s="964"/>
      <c r="G40" s="964"/>
      <c r="H40" s="964"/>
      <c r="I40" s="964"/>
      <c r="J40" s="964"/>
      <c r="K40" s="964"/>
      <c r="L40" s="964"/>
      <c r="M40" s="300"/>
    </row>
    <row r="41" spans="1:15" x14ac:dyDescent="0.2">
      <c r="A41" s="153"/>
    </row>
    <row r="42" spans="1:15" ht="15.75" x14ac:dyDescent="0.25">
      <c r="A42" s="145" t="s">
        <v>294</v>
      </c>
      <c r="B42" s="965"/>
      <c r="C42" s="965"/>
      <c r="D42" s="965"/>
      <c r="E42" s="297"/>
      <c r="F42" s="966"/>
      <c r="G42" s="966"/>
      <c r="H42" s="966"/>
      <c r="I42" s="300"/>
      <c r="J42" s="966"/>
      <c r="K42" s="966"/>
      <c r="L42" s="966"/>
      <c r="M42" s="300"/>
    </row>
    <row r="43" spans="1:15" ht="15.75" x14ac:dyDescent="0.25">
      <c r="A43" s="161"/>
      <c r="B43" s="301"/>
      <c r="C43" s="301"/>
      <c r="D43" s="301"/>
      <c r="E43" s="301"/>
      <c r="F43" s="300"/>
      <c r="G43" s="300"/>
      <c r="H43" s="300"/>
      <c r="I43" s="300"/>
      <c r="J43" s="300"/>
      <c r="K43" s="300"/>
      <c r="L43" s="300"/>
      <c r="M43" s="300"/>
    </row>
    <row r="44" spans="1:15" ht="15.75" x14ac:dyDescent="0.25">
      <c r="A44" s="246"/>
      <c r="B44" s="960" t="s">
        <v>0</v>
      </c>
      <c r="C44" s="961"/>
      <c r="D44" s="961"/>
      <c r="E44" s="241"/>
      <c r="F44" s="300"/>
      <c r="G44" s="300"/>
      <c r="H44" s="300"/>
      <c r="I44" s="300"/>
      <c r="J44" s="300"/>
      <c r="K44" s="300"/>
      <c r="L44" s="300"/>
      <c r="M44" s="300"/>
    </row>
    <row r="45" spans="1:15" s="3" customFormat="1" x14ac:dyDescent="0.2">
      <c r="A45" s="139"/>
      <c r="B45" s="171" t="s">
        <v>504</v>
      </c>
      <c r="C45" s="171" t="s">
        <v>505</v>
      </c>
      <c r="D45" s="160" t="s">
        <v>3</v>
      </c>
      <c r="E45" s="160" t="s">
        <v>32</v>
      </c>
      <c r="F45" s="173"/>
      <c r="G45" s="173"/>
      <c r="H45" s="172"/>
      <c r="I45" s="172"/>
      <c r="J45" s="173"/>
      <c r="K45" s="173"/>
      <c r="L45" s="172"/>
      <c r="M45" s="172"/>
      <c r="N45" s="146"/>
      <c r="O45" s="146"/>
    </row>
    <row r="46" spans="1:15" s="3" customFormat="1" x14ac:dyDescent="0.2">
      <c r="A46" s="934"/>
      <c r="B46" s="242"/>
      <c r="C46" s="242"/>
      <c r="D46" s="243" t="s">
        <v>4</v>
      </c>
      <c r="E46" s="154" t="s">
        <v>33</v>
      </c>
      <c r="F46" s="172"/>
      <c r="G46" s="172"/>
      <c r="H46" s="172"/>
      <c r="I46" s="172"/>
      <c r="J46" s="172"/>
      <c r="K46" s="172"/>
      <c r="L46" s="172"/>
      <c r="M46" s="172"/>
      <c r="N46" s="146"/>
      <c r="O46" s="146"/>
    </row>
    <row r="47" spans="1:15" s="3" customFormat="1" ht="15.75" x14ac:dyDescent="0.2">
      <c r="A47" s="14" t="s">
        <v>26</v>
      </c>
      <c r="B47" s="308">
        <f>SUM(B48:B49)</f>
        <v>4460</v>
      </c>
      <c r="C47" s="309">
        <f>SUM(C48:C49)</f>
        <v>5631</v>
      </c>
      <c r="D47" s="424">
        <f t="shared" ref="D47:D54" si="0">IF(B47=0, "    ---- ", IF(ABS(ROUND(100/B47*C47-100,1))&lt;999,ROUND(100/B47*C47-100,1),IF(ROUND(100/B47*C47-100,1)&gt;999,999,-999)))</f>
        <v>26.3</v>
      </c>
      <c r="E47" s="11">
        <f>IFERROR(100/'Skjema total MA'!C47*C47,0)</f>
        <v>0.14785021916084837</v>
      </c>
      <c r="F47" s="143"/>
      <c r="G47" s="32"/>
      <c r="H47" s="157"/>
      <c r="I47" s="157"/>
      <c r="J47" s="36"/>
      <c r="K47" s="36"/>
      <c r="L47" s="157"/>
      <c r="M47" s="157"/>
      <c r="N47" s="146"/>
      <c r="O47" s="146"/>
    </row>
    <row r="48" spans="1:15" s="3" customFormat="1" ht="15.75" x14ac:dyDescent="0.2">
      <c r="A48" s="37" t="s">
        <v>312</v>
      </c>
      <c r="B48" s="279">
        <v>4460</v>
      </c>
      <c r="C48" s="280">
        <v>5631</v>
      </c>
      <c r="D48" s="253">
        <f t="shared" si="0"/>
        <v>26.3</v>
      </c>
      <c r="E48" s="26">
        <f>IFERROR(100/'Skjema total MA'!C48*C48,0)</f>
        <v>0.27479578126365178</v>
      </c>
      <c r="F48" s="143"/>
      <c r="G48" s="32"/>
      <c r="H48" s="143"/>
      <c r="I48" s="143"/>
      <c r="J48" s="32"/>
      <c r="K48" s="32"/>
      <c r="L48" s="157"/>
      <c r="M48" s="157"/>
      <c r="N48" s="146"/>
      <c r="O48" s="146"/>
    </row>
    <row r="49" spans="1:15" s="3" customFormat="1" ht="15.75" x14ac:dyDescent="0.2">
      <c r="A49" s="37" t="s">
        <v>313</v>
      </c>
      <c r="B49" s="43"/>
      <c r="C49" s="285"/>
      <c r="D49" s="253"/>
      <c r="E49" s="26"/>
      <c r="F49" s="143"/>
      <c r="G49" s="32"/>
      <c r="H49" s="143"/>
      <c r="I49" s="143"/>
      <c r="J49" s="36"/>
      <c r="K49" s="36"/>
      <c r="L49" s="157"/>
      <c r="M49" s="157"/>
      <c r="N49" s="146"/>
      <c r="O49" s="146"/>
    </row>
    <row r="50" spans="1:15" s="3" customFormat="1" x14ac:dyDescent="0.2">
      <c r="A50" s="294" t="s">
        <v>6</v>
      </c>
      <c r="B50" s="288"/>
      <c r="C50" s="289"/>
      <c r="D50" s="253"/>
      <c r="E50" s="22"/>
      <c r="F50" s="143"/>
      <c r="G50" s="32"/>
      <c r="H50" s="143"/>
      <c r="I50" s="143"/>
      <c r="J50" s="32"/>
      <c r="K50" s="32"/>
      <c r="L50" s="157"/>
      <c r="M50" s="157"/>
      <c r="N50" s="146"/>
      <c r="O50" s="146"/>
    </row>
    <row r="51" spans="1:15" s="3" customFormat="1" x14ac:dyDescent="0.2">
      <c r="A51" s="294" t="s">
        <v>7</v>
      </c>
      <c r="B51" s="288"/>
      <c r="C51" s="289"/>
      <c r="D51" s="253"/>
      <c r="E51" s="22"/>
      <c r="F51" s="143"/>
      <c r="G51" s="32"/>
      <c r="H51" s="143"/>
      <c r="I51" s="143"/>
      <c r="J51" s="32"/>
      <c r="K51" s="32"/>
      <c r="L51" s="157"/>
      <c r="M51" s="157"/>
      <c r="N51" s="146"/>
      <c r="O51" s="146"/>
    </row>
    <row r="52" spans="1:15" s="3" customFormat="1" x14ac:dyDescent="0.2">
      <c r="A52" s="294" t="s">
        <v>8</v>
      </c>
      <c r="B52" s="288"/>
      <c r="C52" s="289"/>
      <c r="D52" s="253"/>
      <c r="E52" s="22"/>
      <c r="F52" s="143"/>
      <c r="G52" s="32"/>
      <c r="H52" s="143"/>
      <c r="I52" s="143"/>
      <c r="J52" s="32"/>
      <c r="K52" s="32"/>
      <c r="L52" s="157"/>
      <c r="M52" s="157"/>
      <c r="N52" s="146"/>
      <c r="O52" s="146"/>
    </row>
    <row r="53" spans="1:15" s="3" customFormat="1" ht="15.75" x14ac:dyDescent="0.2">
      <c r="A53" s="38" t="s">
        <v>314</v>
      </c>
      <c r="B53" s="308">
        <f>SUM(B54:B55)</f>
        <v>0</v>
      </c>
      <c r="C53" s="309">
        <f>SUM(C54:C55)</f>
        <v>1180</v>
      </c>
      <c r="D53" s="425" t="str">
        <f t="shared" si="0"/>
        <v xml:space="preserve">    ---- </v>
      </c>
      <c r="E53" s="11">
        <f>IFERROR(100/'Skjema total MA'!C53*C53,0)</f>
        <v>0.72315831082058779</v>
      </c>
      <c r="F53" s="143"/>
      <c r="G53" s="32"/>
      <c r="H53" s="143"/>
      <c r="I53" s="143"/>
      <c r="J53" s="32"/>
      <c r="K53" s="32"/>
      <c r="L53" s="157"/>
      <c r="M53" s="157"/>
      <c r="N53" s="146"/>
      <c r="O53" s="146"/>
    </row>
    <row r="54" spans="1:15" s="3" customFormat="1" ht="15.75" x14ac:dyDescent="0.2">
      <c r="A54" s="37" t="s">
        <v>312</v>
      </c>
      <c r="B54" s="279">
        <v>0</v>
      </c>
      <c r="C54" s="280">
        <v>1180</v>
      </c>
      <c r="D54" s="253" t="str">
        <f t="shared" si="0"/>
        <v xml:space="preserve">    ---- </v>
      </c>
      <c r="E54" s="26">
        <f>IFERROR(100/'Skjema total MA'!C54*C54,0)</f>
        <v>1.130439248551814</v>
      </c>
      <c r="F54" s="143"/>
      <c r="G54" s="32"/>
      <c r="H54" s="143"/>
      <c r="I54" s="143"/>
      <c r="J54" s="32"/>
      <c r="K54" s="32"/>
      <c r="L54" s="157"/>
      <c r="M54" s="157"/>
      <c r="N54" s="146"/>
      <c r="O54" s="146"/>
    </row>
    <row r="55" spans="1:15" s="3" customFormat="1" ht="15.75" x14ac:dyDescent="0.2">
      <c r="A55" s="37" t="s">
        <v>313</v>
      </c>
      <c r="B55" s="279"/>
      <c r="C55" s="280"/>
      <c r="D55" s="253"/>
      <c r="E55" s="26"/>
      <c r="F55" s="143"/>
      <c r="G55" s="32"/>
      <c r="H55" s="143"/>
      <c r="I55" s="143"/>
      <c r="J55" s="32"/>
      <c r="K55" s="32"/>
      <c r="L55" s="157"/>
      <c r="M55" s="157"/>
      <c r="N55" s="146"/>
      <c r="O55" s="146"/>
    </row>
    <row r="56" spans="1:15" s="3" customFormat="1" ht="15.75" x14ac:dyDescent="0.2">
      <c r="A56" s="38" t="s">
        <v>315</v>
      </c>
      <c r="B56" s="308"/>
      <c r="C56" s="309"/>
      <c r="D56" s="425"/>
      <c r="E56" s="11"/>
      <c r="F56" s="143"/>
      <c r="G56" s="32"/>
      <c r="H56" s="143"/>
      <c r="I56" s="143"/>
      <c r="J56" s="32"/>
      <c r="K56" s="32"/>
      <c r="L56" s="157"/>
      <c r="M56" s="157"/>
      <c r="N56" s="146"/>
      <c r="O56" s="146"/>
    </row>
    <row r="57" spans="1:15" s="3" customFormat="1" ht="15.75" x14ac:dyDescent="0.2">
      <c r="A57" s="37" t="s">
        <v>312</v>
      </c>
      <c r="B57" s="279"/>
      <c r="C57" s="280"/>
      <c r="D57" s="253"/>
      <c r="E57" s="26"/>
      <c r="F57" s="143"/>
      <c r="G57" s="32"/>
      <c r="H57" s="143"/>
      <c r="I57" s="143"/>
      <c r="J57" s="32"/>
      <c r="K57" s="32"/>
      <c r="L57" s="157"/>
      <c r="M57" s="157"/>
      <c r="N57" s="146"/>
      <c r="O57" s="146"/>
    </row>
    <row r="58" spans="1:15" s="3" customFormat="1" ht="15.75" x14ac:dyDescent="0.2">
      <c r="A58" s="45" t="s">
        <v>313</v>
      </c>
      <c r="B58" s="281"/>
      <c r="C58" s="282"/>
      <c r="D58" s="254"/>
      <c r="E58" s="21"/>
      <c r="F58" s="143"/>
      <c r="G58" s="32"/>
      <c r="H58" s="143"/>
      <c r="I58" s="143"/>
      <c r="J58" s="32"/>
      <c r="K58" s="32"/>
      <c r="L58" s="157"/>
      <c r="M58" s="157"/>
      <c r="N58" s="146"/>
      <c r="O58" s="146"/>
    </row>
    <row r="59" spans="1:15" s="3" customFormat="1" ht="15.75" x14ac:dyDescent="0.25">
      <c r="A59" s="162"/>
      <c r="B59" s="152"/>
      <c r="C59" s="152"/>
      <c r="D59" s="152"/>
      <c r="E59" s="152"/>
      <c r="F59" s="140"/>
      <c r="G59" s="140"/>
      <c r="H59" s="140"/>
      <c r="I59" s="140"/>
      <c r="J59" s="140"/>
      <c r="K59" s="140"/>
      <c r="L59" s="140"/>
      <c r="M59" s="140"/>
      <c r="N59" s="146"/>
      <c r="O59" s="146"/>
    </row>
    <row r="60" spans="1:15" x14ac:dyDescent="0.2">
      <c r="A60" s="153"/>
    </row>
    <row r="61" spans="1:15" ht="15.75" x14ac:dyDescent="0.25">
      <c r="A61" s="145" t="s">
        <v>295</v>
      </c>
      <c r="C61" s="25"/>
      <c r="D61" s="25"/>
      <c r="E61" s="25"/>
      <c r="F61" s="25"/>
      <c r="G61" s="25"/>
      <c r="H61" s="25"/>
      <c r="I61" s="25"/>
      <c r="J61" s="25"/>
      <c r="K61" s="25"/>
      <c r="L61" s="25"/>
      <c r="M61" s="25"/>
    </row>
    <row r="62" spans="1:15" ht="15.75" x14ac:dyDescent="0.25">
      <c r="B62" s="963"/>
      <c r="C62" s="963"/>
      <c r="D62" s="963"/>
      <c r="E62" s="297"/>
      <c r="F62" s="963"/>
      <c r="G62" s="963"/>
      <c r="H62" s="963"/>
      <c r="I62" s="297"/>
      <c r="J62" s="963"/>
      <c r="K62" s="963"/>
      <c r="L62" s="963"/>
      <c r="M62" s="297"/>
    </row>
    <row r="63" spans="1:15" x14ac:dyDescent="0.2">
      <c r="A63" s="142"/>
      <c r="B63" s="960" t="s">
        <v>0</v>
      </c>
      <c r="C63" s="961"/>
      <c r="D63" s="962"/>
      <c r="E63" s="298"/>
      <c r="F63" s="961" t="s">
        <v>1</v>
      </c>
      <c r="G63" s="961"/>
      <c r="H63" s="961"/>
      <c r="I63" s="302"/>
      <c r="J63" s="960" t="s">
        <v>2</v>
      </c>
      <c r="K63" s="961"/>
      <c r="L63" s="961"/>
      <c r="M63" s="302"/>
    </row>
    <row r="64" spans="1:15" x14ac:dyDescent="0.2">
      <c r="A64" s="139"/>
      <c r="B64" s="150" t="s">
        <v>504</v>
      </c>
      <c r="C64" s="150" t="s">
        <v>505</v>
      </c>
      <c r="D64" s="243" t="s">
        <v>3</v>
      </c>
      <c r="E64" s="303" t="s">
        <v>32</v>
      </c>
      <c r="F64" s="150" t="s">
        <v>504</v>
      </c>
      <c r="G64" s="150" t="s">
        <v>505</v>
      </c>
      <c r="H64" s="243" t="s">
        <v>3</v>
      </c>
      <c r="I64" s="303" t="s">
        <v>32</v>
      </c>
      <c r="J64" s="150" t="s">
        <v>504</v>
      </c>
      <c r="K64" s="150" t="s">
        <v>505</v>
      </c>
      <c r="L64" s="243" t="s">
        <v>3</v>
      </c>
      <c r="M64" s="160" t="s">
        <v>32</v>
      </c>
    </row>
    <row r="65" spans="1:15" x14ac:dyDescent="0.2">
      <c r="A65" s="934"/>
      <c r="B65" s="154"/>
      <c r="C65" s="154"/>
      <c r="D65" s="245" t="s">
        <v>4</v>
      </c>
      <c r="E65" s="154" t="s">
        <v>33</v>
      </c>
      <c r="F65" s="159"/>
      <c r="G65" s="159"/>
      <c r="H65" s="243" t="s">
        <v>4</v>
      </c>
      <c r="I65" s="154" t="s">
        <v>33</v>
      </c>
      <c r="J65" s="159"/>
      <c r="K65" s="204"/>
      <c r="L65" s="154" t="s">
        <v>4</v>
      </c>
      <c r="M65" s="154" t="s">
        <v>33</v>
      </c>
    </row>
    <row r="66" spans="1:15" ht="15.75" x14ac:dyDescent="0.2">
      <c r="A66" s="14" t="s">
        <v>26</v>
      </c>
      <c r="B66" s="350"/>
      <c r="C66" s="350"/>
      <c r="D66" s="348"/>
      <c r="E66" s="11"/>
      <c r="F66" s="350"/>
      <c r="G66" s="350"/>
      <c r="H66" s="348"/>
      <c r="I66" s="11"/>
      <c r="J66" s="307"/>
      <c r="K66" s="314"/>
      <c r="L66" s="425"/>
      <c r="M66" s="11"/>
    </row>
    <row r="67" spans="1:15" x14ac:dyDescent="0.2">
      <c r="A67" s="416" t="s">
        <v>9</v>
      </c>
      <c r="B67" s="43"/>
      <c r="C67" s="143"/>
      <c r="D67" s="164"/>
      <c r="E67" s="26"/>
      <c r="F67" s="232"/>
      <c r="G67" s="143"/>
      <c r="H67" s="164"/>
      <c r="I67" s="26"/>
      <c r="J67" s="285"/>
      <c r="K67" s="43"/>
      <c r="L67" s="253"/>
      <c r="M67" s="26"/>
    </row>
    <row r="68" spans="1:15" x14ac:dyDescent="0.2">
      <c r="A68" s="20" t="s">
        <v>10</v>
      </c>
      <c r="B68" s="290"/>
      <c r="C68" s="291"/>
      <c r="D68" s="164"/>
      <c r="E68" s="26"/>
      <c r="F68" s="290"/>
      <c r="G68" s="291"/>
      <c r="H68" s="164"/>
      <c r="I68" s="26"/>
      <c r="J68" s="285"/>
      <c r="K68" s="43"/>
      <c r="L68" s="253"/>
      <c r="M68" s="26"/>
    </row>
    <row r="69" spans="1:15" ht="15.75" x14ac:dyDescent="0.2">
      <c r="A69" s="294" t="s">
        <v>316</v>
      </c>
      <c r="B69" s="279"/>
      <c r="C69" s="279"/>
      <c r="D69" s="164"/>
      <c r="E69" s="414"/>
      <c r="F69" s="279"/>
      <c r="G69" s="279"/>
      <c r="H69" s="164"/>
      <c r="I69" s="414"/>
      <c r="J69" s="288"/>
      <c r="K69" s="288"/>
      <c r="L69" s="164"/>
      <c r="M69" s="22"/>
    </row>
    <row r="70" spans="1:15" x14ac:dyDescent="0.2">
      <c r="A70" s="294" t="s">
        <v>12</v>
      </c>
      <c r="B70" s="292"/>
      <c r="C70" s="293"/>
      <c r="D70" s="164"/>
      <c r="E70" s="414"/>
      <c r="F70" s="279"/>
      <c r="G70" s="279"/>
      <c r="H70" s="164"/>
      <c r="I70" s="414"/>
      <c r="J70" s="288"/>
      <c r="K70" s="288"/>
      <c r="L70" s="164"/>
      <c r="M70" s="22"/>
    </row>
    <row r="71" spans="1:15" x14ac:dyDescent="0.2">
      <c r="A71" s="294" t="s">
        <v>13</v>
      </c>
      <c r="B71" s="233"/>
      <c r="C71" s="287"/>
      <c r="D71" s="164"/>
      <c r="E71" s="414"/>
      <c r="F71" s="279"/>
      <c r="G71" s="279"/>
      <c r="H71" s="164"/>
      <c r="I71" s="414"/>
      <c r="J71" s="288"/>
      <c r="K71" s="288"/>
      <c r="L71" s="164"/>
      <c r="M71" s="22"/>
    </row>
    <row r="72" spans="1:15" ht="15.75" x14ac:dyDescent="0.2">
      <c r="A72" s="294" t="s">
        <v>317</v>
      </c>
      <c r="B72" s="279"/>
      <c r="C72" s="279"/>
      <c r="D72" s="164"/>
      <c r="E72" s="414"/>
      <c r="F72" s="279"/>
      <c r="G72" s="279"/>
      <c r="H72" s="164"/>
      <c r="I72" s="414"/>
      <c r="J72" s="288"/>
      <c r="K72" s="288"/>
      <c r="L72" s="164"/>
      <c r="M72" s="22"/>
    </row>
    <row r="73" spans="1:15" x14ac:dyDescent="0.2">
      <c r="A73" s="294" t="s">
        <v>12</v>
      </c>
      <c r="B73" s="233"/>
      <c r="C73" s="287"/>
      <c r="D73" s="164"/>
      <c r="E73" s="414"/>
      <c r="F73" s="279"/>
      <c r="G73" s="279"/>
      <c r="H73" s="164"/>
      <c r="I73" s="414"/>
      <c r="J73" s="288"/>
      <c r="K73" s="288"/>
      <c r="L73" s="164"/>
      <c r="M73" s="22"/>
    </row>
    <row r="74" spans="1:15" s="3" customFormat="1" x14ac:dyDescent="0.2">
      <c r="A74" s="294" t="s">
        <v>13</v>
      </c>
      <c r="B74" s="233"/>
      <c r="C74" s="287"/>
      <c r="D74" s="164"/>
      <c r="E74" s="414"/>
      <c r="F74" s="279"/>
      <c r="G74" s="279"/>
      <c r="H74" s="164"/>
      <c r="I74" s="414"/>
      <c r="J74" s="288"/>
      <c r="K74" s="288"/>
      <c r="L74" s="164"/>
      <c r="M74" s="22"/>
      <c r="N74" s="146"/>
      <c r="O74" s="146"/>
    </row>
    <row r="75" spans="1:15" s="3" customFormat="1" x14ac:dyDescent="0.2">
      <c r="A75" s="20" t="s">
        <v>395</v>
      </c>
      <c r="B75" s="232"/>
      <c r="C75" s="143"/>
      <c r="D75" s="164"/>
      <c r="E75" s="26"/>
      <c r="F75" s="232"/>
      <c r="G75" s="143"/>
      <c r="H75" s="164"/>
      <c r="I75" s="26"/>
      <c r="J75" s="285"/>
      <c r="K75" s="43"/>
      <c r="L75" s="253"/>
      <c r="M75" s="26"/>
      <c r="N75" s="146"/>
      <c r="O75" s="146"/>
    </row>
    <row r="76" spans="1:15" s="3" customFormat="1" x14ac:dyDescent="0.2">
      <c r="A76" s="20" t="s">
        <v>394</v>
      </c>
      <c r="B76" s="232"/>
      <c r="C76" s="143"/>
      <c r="D76" s="164"/>
      <c r="E76" s="26"/>
      <c r="F76" s="232"/>
      <c r="G76" s="143"/>
      <c r="H76" s="164"/>
      <c r="I76" s="26"/>
      <c r="J76" s="285"/>
      <c r="K76" s="43"/>
      <c r="L76" s="253"/>
      <c r="M76" s="26"/>
      <c r="N76" s="146"/>
      <c r="O76" s="146"/>
    </row>
    <row r="77" spans="1:15" ht="15.75" x14ac:dyDescent="0.2">
      <c r="A77" s="20" t="s">
        <v>318</v>
      </c>
      <c r="B77" s="232"/>
      <c r="C77" s="232"/>
      <c r="D77" s="164"/>
      <c r="E77" s="26"/>
      <c r="F77" s="232"/>
      <c r="G77" s="143"/>
      <c r="H77" s="164"/>
      <c r="I77" s="26"/>
      <c r="J77" s="285"/>
      <c r="K77" s="43"/>
      <c r="L77" s="253"/>
      <c r="M77" s="26"/>
    </row>
    <row r="78" spans="1:15" x14ac:dyDescent="0.2">
      <c r="A78" s="20" t="s">
        <v>9</v>
      </c>
      <c r="B78" s="232"/>
      <c r="C78" s="143"/>
      <c r="D78" s="164"/>
      <c r="E78" s="26"/>
      <c r="F78" s="232"/>
      <c r="G78" s="143"/>
      <c r="H78" s="164"/>
      <c r="I78" s="26"/>
      <c r="J78" s="285"/>
      <c r="K78" s="43"/>
      <c r="L78" s="253"/>
      <c r="M78" s="26"/>
    </row>
    <row r="79" spans="1:15" x14ac:dyDescent="0.2">
      <c r="A79" s="20" t="s">
        <v>10</v>
      </c>
      <c r="B79" s="290"/>
      <c r="C79" s="291"/>
      <c r="D79" s="164"/>
      <c r="E79" s="26"/>
      <c r="F79" s="290"/>
      <c r="G79" s="291"/>
      <c r="H79" s="164"/>
      <c r="I79" s="26"/>
      <c r="J79" s="285"/>
      <c r="K79" s="43"/>
      <c r="L79" s="253"/>
      <c r="M79" s="26"/>
    </row>
    <row r="80" spans="1:15" ht="15.75" x14ac:dyDescent="0.2">
      <c r="A80" s="294" t="s">
        <v>316</v>
      </c>
      <c r="B80" s="279"/>
      <c r="C80" s="279"/>
      <c r="D80" s="164"/>
      <c r="E80" s="414"/>
      <c r="F80" s="279"/>
      <c r="G80" s="279"/>
      <c r="H80" s="164"/>
      <c r="I80" s="414"/>
      <c r="J80" s="288"/>
      <c r="K80" s="288"/>
      <c r="L80" s="164"/>
      <c r="M80" s="22"/>
    </row>
    <row r="81" spans="1:13" x14ac:dyDescent="0.2">
      <c r="A81" s="294" t="s">
        <v>12</v>
      </c>
      <c r="B81" s="233"/>
      <c r="C81" s="287"/>
      <c r="D81" s="164"/>
      <c r="E81" s="414"/>
      <c r="F81" s="279"/>
      <c r="G81" s="279"/>
      <c r="H81" s="164"/>
      <c r="I81" s="414"/>
      <c r="J81" s="288"/>
      <c r="K81" s="288"/>
      <c r="L81" s="164"/>
      <c r="M81" s="22"/>
    </row>
    <row r="82" spans="1:13" x14ac:dyDescent="0.2">
      <c r="A82" s="294" t="s">
        <v>13</v>
      </c>
      <c r="B82" s="233"/>
      <c r="C82" s="287"/>
      <c r="D82" s="164"/>
      <c r="E82" s="414"/>
      <c r="F82" s="279"/>
      <c r="G82" s="279"/>
      <c r="H82" s="164"/>
      <c r="I82" s="414"/>
      <c r="J82" s="288"/>
      <c r="K82" s="288"/>
      <c r="L82" s="164"/>
      <c r="M82" s="22"/>
    </row>
    <row r="83" spans="1:13" ht="15.75" x14ac:dyDescent="0.2">
      <c r="A83" s="294" t="s">
        <v>317</v>
      </c>
      <c r="B83" s="279"/>
      <c r="C83" s="279"/>
      <c r="D83" s="164"/>
      <c r="E83" s="414"/>
      <c r="F83" s="279"/>
      <c r="G83" s="279"/>
      <c r="H83" s="164"/>
      <c r="I83" s="414"/>
      <c r="J83" s="288"/>
      <c r="K83" s="288"/>
      <c r="L83" s="164"/>
      <c r="M83" s="22"/>
    </row>
    <row r="84" spans="1:13" x14ac:dyDescent="0.2">
      <c r="A84" s="294" t="s">
        <v>12</v>
      </c>
      <c r="B84" s="233"/>
      <c r="C84" s="287"/>
      <c r="D84" s="164"/>
      <c r="E84" s="414"/>
      <c r="F84" s="279"/>
      <c r="G84" s="279"/>
      <c r="H84" s="164"/>
      <c r="I84" s="414"/>
      <c r="J84" s="288"/>
      <c r="K84" s="288"/>
      <c r="L84" s="164"/>
      <c r="M84" s="22"/>
    </row>
    <row r="85" spans="1:13" x14ac:dyDescent="0.2">
      <c r="A85" s="294" t="s">
        <v>13</v>
      </c>
      <c r="B85" s="233"/>
      <c r="C85" s="287"/>
      <c r="D85" s="164"/>
      <c r="E85" s="414"/>
      <c r="F85" s="279"/>
      <c r="G85" s="279"/>
      <c r="H85" s="164"/>
      <c r="I85" s="414"/>
      <c r="J85" s="288"/>
      <c r="K85" s="288"/>
      <c r="L85" s="164"/>
      <c r="M85" s="22"/>
    </row>
    <row r="86" spans="1:13" ht="15.75" x14ac:dyDescent="0.2">
      <c r="A86" s="20" t="s">
        <v>327</v>
      </c>
      <c r="B86" s="232"/>
      <c r="C86" s="143"/>
      <c r="D86" s="164"/>
      <c r="E86" s="26"/>
      <c r="F86" s="232"/>
      <c r="G86" s="143"/>
      <c r="H86" s="164"/>
      <c r="I86" s="26"/>
      <c r="J86" s="285"/>
      <c r="K86" s="43"/>
      <c r="L86" s="253"/>
      <c r="M86" s="26"/>
    </row>
    <row r="87" spans="1:13" ht="15.75" x14ac:dyDescent="0.2">
      <c r="A87" s="13" t="s">
        <v>25</v>
      </c>
      <c r="B87" s="350"/>
      <c r="C87" s="350"/>
      <c r="D87" s="169"/>
      <c r="E87" s="11"/>
      <c r="F87" s="350"/>
      <c r="G87" s="350"/>
      <c r="H87" s="169"/>
      <c r="I87" s="11"/>
      <c r="J87" s="307"/>
      <c r="K87" s="234"/>
      <c r="L87" s="425"/>
      <c r="M87" s="11"/>
    </row>
    <row r="88" spans="1:13" x14ac:dyDescent="0.2">
      <c r="A88" s="20" t="s">
        <v>9</v>
      </c>
      <c r="B88" s="232"/>
      <c r="C88" s="143"/>
      <c r="D88" s="164"/>
      <c r="E88" s="26"/>
      <c r="F88" s="232"/>
      <c r="G88" s="143"/>
      <c r="H88" s="164"/>
      <c r="I88" s="26"/>
      <c r="J88" s="285"/>
      <c r="K88" s="43"/>
      <c r="L88" s="253"/>
      <c r="M88" s="26"/>
    </row>
    <row r="89" spans="1:13" x14ac:dyDescent="0.2">
      <c r="A89" s="20" t="s">
        <v>10</v>
      </c>
      <c r="B89" s="232"/>
      <c r="C89" s="143"/>
      <c r="D89" s="164"/>
      <c r="E89" s="26"/>
      <c r="F89" s="232"/>
      <c r="G89" s="143"/>
      <c r="H89" s="164"/>
      <c r="I89" s="26"/>
      <c r="J89" s="285"/>
      <c r="K89" s="43"/>
      <c r="L89" s="253"/>
      <c r="M89" s="26"/>
    </row>
    <row r="90" spans="1:13" ht="15.75" x14ac:dyDescent="0.2">
      <c r="A90" s="294" t="s">
        <v>316</v>
      </c>
      <c r="B90" s="279"/>
      <c r="C90" s="279"/>
      <c r="D90" s="164"/>
      <c r="E90" s="414"/>
      <c r="F90" s="279"/>
      <c r="G90" s="279"/>
      <c r="H90" s="164"/>
      <c r="I90" s="414"/>
      <c r="J90" s="288"/>
      <c r="K90" s="288"/>
      <c r="L90" s="164"/>
      <c r="M90" s="22"/>
    </row>
    <row r="91" spans="1:13" x14ac:dyDescent="0.2">
      <c r="A91" s="294" t="s">
        <v>12</v>
      </c>
      <c r="B91" s="233"/>
      <c r="C91" s="287"/>
      <c r="D91" s="164"/>
      <c r="E91" s="414"/>
      <c r="F91" s="279"/>
      <c r="G91" s="279"/>
      <c r="H91" s="164"/>
      <c r="I91" s="414"/>
      <c r="J91" s="288"/>
      <c r="K91" s="288"/>
      <c r="L91" s="164"/>
      <c r="M91" s="22"/>
    </row>
    <row r="92" spans="1:13" x14ac:dyDescent="0.2">
      <c r="A92" s="294" t="s">
        <v>13</v>
      </c>
      <c r="B92" s="233"/>
      <c r="C92" s="287"/>
      <c r="D92" s="164"/>
      <c r="E92" s="414"/>
      <c r="F92" s="279"/>
      <c r="G92" s="279"/>
      <c r="H92" s="164"/>
      <c r="I92" s="414"/>
      <c r="J92" s="288"/>
      <c r="K92" s="288"/>
      <c r="L92" s="164"/>
      <c r="M92" s="22"/>
    </row>
    <row r="93" spans="1:13" ht="15.75" x14ac:dyDescent="0.2">
      <c r="A93" s="294" t="s">
        <v>317</v>
      </c>
      <c r="B93" s="279"/>
      <c r="C93" s="279"/>
      <c r="D93" s="164"/>
      <c r="E93" s="414"/>
      <c r="F93" s="279"/>
      <c r="G93" s="279"/>
      <c r="H93" s="164"/>
      <c r="I93" s="414"/>
      <c r="J93" s="288"/>
      <c r="K93" s="288"/>
      <c r="L93" s="164"/>
      <c r="M93" s="22"/>
    </row>
    <row r="94" spans="1:13" x14ac:dyDescent="0.2">
      <c r="A94" s="294" t="s">
        <v>12</v>
      </c>
      <c r="B94" s="233"/>
      <c r="C94" s="287"/>
      <c r="D94" s="164"/>
      <c r="E94" s="414"/>
      <c r="F94" s="279"/>
      <c r="G94" s="279"/>
      <c r="H94" s="164"/>
      <c r="I94" s="414"/>
      <c r="J94" s="288"/>
      <c r="K94" s="288"/>
      <c r="L94" s="164"/>
      <c r="M94" s="22"/>
    </row>
    <row r="95" spans="1:13" x14ac:dyDescent="0.2">
      <c r="A95" s="294" t="s">
        <v>13</v>
      </c>
      <c r="B95" s="233"/>
      <c r="C95" s="287"/>
      <c r="D95" s="164"/>
      <c r="E95" s="414"/>
      <c r="F95" s="279"/>
      <c r="G95" s="279"/>
      <c r="H95" s="164"/>
      <c r="I95" s="414"/>
      <c r="J95" s="288"/>
      <c r="K95" s="288"/>
      <c r="L95" s="164"/>
      <c r="M95" s="22"/>
    </row>
    <row r="96" spans="1:13" x14ac:dyDescent="0.2">
      <c r="A96" s="20" t="s">
        <v>393</v>
      </c>
      <c r="B96" s="232"/>
      <c r="C96" s="143"/>
      <c r="D96" s="164"/>
      <c r="E96" s="26"/>
      <c r="F96" s="232"/>
      <c r="G96" s="143"/>
      <c r="H96" s="164"/>
      <c r="I96" s="26"/>
      <c r="J96" s="285"/>
      <c r="K96" s="43"/>
      <c r="L96" s="253"/>
      <c r="M96" s="26"/>
    </row>
    <row r="97" spans="1:13" x14ac:dyDescent="0.2">
      <c r="A97" s="20" t="s">
        <v>392</v>
      </c>
      <c r="B97" s="232"/>
      <c r="C97" s="143"/>
      <c r="D97" s="164"/>
      <c r="E97" s="26"/>
      <c r="F97" s="232"/>
      <c r="G97" s="143"/>
      <c r="H97" s="164"/>
      <c r="I97" s="26"/>
      <c r="J97" s="285"/>
      <c r="K97" s="43"/>
      <c r="L97" s="253"/>
      <c r="M97" s="26"/>
    </row>
    <row r="98" spans="1:13" ht="15.75" x14ac:dyDescent="0.2">
      <c r="A98" s="20" t="s">
        <v>318</v>
      </c>
      <c r="B98" s="232"/>
      <c r="C98" s="232"/>
      <c r="D98" s="164"/>
      <c r="E98" s="26"/>
      <c r="F98" s="290"/>
      <c r="G98" s="290"/>
      <c r="H98" s="164"/>
      <c r="I98" s="26"/>
      <c r="J98" s="285"/>
      <c r="K98" s="43"/>
      <c r="L98" s="253"/>
      <c r="M98" s="26"/>
    </row>
    <row r="99" spans="1:13" x14ac:dyDescent="0.2">
      <c r="A99" s="20" t="s">
        <v>9</v>
      </c>
      <c r="B99" s="290"/>
      <c r="C99" s="291"/>
      <c r="D99" s="164"/>
      <c r="E99" s="26"/>
      <c r="F99" s="232"/>
      <c r="G99" s="143"/>
      <c r="H99" s="164"/>
      <c r="I99" s="26"/>
      <c r="J99" s="285"/>
      <c r="K99" s="43"/>
      <c r="L99" s="253"/>
      <c r="M99" s="26"/>
    </row>
    <row r="100" spans="1:13" x14ac:dyDescent="0.2">
      <c r="A100" s="20" t="s">
        <v>10</v>
      </c>
      <c r="B100" s="290"/>
      <c r="C100" s="291"/>
      <c r="D100" s="164"/>
      <c r="E100" s="26"/>
      <c r="F100" s="232"/>
      <c r="G100" s="232"/>
      <c r="H100" s="164"/>
      <c r="I100" s="26"/>
      <c r="J100" s="285"/>
      <c r="K100" s="43"/>
      <c r="L100" s="253"/>
      <c r="M100" s="26"/>
    </row>
    <row r="101" spans="1:13" ht="15.75" x14ac:dyDescent="0.2">
      <c r="A101" s="294" t="s">
        <v>316</v>
      </c>
      <c r="B101" s="279"/>
      <c r="C101" s="279"/>
      <c r="D101" s="164"/>
      <c r="E101" s="414"/>
      <c r="F101" s="279"/>
      <c r="G101" s="279"/>
      <c r="H101" s="164"/>
      <c r="I101" s="414"/>
      <c r="J101" s="288"/>
      <c r="K101" s="288"/>
      <c r="L101" s="164"/>
      <c r="M101" s="22"/>
    </row>
    <row r="102" spans="1:13" x14ac:dyDescent="0.2">
      <c r="A102" s="294" t="s">
        <v>12</v>
      </c>
      <c r="B102" s="233"/>
      <c r="C102" s="287"/>
      <c r="D102" s="164"/>
      <c r="E102" s="414"/>
      <c r="F102" s="279"/>
      <c r="G102" s="279"/>
      <c r="H102" s="164"/>
      <c r="I102" s="414"/>
      <c r="J102" s="288"/>
      <c r="K102" s="288"/>
      <c r="L102" s="164"/>
      <c r="M102" s="22"/>
    </row>
    <row r="103" spans="1:13" x14ac:dyDescent="0.2">
      <c r="A103" s="294" t="s">
        <v>13</v>
      </c>
      <c r="B103" s="233"/>
      <c r="C103" s="287"/>
      <c r="D103" s="164"/>
      <c r="E103" s="414"/>
      <c r="F103" s="279"/>
      <c r="G103" s="279"/>
      <c r="H103" s="164"/>
      <c r="I103" s="414"/>
      <c r="J103" s="288"/>
      <c r="K103" s="288"/>
      <c r="L103" s="164"/>
      <c r="M103" s="22"/>
    </row>
    <row r="104" spans="1:13" ht="15.75" x14ac:dyDescent="0.2">
      <c r="A104" s="294" t="s">
        <v>317</v>
      </c>
      <c r="B104" s="279"/>
      <c r="C104" s="279"/>
      <c r="D104" s="164"/>
      <c r="E104" s="414"/>
      <c r="F104" s="279"/>
      <c r="G104" s="279"/>
      <c r="H104" s="164"/>
      <c r="I104" s="414"/>
      <c r="J104" s="288"/>
      <c r="K104" s="288"/>
      <c r="L104" s="164"/>
      <c r="M104" s="22"/>
    </row>
    <row r="105" spans="1:13" x14ac:dyDescent="0.2">
      <c r="A105" s="294" t="s">
        <v>12</v>
      </c>
      <c r="B105" s="233"/>
      <c r="C105" s="287"/>
      <c r="D105" s="164"/>
      <c r="E105" s="414"/>
      <c r="F105" s="279"/>
      <c r="G105" s="279"/>
      <c r="H105" s="164"/>
      <c r="I105" s="414"/>
      <c r="J105" s="288"/>
      <c r="K105" s="288"/>
      <c r="L105" s="164"/>
      <c r="M105" s="22"/>
    </row>
    <row r="106" spans="1:13" x14ac:dyDescent="0.2">
      <c r="A106" s="294" t="s">
        <v>13</v>
      </c>
      <c r="B106" s="233"/>
      <c r="C106" s="287"/>
      <c r="D106" s="164"/>
      <c r="E106" s="414"/>
      <c r="F106" s="279"/>
      <c r="G106" s="279"/>
      <c r="H106" s="164"/>
      <c r="I106" s="414"/>
      <c r="J106" s="288"/>
      <c r="K106" s="288"/>
      <c r="L106" s="164"/>
      <c r="M106" s="22"/>
    </row>
    <row r="107" spans="1:13" ht="15.75" x14ac:dyDescent="0.2">
      <c r="A107" s="20" t="s">
        <v>327</v>
      </c>
      <c r="B107" s="232"/>
      <c r="C107" s="143"/>
      <c r="D107" s="164"/>
      <c r="E107" s="26"/>
      <c r="F107" s="232"/>
      <c r="G107" s="143"/>
      <c r="H107" s="164"/>
      <c r="I107" s="26"/>
      <c r="J107" s="285"/>
      <c r="K107" s="43"/>
      <c r="L107" s="253"/>
      <c r="M107" s="26"/>
    </row>
    <row r="108" spans="1:13" ht="15.75" x14ac:dyDescent="0.2">
      <c r="A108" s="20" t="s">
        <v>328</v>
      </c>
      <c r="B108" s="232"/>
      <c r="C108" s="232"/>
      <c r="D108" s="164"/>
      <c r="E108" s="26"/>
      <c r="F108" s="232"/>
      <c r="G108" s="232"/>
      <c r="H108" s="164"/>
      <c r="I108" s="26"/>
      <c r="J108" s="285"/>
      <c r="K108" s="43"/>
      <c r="L108" s="253"/>
      <c r="M108" s="26"/>
    </row>
    <row r="109" spans="1:13" ht="15.75" x14ac:dyDescent="0.2">
      <c r="A109" s="20" t="s">
        <v>320</v>
      </c>
      <c r="B109" s="232"/>
      <c r="C109" s="232"/>
      <c r="D109" s="164"/>
      <c r="E109" s="26"/>
      <c r="F109" s="232"/>
      <c r="G109" s="232"/>
      <c r="H109" s="164"/>
      <c r="I109" s="26"/>
      <c r="J109" s="285"/>
      <c r="K109" s="43"/>
      <c r="L109" s="253"/>
      <c r="M109" s="26"/>
    </row>
    <row r="110" spans="1:13" ht="15.75" x14ac:dyDescent="0.2">
      <c r="A110" s="20" t="s">
        <v>321</v>
      </c>
      <c r="B110" s="232"/>
      <c r="C110" s="232"/>
      <c r="D110" s="164"/>
      <c r="E110" s="26"/>
      <c r="F110" s="232"/>
      <c r="G110" s="232"/>
      <c r="H110" s="164"/>
      <c r="I110" s="26"/>
      <c r="J110" s="285"/>
      <c r="K110" s="43"/>
      <c r="L110" s="253"/>
      <c r="M110" s="26"/>
    </row>
    <row r="111" spans="1:13" ht="15.75" x14ac:dyDescent="0.2">
      <c r="A111" s="13" t="s">
        <v>24</v>
      </c>
      <c r="B111" s="306"/>
      <c r="C111" s="157"/>
      <c r="D111" s="169"/>
      <c r="E111" s="11"/>
      <c r="F111" s="306"/>
      <c r="G111" s="157"/>
      <c r="H111" s="169"/>
      <c r="I111" s="11"/>
      <c r="J111" s="307"/>
      <c r="K111" s="234"/>
      <c r="L111" s="425"/>
      <c r="M111" s="11"/>
    </row>
    <row r="112" spans="1:13" x14ac:dyDescent="0.2">
      <c r="A112" s="20" t="s">
        <v>9</v>
      </c>
      <c r="B112" s="232"/>
      <c r="C112" s="143"/>
      <c r="D112" s="164"/>
      <c r="E112" s="26"/>
      <c r="F112" s="232"/>
      <c r="G112" s="143"/>
      <c r="H112" s="164"/>
      <c r="I112" s="26"/>
      <c r="J112" s="285"/>
      <c r="K112" s="43"/>
      <c r="L112" s="253"/>
      <c r="M112" s="26"/>
    </row>
    <row r="113" spans="1:14" x14ac:dyDescent="0.2">
      <c r="A113" s="20" t="s">
        <v>10</v>
      </c>
      <c r="B113" s="232"/>
      <c r="C113" s="143"/>
      <c r="D113" s="164"/>
      <c r="E113" s="26"/>
      <c r="F113" s="232"/>
      <c r="G113" s="143"/>
      <c r="H113" s="164"/>
      <c r="I113" s="26"/>
      <c r="J113" s="285"/>
      <c r="K113" s="43"/>
      <c r="L113" s="253"/>
      <c r="M113" s="26"/>
    </row>
    <row r="114" spans="1:14" x14ac:dyDescent="0.2">
      <c r="A114" s="20" t="s">
        <v>29</v>
      </c>
      <c r="B114" s="232"/>
      <c r="C114" s="143"/>
      <c r="D114" s="164"/>
      <c r="E114" s="26"/>
      <c r="F114" s="232"/>
      <c r="G114" s="143"/>
      <c r="H114" s="164"/>
      <c r="I114" s="26"/>
      <c r="J114" s="285"/>
      <c r="K114" s="43"/>
      <c r="L114" s="253"/>
      <c r="M114" s="26"/>
    </row>
    <row r="115" spans="1:14" x14ac:dyDescent="0.2">
      <c r="A115" s="294" t="s">
        <v>15</v>
      </c>
      <c r="B115" s="279"/>
      <c r="C115" s="279"/>
      <c r="D115" s="164"/>
      <c r="E115" s="414"/>
      <c r="F115" s="279"/>
      <c r="G115" s="279"/>
      <c r="H115" s="164"/>
      <c r="I115" s="414"/>
      <c r="J115" s="288"/>
      <c r="K115" s="288"/>
      <c r="L115" s="164"/>
      <c r="M115" s="22"/>
    </row>
    <row r="116" spans="1:14" ht="15.75" x14ac:dyDescent="0.2">
      <c r="A116" s="20" t="s">
        <v>329</v>
      </c>
      <c r="B116" s="232"/>
      <c r="C116" s="232"/>
      <c r="D116" s="164"/>
      <c r="E116" s="26"/>
      <c r="F116" s="232"/>
      <c r="G116" s="232"/>
      <c r="H116" s="164"/>
      <c r="I116" s="26"/>
      <c r="J116" s="285"/>
      <c r="K116" s="43"/>
      <c r="L116" s="253"/>
      <c r="M116" s="26"/>
    </row>
    <row r="117" spans="1:14" ht="15.75" x14ac:dyDescent="0.2">
      <c r="A117" s="20" t="s">
        <v>322</v>
      </c>
      <c r="B117" s="232"/>
      <c r="C117" s="232"/>
      <c r="D117" s="164"/>
      <c r="E117" s="26"/>
      <c r="F117" s="232"/>
      <c r="G117" s="232"/>
      <c r="H117" s="164"/>
      <c r="I117" s="26"/>
      <c r="J117" s="285"/>
      <c r="K117" s="43"/>
      <c r="L117" s="253"/>
      <c r="M117" s="26"/>
    </row>
    <row r="118" spans="1:14" ht="15.75" x14ac:dyDescent="0.2">
      <c r="A118" s="20" t="s">
        <v>321</v>
      </c>
      <c r="B118" s="232"/>
      <c r="C118" s="232"/>
      <c r="D118" s="164"/>
      <c r="E118" s="26"/>
      <c r="F118" s="232"/>
      <c r="G118" s="232"/>
      <c r="H118" s="164"/>
      <c r="I118" s="26"/>
      <c r="J118" s="285"/>
      <c r="K118" s="43"/>
      <c r="L118" s="253"/>
      <c r="M118" s="26"/>
    </row>
    <row r="119" spans="1:14" ht="15.75" x14ac:dyDescent="0.2">
      <c r="A119" s="13" t="s">
        <v>23</v>
      </c>
      <c r="B119" s="306"/>
      <c r="C119" s="157"/>
      <c r="D119" s="169"/>
      <c r="E119" s="11"/>
      <c r="F119" s="306"/>
      <c r="G119" s="157"/>
      <c r="H119" s="169"/>
      <c r="I119" s="11"/>
      <c r="J119" s="307"/>
      <c r="K119" s="234"/>
      <c r="L119" s="425"/>
      <c r="M119" s="11"/>
    </row>
    <row r="120" spans="1:14" x14ac:dyDescent="0.2">
      <c r="A120" s="20" t="s">
        <v>9</v>
      </c>
      <c r="B120" s="232"/>
      <c r="C120" s="143"/>
      <c r="D120" s="164"/>
      <c r="E120" s="26"/>
      <c r="F120" s="232"/>
      <c r="G120" s="143"/>
      <c r="H120" s="164"/>
      <c r="I120" s="26"/>
      <c r="J120" s="285"/>
      <c r="K120" s="43"/>
      <c r="L120" s="253"/>
      <c r="M120" s="26"/>
    </row>
    <row r="121" spans="1:14" x14ac:dyDescent="0.2">
      <c r="A121" s="20" t="s">
        <v>10</v>
      </c>
      <c r="B121" s="232"/>
      <c r="C121" s="143"/>
      <c r="D121" s="164"/>
      <c r="E121" s="26"/>
      <c r="F121" s="232"/>
      <c r="G121" s="143"/>
      <c r="H121" s="164"/>
      <c r="I121" s="26"/>
      <c r="J121" s="285"/>
      <c r="K121" s="43"/>
      <c r="L121" s="253"/>
      <c r="M121" s="26"/>
    </row>
    <row r="122" spans="1:14" x14ac:dyDescent="0.2">
      <c r="A122" s="20" t="s">
        <v>29</v>
      </c>
      <c r="B122" s="232"/>
      <c r="C122" s="143"/>
      <c r="D122" s="164"/>
      <c r="E122" s="26"/>
      <c r="F122" s="232"/>
      <c r="G122" s="143"/>
      <c r="H122" s="164"/>
      <c r="I122" s="26"/>
      <c r="J122" s="285"/>
      <c r="K122" s="43"/>
      <c r="L122" s="253"/>
      <c r="M122" s="26"/>
    </row>
    <row r="123" spans="1:14" x14ac:dyDescent="0.2">
      <c r="A123" s="294" t="s">
        <v>14</v>
      </c>
      <c r="B123" s="279"/>
      <c r="C123" s="279"/>
      <c r="D123" s="164"/>
      <c r="E123" s="414"/>
      <c r="F123" s="279"/>
      <c r="G123" s="279"/>
      <c r="H123" s="164"/>
      <c r="I123" s="414"/>
      <c r="J123" s="288"/>
      <c r="K123" s="288"/>
      <c r="L123" s="164"/>
      <c r="M123" s="22"/>
    </row>
    <row r="124" spans="1:14" ht="15.75" x14ac:dyDescent="0.2">
      <c r="A124" s="20" t="s">
        <v>319</v>
      </c>
      <c r="B124" s="232"/>
      <c r="C124" s="232"/>
      <c r="D124" s="164"/>
      <c r="E124" s="26"/>
      <c r="F124" s="232"/>
      <c r="G124" s="232"/>
      <c r="H124" s="164"/>
      <c r="I124" s="26"/>
      <c r="J124" s="285"/>
      <c r="K124" s="43"/>
      <c r="L124" s="253"/>
      <c r="M124" s="26"/>
    </row>
    <row r="125" spans="1:14" ht="15.75" x14ac:dyDescent="0.2">
      <c r="A125" s="20" t="s">
        <v>320</v>
      </c>
      <c r="B125" s="232"/>
      <c r="C125" s="232"/>
      <c r="D125" s="164"/>
      <c r="E125" s="26"/>
      <c r="F125" s="232"/>
      <c r="G125" s="232"/>
      <c r="H125" s="164"/>
      <c r="I125" s="26"/>
      <c r="J125" s="285"/>
      <c r="K125" s="43"/>
      <c r="L125" s="253"/>
      <c r="M125" s="26"/>
    </row>
    <row r="126" spans="1:14" ht="15.75" x14ac:dyDescent="0.2">
      <c r="A126" s="10" t="s">
        <v>321</v>
      </c>
      <c r="B126" s="44"/>
      <c r="C126" s="44"/>
      <c r="D126" s="165"/>
      <c r="E126" s="415"/>
      <c r="F126" s="44"/>
      <c r="G126" s="44"/>
      <c r="H126" s="165"/>
      <c r="I126" s="21"/>
      <c r="J126" s="286"/>
      <c r="K126" s="44"/>
      <c r="L126" s="254"/>
      <c r="M126" s="21"/>
    </row>
    <row r="127" spans="1:14" x14ac:dyDescent="0.2">
      <c r="A127" s="153"/>
      <c r="L127" s="25"/>
      <c r="M127" s="25"/>
      <c r="N127" s="25"/>
    </row>
    <row r="128" spans="1:14" x14ac:dyDescent="0.2">
      <c r="L128" s="25"/>
      <c r="M128" s="25"/>
      <c r="N128" s="25"/>
    </row>
    <row r="129" spans="1:15" ht="15.75" x14ac:dyDescent="0.25">
      <c r="A129" s="163" t="s">
        <v>30</v>
      </c>
    </row>
    <row r="130" spans="1:15" ht="15.75" x14ac:dyDescent="0.25">
      <c r="B130" s="963"/>
      <c r="C130" s="963"/>
      <c r="D130" s="963"/>
      <c r="E130" s="297"/>
      <c r="F130" s="963"/>
      <c r="G130" s="963"/>
      <c r="H130" s="963"/>
      <c r="I130" s="297"/>
      <c r="J130" s="963"/>
      <c r="K130" s="963"/>
      <c r="L130" s="963"/>
      <c r="M130" s="297"/>
    </row>
    <row r="131" spans="1:15" s="3" customFormat="1" x14ac:dyDescent="0.2">
      <c r="A131" s="142"/>
      <c r="B131" s="960" t="s">
        <v>0</v>
      </c>
      <c r="C131" s="961"/>
      <c r="D131" s="961"/>
      <c r="E131" s="299"/>
      <c r="F131" s="960" t="s">
        <v>1</v>
      </c>
      <c r="G131" s="961"/>
      <c r="H131" s="961"/>
      <c r="I131" s="302"/>
      <c r="J131" s="960" t="s">
        <v>2</v>
      </c>
      <c r="K131" s="961"/>
      <c r="L131" s="961"/>
      <c r="M131" s="302"/>
      <c r="N131" s="146"/>
      <c r="O131" s="146"/>
    </row>
    <row r="132" spans="1:15" s="3" customFormat="1" x14ac:dyDescent="0.2">
      <c r="A132" s="139"/>
      <c r="B132" s="150" t="s">
        <v>504</v>
      </c>
      <c r="C132" s="150" t="s">
        <v>505</v>
      </c>
      <c r="D132" s="243" t="s">
        <v>3</v>
      </c>
      <c r="E132" s="303" t="s">
        <v>32</v>
      </c>
      <c r="F132" s="150" t="s">
        <v>504</v>
      </c>
      <c r="G132" s="150" t="s">
        <v>505</v>
      </c>
      <c r="H132" s="204" t="s">
        <v>3</v>
      </c>
      <c r="I132" s="160" t="s">
        <v>32</v>
      </c>
      <c r="J132" s="244" t="s">
        <v>504</v>
      </c>
      <c r="K132" s="244" t="s">
        <v>505</v>
      </c>
      <c r="L132" s="245" t="s">
        <v>3</v>
      </c>
      <c r="M132" s="160" t="s">
        <v>32</v>
      </c>
      <c r="N132" s="146"/>
      <c r="O132" s="146"/>
    </row>
    <row r="133" spans="1:15" s="3" customFormat="1" x14ac:dyDescent="0.2">
      <c r="A133" s="934"/>
      <c r="B133" s="154"/>
      <c r="C133" s="154"/>
      <c r="D133" s="245" t="s">
        <v>4</v>
      </c>
      <c r="E133" s="154" t="s">
        <v>33</v>
      </c>
      <c r="F133" s="159"/>
      <c r="G133" s="159"/>
      <c r="H133" s="204" t="s">
        <v>4</v>
      </c>
      <c r="I133" s="154" t="s">
        <v>33</v>
      </c>
      <c r="J133" s="154"/>
      <c r="K133" s="154"/>
      <c r="L133" s="148" t="s">
        <v>4</v>
      </c>
      <c r="M133" s="154" t="s">
        <v>33</v>
      </c>
      <c r="N133" s="146"/>
      <c r="O133" s="146"/>
    </row>
    <row r="134" spans="1:15" s="3" customFormat="1" ht="15.75" x14ac:dyDescent="0.2">
      <c r="A134" s="14" t="s">
        <v>323</v>
      </c>
      <c r="B134" s="234"/>
      <c r="C134" s="307"/>
      <c r="D134" s="348"/>
      <c r="E134" s="11"/>
      <c r="F134" s="314"/>
      <c r="G134" s="315"/>
      <c r="H134" s="428"/>
      <c r="I134" s="23"/>
      <c r="J134" s="316"/>
      <c r="K134" s="316"/>
      <c r="L134" s="424"/>
      <c r="M134" s="11"/>
      <c r="N134" s="146"/>
      <c r="O134" s="146"/>
    </row>
    <row r="135" spans="1:15" s="3" customFormat="1" ht="15.75" x14ac:dyDescent="0.2">
      <c r="A135" s="13" t="s">
        <v>324</v>
      </c>
      <c r="B135" s="234"/>
      <c r="C135" s="307"/>
      <c r="D135" s="169"/>
      <c r="E135" s="11"/>
      <c r="F135" s="234"/>
      <c r="G135" s="307"/>
      <c r="H135" s="429"/>
      <c r="I135" s="23"/>
      <c r="J135" s="306"/>
      <c r="K135" s="306"/>
      <c r="L135" s="425"/>
      <c r="M135" s="11"/>
      <c r="N135" s="146"/>
      <c r="O135" s="146"/>
    </row>
    <row r="136" spans="1:15" s="3" customFormat="1" ht="15.75" x14ac:dyDescent="0.2">
      <c r="A136" s="13" t="s">
        <v>325</v>
      </c>
      <c r="B136" s="234"/>
      <c r="C136" s="307"/>
      <c r="D136" s="169"/>
      <c r="E136" s="11"/>
      <c r="F136" s="234"/>
      <c r="G136" s="307"/>
      <c r="H136" s="429"/>
      <c r="I136" s="23"/>
      <c r="J136" s="306"/>
      <c r="K136" s="306"/>
      <c r="L136" s="425"/>
      <c r="M136" s="11"/>
      <c r="N136" s="146"/>
      <c r="O136" s="146"/>
    </row>
    <row r="137" spans="1:15" s="3" customFormat="1" ht="15.75" x14ac:dyDescent="0.2">
      <c r="A137" s="40" t="s">
        <v>326</v>
      </c>
      <c r="B137" s="274"/>
      <c r="C137" s="313"/>
      <c r="D137" s="167"/>
      <c r="E137" s="9"/>
      <c r="F137" s="274"/>
      <c r="G137" s="313"/>
      <c r="H137" s="430"/>
      <c r="I137" s="35"/>
      <c r="J137" s="312"/>
      <c r="K137" s="312"/>
      <c r="L137" s="426"/>
      <c r="M137" s="35"/>
      <c r="N137" s="146"/>
      <c r="O137" s="146"/>
    </row>
    <row r="138" spans="1:15" s="3" customFormat="1" x14ac:dyDescent="0.2">
      <c r="A138" s="166"/>
      <c r="B138" s="32"/>
      <c r="C138" s="32"/>
      <c r="D138" s="157"/>
      <c r="E138" s="157"/>
      <c r="F138" s="32"/>
      <c r="G138" s="32"/>
      <c r="H138" s="157"/>
      <c r="I138" s="157"/>
      <c r="J138" s="32"/>
      <c r="K138" s="32"/>
      <c r="L138" s="157"/>
      <c r="M138" s="157"/>
      <c r="N138" s="146"/>
      <c r="O138" s="146"/>
    </row>
    <row r="139" spans="1:15" x14ac:dyDescent="0.2">
      <c r="A139" s="166"/>
      <c r="B139" s="32"/>
      <c r="C139" s="32"/>
      <c r="D139" s="157"/>
      <c r="E139" s="157"/>
      <c r="F139" s="32"/>
      <c r="G139" s="32"/>
      <c r="H139" s="157"/>
      <c r="I139" s="157"/>
      <c r="J139" s="32"/>
      <c r="K139" s="32"/>
      <c r="L139" s="157"/>
      <c r="M139" s="157"/>
      <c r="N139" s="146"/>
    </row>
    <row r="140" spans="1:15" x14ac:dyDescent="0.2">
      <c r="A140" s="166"/>
      <c r="B140" s="32"/>
      <c r="C140" s="32"/>
      <c r="D140" s="157"/>
      <c r="E140" s="157"/>
      <c r="F140" s="32"/>
      <c r="G140" s="32"/>
      <c r="H140" s="157"/>
      <c r="I140" s="157"/>
      <c r="J140" s="32"/>
      <c r="K140" s="32"/>
      <c r="L140" s="157"/>
      <c r="M140" s="157"/>
      <c r="N140" s="146"/>
    </row>
    <row r="141" spans="1:15" x14ac:dyDescent="0.2">
      <c r="A141" s="144"/>
      <c r="B141" s="144"/>
      <c r="C141" s="144"/>
      <c r="D141" s="144"/>
      <c r="E141" s="144"/>
      <c r="F141" s="144"/>
      <c r="G141" s="144"/>
      <c r="H141" s="144"/>
      <c r="I141" s="144"/>
      <c r="J141" s="144"/>
      <c r="K141" s="144"/>
      <c r="L141" s="144"/>
      <c r="M141" s="144"/>
      <c r="N141" s="144"/>
    </row>
    <row r="142" spans="1:15" ht="15.75" x14ac:dyDescent="0.25">
      <c r="B142" s="140"/>
      <c r="C142" s="140"/>
      <c r="D142" s="140"/>
      <c r="E142" s="140"/>
      <c r="F142" s="140"/>
      <c r="G142" s="140"/>
      <c r="H142" s="140"/>
      <c r="I142" s="140"/>
      <c r="J142" s="140"/>
      <c r="K142" s="140"/>
      <c r="L142" s="140"/>
      <c r="M142" s="140"/>
      <c r="N142" s="140"/>
    </row>
    <row r="143" spans="1:15" ht="15.75" x14ac:dyDescent="0.25">
      <c r="B143" s="155"/>
      <c r="C143" s="155"/>
      <c r="D143" s="155"/>
      <c r="E143" s="155"/>
      <c r="F143" s="155"/>
      <c r="G143" s="155"/>
      <c r="H143" s="155"/>
      <c r="I143" s="155"/>
      <c r="J143" s="155"/>
      <c r="K143" s="155"/>
      <c r="L143" s="155"/>
      <c r="M143" s="155"/>
      <c r="N143" s="155"/>
      <c r="O143" s="152"/>
    </row>
    <row r="144" spans="1:15" ht="15.75" x14ac:dyDescent="0.25">
      <c r="B144" s="155"/>
      <c r="C144" s="155"/>
      <c r="D144" s="155"/>
      <c r="E144" s="155"/>
      <c r="F144" s="155"/>
      <c r="G144" s="155"/>
      <c r="H144" s="155"/>
      <c r="I144" s="155"/>
      <c r="J144" s="155"/>
      <c r="K144" s="155"/>
      <c r="L144" s="155"/>
      <c r="M144" s="155"/>
      <c r="N144" s="155"/>
      <c r="O144" s="152"/>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542" priority="132">
      <formula>kvartal &lt; 4</formula>
    </cfRule>
  </conditionalFormatting>
  <conditionalFormatting sqref="B30">
    <cfRule type="expression" dxfId="1541" priority="130">
      <formula>kvartal &lt; 4</formula>
    </cfRule>
  </conditionalFormatting>
  <conditionalFormatting sqref="B31">
    <cfRule type="expression" dxfId="1540" priority="129">
      <formula>kvartal &lt; 4</formula>
    </cfRule>
  </conditionalFormatting>
  <conditionalFormatting sqref="B32:B33">
    <cfRule type="expression" dxfId="1539" priority="128">
      <formula>kvartal &lt; 4</formula>
    </cfRule>
  </conditionalFormatting>
  <conditionalFormatting sqref="C30">
    <cfRule type="expression" dxfId="1538" priority="127">
      <formula>kvartal &lt; 4</formula>
    </cfRule>
  </conditionalFormatting>
  <conditionalFormatting sqref="C31">
    <cfRule type="expression" dxfId="1537" priority="126">
      <formula>kvartal &lt; 4</formula>
    </cfRule>
  </conditionalFormatting>
  <conditionalFormatting sqref="C32:C33">
    <cfRule type="expression" dxfId="1536" priority="125">
      <formula>kvartal &lt; 4</formula>
    </cfRule>
  </conditionalFormatting>
  <conditionalFormatting sqref="B23:C26">
    <cfRule type="expression" dxfId="1535" priority="124">
      <formula>kvartal &lt; 4</formula>
    </cfRule>
  </conditionalFormatting>
  <conditionalFormatting sqref="F23:G26">
    <cfRule type="expression" dxfId="1534" priority="120">
      <formula>kvartal &lt; 4</formula>
    </cfRule>
  </conditionalFormatting>
  <conditionalFormatting sqref="F30">
    <cfRule type="expression" dxfId="1533" priority="113">
      <formula>kvartal &lt; 4</formula>
    </cfRule>
  </conditionalFormatting>
  <conditionalFormatting sqref="F31">
    <cfRule type="expression" dxfId="1532" priority="112">
      <formula>kvartal &lt; 4</formula>
    </cfRule>
  </conditionalFormatting>
  <conditionalFormatting sqref="F32:F33">
    <cfRule type="expression" dxfId="1531" priority="111">
      <formula>kvartal &lt; 4</formula>
    </cfRule>
  </conditionalFormatting>
  <conditionalFormatting sqref="G30">
    <cfRule type="expression" dxfId="1530" priority="110">
      <formula>kvartal &lt; 4</formula>
    </cfRule>
  </conditionalFormatting>
  <conditionalFormatting sqref="G31">
    <cfRule type="expression" dxfId="1529" priority="109">
      <formula>kvartal &lt; 4</formula>
    </cfRule>
  </conditionalFormatting>
  <conditionalFormatting sqref="G32:G33">
    <cfRule type="expression" dxfId="1528" priority="108">
      <formula>kvartal &lt; 4</formula>
    </cfRule>
  </conditionalFormatting>
  <conditionalFormatting sqref="B27">
    <cfRule type="expression" dxfId="1527" priority="107">
      <formula>kvartal &lt; 4</formula>
    </cfRule>
  </conditionalFormatting>
  <conditionalFormatting sqref="C27">
    <cfRule type="expression" dxfId="1526" priority="106">
      <formula>kvartal &lt; 4</formula>
    </cfRule>
  </conditionalFormatting>
  <conditionalFormatting sqref="F27">
    <cfRule type="expression" dxfId="1525" priority="105">
      <formula>kvartal &lt; 4</formula>
    </cfRule>
  </conditionalFormatting>
  <conditionalFormatting sqref="G27">
    <cfRule type="expression" dxfId="1524" priority="104">
      <formula>kvartal &lt; 4</formula>
    </cfRule>
  </conditionalFormatting>
  <conditionalFormatting sqref="J23:K27">
    <cfRule type="expression" dxfId="1523" priority="103">
      <formula>kvartal &lt; 4</formula>
    </cfRule>
  </conditionalFormatting>
  <conditionalFormatting sqref="J30:K33">
    <cfRule type="expression" dxfId="1522" priority="101">
      <formula>kvartal &lt; 4</formula>
    </cfRule>
  </conditionalFormatting>
  <conditionalFormatting sqref="B69">
    <cfRule type="expression" dxfId="1521" priority="100">
      <formula>kvartal &lt; 4</formula>
    </cfRule>
  </conditionalFormatting>
  <conditionalFormatting sqref="C69">
    <cfRule type="expression" dxfId="1520" priority="99">
      <formula>kvartal &lt; 4</formula>
    </cfRule>
  </conditionalFormatting>
  <conditionalFormatting sqref="B72">
    <cfRule type="expression" dxfId="1519" priority="98">
      <formula>kvartal &lt; 4</formula>
    </cfRule>
  </conditionalFormatting>
  <conditionalFormatting sqref="C72">
    <cfRule type="expression" dxfId="1518" priority="97">
      <formula>kvartal &lt; 4</formula>
    </cfRule>
  </conditionalFormatting>
  <conditionalFormatting sqref="B80">
    <cfRule type="expression" dxfId="1517" priority="96">
      <formula>kvartal &lt; 4</formula>
    </cfRule>
  </conditionalFormatting>
  <conditionalFormatting sqref="C80">
    <cfRule type="expression" dxfId="1516" priority="95">
      <formula>kvartal &lt; 4</formula>
    </cfRule>
  </conditionalFormatting>
  <conditionalFormatting sqref="B83">
    <cfRule type="expression" dxfId="1515" priority="94">
      <formula>kvartal &lt; 4</formula>
    </cfRule>
  </conditionalFormatting>
  <conditionalFormatting sqref="C83">
    <cfRule type="expression" dxfId="1514" priority="93">
      <formula>kvartal &lt; 4</formula>
    </cfRule>
  </conditionalFormatting>
  <conditionalFormatting sqref="B90">
    <cfRule type="expression" dxfId="1513" priority="84">
      <formula>kvartal &lt; 4</formula>
    </cfRule>
  </conditionalFormatting>
  <conditionalFormatting sqref="C90">
    <cfRule type="expression" dxfId="1512" priority="83">
      <formula>kvartal &lt; 4</formula>
    </cfRule>
  </conditionalFormatting>
  <conditionalFormatting sqref="B93">
    <cfRule type="expression" dxfId="1511" priority="82">
      <formula>kvartal &lt; 4</formula>
    </cfRule>
  </conditionalFormatting>
  <conditionalFormatting sqref="C93">
    <cfRule type="expression" dxfId="1510" priority="81">
      <formula>kvartal &lt; 4</formula>
    </cfRule>
  </conditionalFormatting>
  <conditionalFormatting sqref="B101">
    <cfRule type="expression" dxfId="1509" priority="80">
      <formula>kvartal &lt; 4</formula>
    </cfRule>
  </conditionalFormatting>
  <conditionalFormatting sqref="C101">
    <cfRule type="expression" dxfId="1508" priority="79">
      <formula>kvartal &lt; 4</formula>
    </cfRule>
  </conditionalFormatting>
  <conditionalFormatting sqref="B104">
    <cfRule type="expression" dxfId="1507" priority="78">
      <formula>kvartal &lt; 4</formula>
    </cfRule>
  </conditionalFormatting>
  <conditionalFormatting sqref="C104">
    <cfRule type="expression" dxfId="1506" priority="77">
      <formula>kvartal &lt; 4</formula>
    </cfRule>
  </conditionalFormatting>
  <conditionalFormatting sqref="B115">
    <cfRule type="expression" dxfId="1505" priority="76">
      <formula>kvartal &lt; 4</formula>
    </cfRule>
  </conditionalFormatting>
  <conditionalFormatting sqref="C115">
    <cfRule type="expression" dxfId="1504" priority="75">
      <formula>kvartal &lt; 4</formula>
    </cfRule>
  </conditionalFormatting>
  <conditionalFormatting sqref="B123">
    <cfRule type="expression" dxfId="1503" priority="74">
      <formula>kvartal &lt; 4</formula>
    </cfRule>
  </conditionalFormatting>
  <conditionalFormatting sqref="C123">
    <cfRule type="expression" dxfId="1502" priority="73">
      <formula>kvartal &lt; 4</formula>
    </cfRule>
  </conditionalFormatting>
  <conditionalFormatting sqref="F70">
    <cfRule type="expression" dxfId="1501" priority="72">
      <formula>kvartal &lt; 4</formula>
    </cfRule>
  </conditionalFormatting>
  <conditionalFormatting sqref="G70">
    <cfRule type="expression" dxfId="1500" priority="71">
      <formula>kvartal &lt; 4</formula>
    </cfRule>
  </conditionalFormatting>
  <conditionalFormatting sqref="F71:G71">
    <cfRule type="expression" dxfId="1499" priority="70">
      <formula>kvartal &lt; 4</formula>
    </cfRule>
  </conditionalFormatting>
  <conditionalFormatting sqref="F73:G74">
    <cfRule type="expression" dxfId="1498" priority="69">
      <formula>kvartal &lt; 4</formula>
    </cfRule>
  </conditionalFormatting>
  <conditionalFormatting sqref="F81:G82">
    <cfRule type="expression" dxfId="1497" priority="68">
      <formula>kvartal &lt; 4</formula>
    </cfRule>
  </conditionalFormatting>
  <conditionalFormatting sqref="F84:G85">
    <cfRule type="expression" dxfId="1496" priority="67">
      <formula>kvartal &lt; 4</formula>
    </cfRule>
  </conditionalFormatting>
  <conditionalFormatting sqref="F91:G92">
    <cfRule type="expression" dxfId="1495" priority="62">
      <formula>kvartal &lt; 4</formula>
    </cfRule>
  </conditionalFormatting>
  <conditionalFormatting sqref="F94:G95">
    <cfRule type="expression" dxfId="1494" priority="61">
      <formula>kvartal &lt; 4</formula>
    </cfRule>
  </conditionalFormatting>
  <conditionalFormatting sqref="F102:G103">
    <cfRule type="expression" dxfId="1493" priority="60">
      <formula>kvartal &lt; 4</formula>
    </cfRule>
  </conditionalFormatting>
  <conditionalFormatting sqref="F105:G106">
    <cfRule type="expression" dxfId="1492" priority="59">
      <formula>kvartal &lt; 4</formula>
    </cfRule>
  </conditionalFormatting>
  <conditionalFormatting sqref="F115">
    <cfRule type="expression" dxfId="1491" priority="58">
      <formula>kvartal &lt; 4</formula>
    </cfRule>
  </conditionalFormatting>
  <conditionalFormatting sqref="G115">
    <cfRule type="expression" dxfId="1490" priority="57">
      <formula>kvartal &lt; 4</formula>
    </cfRule>
  </conditionalFormatting>
  <conditionalFormatting sqref="F123:G123">
    <cfRule type="expression" dxfId="1489" priority="56">
      <formula>kvartal &lt; 4</formula>
    </cfRule>
  </conditionalFormatting>
  <conditionalFormatting sqref="F69:G69">
    <cfRule type="expression" dxfId="1488" priority="55">
      <formula>kvartal &lt; 4</formula>
    </cfRule>
  </conditionalFormatting>
  <conditionalFormatting sqref="F72:G72">
    <cfRule type="expression" dxfId="1487" priority="54">
      <formula>kvartal &lt; 4</formula>
    </cfRule>
  </conditionalFormatting>
  <conditionalFormatting sqref="F80:G80">
    <cfRule type="expression" dxfId="1486" priority="53">
      <formula>kvartal &lt; 4</formula>
    </cfRule>
  </conditionalFormatting>
  <conditionalFormatting sqref="F83:G83">
    <cfRule type="expression" dxfId="1485" priority="52">
      <formula>kvartal &lt; 4</formula>
    </cfRule>
  </conditionalFormatting>
  <conditionalFormatting sqref="F90:G90">
    <cfRule type="expression" dxfId="1484" priority="46">
      <formula>kvartal &lt; 4</formula>
    </cfRule>
  </conditionalFormatting>
  <conditionalFormatting sqref="F93">
    <cfRule type="expression" dxfId="1483" priority="45">
      <formula>kvartal &lt; 4</formula>
    </cfRule>
  </conditionalFormatting>
  <conditionalFormatting sqref="G93">
    <cfRule type="expression" dxfId="1482" priority="44">
      <formula>kvartal &lt; 4</formula>
    </cfRule>
  </conditionalFormatting>
  <conditionalFormatting sqref="F101">
    <cfRule type="expression" dxfId="1481" priority="43">
      <formula>kvartal &lt; 4</formula>
    </cfRule>
  </conditionalFormatting>
  <conditionalFormatting sqref="G101">
    <cfRule type="expression" dxfId="1480" priority="42">
      <formula>kvartal &lt; 4</formula>
    </cfRule>
  </conditionalFormatting>
  <conditionalFormatting sqref="G104">
    <cfRule type="expression" dxfId="1479" priority="41">
      <formula>kvartal &lt; 4</formula>
    </cfRule>
  </conditionalFormatting>
  <conditionalFormatting sqref="F104">
    <cfRule type="expression" dxfId="1478" priority="40">
      <formula>kvartal &lt; 4</formula>
    </cfRule>
  </conditionalFormatting>
  <conditionalFormatting sqref="J69:K73">
    <cfRule type="expression" dxfId="1477" priority="39">
      <formula>kvartal &lt; 4</formula>
    </cfRule>
  </conditionalFormatting>
  <conditionalFormatting sqref="J74:K74">
    <cfRule type="expression" dxfId="1476" priority="38">
      <formula>kvartal &lt; 4</formula>
    </cfRule>
  </conditionalFormatting>
  <conditionalFormatting sqref="J80:K85">
    <cfRule type="expression" dxfId="1475" priority="37">
      <formula>kvartal &lt; 4</formula>
    </cfRule>
  </conditionalFormatting>
  <conditionalFormatting sqref="J90:K95">
    <cfRule type="expression" dxfId="1474" priority="34">
      <formula>kvartal &lt; 4</formula>
    </cfRule>
  </conditionalFormatting>
  <conditionalFormatting sqref="J101:K106">
    <cfRule type="expression" dxfId="1473" priority="33">
      <formula>kvartal &lt; 4</formula>
    </cfRule>
  </conditionalFormatting>
  <conditionalFormatting sqref="J115:K115">
    <cfRule type="expression" dxfId="1472" priority="32">
      <formula>kvartal &lt; 4</formula>
    </cfRule>
  </conditionalFormatting>
  <conditionalFormatting sqref="J123:K123">
    <cfRule type="expression" dxfId="1471" priority="31">
      <formula>kvartal &lt; 4</formula>
    </cfRule>
  </conditionalFormatting>
  <conditionalFormatting sqref="A23:A26">
    <cfRule type="expression" dxfId="1470" priority="15">
      <formula>kvartal &lt; 4</formula>
    </cfRule>
  </conditionalFormatting>
  <conditionalFormatting sqref="A30:A33">
    <cfRule type="expression" dxfId="1469" priority="13">
      <formula>kvartal &lt; 4</formula>
    </cfRule>
  </conditionalFormatting>
  <conditionalFormatting sqref="A50:A52">
    <cfRule type="expression" dxfId="1468" priority="12">
      <formula>kvartal &lt; 4</formula>
    </cfRule>
  </conditionalFormatting>
  <conditionalFormatting sqref="A69:A74">
    <cfRule type="expression" dxfId="1467" priority="10">
      <formula>kvartal &lt; 4</formula>
    </cfRule>
  </conditionalFormatting>
  <conditionalFormatting sqref="A80:A85">
    <cfRule type="expression" dxfId="1466" priority="9">
      <formula>kvartal &lt; 4</formula>
    </cfRule>
  </conditionalFormatting>
  <conditionalFormatting sqref="A90:A95">
    <cfRule type="expression" dxfId="1465" priority="6">
      <formula>kvartal &lt; 4</formula>
    </cfRule>
  </conditionalFormatting>
  <conditionalFormatting sqref="A101:A106">
    <cfRule type="expression" dxfId="1464" priority="5">
      <formula>kvartal &lt; 4</formula>
    </cfRule>
  </conditionalFormatting>
  <conditionalFormatting sqref="A115">
    <cfRule type="expression" dxfId="1463" priority="4">
      <formula>kvartal &lt; 4</formula>
    </cfRule>
  </conditionalFormatting>
  <conditionalFormatting sqref="A123">
    <cfRule type="expression" dxfId="1462" priority="3">
      <formula>kvartal &lt; 4</formula>
    </cfRule>
  </conditionalFormatting>
  <conditionalFormatting sqref="A27">
    <cfRule type="expression" dxfId="1461" priority="2">
      <formula>kvartal &lt; 4</formula>
    </cfRule>
  </conditionalFormatting>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6"/>
  <dimension ref="A1:O144"/>
  <sheetViews>
    <sheetView showGridLines="0" zoomScale="90" zoomScaleNormal="90" zoomScaleSheetLayoutView="100" workbookViewId="0"/>
  </sheetViews>
  <sheetFormatPr baseColWidth="10" defaultColWidth="11.42578125" defaultRowHeight="12.75" x14ac:dyDescent="0.2"/>
  <cols>
    <col min="1" max="1" width="41.5703125" style="147" customWidth="1"/>
    <col min="2" max="2" width="10.85546875" style="147" customWidth="1"/>
    <col min="3" max="3" width="11" style="147" customWidth="1"/>
    <col min="4" max="5" width="8.7109375" style="147" customWidth="1"/>
    <col min="6" max="7" width="10.85546875" style="147" customWidth="1"/>
    <col min="8" max="9" width="8.7109375" style="147" customWidth="1"/>
    <col min="10" max="11" width="10.85546875" style="147" customWidth="1"/>
    <col min="12" max="13" width="8.7109375" style="147" customWidth="1"/>
    <col min="14" max="14" width="11.42578125" style="147"/>
    <col min="15" max="15" width="3" style="146" bestFit="1" customWidth="1"/>
    <col min="16" max="16384" width="11.42578125" style="1"/>
  </cols>
  <sheetData>
    <row r="1" spans="1:15" x14ac:dyDescent="0.2">
      <c r="A1" s="170" t="s">
        <v>152</v>
      </c>
      <c r="B1" s="932"/>
      <c r="C1" s="247" t="s">
        <v>142</v>
      </c>
      <c r="D1" s="25"/>
      <c r="E1" s="25"/>
      <c r="F1" s="25"/>
      <c r="G1" s="25"/>
      <c r="H1" s="25"/>
      <c r="I1" s="25"/>
      <c r="J1" s="25"/>
      <c r="K1" s="25"/>
      <c r="L1" s="25"/>
      <c r="M1" s="25"/>
      <c r="O1" s="423"/>
    </row>
    <row r="2" spans="1:15" ht="15.75" x14ac:dyDescent="0.25">
      <c r="A2" s="163" t="s">
        <v>31</v>
      </c>
      <c r="B2" s="965"/>
      <c r="C2" s="965"/>
      <c r="D2" s="965"/>
      <c r="E2" s="297"/>
      <c r="F2" s="965"/>
      <c r="G2" s="965"/>
      <c r="H2" s="965"/>
      <c r="I2" s="297"/>
      <c r="J2" s="965"/>
      <c r="K2" s="965"/>
      <c r="L2" s="965"/>
      <c r="M2" s="297"/>
    </row>
    <row r="3" spans="1:15" ht="15.75" x14ac:dyDescent="0.25">
      <c r="A3" s="161"/>
      <c r="B3" s="297"/>
      <c r="C3" s="297"/>
      <c r="D3" s="297"/>
      <c r="E3" s="297"/>
      <c r="F3" s="297"/>
      <c r="G3" s="297"/>
      <c r="H3" s="297"/>
      <c r="I3" s="297"/>
      <c r="J3" s="297"/>
      <c r="K3" s="297"/>
      <c r="L3" s="297"/>
      <c r="M3" s="297"/>
    </row>
    <row r="4" spans="1:15" x14ac:dyDescent="0.2">
      <c r="A4" s="142"/>
      <c r="B4" s="960" t="s">
        <v>0</v>
      </c>
      <c r="C4" s="961"/>
      <c r="D4" s="961"/>
      <c r="E4" s="299"/>
      <c r="F4" s="960" t="s">
        <v>1</v>
      </c>
      <c r="G4" s="961"/>
      <c r="H4" s="961"/>
      <c r="I4" s="302"/>
      <c r="J4" s="960" t="s">
        <v>2</v>
      </c>
      <c r="K4" s="961"/>
      <c r="L4" s="961"/>
      <c r="M4" s="302"/>
    </row>
    <row r="5" spans="1:15" x14ac:dyDescent="0.2">
      <c r="A5" s="156"/>
      <c r="B5" s="150" t="s">
        <v>504</v>
      </c>
      <c r="C5" s="150" t="s">
        <v>505</v>
      </c>
      <c r="D5" s="243" t="s">
        <v>3</v>
      </c>
      <c r="E5" s="303" t="s">
        <v>32</v>
      </c>
      <c r="F5" s="150" t="s">
        <v>504</v>
      </c>
      <c r="G5" s="150" t="s">
        <v>505</v>
      </c>
      <c r="H5" s="243" t="s">
        <v>3</v>
      </c>
      <c r="I5" s="160" t="s">
        <v>32</v>
      </c>
      <c r="J5" s="150" t="s">
        <v>504</v>
      </c>
      <c r="K5" s="150" t="s">
        <v>505</v>
      </c>
      <c r="L5" s="243" t="s">
        <v>3</v>
      </c>
      <c r="M5" s="160" t="s">
        <v>32</v>
      </c>
      <c r="O5" s="931"/>
    </row>
    <row r="6" spans="1:15" x14ac:dyDescent="0.2">
      <c r="A6" s="933"/>
      <c r="B6" s="154"/>
      <c r="C6" s="154"/>
      <c r="D6" s="245" t="s">
        <v>4</v>
      </c>
      <c r="E6" s="154" t="s">
        <v>33</v>
      </c>
      <c r="F6" s="159"/>
      <c r="G6" s="159"/>
      <c r="H6" s="243" t="s">
        <v>4</v>
      </c>
      <c r="I6" s="154" t="s">
        <v>33</v>
      </c>
      <c r="J6" s="159"/>
      <c r="K6" s="159"/>
      <c r="L6" s="243" t="s">
        <v>4</v>
      </c>
      <c r="M6" s="154" t="s">
        <v>33</v>
      </c>
    </row>
    <row r="7" spans="1:15" ht="15.75" x14ac:dyDescent="0.2">
      <c r="A7" s="14" t="s">
        <v>26</v>
      </c>
      <c r="B7" s="304">
        <v>710781</v>
      </c>
      <c r="C7" s="305">
        <v>714136</v>
      </c>
      <c r="D7" s="348">
        <f>IF(B7=0, "    ---- ", IF(ABS(ROUND(100/B7*C7-100,1))&lt;999,ROUND(100/B7*C7-100,1),IF(ROUND(100/B7*C7-100,1)&gt;999,999,-999)))</f>
        <v>0.5</v>
      </c>
      <c r="E7" s="11">
        <f>IFERROR(100/'Skjema total MA'!C7*C7,0)</f>
        <v>15.312415550775894</v>
      </c>
      <c r="F7" s="304"/>
      <c r="G7" s="305"/>
      <c r="H7" s="348"/>
      <c r="I7" s="158"/>
      <c r="J7" s="306">
        <v>710781</v>
      </c>
      <c r="K7" s="307">
        <v>714136</v>
      </c>
      <c r="L7" s="424">
        <f>IF(J7=0, "    ---- ", IF(ABS(ROUND(100/J7*K7-100,1))&lt;999,ROUND(100/J7*K7-100,1),IF(ROUND(100/J7*K7-100,1)&gt;999,999,-999)))</f>
        <v>0.5</v>
      </c>
      <c r="M7" s="11">
        <f>IFERROR(100/'Skjema total MA'!I7*K7,0)</f>
        <v>5.3011389765452863</v>
      </c>
    </row>
    <row r="8" spans="1:15" ht="15.75" x14ac:dyDescent="0.2">
      <c r="A8" s="20" t="s">
        <v>28</v>
      </c>
      <c r="B8" s="279">
        <v>394330</v>
      </c>
      <c r="C8" s="280">
        <v>410773</v>
      </c>
      <c r="D8" s="164">
        <f>IF(AND(_xlfn.NUMBERVALUE(B8)=0,_xlfn.NUMBERVALUE(C8)=0),,IF(B8=0, "    ---- ", IF(ABS(ROUND(100/B8*C8-100,1))&lt;999,IF(ROUND(100/B8*C8-100,1)=0,"    ---- ",ROUND(100/B8*C8-100,1)),IF(ROUND(100/B8*C8-100,1)&gt;999,999,-999))))</f>
        <v>4.2</v>
      </c>
      <c r="E8" s="26">
        <f>IFERROR(100/'Skjema total MA'!C8*C8,0)</f>
        <v>16.504583798152225</v>
      </c>
      <c r="F8" s="283"/>
      <c r="G8" s="284"/>
      <c r="H8" s="164"/>
      <c r="I8" s="174"/>
      <c r="J8" s="232">
        <v>394330</v>
      </c>
      <c r="K8" s="285">
        <v>410773</v>
      </c>
      <c r="L8" s="164">
        <f>IF(AND(_xlfn.NUMBERVALUE(J8)=0,_xlfn.NUMBERVALUE(K8)=0),,IF(J8=0, "    ---- ", IF(ABS(ROUND(100/J8*K8-100,1))&lt;999,IF(ROUND(100/J8*K8-100,1)=0,"    ---- ",ROUND(100/J8*K8-100,1)),IF(ROUND(100/J8*K8-100,1)&gt;999,999,-999))))</f>
        <v>4.2</v>
      </c>
      <c r="M8" s="26">
        <f>IFERROR(100/'Skjema total MA'!I8*K8,0)</f>
        <v>16.504583798152225</v>
      </c>
    </row>
    <row r="9" spans="1:15" ht="15.75" x14ac:dyDescent="0.2">
      <c r="A9" s="20" t="s">
        <v>27</v>
      </c>
      <c r="B9" s="279">
        <v>316451</v>
      </c>
      <c r="C9" s="280">
        <v>303363</v>
      </c>
      <c r="D9" s="164">
        <f t="shared" ref="D9:D10" si="0">IF(B9=0, "    ---- ", IF(ABS(ROUND(100/B9*C9-100,1))&lt;999,ROUND(100/B9*C9-100,1),IF(ROUND(100/B9*C9-100,1)&gt;999,999,-999)))</f>
        <v>-4.0999999999999996</v>
      </c>
      <c r="E9" s="26">
        <f>IFERROR(100/'Skjema total MA'!C9*C9,0)</f>
        <v>28.036679358724108</v>
      </c>
      <c r="F9" s="283"/>
      <c r="G9" s="284"/>
      <c r="H9" s="164"/>
      <c r="I9" s="174"/>
      <c r="J9" s="232">
        <v>316451</v>
      </c>
      <c r="K9" s="285">
        <v>303363</v>
      </c>
      <c r="L9" s="164">
        <f>IF(AND(_xlfn.NUMBERVALUE(J9)=0,_xlfn.NUMBERVALUE(K9)=0),,IF(J9=0, "    ---- ", IF(ABS(ROUND(100/J9*K9-100,1))&lt;999,IF(ROUND(100/J9*K9-100,1)=0,"    ---- ",ROUND(100/J9*K9-100,1)),IF(ROUND(100/J9*K9-100,1)&gt;999,999,-999))))</f>
        <v>-4.0999999999999996</v>
      </c>
      <c r="M9" s="26">
        <f>IFERROR(100/'Skjema total MA'!I9*K9,0)</f>
        <v>28.036679358724108</v>
      </c>
    </row>
    <row r="10" spans="1:15" ht="15.75" x14ac:dyDescent="0.2">
      <c r="A10" s="13" t="s">
        <v>25</v>
      </c>
      <c r="B10" s="308">
        <v>1194028</v>
      </c>
      <c r="C10" s="309">
        <v>1200643</v>
      </c>
      <c r="D10" s="169">
        <f t="shared" si="0"/>
        <v>0.6</v>
      </c>
      <c r="E10" s="11">
        <f>IFERROR(100/'Skjema total MA'!C10*C10,0)</f>
        <v>4.9947502316790144</v>
      </c>
      <c r="F10" s="308"/>
      <c r="G10" s="309"/>
      <c r="H10" s="169"/>
      <c r="I10" s="158"/>
      <c r="J10" s="306">
        <v>1194028</v>
      </c>
      <c r="K10" s="307">
        <v>1200643</v>
      </c>
      <c r="L10" s="425">
        <f t="shared" ref="L10" si="1">IF(J10=0, "    ---- ", IF(ABS(ROUND(100/J10*K10-100,1))&lt;999,ROUND(100/J10*K10-100,1),IF(ROUND(100/J10*K10-100,1)&gt;999,999,-999)))</f>
        <v>0.6</v>
      </c>
      <c r="M10" s="11">
        <f>IFERROR(100/'Skjema total MA'!I10*K10,0)</f>
        <v>1.8104241761453816</v>
      </c>
    </row>
    <row r="11" spans="1:15" s="42" customFormat="1" ht="15.75" x14ac:dyDescent="0.2">
      <c r="A11" s="13" t="s">
        <v>24</v>
      </c>
      <c r="B11" s="308"/>
      <c r="C11" s="309"/>
      <c r="D11" s="169"/>
      <c r="E11" s="11"/>
      <c r="F11" s="308"/>
      <c r="G11" s="309"/>
      <c r="H11" s="169"/>
      <c r="I11" s="158"/>
      <c r="J11" s="306"/>
      <c r="K11" s="307"/>
      <c r="L11" s="425"/>
      <c r="M11" s="11"/>
      <c r="N11" s="141"/>
      <c r="O11" s="146"/>
    </row>
    <row r="12" spans="1:15" s="42" customFormat="1" ht="15.75" x14ac:dyDescent="0.2">
      <c r="A12" s="40" t="s">
        <v>23</v>
      </c>
      <c r="B12" s="310"/>
      <c r="C12" s="311"/>
      <c r="D12" s="167"/>
      <c r="E12" s="35"/>
      <c r="F12" s="310"/>
      <c r="G12" s="311"/>
      <c r="H12" s="167"/>
      <c r="I12" s="167"/>
      <c r="J12" s="312"/>
      <c r="K12" s="313"/>
      <c r="L12" s="426"/>
      <c r="M12" s="35"/>
      <c r="N12" s="141"/>
      <c r="O12" s="146"/>
    </row>
    <row r="13" spans="1:15" s="42" customFormat="1" x14ac:dyDescent="0.2">
      <c r="A13" s="166"/>
      <c r="B13" s="143"/>
      <c r="C13" s="32"/>
      <c r="D13" s="157"/>
      <c r="E13" s="157"/>
      <c r="F13" s="143"/>
      <c r="G13" s="32"/>
      <c r="H13" s="157"/>
      <c r="I13" s="157"/>
      <c r="J13" s="47"/>
      <c r="K13" s="47"/>
      <c r="L13" s="157"/>
      <c r="M13" s="157"/>
      <c r="N13" s="141"/>
      <c r="O13" s="423"/>
    </row>
    <row r="14" spans="1:15" x14ac:dyDescent="0.2">
      <c r="A14" s="151" t="s">
        <v>296</v>
      </c>
      <c r="B14" s="25"/>
    </row>
    <row r="15" spans="1:15" x14ac:dyDescent="0.2">
      <c r="F15" s="144"/>
      <c r="G15" s="144"/>
      <c r="H15" s="144"/>
      <c r="I15" s="144"/>
      <c r="J15" s="144"/>
      <c r="K15" s="144"/>
      <c r="L15" s="144"/>
      <c r="M15" s="144"/>
    </row>
    <row r="16" spans="1:15" s="3" customFormat="1" ht="15.75" x14ac:dyDescent="0.25">
      <c r="A16" s="162"/>
      <c r="B16" s="146"/>
      <c r="C16" s="152"/>
      <c r="D16" s="152"/>
      <c r="E16" s="152"/>
      <c r="F16" s="152"/>
      <c r="G16" s="152"/>
      <c r="H16" s="152"/>
      <c r="I16" s="152"/>
      <c r="J16" s="152"/>
      <c r="K16" s="152"/>
      <c r="L16" s="152"/>
      <c r="M16" s="152"/>
      <c r="N16" s="146"/>
      <c r="O16" s="146"/>
    </row>
    <row r="17" spans="1:15" ht="15.75" x14ac:dyDescent="0.25">
      <c r="A17" s="145" t="s">
        <v>293</v>
      </c>
      <c r="B17" s="155"/>
      <c r="C17" s="155"/>
      <c r="D17" s="149"/>
      <c r="E17" s="149"/>
      <c r="F17" s="155"/>
      <c r="G17" s="155"/>
      <c r="H17" s="155"/>
      <c r="I17" s="155"/>
      <c r="J17" s="155"/>
      <c r="K17" s="155"/>
      <c r="L17" s="155"/>
      <c r="M17" s="155"/>
    </row>
    <row r="18" spans="1:15" ht="15.75" x14ac:dyDescent="0.25">
      <c r="B18" s="963"/>
      <c r="C18" s="963"/>
      <c r="D18" s="963"/>
      <c r="E18" s="297"/>
      <c r="F18" s="963"/>
      <c r="G18" s="963"/>
      <c r="H18" s="963"/>
      <c r="I18" s="297"/>
      <c r="J18" s="963"/>
      <c r="K18" s="963"/>
      <c r="L18" s="963"/>
      <c r="M18" s="297"/>
    </row>
    <row r="19" spans="1:15" x14ac:dyDescent="0.2">
      <c r="A19" s="142"/>
      <c r="B19" s="960" t="s">
        <v>0</v>
      </c>
      <c r="C19" s="961"/>
      <c r="D19" s="961"/>
      <c r="E19" s="299"/>
      <c r="F19" s="960" t="s">
        <v>1</v>
      </c>
      <c r="G19" s="961"/>
      <c r="H19" s="961"/>
      <c r="I19" s="302"/>
      <c r="J19" s="960" t="s">
        <v>2</v>
      </c>
      <c r="K19" s="961"/>
      <c r="L19" s="961"/>
      <c r="M19" s="302"/>
    </row>
    <row r="20" spans="1:15" x14ac:dyDescent="0.2">
      <c r="A20" s="139" t="s">
        <v>5</v>
      </c>
      <c r="B20" s="240" t="s">
        <v>504</v>
      </c>
      <c r="C20" s="240" t="s">
        <v>505</v>
      </c>
      <c r="D20" s="160" t="s">
        <v>3</v>
      </c>
      <c r="E20" s="303" t="s">
        <v>32</v>
      </c>
      <c r="F20" s="240" t="s">
        <v>504</v>
      </c>
      <c r="G20" s="240" t="s">
        <v>505</v>
      </c>
      <c r="H20" s="160" t="s">
        <v>3</v>
      </c>
      <c r="I20" s="160" t="s">
        <v>32</v>
      </c>
      <c r="J20" s="240" t="s">
        <v>504</v>
      </c>
      <c r="K20" s="240" t="s">
        <v>505</v>
      </c>
      <c r="L20" s="160" t="s">
        <v>3</v>
      </c>
      <c r="M20" s="160" t="s">
        <v>32</v>
      </c>
    </row>
    <row r="21" spans="1:15" x14ac:dyDescent="0.2">
      <c r="A21" s="934"/>
      <c r="B21" s="154"/>
      <c r="C21" s="154"/>
      <c r="D21" s="245" t="s">
        <v>4</v>
      </c>
      <c r="E21" s="154" t="s">
        <v>33</v>
      </c>
      <c r="F21" s="159"/>
      <c r="G21" s="159"/>
      <c r="H21" s="243" t="s">
        <v>4</v>
      </c>
      <c r="I21" s="154" t="s">
        <v>33</v>
      </c>
      <c r="J21" s="159"/>
      <c r="K21" s="159"/>
      <c r="L21" s="154" t="s">
        <v>4</v>
      </c>
      <c r="M21" s="154" t="s">
        <v>33</v>
      </c>
    </row>
    <row r="22" spans="1:15" ht="15.75" x14ac:dyDescent="0.2">
      <c r="A22" s="14" t="s">
        <v>26</v>
      </c>
      <c r="B22" s="314"/>
      <c r="C22" s="314"/>
      <c r="D22" s="348"/>
      <c r="E22" s="11"/>
      <c r="F22" s="314"/>
      <c r="G22" s="314"/>
      <c r="H22" s="348"/>
      <c r="I22" s="11"/>
      <c r="J22" s="314"/>
      <c r="K22" s="314"/>
      <c r="L22" s="424"/>
      <c r="M22" s="23"/>
    </row>
    <row r="23" spans="1:15" ht="15.75" x14ac:dyDescent="0.2">
      <c r="A23" s="294" t="s">
        <v>305</v>
      </c>
      <c r="B23" s="288"/>
      <c r="C23" s="288"/>
      <c r="D23" s="164"/>
      <c r="E23" s="414"/>
      <c r="F23" s="288"/>
      <c r="G23" s="288"/>
      <c r="H23" s="164"/>
      <c r="I23" s="414"/>
      <c r="J23" s="288"/>
      <c r="K23" s="288"/>
      <c r="L23" s="164"/>
      <c r="M23" s="22"/>
    </row>
    <row r="24" spans="1:15" ht="15.75" x14ac:dyDescent="0.2">
      <c r="A24" s="294" t="s">
        <v>306</v>
      </c>
      <c r="B24" s="288"/>
      <c r="C24" s="288"/>
      <c r="D24" s="164"/>
      <c r="E24" s="414"/>
      <c r="F24" s="288"/>
      <c r="G24" s="288"/>
      <c r="H24" s="164"/>
      <c r="I24" s="414"/>
      <c r="J24" s="288"/>
      <c r="K24" s="288"/>
      <c r="L24" s="164"/>
      <c r="M24" s="22"/>
    </row>
    <row r="25" spans="1:15" ht="15.75" x14ac:dyDescent="0.2">
      <c r="A25" s="294" t="s">
        <v>406</v>
      </c>
      <c r="B25" s="288"/>
      <c r="C25" s="288"/>
      <c r="D25" s="164"/>
      <c r="E25" s="414"/>
      <c r="F25" s="288"/>
      <c r="G25" s="288"/>
      <c r="H25" s="164"/>
      <c r="I25" s="414"/>
      <c r="J25" s="288"/>
      <c r="K25" s="288"/>
      <c r="L25" s="164"/>
      <c r="M25" s="22"/>
    </row>
    <row r="26" spans="1:15" ht="15.75" x14ac:dyDescent="0.2">
      <c r="A26" s="294" t="s">
        <v>307</v>
      </c>
      <c r="B26" s="288"/>
      <c r="C26" s="288"/>
      <c r="D26" s="164"/>
      <c r="E26" s="414"/>
      <c r="F26" s="288"/>
      <c r="G26" s="288"/>
      <c r="H26" s="164"/>
      <c r="I26" s="414"/>
      <c r="J26" s="288"/>
      <c r="K26" s="288"/>
      <c r="L26" s="164"/>
      <c r="M26" s="22"/>
    </row>
    <row r="27" spans="1:15" x14ac:dyDescent="0.2">
      <c r="A27" s="294" t="s">
        <v>11</v>
      </c>
      <c r="B27" s="288"/>
      <c r="C27" s="288"/>
      <c r="D27" s="164"/>
      <c r="E27" s="414"/>
      <c r="F27" s="288"/>
      <c r="G27" s="288"/>
      <c r="H27" s="164"/>
      <c r="I27" s="414"/>
      <c r="J27" s="288"/>
      <c r="K27" s="288"/>
      <c r="L27" s="164"/>
      <c r="M27" s="22"/>
    </row>
    <row r="28" spans="1:15" ht="15.75" x14ac:dyDescent="0.2">
      <c r="A28" s="48" t="s">
        <v>297</v>
      </c>
      <c r="B28" s="43"/>
      <c r="C28" s="285"/>
      <c r="D28" s="164"/>
      <c r="E28" s="26"/>
      <c r="F28" s="232"/>
      <c r="G28" s="285"/>
      <c r="H28" s="164"/>
      <c r="I28" s="26"/>
      <c r="J28" s="43"/>
      <c r="K28" s="43"/>
      <c r="L28" s="253"/>
      <c r="M28" s="22"/>
    </row>
    <row r="29" spans="1:15" s="3" customFormat="1" ht="15.75" x14ac:dyDescent="0.2">
      <c r="A29" s="13" t="s">
        <v>25</v>
      </c>
      <c r="B29" s="234"/>
      <c r="C29" s="234"/>
      <c r="D29" s="169"/>
      <c r="E29" s="11"/>
      <c r="F29" s="234"/>
      <c r="G29" s="234"/>
      <c r="H29" s="169"/>
      <c r="I29" s="11"/>
      <c r="J29" s="234"/>
      <c r="K29" s="234"/>
      <c r="L29" s="425"/>
      <c r="M29" s="23"/>
      <c r="N29" s="146"/>
      <c r="O29" s="146"/>
    </row>
    <row r="30" spans="1:15" s="3" customFormat="1" ht="15.75" x14ac:dyDescent="0.2">
      <c r="A30" s="294" t="s">
        <v>305</v>
      </c>
      <c r="B30" s="288"/>
      <c r="C30" s="288"/>
      <c r="D30" s="164"/>
      <c r="E30" s="414"/>
      <c r="F30" s="288"/>
      <c r="G30" s="288"/>
      <c r="H30" s="164"/>
      <c r="I30" s="414"/>
      <c r="J30" s="288"/>
      <c r="K30" s="288"/>
      <c r="L30" s="164"/>
      <c r="M30" s="22"/>
      <c r="N30" s="146"/>
      <c r="O30" s="146"/>
    </row>
    <row r="31" spans="1:15" s="3" customFormat="1" ht="15.75" x14ac:dyDescent="0.2">
      <c r="A31" s="294" t="s">
        <v>306</v>
      </c>
      <c r="B31" s="288"/>
      <c r="C31" s="288"/>
      <c r="D31" s="164"/>
      <c r="E31" s="414"/>
      <c r="F31" s="288"/>
      <c r="G31" s="288"/>
      <c r="H31" s="164"/>
      <c r="I31" s="414"/>
      <c r="J31" s="288"/>
      <c r="K31" s="288"/>
      <c r="L31" s="164"/>
      <c r="M31" s="22"/>
      <c r="N31" s="146"/>
      <c r="O31" s="146"/>
    </row>
    <row r="32" spans="1:15" ht="15.75" x14ac:dyDescent="0.2">
      <c r="A32" s="294" t="s">
        <v>406</v>
      </c>
      <c r="B32" s="288"/>
      <c r="C32" s="288"/>
      <c r="D32" s="164"/>
      <c r="E32" s="414"/>
      <c r="F32" s="288"/>
      <c r="G32" s="288"/>
      <c r="H32" s="164"/>
      <c r="I32" s="414"/>
      <c r="J32" s="288"/>
      <c r="K32" s="288"/>
      <c r="L32" s="164"/>
      <c r="M32" s="22"/>
    </row>
    <row r="33" spans="1:15" ht="15.75" x14ac:dyDescent="0.2">
      <c r="A33" s="294" t="s">
        <v>307</v>
      </c>
      <c r="B33" s="288"/>
      <c r="C33" s="288"/>
      <c r="D33" s="164"/>
      <c r="E33" s="414"/>
      <c r="F33" s="288"/>
      <c r="G33" s="288"/>
      <c r="H33" s="164"/>
      <c r="I33" s="414"/>
      <c r="J33" s="288"/>
      <c r="K33" s="288"/>
      <c r="L33" s="164"/>
      <c r="M33" s="22"/>
    </row>
    <row r="34" spans="1:15" ht="15.75" x14ac:dyDescent="0.2">
      <c r="A34" s="13" t="s">
        <v>24</v>
      </c>
      <c r="B34" s="234"/>
      <c r="C34" s="307"/>
      <c r="D34" s="169"/>
      <c r="E34" s="11"/>
      <c r="F34" s="306"/>
      <c r="G34" s="307"/>
      <c r="H34" s="169"/>
      <c r="I34" s="11"/>
      <c r="J34" s="234"/>
      <c r="K34" s="234"/>
      <c r="L34" s="425"/>
      <c r="M34" s="23"/>
    </row>
    <row r="35" spans="1:15" ht="15.75" x14ac:dyDescent="0.2">
      <c r="A35" s="13" t="s">
        <v>23</v>
      </c>
      <c r="B35" s="234"/>
      <c r="C35" s="307"/>
      <c r="D35" s="169"/>
      <c r="E35" s="11"/>
      <c r="F35" s="306"/>
      <c r="G35" s="307"/>
      <c r="H35" s="169"/>
      <c r="I35" s="11"/>
      <c r="J35" s="234"/>
      <c r="K35" s="234"/>
      <c r="L35" s="425"/>
      <c r="M35" s="23"/>
    </row>
    <row r="36" spans="1:15" ht="15.75" x14ac:dyDescent="0.2">
      <c r="A36" s="12" t="s">
        <v>308</v>
      </c>
      <c r="B36" s="234"/>
      <c r="C36" s="307"/>
      <c r="D36" s="169"/>
      <c r="E36" s="11"/>
      <c r="F36" s="317"/>
      <c r="G36" s="318"/>
      <c r="H36" s="169"/>
      <c r="I36" s="431"/>
      <c r="J36" s="234"/>
      <c r="K36" s="234"/>
      <c r="L36" s="425"/>
      <c r="M36" s="23"/>
    </row>
    <row r="37" spans="1:15" ht="15.75" x14ac:dyDescent="0.2">
      <c r="A37" s="12" t="s">
        <v>309</v>
      </c>
      <c r="B37" s="234"/>
      <c r="C37" s="307"/>
      <c r="D37" s="169"/>
      <c r="E37" s="11"/>
      <c r="F37" s="317"/>
      <c r="G37" s="319"/>
      <c r="H37" s="169"/>
      <c r="I37" s="431"/>
      <c r="J37" s="234"/>
      <c r="K37" s="234"/>
      <c r="L37" s="425"/>
      <c r="M37" s="23"/>
    </row>
    <row r="38" spans="1:15" ht="15.75" x14ac:dyDescent="0.2">
      <c r="A38" s="12" t="s">
        <v>310</v>
      </c>
      <c r="B38" s="234"/>
      <c r="C38" s="307"/>
      <c r="D38" s="169"/>
      <c r="E38" s="11"/>
      <c r="F38" s="317"/>
      <c r="G38" s="318"/>
      <c r="H38" s="169"/>
      <c r="I38" s="431"/>
      <c r="J38" s="234"/>
      <c r="K38" s="234"/>
      <c r="L38" s="425"/>
      <c r="M38" s="23"/>
    </row>
    <row r="39" spans="1:15" ht="15.75" x14ac:dyDescent="0.2">
      <c r="A39" s="18" t="s">
        <v>311</v>
      </c>
      <c r="B39" s="274"/>
      <c r="C39" s="313"/>
      <c r="D39" s="167"/>
      <c r="E39" s="11"/>
      <c r="F39" s="320"/>
      <c r="G39" s="321"/>
      <c r="H39" s="167"/>
      <c r="I39" s="35"/>
      <c r="J39" s="234"/>
      <c r="K39" s="234"/>
      <c r="L39" s="426"/>
      <c r="M39" s="35"/>
    </row>
    <row r="40" spans="1:15" ht="15.75" x14ac:dyDescent="0.25">
      <c r="A40" s="46"/>
      <c r="B40" s="252"/>
      <c r="C40" s="252"/>
      <c r="D40" s="964"/>
      <c r="E40" s="964"/>
      <c r="F40" s="964"/>
      <c r="G40" s="964"/>
      <c r="H40" s="964"/>
      <c r="I40" s="964"/>
      <c r="J40" s="964"/>
      <c r="K40" s="964"/>
      <c r="L40" s="964"/>
      <c r="M40" s="300"/>
    </row>
    <row r="41" spans="1:15" x14ac:dyDescent="0.2">
      <c r="A41" s="153"/>
    </row>
    <row r="42" spans="1:15" ht="15.75" x14ac:dyDescent="0.25">
      <c r="A42" s="145" t="s">
        <v>294</v>
      </c>
      <c r="B42" s="965"/>
      <c r="C42" s="965"/>
      <c r="D42" s="965"/>
      <c r="E42" s="297"/>
      <c r="F42" s="966"/>
      <c r="G42" s="966"/>
      <c r="H42" s="966"/>
      <c r="I42" s="300"/>
      <c r="J42" s="966"/>
      <c r="K42" s="966"/>
      <c r="L42" s="966"/>
      <c r="M42" s="300"/>
    </row>
    <row r="43" spans="1:15" ht="15.75" x14ac:dyDescent="0.25">
      <c r="A43" s="161"/>
      <c r="B43" s="301"/>
      <c r="C43" s="301"/>
      <c r="D43" s="301"/>
      <c r="E43" s="301"/>
      <c r="F43" s="300"/>
      <c r="G43" s="300"/>
      <c r="H43" s="300"/>
      <c r="I43" s="300"/>
      <c r="J43" s="300"/>
      <c r="K43" s="300"/>
      <c r="L43" s="300"/>
      <c r="M43" s="300"/>
    </row>
    <row r="44" spans="1:15" ht="15.75" x14ac:dyDescent="0.25">
      <c r="A44" s="246"/>
      <c r="B44" s="960" t="s">
        <v>0</v>
      </c>
      <c r="C44" s="961"/>
      <c r="D44" s="961"/>
      <c r="E44" s="241"/>
      <c r="F44" s="300"/>
      <c r="G44" s="300"/>
      <c r="H44" s="300"/>
      <c r="I44" s="300"/>
      <c r="J44" s="300"/>
      <c r="K44" s="300"/>
      <c r="L44" s="300"/>
      <c r="M44" s="300"/>
    </row>
    <row r="45" spans="1:15" s="3" customFormat="1" x14ac:dyDescent="0.2">
      <c r="A45" s="139"/>
      <c r="B45" s="171" t="s">
        <v>504</v>
      </c>
      <c r="C45" s="171" t="s">
        <v>505</v>
      </c>
      <c r="D45" s="160" t="s">
        <v>3</v>
      </c>
      <c r="E45" s="160" t="s">
        <v>32</v>
      </c>
      <c r="F45" s="173"/>
      <c r="G45" s="173"/>
      <c r="H45" s="172"/>
      <c r="I45" s="172"/>
      <c r="J45" s="173"/>
      <c r="K45" s="173"/>
      <c r="L45" s="172"/>
      <c r="M45" s="172"/>
      <c r="N45" s="146"/>
      <c r="O45" s="146"/>
    </row>
    <row r="46" spans="1:15" s="3" customFormat="1" x14ac:dyDescent="0.2">
      <c r="A46" s="934"/>
      <c r="B46" s="242"/>
      <c r="C46" s="242"/>
      <c r="D46" s="243" t="s">
        <v>4</v>
      </c>
      <c r="E46" s="154" t="s">
        <v>33</v>
      </c>
      <c r="F46" s="172"/>
      <c r="G46" s="172"/>
      <c r="H46" s="172"/>
      <c r="I46" s="172"/>
      <c r="J46" s="172"/>
      <c r="K46" s="172"/>
      <c r="L46" s="172"/>
      <c r="M46" s="172"/>
      <c r="N46" s="146"/>
      <c r="O46" s="146"/>
    </row>
    <row r="47" spans="1:15" s="3" customFormat="1" ht="15.75" x14ac:dyDescent="0.2">
      <c r="A47" s="14" t="s">
        <v>26</v>
      </c>
      <c r="B47" s="308">
        <f>SUM(B48:B49)</f>
        <v>826219</v>
      </c>
      <c r="C47" s="309">
        <f>SUM(C48:C49)</f>
        <v>814731</v>
      </c>
      <c r="D47" s="424">
        <f t="shared" ref="D47:D58" si="2">IF(B47=0, "    ---- ", IF(ABS(ROUND(100/B47*C47-100,1))&lt;999,ROUND(100/B47*C47-100,1),IF(ROUND(100/B47*C47-100,1)&gt;999,999,-999)))</f>
        <v>-1.4</v>
      </c>
      <c r="E47" s="11">
        <f>IFERROR(100/'Skjema total MA'!C47*C47,0)</f>
        <v>21.39196535378035</v>
      </c>
      <c r="F47" s="143"/>
      <c r="G47" s="32"/>
      <c r="H47" s="157"/>
      <c r="I47" s="157"/>
      <c r="J47" s="36"/>
      <c r="K47" s="36"/>
      <c r="L47" s="157"/>
      <c r="M47" s="157"/>
      <c r="N47" s="146"/>
      <c r="O47" s="146"/>
    </row>
    <row r="48" spans="1:15" s="3" customFormat="1" ht="15.75" x14ac:dyDescent="0.2">
      <c r="A48" s="37" t="s">
        <v>312</v>
      </c>
      <c r="B48" s="279">
        <v>529803</v>
      </c>
      <c r="C48" s="280">
        <v>495693</v>
      </c>
      <c r="D48" s="253">
        <f t="shared" si="2"/>
        <v>-6.4</v>
      </c>
      <c r="E48" s="26">
        <f>IFERROR(100/'Skjema total MA'!C48*C48,0)</f>
        <v>24.190080838558579</v>
      </c>
      <c r="F48" s="143"/>
      <c r="G48" s="32"/>
      <c r="H48" s="143"/>
      <c r="I48" s="143"/>
      <c r="J48" s="32"/>
      <c r="K48" s="32"/>
      <c r="L48" s="157"/>
      <c r="M48" s="157"/>
      <c r="N48" s="146"/>
      <c r="O48" s="146"/>
    </row>
    <row r="49" spans="1:15" s="3" customFormat="1" ht="15.75" x14ac:dyDescent="0.2">
      <c r="A49" s="37" t="s">
        <v>313</v>
      </c>
      <c r="B49" s="43">
        <v>296416</v>
      </c>
      <c r="C49" s="285">
        <v>319038</v>
      </c>
      <c r="D49" s="253">
        <f>IF(B49=0, "    ---- ", IF(ABS(ROUND(100/B49*C49-100,1))&lt;999,ROUND(100/B49*C49-100,1),IF(ROUND(100/B49*C49-100,1)&gt;999,999,-999)))</f>
        <v>7.6</v>
      </c>
      <c r="E49" s="26">
        <f>IFERROR(100/'Skjema total MA'!C49*C49,0)</f>
        <v>18.133072480260289</v>
      </c>
      <c r="F49" s="143"/>
      <c r="G49" s="32"/>
      <c r="H49" s="143"/>
      <c r="I49" s="143"/>
      <c r="J49" s="36"/>
      <c r="K49" s="36"/>
      <c r="L49" s="157"/>
      <c r="M49" s="157"/>
      <c r="N49" s="146"/>
      <c r="O49" s="146"/>
    </row>
    <row r="50" spans="1:15" s="3" customFormat="1" x14ac:dyDescent="0.2">
      <c r="A50" s="294" t="s">
        <v>6</v>
      </c>
      <c r="B50" s="288"/>
      <c r="C50" s="289"/>
      <c r="D50" s="253"/>
      <c r="E50" s="22"/>
      <c r="F50" s="143"/>
      <c r="G50" s="32"/>
      <c r="H50" s="143"/>
      <c r="I50" s="143"/>
      <c r="J50" s="32"/>
      <c r="K50" s="32"/>
      <c r="L50" s="157"/>
      <c r="M50" s="157"/>
      <c r="N50" s="146"/>
      <c r="O50" s="146"/>
    </row>
    <row r="51" spans="1:15" s="3" customFormat="1" x14ac:dyDescent="0.2">
      <c r="A51" s="294" t="s">
        <v>7</v>
      </c>
      <c r="B51" s="288">
        <v>245074</v>
      </c>
      <c r="C51" s="289">
        <v>271213</v>
      </c>
      <c r="D51" s="253">
        <f t="shared" ref="D51:D52" si="3">IF(B51=0, "    ---- ", IF(ABS(ROUND(100/B51*C51-100,1))&lt;999,ROUND(100/B51*C51-100,1),IF(ROUND(100/B51*C51-100,1)&gt;999,999,-999)))</f>
        <v>10.7</v>
      </c>
      <c r="E51" s="26">
        <f>IFERROR(100/'Skjema total MA'!C51*C51,0)</f>
        <v>18.373877417102793</v>
      </c>
      <c r="F51" s="143"/>
      <c r="G51" s="32"/>
      <c r="H51" s="143"/>
      <c r="I51" s="143"/>
      <c r="J51" s="32"/>
      <c r="K51" s="32"/>
      <c r="L51" s="157"/>
      <c r="M51" s="157"/>
      <c r="N51" s="146"/>
      <c r="O51" s="146"/>
    </row>
    <row r="52" spans="1:15" s="3" customFormat="1" x14ac:dyDescent="0.2">
      <c r="A52" s="294" t="s">
        <v>8</v>
      </c>
      <c r="B52" s="288">
        <v>51342</v>
      </c>
      <c r="C52" s="289">
        <v>47825</v>
      </c>
      <c r="D52" s="253">
        <f t="shared" si="3"/>
        <v>-6.9</v>
      </c>
      <c r="E52" s="26">
        <f>IFERROR(100/'Skjema total MA'!C52*C52,0)</f>
        <v>17.041150247743364</v>
      </c>
      <c r="F52" s="143"/>
      <c r="G52" s="32"/>
      <c r="H52" s="143"/>
      <c r="I52" s="143"/>
      <c r="J52" s="32"/>
      <c r="K52" s="32"/>
      <c r="L52" s="157"/>
      <c r="M52" s="157"/>
      <c r="N52" s="146"/>
      <c r="O52" s="146"/>
    </row>
    <row r="53" spans="1:15" s="3" customFormat="1" ht="15.75" x14ac:dyDescent="0.2">
      <c r="A53" s="38" t="s">
        <v>314</v>
      </c>
      <c r="B53" s="308">
        <f>SUM(B54:B55)</f>
        <v>62577</v>
      </c>
      <c r="C53" s="309">
        <f>SUM(C54:C55)</f>
        <v>106458</v>
      </c>
      <c r="D53" s="425">
        <f t="shared" si="2"/>
        <v>70.099999999999994</v>
      </c>
      <c r="E53" s="11">
        <f>IFERROR(100/'Skjema total MA'!C53*C53,0)</f>
        <v>65.242362248591647</v>
      </c>
      <c r="F53" s="143"/>
      <c r="G53" s="32"/>
      <c r="H53" s="143"/>
      <c r="I53" s="937"/>
      <c r="J53" s="32"/>
      <c r="K53" s="32"/>
      <c r="L53" s="157"/>
      <c r="M53" s="157"/>
      <c r="N53" s="146"/>
      <c r="O53" s="146"/>
    </row>
    <row r="54" spans="1:15" s="3" customFormat="1" ht="15.75" x14ac:dyDescent="0.2">
      <c r="A54" s="37" t="s">
        <v>312</v>
      </c>
      <c r="B54" s="279">
        <v>62577</v>
      </c>
      <c r="C54" s="280">
        <v>51292</v>
      </c>
      <c r="D54" s="253">
        <f t="shared" si="2"/>
        <v>-18</v>
      </c>
      <c r="E54" s="26">
        <f>IFERROR(100/'Skjema total MA'!C54*C54,0)</f>
        <v>49.137703336203089</v>
      </c>
      <c r="F54" s="143"/>
      <c r="G54" s="32"/>
      <c r="H54" s="143"/>
      <c r="I54" s="143"/>
      <c r="J54" s="32"/>
      <c r="K54" s="32"/>
      <c r="L54" s="157"/>
      <c r="M54" s="157"/>
      <c r="N54" s="146"/>
      <c r="O54" s="146"/>
    </row>
    <row r="55" spans="1:15" s="3" customFormat="1" ht="15.75" x14ac:dyDescent="0.2">
      <c r="A55" s="37" t="s">
        <v>313</v>
      </c>
      <c r="B55" s="279">
        <v>0</v>
      </c>
      <c r="C55" s="280">
        <v>55166</v>
      </c>
      <c r="D55" s="253" t="str">
        <f t="shared" si="2"/>
        <v xml:space="preserve">    ---- </v>
      </c>
      <c r="E55" s="26">
        <f>IFERROR(100/'Skjema total MA'!C55*C55,0)</f>
        <v>93.837410178652718</v>
      </c>
      <c r="F55" s="143"/>
      <c r="G55" s="32"/>
      <c r="H55" s="143"/>
      <c r="I55" s="143"/>
      <c r="J55" s="32"/>
      <c r="K55" s="32"/>
      <c r="L55" s="157"/>
      <c r="M55" s="157"/>
      <c r="N55" s="146"/>
      <c r="O55" s="146"/>
    </row>
    <row r="56" spans="1:15" s="3" customFormat="1" ht="15.75" x14ac:dyDescent="0.2">
      <c r="A56" s="38" t="s">
        <v>315</v>
      </c>
      <c r="B56" s="308">
        <f>SUM(B57:B58)</f>
        <v>59558</v>
      </c>
      <c r="C56" s="309">
        <f>SUM(C57:C58)</f>
        <v>113086</v>
      </c>
      <c r="D56" s="425">
        <f t="shared" si="2"/>
        <v>89.9</v>
      </c>
      <c r="E56" s="11">
        <f>IFERROR(100/'Skjema total MA'!C56*C56,0)</f>
        <v>54.380403904167345</v>
      </c>
      <c r="F56" s="143"/>
      <c r="G56" s="32"/>
      <c r="H56" s="143"/>
      <c r="I56" s="143"/>
      <c r="J56" s="32"/>
      <c r="K56" s="32"/>
      <c r="L56" s="157"/>
      <c r="M56" s="157"/>
      <c r="N56" s="146"/>
      <c r="O56" s="146"/>
    </row>
    <row r="57" spans="1:15" s="3" customFormat="1" ht="15.75" x14ac:dyDescent="0.2">
      <c r="A57" s="37" t="s">
        <v>312</v>
      </c>
      <c r="B57" s="279">
        <v>59558</v>
      </c>
      <c r="C57" s="280">
        <v>55469</v>
      </c>
      <c r="D57" s="253">
        <f t="shared" si="2"/>
        <v>-6.9</v>
      </c>
      <c r="E57" s="26">
        <f>IFERROR(100/'Skjema total MA'!C57*C57,0)</f>
        <v>37.267838328517463</v>
      </c>
      <c r="F57" s="143"/>
      <c r="G57" s="32"/>
      <c r="H57" s="143"/>
      <c r="I57" s="143"/>
      <c r="J57" s="32"/>
      <c r="K57" s="32"/>
      <c r="L57" s="157"/>
      <c r="M57" s="157"/>
      <c r="N57" s="146"/>
      <c r="O57" s="146"/>
    </row>
    <row r="58" spans="1:15" s="3" customFormat="1" ht="15.75" x14ac:dyDescent="0.2">
      <c r="A58" s="45" t="s">
        <v>313</v>
      </c>
      <c r="B58" s="281">
        <v>0</v>
      </c>
      <c r="C58" s="282">
        <v>57617</v>
      </c>
      <c r="D58" s="254" t="str">
        <f t="shared" si="2"/>
        <v xml:space="preserve">    ---- </v>
      </c>
      <c r="E58" s="21">
        <f>IFERROR(100/'Skjema total MA'!C58*C58,0)</f>
        <v>97.466294182361636</v>
      </c>
      <c r="F58" s="143"/>
      <c r="G58" s="32"/>
      <c r="H58" s="143"/>
      <c r="I58" s="143"/>
      <c r="J58" s="32"/>
      <c r="K58" s="32"/>
      <c r="L58" s="157"/>
      <c r="M58" s="157"/>
      <c r="N58" s="146"/>
      <c r="O58" s="146"/>
    </row>
    <row r="59" spans="1:15" s="3" customFormat="1" ht="15.75" x14ac:dyDescent="0.25">
      <c r="A59" s="162"/>
      <c r="B59" s="152"/>
      <c r="C59" s="152"/>
      <c r="D59" s="152"/>
      <c r="E59" s="152"/>
      <c r="F59" s="140"/>
      <c r="G59" s="140"/>
      <c r="H59" s="140"/>
      <c r="I59" s="140"/>
      <c r="J59" s="140"/>
      <c r="K59" s="140"/>
      <c r="L59" s="140"/>
      <c r="M59" s="140"/>
      <c r="N59" s="146"/>
      <c r="O59" s="146"/>
    </row>
    <row r="60" spans="1:15" x14ac:dyDescent="0.2">
      <c r="A60" s="153"/>
    </row>
    <row r="61" spans="1:15" ht="15.75" x14ac:dyDescent="0.25">
      <c r="A61" s="145" t="s">
        <v>295</v>
      </c>
      <c r="C61" s="25"/>
      <c r="D61" s="25"/>
      <c r="E61" s="25"/>
      <c r="F61" s="25"/>
      <c r="G61" s="25"/>
      <c r="H61" s="25"/>
      <c r="I61" s="25"/>
      <c r="J61" s="25"/>
      <c r="K61" s="25"/>
      <c r="L61" s="25"/>
      <c r="M61" s="25"/>
    </row>
    <row r="62" spans="1:15" ht="15.75" x14ac:dyDescent="0.25">
      <c r="B62" s="963"/>
      <c r="C62" s="963"/>
      <c r="D62" s="963"/>
      <c r="E62" s="297"/>
      <c r="F62" s="963"/>
      <c r="G62" s="963"/>
      <c r="H62" s="963"/>
      <c r="I62" s="297"/>
      <c r="J62" s="963"/>
      <c r="K62" s="963"/>
      <c r="L62" s="963"/>
      <c r="M62" s="297"/>
    </row>
    <row r="63" spans="1:15" x14ac:dyDescent="0.2">
      <c r="A63" s="142"/>
      <c r="B63" s="960" t="s">
        <v>0</v>
      </c>
      <c r="C63" s="961"/>
      <c r="D63" s="962"/>
      <c r="E63" s="298"/>
      <c r="F63" s="961" t="s">
        <v>1</v>
      </c>
      <c r="G63" s="961"/>
      <c r="H63" s="961"/>
      <c r="I63" s="302"/>
      <c r="J63" s="960" t="s">
        <v>2</v>
      </c>
      <c r="K63" s="961"/>
      <c r="L63" s="961"/>
      <c r="M63" s="302"/>
    </row>
    <row r="64" spans="1:15" x14ac:dyDescent="0.2">
      <c r="A64" s="139"/>
      <c r="B64" s="150" t="s">
        <v>504</v>
      </c>
      <c r="C64" s="150" t="s">
        <v>505</v>
      </c>
      <c r="D64" s="243" t="s">
        <v>3</v>
      </c>
      <c r="E64" s="303" t="s">
        <v>32</v>
      </c>
      <c r="F64" s="150" t="s">
        <v>504</v>
      </c>
      <c r="G64" s="150" t="s">
        <v>505</v>
      </c>
      <c r="H64" s="243" t="s">
        <v>3</v>
      </c>
      <c r="I64" s="303" t="s">
        <v>32</v>
      </c>
      <c r="J64" s="150" t="s">
        <v>504</v>
      </c>
      <c r="K64" s="150" t="s">
        <v>505</v>
      </c>
      <c r="L64" s="243" t="s">
        <v>3</v>
      </c>
      <c r="M64" s="160" t="s">
        <v>32</v>
      </c>
    </row>
    <row r="65" spans="1:15" x14ac:dyDescent="0.2">
      <c r="A65" s="934"/>
      <c r="B65" s="154"/>
      <c r="C65" s="154"/>
      <c r="D65" s="245" t="s">
        <v>4</v>
      </c>
      <c r="E65" s="154" t="s">
        <v>33</v>
      </c>
      <c r="F65" s="159"/>
      <c r="G65" s="159"/>
      <c r="H65" s="243" t="s">
        <v>4</v>
      </c>
      <c r="I65" s="154" t="s">
        <v>33</v>
      </c>
      <c r="J65" s="159"/>
      <c r="K65" s="204"/>
      <c r="L65" s="154" t="s">
        <v>4</v>
      </c>
      <c r="M65" s="154" t="s">
        <v>33</v>
      </c>
    </row>
    <row r="66" spans="1:15" ht="15.75" x14ac:dyDescent="0.2">
      <c r="A66" s="14" t="s">
        <v>26</v>
      </c>
      <c r="B66" s="350"/>
      <c r="C66" s="350"/>
      <c r="D66" s="348"/>
      <c r="E66" s="11"/>
      <c r="F66" s="350"/>
      <c r="G66" s="350"/>
      <c r="H66" s="348"/>
      <c r="I66" s="11"/>
      <c r="J66" s="307"/>
      <c r="K66" s="314"/>
      <c r="L66" s="425"/>
      <c r="M66" s="11"/>
    </row>
    <row r="67" spans="1:15" x14ac:dyDescent="0.2">
      <c r="A67" s="416" t="s">
        <v>9</v>
      </c>
      <c r="B67" s="43"/>
      <c r="C67" s="143"/>
      <c r="D67" s="164"/>
      <c r="E67" s="26"/>
      <c r="F67" s="232"/>
      <c r="G67" s="143"/>
      <c r="H67" s="164"/>
      <c r="I67" s="26"/>
      <c r="J67" s="285"/>
      <c r="K67" s="43"/>
      <c r="L67" s="253"/>
      <c r="M67" s="26"/>
    </row>
    <row r="68" spans="1:15" x14ac:dyDescent="0.2">
      <c r="A68" s="20" t="s">
        <v>10</v>
      </c>
      <c r="B68" s="290"/>
      <c r="C68" s="291"/>
      <c r="D68" s="164"/>
      <c r="E68" s="26"/>
      <c r="F68" s="290"/>
      <c r="G68" s="291"/>
      <c r="H68" s="164"/>
      <c r="I68" s="26"/>
      <c r="J68" s="285"/>
      <c r="K68" s="43"/>
      <c r="L68" s="253"/>
      <c r="M68" s="26"/>
    </row>
    <row r="69" spans="1:15" ht="15.75" x14ac:dyDescent="0.2">
      <c r="A69" s="294" t="s">
        <v>316</v>
      </c>
      <c r="B69" s="279"/>
      <c r="C69" s="279"/>
      <c r="D69" s="164"/>
      <c r="E69" s="414"/>
      <c r="F69" s="279"/>
      <c r="G69" s="279"/>
      <c r="H69" s="164"/>
      <c r="I69" s="414"/>
      <c r="J69" s="288"/>
      <c r="K69" s="288"/>
      <c r="L69" s="164"/>
      <c r="M69" s="22"/>
    </row>
    <row r="70" spans="1:15" x14ac:dyDescent="0.2">
      <c r="A70" s="294" t="s">
        <v>12</v>
      </c>
      <c r="B70" s="292"/>
      <c r="C70" s="293"/>
      <c r="D70" s="164"/>
      <c r="E70" s="414"/>
      <c r="F70" s="279"/>
      <c r="G70" s="279"/>
      <c r="H70" s="164"/>
      <c r="I70" s="414"/>
      <c r="J70" s="288"/>
      <c r="K70" s="288"/>
      <c r="L70" s="164"/>
      <c r="M70" s="22"/>
    </row>
    <row r="71" spans="1:15" x14ac:dyDescent="0.2">
      <c r="A71" s="294" t="s">
        <v>13</v>
      </c>
      <c r="B71" s="233"/>
      <c r="C71" s="287"/>
      <c r="D71" s="164"/>
      <c r="E71" s="414"/>
      <c r="F71" s="279"/>
      <c r="G71" s="279"/>
      <c r="H71" s="164"/>
      <c r="I71" s="414"/>
      <c r="J71" s="288"/>
      <c r="K71" s="288"/>
      <c r="L71" s="164"/>
      <c r="M71" s="22"/>
    </row>
    <row r="72" spans="1:15" ht="15.75" x14ac:dyDescent="0.2">
      <c r="A72" s="294" t="s">
        <v>317</v>
      </c>
      <c r="B72" s="279"/>
      <c r="C72" s="279"/>
      <c r="D72" s="164"/>
      <c r="E72" s="414"/>
      <c r="F72" s="279"/>
      <c r="G72" s="279"/>
      <c r="H72" s="164"/>
      <c r="I72" s="414"/>
      <c r="J72" s="288"/>
      <c r="K72" s="288"/>
      <c r="L72" s="164"/>
      <c r="M72" s="22"/>
    </row>
    <row r="73" spans="1:15" x14ac:dyDescent="0.2">
      <c r="A73" s="294" t="s">
        <v>12</v>
      </c>
      <c r="B73" s="233"/>
      <c r="C73" s="287"/>
      <c r="D73" s="164"/>
      <c r="E73" s="414"/>
      <c r="F73" s="279"/>
      <c r="G73" s="279"/>
      <c r="H73" s="164"/>
      <c r="I73" s="414"/>
      <c r="J73" s="288"/>
      <c r="K73" s="288"/>
      <c r="L73" s="164"/>
      <c r="M73" s="22"/>
    </row>
    <row r="74" spans="1:15" s="3" customFormat="1" x14ac:dyDescent="0.2">
      <c r="A74" s="294" t="s">
        <v>13</v>
      </c>
      <c r="B74" s="233"/>
      <c r="C74" s="287"/>
      <c r="D74" s="164"/>
      <c r="E74" s="414"/>
      <c r="F74" s="279"/>
      <c r="G74" s="279"/>
      <c r="H74" s="164"/>
      <c r="I74" s="414"/>
      <c r="J74" s="288"/>
      <c r="K74" s="288"/>
      <c r="L74" s="164"/>
      <c r="M74" s="22"/>
      <c r="N74" s="146"/>
      <c r="O74" s="146"/>
    </row>
    <row r="75" spans="1:15" s="3" customFormat="1" x14ac:dyDescent="0.2">
      <c r="A75" s="20" t="s">
        <v>395</v>
      </c>
      <c r="B75" s="232"/>
      <c r="C75" s="143"/>
      <c r="D75" s="164"/>
      <c r="E75" s="26"/>
      <c r="F75" s="232"/>
      <c r="G75" s="143"/>
      <c r="H75" s="164"/>
      <c r="I75" s="26"/>
      <c r="J75" s="285"/>
      <c r="K75" s="43"/>
      <c r="L75" s="253"/>
      <c r="M75" s="26"/>
      <c r="N75" s="146"/>
      <c r="O75" s="146"/>
    </row>
    <row r="76" spans="1:15" s="3" customFormat="1" x14ac:dyDescent="0.2">
      <c r="A76" s="20" t="s">
        <v>394</v>
      </c>
      <c r="B76" s="232"/>
      <c r="C76" s="143"/>
      <c r="D76" s="164"/>
      <c r="E76" s="26"/>
      <c r="F76" s="232"/>
      <c r="G76" s="143"/>
      <c r="H76" s="164"/>
      <c r="I76" s="26"/>
      <c r="J76" s="285"/>
      <c r="K76" s="43"/>
      <c r="L76" s="253"/>
      <c r="M76" s="26"/>
      <c r="N76" s="146"/>
      <c r="O76" s="146"/>
    </row>
    <row r="77" spans="1:15" ht="15.75" x14ac:dyDescent="0.2">
      <c r="A77" s="20" t="s">
        <v>318</v>
      </c>
      <c r="B77" s="232"/>
      <c r="C77" s="232"/>
      <c r="D77" s="164"/>
      <c r="E77" s="26"/>
      <c r="F77" s="232"/>
      <c r="G77" s="143"/>
      <c r="H77" s="164"/>
      <c r="I77" s="26"/>
      <c r="J77" s="285"/>
      <c r="K77" s="43"/>
      <c r="L77" s="253"/>
      <c r="M77" s="26"/>
    </row>
    <row r="78" spans="1:15" x14ac:dyDescent="0.2">
      <c r="A78" s="20" t="s">
        <v>9</v>
      </c>
      <c r="B78" s="232"/>
      <c r="C78" s="143"/>
      <c r="D78" s="164"/>
      <c r="E78" s="26"/>
      <c r="F78" s="232"/>
      <c r="G78" s="143"/>
      <c r="H78" s="164"/>
      <c r="I78" s="26"/>
      <c r="J78" s="285"/>
      <c r="K78" s="43"/>
      <c r="L78" s="253"/>
      <c r="M78" s="26"/>
    </row>
    <row r="79" spans="1:15" x14ac:dyDescent="0.2">
      <c r="A79" s="20" t="s">
        <v>10</v>
      </c>
      <c r="B79" s="290"/>
      <c r="C79" s="291"/>
      <c r="D79" s="164"/>
      <c r="E79" s="26"/>
      <c r="F79" s="290"/>
      <c r="G79" s="291"/>
      <c r="H79" s="164"/>
      <c r="I79" s="26"/>
      <c r="J79" s="285"/>
      <c r="K79" s="43"/>
      <c r="L79" s="253"/>
      <c r="M79" s="26"/>
    </row>
    <row r="80" spans="1:15" ht="15.75" x14ac:dyDescent="0.2">
      <c r="A80" s="294" t="s">
        <v>316</v>
      </c>
      <c r="B80" s="279"/>
      <c r="C80" s="279"/>
      <c r="D80" s="164"/>
      <c r="E80" s="414"/>
      <c r="F80" s="279"/>
      <c r="G80" s="279"/>
      <c r="H80" s="164"/>
      <c r="I80" s="414"/>
      <c r="J80" s="288"/>
      <c r="K80" s="288"/>
      <c r="L80" s="164"/>
      <c r="M80" s="22"/>
    </row>
    <row r="81" spans="1:13" x14ac:dyDescent="0.2">
      <c r="A81" s="294" t="s">
        <v>12</v>
      </c>
      <c r="B81" s="233"/>
      <c r="C81" s="287"/>
      <c r="D81" s="164"/>
      <c r="E81" s="414"/>
      <c r="F81" s="279"/>
      <c r="G81" s="279"/>
      <c r="H81" s="164"/>
      <c r="I81" s="414"/>
      <c r="J81" s="288"/>
      <c r="K81" s="288"/>
      <c r="L81" s="164"/>
      <c r="M81" s="22"/>
    </row>
    <row r="82" spans="1:13" x14ac:dyDescent="0.2">
      <c r="A82" s="294" t="s">
        <v>13</v>
      </c>
      <c r="B82" s="233"/>
      <c r="C82" s="287"/>
      <c r="D82" s="164"/>
      <c r="E82" s="414"/>
      <c r="F82" s="279"/>
      <c r="G82" s="279"/>
      <c r="H82" s="164"/>
      <c r="I82" s="414"/>
      <c r="J82" s="288"/>
      <c r="K82" s="288"/>
      <c r="L82" s="164"/>
      <c r="M82" s="22"/>
    </row>
    <row r="83" spans="1:13" ht="15.75" x14ac:dyDescent="0.2">
      <c r="A83" s="294" t="s">
        <v>317</v>
      </c>
      <c r="B83" s="279"/>
      <c r="C83" s="279"/>
      <c r="D83" s="164"/>
      <c r="E83" s="414"/>
      <c r="F83" s="279"/>
      <c r="G83" s="279"/>
      <c r="H83" s="164"/>
      <c r="I83" s="414"/>
      <c r="J83" s="288"/>
      <c r="K83" s="288"/>
      <c r="L83" s="164"/>
      <c r="M83" s="22"/>
    </row>
    <row r="84" spans="1:13" x14ac:dyDescent="0.2">
      <c r="A84" s="294" t="s">
        <v>12</v>
      </c>
      <c r="B84" s="233"/>
      <c r="C84" s="287"/>
      <c r="D84" s="164"/>
      <c r="E84" s="414"/>
      <c r="F84" s="279"/>
      <c r="G84" s="279"/>
      <c r="H84" s="164"/>
      <c r="I84" s="414"/>
      <c r="J84" s="288"/>
      <c r="K84" s="288"/>
      <c r="L84" s="164"/>
      <c r="M84" s="22"/>
    </row>
    <row r="85" spans="1:13" x14ac:dyDescent="0.2">
      <c r="A85" s="294" t="s">
        <v>13</v>
      </c>
      <c r="B85" s="233"/>
      <c r="C85" s="287"/>
      <c r="D85" s="164"/>
      <c r="E85" s="414"/>
      <c r="F85" s="279"/>
      <c r="G85" s="279"/>
      <c r="H85" s="164"/>
      <c r="I85" s="414"/>
      <c r="J85" s="288"/>
      <c r="K85" s="288"/>
      <c r="L85" s="164"/>
      <c r="M85" s="22"/>
    </row>
    <row r="86" spans="1:13" ht="15.75" x14ac:dyDescent="0.2">
      <c r="A86" s="20" t="s">
        <v>327</v>
      </c>
      <c r="B86" s="232"/>
      <c r="C86" s="143"/>
      <c r="D86" s="164"/>
      <c r="E86" s="26"/>
      <c r="F86" s="232"/>
      <c r="G86" s="143"/>
      <c r="H86" s="164"/>
      <c r="I86" s="26"/>
      <c r="J86" s="285"/>
      <c r="K86" s="43"/>
      <c r="L86" s="253"/>
      <c r="M86" s="26"/>
    </row>
    <row r="87" spans="1:13" ht="15.75" x14ac:dyDescent="0.2">
      <c r="A87" s="13" t="s">
        <v>25</v>
      </c>
      <c r="B87" s="350"/>
      <c r="C87" s="350"/>
      <c r="D87" s="169"/>
      <c r="E87" s="11"/>
      <c r="F87" s="350"/>
      <c r="G87" s="350"/>
      <c r="H87" s="169"/>
      <c r="I87" s="11"/>
      <c r="J87" s="307"/>
      <c r="K87" s="234"/>
      <c r="L87" s="425"/>
      <c r="M87" s="11"/>
    </row>
    <row r="88" spans="1:13" x14ac:dyDescent="0.2">
      <c r="A88" s="20" t="s">
        <v>9</v>
      </c>
      <c r="B88" s="232"/>
      <c r="C88" s="143"/>
      <c r="D88" s="164"/>
      <c r="E88" s="26"/>
      <c r="F88" s="232"/>
      <c r="G88" s="143"/>
      <c r="H88" s="164"/>
      <c r="I88" s="26"/>
      <c r="J88" s="285"/>
      <c r="K88" s="43"/>
      <c r="L88" s="253"/>
      <c r="M88" s="26"/>
    </row>
    <row r="89" spans="1:13" x14ac:dyDescent="0.2">
      <c r="A89" s="20" t="s">
        <v>10</v>
      </c>
      <c r="B89" s="232"/>
      <c r="C89" s="143"/>
      <c r="D89" s="164"/>
      <c r="E89" s="26"/>
      <c r="F89" s="232"/>
      <c r="G89" s="143"/>
      <c r="H89" s="164"/>
      <c r="I89" s="26"/>
      <c r="J89" s="285"/>
      <c r="K89" s="43"/>
      <c r="L89" s="253"/>
      <c r="M89" s="26"/>
    </row>
    <row r="90" spans="1:13" ht="15.75" x14ac:dyDescent="0.2">
      <c r="A90" s="294" t="s">
        <v>316</v>
      </c>
      <c r="B90" s="279"/>
      <c r="C90" s="279"/>
      <c r="D90" s="164"/>
      <c r="E90" s="414"/>
      <c r="F90" s="279"/>
      <c r="G90" s="279"/>
      <c r="H90" s="164"/>
      <c r="I90" s="414"/>
      <c r="J90" s="288"/>
      <c r="K90" s="288"/>
      <c r="L90" s="164"/>
      <c r="M90" s="22"/>
    </row>
    <row r="91" spans="1:13" x14ac:dyDescent="0.2">
      <c r="A91" s="294" t="s">
        <v>12</v>
      </c>
      <c r="B91" s="233"/>
      <c r="C91" s="287"/>
      <c r="D91" s="164"/>
      <c r="E91" s="414"/>
      <c r="F91" s="279"/>
      <c r="G91" s="279"/>
      <c r="H91" s="164"/>
      <c r="I91" s="414"/>
      <c r="J91" s="288"/>
      <c r="K91" s="288"/>
      <c r="L91" s="164"/>
      <c r="M91" s="22"/>
    </row>
    <row r="92" spans="1:13" x14ac:dyDescent="0.2">
      <c r="A92" s="294" t="s">
        <v>13</v>
      </c>
      <c r="B92" s="233"/>
      <c r="C92" s="287"/>
      <c r="D92" s="164"/>
      <c r="E92" s="414"/>
      <c r="F92" s="279"/>
      <c r="G92" s="279"/>
      <c r="H92" s="164"/>
      <c r="I92" s="414"/>
      <c r="J92" s="288"/>
      <c r="K92" s="288"/>
      <c r="L92" s="164"/>
      <c r="M92" s="22"/>
    </row>
    <row r="93" spans="1:13" ht="15.75" x14ac:dyDescent="0.2">
      <c r="A93" s="294" t="s">
        <v>317</v>
      </c>
      <c r="B93" s="279"/>
      <c r="C93" s="279"/>
      <c r="D93" s="164"/>
      <c r="E93" s="414"/>
      <c r="F93" s="279"/>
      <c r="G93" s="279"/>
      <c r="H93" s="164"/>
      <c r="I93" s="414"/>
      <c r="J93" s="288"/>
      <c r="K93" s="288"/>
      <c r="L93" s="164"/>
      <c r="M93" s="22"/>
    </row>
    <row r="94" spans="1:13" x14ac:dyDescent="0.2">
      <c r="A94" s="294" t="s">
        <v>12</v>
      </c>
      <c r="B94" s="233"/>
      <c r="C94" s="287"/>
      <c r="D94" s="164"/>
      <c r="E94" s="414"/>
      <c r="F94" s="279"/>
      <c r="G94" s="279"/>
      <c r="H94" s="164"/>
      <c r="I94" s="414"/>
      <c r="J94" s="288"/>
      <c r="K94" s="288"/>
      <c r="L94" s="164"/>
      <c r="M94" s="22"/>
    </row>
    <row r="95" spans="1:13" x14ac:dyDescent="0.2">
      <c r="A95" s="294" t="s">
        <v>13</v>
      </c>
      <c r="B95" s="233"/>
      <c r="C95" s="287"/>
      <c r="D95" s="164"/>
      <c r="E95" s="414"/>
      <c r="F95" s="279"/>
      <c r="G95" s="279"/>
      <c r="H95" s="164"/>
      <c r="I95" s="414"/>
      <c r="J95" s="288"/>
      <c r="K95" s="288"/>
      <c r="L95" s="164"/>
      <c r="M95" s="22"/>
    </row>
    <row r="96" spans="1:13" x14ac:dyDescent="0.2">
      <c r="A96" s="20" t="s">
        <v>393</v>
      </c>
      <c r="B96" s="232"/>
      <c r="C96" s="143"/>
      <c r="D96" s="164"/>
      <c r="E96" s="26"/>
      <c r="F96" s="232"/>
      <c r="G96" s="143"/>
      <c r="H96" s="164"/>
      <c r="I96" s="26"/>
      <c r="J96" s="285"/>
      <c r="K96" s="43"/>
      <c r="L96" s="253"/>
      <c r="M96" s="26"/>
    </row>
    <row r="97" spans="1:13" x14ac:dyDescent="0.2">
      <c r="A97" s="20" t="s">
        <v>392</v>
      </c>
      <c r="B97" s="232"/>
      <c r="C97" s="143"/>
      <c r="D97" s="164"/>
      <c r="E97" s="26"/>
      <c r="F97" s="232"/>
      <c r="G97" s="143"/>
      <c r="H97" s="164"/>
      <c r="I97" s="26"/>
      <c r="J97" s="285"/>
      <c r="K97" s="43"/>
      <c r="L97" s="253"/>
      <c r="M97" s="26"/>
    </row>
    <row r="98" spans="1:13" ht="15.75" x14ac:dyDescent="0.2">
      <c r="A98" s="20" t="s">
        <v>318</v>
      </c>
      <c r="B98" s="232"/>
      <c r="C98" s="232"/>
      <c r="D98" s="164"/>
      <c r="E98" s="26"/>
      <c r="F98" s="290"/>
      <c r="G98" s="290"/>
      <c r="H98" s="164"/>
      <c r="I98" s="26"/>
      <c r="J98" s="285"/>
      <c r="K98" s="43"/>
      <c r="L98" s="253"/>
      <c r="M98" s="26"/>
    </row>
    <row r="99" spans="1:13" x14ac:dyDescent="0.2">
      <c r="A99" s="20" t="s">
        <v>9</v>
      </c>
      <c r="B99" s="290"/>
      <c r="C99" s="291"/>
      <c r="D99" s="164"/>
      <c r="E99" s="26"/>
      <c r="F99" s="232"/>
      <c r="G99" s="143"/>
      <c r="H99" s="164"/>
      <c r="I99" s="26"/>
      <c r="J99" s="285"/>
      <c r="K99" s="43"/>
      <c r="L99" s="253"/>
      <c r="M99" s="26"/>
    </row>
    <row r="100" spans="1:13" x14ac:dyDescent="0.2">
      <c r="A100" s="20" t="s">
        <v>10</v>
      </c>
      <c r="B100" s="290"/>
      <c r="C100" s="291"/>
      <c r="D100" s="164"/>
      <c r="E100" s="26"/>
      <c r="F100" s="232"/>
      <c r="G100" s="232"/>
      <c r="H100" s="164"/>
      <c r="I100" s="26"/>
      <c r="J100" s="285"/>
      <c r="K100" s="43"/>
      <c r="L100" s="253"/>
      <c r="M100" s="26"/>
    </row>
    <row r="101" spans="1:13" ht="15.75" x14ac:dyDescent="0.2">
      <c r="A101" s="294" t="s">
        <v>316</v>
      </c>
      <c r="B101" s="279"/>
      <c r="C101" s="279"/>
      <c r="D101" s="164"/>
      <c r="E101" s="414"/>
      <c r="F101" s="279"/>
      <c r="G101" s="279"/>
      <c r="H101" s="164"/>
      <c r="I101" s="414"/>
      <c r="J101" s="288"/>
      <c r="K101" s="288"/>
      <c r="L101" s="164"/>
      <c r="M101" s="22"/>
    </row>
    <row r="102" spans="1:13" x14ac:dyDescent="0.2">
      <c r="A102" s="294" t="s">
        <v>12</v>
      </c>
      <c r="B102" s="233"/>
      <c r="C102" s="287"/>
      <c r="D102" s="164"/>
      <c r="E102" s="414"/>
      <c r="F102" s="279"/>
      <c r="G102" s="279"/>
      <c r="H102" s="164"/>
      <c r="I102" s="414"/>
      <c r="J102" s="288"/>
      <c r="K102" s="288"/>
      <c r="L102" s="164"/>
      <c r="M102" s="22"/>
    </row>
    <row r="103" spans="1:13" x14ac:dyDescent="0.2">
      <c r="A103" s="294" t="s">
        <v>13</v>
      </c>
      <c r="B103" s="233"/>
      <c r="C103" s="287"/>
      <c r="D103" s="164"/>
      <c r="E103" s="414"/>
      <c r="F103" s="279"/>
      <c r="G103" s="279"/>
      <c r="H103" s="164"/>
      <c r="I103" s="414"/>
      <c r="J103" s="288"/>
      <c r="K103" s="288"/>
      <c r="L103" s="164"/>
      <c r="M103" s="22"/>
    </row>
    <row r="104" spans="1:13" ht="15.75" x14ac:dyDescent="0.2">
      <c r="A104" s="294" t="s">
        <v>317</v>
      </c>
      <c r="B104" s="279"/>
      <c r="C104" s="279"/>
      <c r="D104" s="164"/>
      <c r="E104" s="414"/>
      <c r="F104" s="279"/>
      <c r="G104" s="279"/>
      <c r="H104" s="164"/>
      <c r="I104" s="414"/>
      <c r="J104" s="288"/>
      <c r="K104" s="288"/>
      <c r="L104" s="164"/>
      <c r="M104" s="22"/>
    </row>
    <row r="105" spans="1:13" x14ac:dyDescent="0.2">
      <c r="A105" s="294" t="s">
        <v>12</v>
      </c>
      <c r="B105" s="233"/>
      <c r="C105" s="287"/>
      <c r="D105" s="164"/>
      <c r="E105" s="414"/>
      <c r="F105" s="279"/>
      <c r="G105" s="279"/>
      <c r="H105" s="164"/>
      <c r="I105" s="414"/>
      <c r="J105" s="288"/>
      <c r="K105" s="288"/>
      <c r="L105" s="164"/>
      <c r="M105" s="22"/>
    </row>
    <row r="106" spans="1:13" x14ac:dyDescent="0.2">
      <c r="A106" s="294" t="s">
        <v>13</v>
      </c>
      <c r="B106" s="233"/>
      <c r="C106" s="287"/>
      <c r="D106" s="164"/>
      <c r="E106" s="414"/>
      <c r="F106" s="279"/>
      <c r="G106" s="279"/>
      <c r="H106" s="164"/>
      <c r="I106" s="414"/>
      <c r="J106" s="288"/>
      <c r="K106" s="288"/>
      <c r="L106" s="164"/>
      <c r="M106" s="22"/>
    </row>
    <row r="107" spans="1:13" ht="15.75" x14ac:dyDescent="0.2">
      <c r="A107" s="20" t="s">
        <v>327</v>
      </c>
      <c r="B107" s="232"/>
      <c r="C107" s="143"/>
      <c r="D107" s="164"/>
      <c r="E107" s="26"/>
      <c r="F107" s="232"/>
      <c r="G107" s="143"/>
      <c r="H107" s="164"/>
      <c r="I107" s="26"/>
      <c r="J107" s="285"/>
      <c r="K107" s="43"/>
      <c r="L107" s="253"/>
      <c r="M107" s="26"/>
    </row>
    <row r="108" spans="1:13" ht="15.75" x14ac:dyDescent="0.2">
      <c r="A108" s="20" t="s">
        <v>328</v>
      </c>
      <c r="B108" s="232"/>
      <c r="C108" s="232"/>
      <c r="D108" s="164"/>
      <c r="E108" s="26"/>
      <c r="F108" s="232"/>
      <c r="G108" s="232"/>
      <c r="H108" s="164"/>
      <c r="I108" s="26"/>
      <c r="J108" s="285"/>
      <c r="K108" s="43"/>
      <c r="L108" s="253"/>
      <c r="M108" s="26"/>
    </row>
    <row r="109" spans="1:13" ht="15.75" x14ac:dyDescent="0.2">
      <c r="A109" s="20" t="s">
        <v>320</v>
      </c>
      <c r="B109" s="232"/>
      <c r="C109" s="232"/>
      <c r="D109" s="164"/>
      <c r="E109" s="26"/>
      <c r="F109" s="232"/>
      <c r="G109" s="232"/>
      <c r="H109" s="164"/>
      <c r="I109" s="26"/>
      <c r="J109" s="285"/>
      <c r="K109" s="43"/>
      <c r="L109" s="253"/>
      <c r="M109" s="26"/>
    </row>
    <row r="110" spans="1:13" ht="15.75" x14ac:dyDescent="0.2">
      <c r="A110" s="20" t="s">
        <v>321</v>
      </c>
      <c r="B110" s="232"/>
      <c r="C110" s="232"/>
      <c r="D110" s="164"/>
      <c r="E110" s="26"/>
      <c r="F110" s="232"/>
      <c r="G110" s="232"/>
      <c r="H110" s="164"/>
      <c r="I110" s="26"/>
      <c r="J110" s="285"/>
      <c r="K110" s="43"/>
      <c r="L110" s="253"/>
      <c r="M110" s="26"/>
    </row>
    <row r="111" spans="1:13" ht="15.75" x14ac:dyDescent="0.2">
      <c r="A111" s="13" t="s">
        <v>24</v>
      </c>
      <c r="B111" s="306"/>
      <c r="C111" s="157"/>
      <c r="D111" s="169"/>
      <c r="E111" s="11"/>
      <c r="F111" s="306"/>
      <c r="G111" s="157"/>
      <c r="H111" s="169"/>
      <c r="I111" s="11"/>
      <c r="J111" s="307"/>
      <c r="K111" s="234"/>
      <c r="L111" s="425"/>
      <c r="M111" s="11"/>
    </row>
    <row r="112" spans="1:13" x14ac:dyDescent="0.2">
      <c r="A112" s="20" t="s">
        <v>9</v>
      </c>
      <c r="B112" s="232"/>
      <c r="C112" s="143"/>
      <c r="D112" s="164"/>
      <c r="E112" s="26"/>
      <c r="F112" s="232"/>
      <c r="G112" s="143"/>
      <c r="H112" s="164"/>
      <c r="I112" s="26"/>
      <c r="J112" s="285"/>
      <c r="K112" s="43"/>
      <c r="L112" s="253"/>
      <c r="M112" s="26"/>
    </row>
    <row r="113" spans="1:14" x14ac:dyDescent="0.2">
      <c r="A113" s="20" t="s">
        <v>10</v>
      </c>
      <c r="B113" s="232"/>
      <c r="C113" s="143"/>
      <c r="D113" s="164"/>
      <c r="E113" s="26"/>
      <c r="F113" s="232"/>
      <c r="G113" s="143"/>
      <c r="H113" s="164"/>
      <c r="I113" s="26"/>
      <c r="J113" s="285"/>
      <c r="K113" s="43"/>
      <c r="L113" s="253"/>
      <c r="M113" s="26"/>
    </row>
    <row r="114" spans="1:14" x14ac:dyDescent="0.2">
      <c r="A114" s="20" t="s">
        <v>29</v>
      </c>
      <c r="B114" s="232"/>
      <c r="C114" s="143"/>
      <c r="D114" s="164"/>
      <c r="E114" s="26"/>
      <c r="F114" s="232"/>
      <c r="G114" s="143"/>
      <c r="H114" s="164"/>
      <c r="I114" s="26"/>
      <c r="J114" s="285"/>
      <c r="K114" s="43"/>
      <c r="L114" s="253"/>
      <c r="M114" s="26"/>
    </row>
    <row r="115" spans="1:14" x14ac:dyDescent="0.2">
      <c r="A115" s="294" t="s">
        <v>15</v>
      </c>
      <c r="B115" s="279"/>
      <c r="C115" s="279"/>
      <c r="D115" s="164"/>
      <c r="E115" s="414"/>
      <c r="F115" s="279"/>
      <c r="G115" s="279"/>
      <c r="H115" s="164"/>
      <c r="I115" s="414"/>
      <c r="J115" s="288"/>
      <c r="K115" s="288"/>
      <c r="L115" s="164"/>
      <c r="M115" s="22"/>
    </row>
    <row r="116" spans="1:14" ht="15.75" x14ac:dyDescent="0.2">
      <c r="A116" s="20" t="s">
        <v>329</v>
      </c>
      <c r="B116" s="232"/>
      <c r="C116" s="232"/>
      <c r="D116" s="164"/>
      <c r="E116" s="26"/>
      <c r="F116" s="232"/>
      <c r="G116" s="232"/>
      <c r="H116" s="164"/>
      <c r="I116" s="26"/>
      <c r="J116" s="285"/>
      <c r="K116" s="43"/>
      <c r="L116" s="253"/>
      <c r="M116" s="26"/>
    </row>
    <row r="117" spans="1:14" ht="15.75" x14ac:dyDescent="0.2">
      <c r="A117" s="20" t="s">
        <v>322</v>
      </c>
      <c r="B117" s="232"/>
      <c r="C117" s="232"/>
      <c r="D117" s="164"/>
      <c r="E117" s="26"/>
      <c r="F117" s="232"/>
      <c r="G117" s="232"/>
      <c r="H117" s="164"/>
      <c r="I117" s="26"/>
      <c r="J117" s="285"/>
      <c r="K117" s="43"/>
      <c r="L117" s="253"/>
      <c r="M117" s="26"/>
    </row>
    <row r="118" spans="1:14" ht="15.75" x14ac:dyDescent="0.2">
      <c r="A118" s="20" t="s">
        <v>321</v>
      </c>
      <c r="B118" s="232"/>
      <c r="C118" s="232"/>
      <c r="D118" s="164"/>
      <c r="E118" s="26"/>
      <c r="F118" s="232"/>
      <c r="G118" s="232"/>
      <c r="H118" s="164"/>
      <c r="I118" s="26"/>
      <c r="J118" s="285"/>
      <c r="K118" s="43"/>
      <c r="L118" s="253"/>
      <c r="M118" s="26"/>
    </row>
    <row r="119" spans="1:14" ht="15.75" x14ac:dyDescent="0.2">
      <c r="A119" s="13" t="s">
        <v>23</v>
      </c>
      <c r="B119" s="306"/>
      <c r="C119" s="157"/>
      <c r="D119" s="169"/>
      <c r="E119" s="11"/>
      <c r="F119" s="306"/>
      <c r="G119" s="157"/>
      <c r="H119" s="169"/>
      <c r="I119" s="11"/>
      <c r="J119" s="307"/>
      <c r="K119" s="234"/>
      <c r="L119" s="425"/>
      <c r="M119" s="11"/>
    </row>
    <row r="120" spans="1:14" x14ac:dyDescent="0.2">
      <c r="A120" s="20" t="s">
        <v>9</v>
      </c>
      <c r="B120" s="232"/>
      <c r="C120" s="143"/>
      <c r="D120" s="164"/>
      <c r="E120" s="26"/>
      <c r="F120" s="232"/>
      <c r="G120" s="143"/>
      <c r="H120" s="164"/>
      <c r="I120" s="26"/>
      <c r="J120" s="285"/>
      <c r="K120" s="43"/>
      <c r="L120" s="253"/>
      <c r="M120" s="26"/>
    </row>
    <row r="121" spans="1:14" x14ac:dyDescent="0.2">
      <c r="A121" s="20" t="s">
        <v>10</v>
      </c>
      <c r="B121" s="232"/>
      <c r="C121" s="143"/>
      <c r="D121" s="164"/>
      <c r="E121" s="26"/>
      <c r="F121" s="232"/>
      <c r="G121" s="143"/>
      <c r="H121" s="164"/>
      <c r="I121" s="26"/>
      <c r="J121" s="285"/>
      <c r="K121" s="43"/>
      <c r="L121" s="253"/>
      <c r="M121" s="26"/>
    </row>
    <row r="122" spans="1:14" x14ac:dyDescent="0.2">
      <c r="A122" s="20" t="s">
        <v>29</v>
      </c>
      <c r="B122" s="232"/>
      <c r="C122" s="143"/>
      <c r="D122" s="164"/>
      <c r="E122" s="26"/>
      <c r="F122" s="232"/>
      <c r="G122" s="143"/>
      <c r="H122" s="164"/>
      <c r="I122" s="26"/>
      <c r="J122" s="285"/>
      <c r="K122" s="43"/>
      <c r="L122" s="253"/>
      <c r="M122" s="26"/>
    </row>
    <row r="123" spans="1:14" x14ac:dyDescent="0.2">
      <c r="A123" s="294" t="s">
        <v>14</v>
      </c>
      <c r="B123" s="279"/>
      <c r="C123" s="279"/>
      <c r="D123" s="164"/>
      <c r="E123" s="414"/>
      <c r="F123" s="279"/>
      <c r="G123" s="279"/>
      <c r="H123" s="164"/>
      <c r="I123" s="414"/>
      <c r="J123" s="288"/>
      <c r="K123" s="288"/>
      <c r="L123" s="164"/>
      <c r="M123" s="22"/>
    </row>
    <row r="124" spans="1:14" ht="15.75" x14ac:dyDescent="0.2">
      <c r="A124" s="20" t="s">
        <v>319</v>
      </c>
      <c r="B124" s="232"/>
      <c r="C124" s="232"/>
      <c r="D124" s="164"/>
      <c r="E124" s="26"/>
      <c r="F124" s="232"/>
      <c r="G124" s="232"/>
      <c r="H124" s="164"/>
      <c r="I124" s="26"/>
      <c r="J124" s="285"/>
      <c r="K124" s="43"/>
      <c r="L124" s="253"/>
      <c r="M124" s="26"/>
    </row>
    <row r="125" spans="1:14" ht="15.75" x14ac:dyDescent="0.2">
      <c r="A125" s="20" t="s">
        <v>320</v>
      </c>
      <c r="B125" s="232"/>
      <c r="C125" s="232"/>
      <c r="D125" s="164"/>
      <c r="E125" s="26"/>
      <c r="F125" s="232"/>
      <c r="G125" s="232"/>
      <c r="H125" s="164"/>
      <c r="I125" s="26"/>
      <c r="J125" s="285"/>
      <c r="K125" s="43"/>
      <c r="L125" s="253"/>
      <c r="M125" s="26"/>
    </row>
    <row r="126" spans="1:14" ht="15.75" x14ac:dyDescent="0.2">
      <c r="A126" s="10" t="s">
        <v>321</v>
      </c>
      <c r="B126" s="44"/>
      <c r="C126" s="44"/>
      <c r="D126" s="165"/>
      <c r="E126" s="415"/>
      <c r="F126" s="44"/>
      <c r="G126" s="44"/>
      <c r="H126" s="165"/>
      <c r="I126" s="21"/>
      <c r="J126" s="286"/>
      <c r="K126" s="44"/>
      <c r="L126" s="254"/>
      <c r="M126" s="21"/>
    </row>
    <row r="127" spans="1:14" x14ac:dyDescent="0.2">
      <c r="A127" s="153"/>
      <c r="L127" s="25"/>
      <c r="M127" s="25"/>
      <c r="N127" s="25"/>
    </row>
    <row r="128" spans="1:14" x14ac:dyDescent="0.2">
      <c r="L128" s="25"/>
      <c r="M128" s="25"/>
      <c r="N128" s="25"/>
    </row>
    <row r="129" spans="1:15" ht="15.75" x14ac:dyDescent="0.25">
      <c r="A129" s="163" t="s">
        <v>30</v>
      </c>
    </row>
    <row r="130" spans="1:15" ht="15.75" x14ac:dyDescent="0.25">
      <c r="B130" s="963"/>
      <c r="C130" s="963"/>
      <c r="D130" s="963"/>
      <c r="E130" s="297"/>
      <c r="F130" s="963"/>
      <c r="G130" s="963"/>
      <c r="H130" s="963"/>
      <c r="I130" s="297"/>
      <c r="J130" s="963"/>
      <c r="K130" s="963"/>
      <c r="L130" s="963"/>
      <c r="M130" s="297"/>
    </row>
    <row r="131" spans="1:15" s="3" customFormat="1" x14ac:dyDescent="0.2">
      <c r="A131" s="142"/>
      <c r="B131" s="960" t="s">
        <v>0</v>
      </c>
      <c r="C131" s="961"/>
      <c r="D131" s="961"/>
      <c r="E131" s="299"/>
      <c r="F131" s="960" t="s">
        <v>1</v>
      </c>
      <c r="G131" s="961"/>
      <c r="H131" s="961"/>
      <c r="I131" s="302"/>
      <c r="J131" s="960" t="s">
        <v>2</v>
      </c>
      <c r="K131" s="961"/>
      <c r="L131" s="961"/>
      <c r="M131" s="302"/>
      <c r="N131" s="146"/>
      <c r="O131" s="146"/>
    </row>
    <row r="132" spans="1:15" s="3" customFormat="1" x14ac:dyDescent="0.2">
      <c r="A132" s="139"/>
      <c r="B132" s="150" t="s">
        <v>504</v>
      </c>
      <c r="C132" s="150" t="s">
        <v>505</v>
      </c>
      <c r="D132" s="243" t="s">
        <v>3</v>
      </c>
      <c r="E132" s="303" t="s">
        <v>32</v>
      </c>
      <c r="F132" s="150" t="s">
        <v>504</v>
      </c>
      <c r="G132" s="150" t="s">
        <v>505</v>
      </c>
      <c r="H132" s="204" t="s">
        <v>3</v>
      </c>
      <c r="I132" s="160" t="s">
        <v>32</v>
      </c>
      <c r="J132" s="244" t="s">
        <v>504</v>
      </c>
      <c r="K132" s="244" t="s">
        <v>505</v>
      </c>
      <c r="L132" s="245" t="s">
        <v>3</v>
      </c>
      <c r="M132" s="160" t="s">
        <v>32</v>
      </c>
      <c r="N132" s="146"/>
      <c r="O132" s="146"/>
    </row>
    <row r="133" spans="1:15" s="3" customFormat="1" x14ac:dyDescent="0.2">
      <c r="A133" s="934"/>
      <c r="B133" s="154"/>
      <c r="C133" s="154"/>
      <c r="D133" s="245" t="s">
        <v>4</v>
      </c>
      <c r="E133" s="154" t="s">
        <v>33</v>
      </c>
      <c r="F133" s="159"/>
      <c r="G133" s="159"/>
      <c r="H133" s="204" t="s">
        <v>4</v>
      </c>
      <c r="I133" s="154" t="s">
        <v>33</v>
      </c>
      <c r="J133" s="154"/>
      <c r="K133" s="154"/>
      <c r="L133" s="148" t="s">
        <v>4</v>
      </c>
      <c r="M133" s="154" t="s">
        <v>33</v>
      </c>
      <c r="N133" s="146"/>
      <c r="O133" s="146"/>
    </row>
    <row r="134" spans="1:15" s="3" customFormat="1" ht="15.75" x14ac:dyDescent="0.2">
      <c r="A134" s="14" t="s">
        <v>323</v>
      </c>
      <c r="B134" s="234"/>
      <c r="C134" s="307"/>
      <c r="D134" s="348"/>
      <c r="E134" s="11"/>
      <c r="F134" s="314"/>
      <c r="G134" s="315"/>
      <c r="H134" s="428"/>
      <c r="I134" s="23"/>
      <c r="J134" s="316"/>
      <c r="K134" s="316"/>
      <c r="L134" s="424"/>
      <c r="M134" s="11"/>
      <c r="N134" s="146"/>
      <c r="O134" s="146"/>
    </row>
    <row r="135" spans="1:15" s="3" customFormat="1" ht="15.75" x14ac:dyDescent="0.2">
      <c r="A135" s="13" t="s">
        <v>324</v>
      </c>
      <c r="B135" s="234"/>
      <c r="C135" s="307"/>
      <c r="D135" s="169"/>
      <c r="E135" s="11"/>
      <c r="F135" s="234"/>
      <c r="G135" s="307"/>
      <c r="H135" s="429"/>
      <c r="I135" s="23"/>
      <c r="J135" s="306"/>
      <c r="K135" s="306"/>
      <c r="L135" s="425"/>
      <c r="M135" s="11"/>
      <c r="N135" s="146"/>
      <c r="O135" s="146"/>
    </row>
    <row r="136" spans="1:15" s="3" customFormat="1" ht="15.75" x14ac:dyDescent="0.2">
      <c r="A136" s="13" t="s">
        <v>325</v>
      </c>
      <c r="B136" s="234"/>
      <c r="C136" s="307"/>
      <c r="D136" s="169"/>
      <c r="E136" s="11"/>
      <c r="F136" s="234"/>
      <c r="G136" s="307"/>
      <c r="H136" s="429"/>
      <c r="I136" s="23"/>
      <c r="J136" s="306"/>
      <c r="K136" s="306"/>
      <c r="L136" s="425"/>
      <c r="M136" s="11"/>
      <c r="N136" s="146"/>
      <c r="O136" s="146"/>
    </row>
    <row r="137" spans="1:15" s="3" customFormat="1" ht="15.75" x14ac:dyDescent="0.2">
      <c r="A137" s="40" t="s">
        <v>326</v>
      </c>
      <c r="B137" s="274"/>
      <c r="C137" s="313"/>
      <c r="D137" s="167"/>
      <c r="E137" s="9"/>
      <c r="F137" s="274"/>
      <c r="G137" s="313"/>
      <c r="H137" s="430"/>
      <c r="I137" s="35"/>
      <c r="J137" s="312"/>
      <c r="K137" s="312"/>
      <c r="L137" s="426"/>
      <c r="M137" s="35"/>
      <c r="N137" s="146"/>
      <c r="O137" s="146"/>
    </row>
    <row r="138" spans="1:15" s="3" customFormat="1" x14ac:dyDescent="0.2">
      <c r="A138" s="166"/>
      <c r="B138" s="32"/>
      <c r="C138" s="32"/>
      <c r="D138" s="157"/>
      <c r="E138" s="157"/>
      <c r="F138" s="32"/>
      <c r="G138" s="32"/>
      <c r="H138" s="157"/>
      <c r="I138" s="157"/>
      <c r="J138" s="32"/>
      <c r="K138" s="32"/>
      <c r="L138" s="157"/>
      <c r="M138" s="157"/>
      <c r="N138" s="146"/>
      <c r="O138" s="146"/>
    </row>
    <row r="139" spans="1:15" x14ac:dyDescent="0.2">
      <c r="A139" s="166"/>
      <c r="B139" s="32"/>
      <c r="C139" s="32"/>
      <c r="D139" s="157"/>
      <c r="E139" s="157"/>
      <c r="F139" s="32"/>
      <c r="G139" s="32"/>
      <c r="H139" s="157"/>
      <c r="I139" s="157"/>
      <c r="J139" s="32"/>
      <c r="K139" s="32"/>
      <c r="L139" s="157"/>
      <c r="M139" s="157"/>
      <c r="N139" s="146"/>
    </row>
    <row r="140" spans="1:15" x14ac:dyDescent="0.2">
      <c r="A140" s="166"/>
      <c r="B140" s="32"/>
      <c r="C140" s="32"/>
      <c r="D140" s="157"/>
      <c r="E140" s="157"/>
      <c r="F140" s="32"/>
      <c r="G140" s="32"/>
      <c r="H140" s="157"/>
      <c r="I140" s="157"/>
      <c r="J140" s="32"/>
      <c r="K140" s="32"/>
      <c r="L140" s="157"/>
      <c r="M140" s="157"/>
      <c r="N140" s="146"/>
    </row>
    <row r="141" spans="1:15" x14ac:dyDescent="0.2">
      <c r="A141" s="144"/>
      <c r="B141" s="144"/>
      <c r="C141" s="144"/>
      <c r="D141" s="144"/>
      <c r="E141" s="144"/>
      <c r="F141" s="144"/>
      <c r="G141" s="144"/>
      <c r="H141" s="144"/>
      <c r="I141" s="144"/>
      <c r="J141" s="144"/>
      <c r="K141" s="144"/>
      <c r="L141" s="144"/>
      <c r="M141" s="144"/>
      <c r="N141" s="144"/>
    </row>
    <row r="142" spans="1:15" ht="15.75" x14ac:dyDescent="0.25">
      <c r="B142" s="140"/>
      <c r="C142" s="140"/>
      <c r="D142" s="140"/>
      <c r="E142" s="140"/>
      <c r="F142" s="140"/>
      <c r="G142" s="140"/>
      <c r="H142" s="140"/>
      <c r="I142" s="140"/>
      <c r="J142" s="140"/>
      <c r="K142" s="140"/>
      <c r="L142" s="140"/>
      <c r="M142" s="140"/>
      <c r="N142" s="140"/>
    </row>
    <row r="143" spans="1:15" ht="15.75" x14ac:dyDescent="0.25">
      <c r="B143" s="155"/>
      <c r="C143" s="155"/>
      <c r="D143" s="155"/>
      <c r="E143" s="155"/>
      <c r="F143" s="155"/>
      <c r="G143" s="155"/>
      <c r="H143" s="155"/>
      <c r="I143" s="155"/>
      <c r="J143" s="155"/>
      <c r="K143" s="155"/>
      <c r="L143" s="155"/>
      <c r="M143" s="155"/>
      <c r="N143" s="155"/>
      <c r="O143" s="152"/>
    </row>
    <row r="144" spans="1:15" ht="15.75" x14ac:dyDescent="0.25">
      <c r="B144" s="155"/>
      <c r="C144" s="155"/>
      <c r="D144" s="155"/>
      <c r="E144" s="155"/>
      <c r="F144" s="155"/>
      <c r="G144" s="155"/>
      <c r="H144" s="155"/>
      <c r="I144" s="155"/>
      <c r="J144" s="155"/>
      <c r="K144" s="155"/>
      <c r="L144" s="155"/>
      <c r="M144" s="155"/>
      <c r="N144" s="155"/>
      <c r="O144" s="152"/>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460" priority="132">
      <formula>kvartal &lt; 4</formula>
    </cfRule>
  </conditionalFormatting>
  <conditionalFormatting sqref="B30">
    <cfRule type="expression" dxfId="1459" priority="130">
      <formula>kvartal &lt; 4</formula>
    </cfRule>
  </conditionalFormatting>
  <conditionalFormatting sqref="B31">
    <cfRule type="expression" dxfId="1458" priority="129">
      <formula>kvartal &lt; 4</formula>
    </cfRule>
  </conditionalFormatting>
  <conditionalFormatting sqref="B32:B33">
    <cfRule type="expression" dxfId="1457" priority="128">
      <formula>kvartal &lt; 4</formula>
    </cfRule>
  </conditionalFormatting>
  <conditionalFormatting sqref="C30">
    <cfRule type="expression" dxfId="1456" priority="127">
      <formula>kvartal &lt; 4</formula>
    </cfRule>
  </conditionalFormatting>
  <conditionalFormatting sqref="C31">
    <cfRule type="expression" dxfId="1455" priority="126">
      <formula>kvartal &lt; 4</formula>
    </cfRule>
  </conditionalFormatting>
  <conditionalFormatting sqref="C32:C33">
    <cfRule type="expression" dxfId="1454" priority="125">
      <formula>kvartal &lt; 4</formula>
    </cfRule>
  </conditionalFormatting>
  <conditionalFormatting sqref="B23:C26">
    <cfRule type="expression" dxfId="1453" priority="124">
      <formula>kvartal &lt; 4</formula>
    </cfRule>
  </conditionalFormatting>
  <conditionalFormatting sqref="F23:G26">
    <cfRule type="expression" dxfId="1452" priority="120">
      <formula>kvartal &lt; 4</formula>
    </cfRule>
  </conditionalFormatting>
  <conditionalFormatting sqref="F30">
    <cfRule type="expression" dxfId="1451" priority="113">
      <formula>kvartal &lt; 4</formula>
    </cfRule>
  </conditionalFormatting>
  <conditionalFormatting sqref="F31">
    <cfRule type="expression" dxfId="1450" priority="112">
      <formula>kvartal &lt; 4</formula>
    </cfRule>
  </conditionalFormatting>
  <conditionalFormatting sqref="F32:F33">
    <cfRule type="expression" dxfId="1449" priority="111">
      <formula>kvartal &lt; 4</formula>
    </cfRule>
  </conditionalFormatting>
  <conditionalFormatting sqref="G30">
    <cfRule type="expression" dxfId="1448" priority="110">
      <formula>kvartal &lt; 4</formula>
    </cfRule>
  </conditionalFormatting>
  <conditionalFormatting sqref="G31">
    <cfRule type="expression" dxfId="1447" priority="109">
      <formula>kvartal &lt; 4</formula>
    </cfRule>
  </conditionalFormatting>
  <conditionalFormatting sqref="G32:G33">
    <cfRule type="expression" dxfId="1446" priority="108">
      <formula>kvartal &lt; 4</formula>
    </cfRule>
  </conditionalFormatting>
  <conditionalFormatting sqref="B27">
    <cfRule type="expression" dxfId="1445" priority="107">
      <formula>kvartal &lt; 4</formula>
    </cfRule>
  </conditionalFormatting>
  <conditionalFormatting sqref="C27">
    <cfRule type="expression" dxfId="1444" priority="106">
      <formula>kvartal &lt; 4</formula>
    </cfRule>
  </conditionalFormatting>
  <conditionalFormatting sqref="F27">
    <cfRule type="expression" dxfId="1443" priority="105">
      <formula>kvartal &lt; 4</formula>
    </cfRule>
  </conditionalFormatting>
  <conditionalFormatting sqref="G27">
    <cfRule type="expression" dxfId="1442" priority="104">
      <formula>kvartal &lt; 4</formula>
    </cfRule>
  </conditionalFormatting>
  <conditionalFormatting sqref="J23:K27">
    <cfRule type="expression" dxfId="1441" priority="103">
      <formula>kvartal &lt; 4</formula>
    </cfRule>
  </conditionalFormatting>
  <conditionalFormatting sqref="J30:K33">
    <cfRule type="expression" dxfId="1440" priority="101">
      <formula>kvartal &lt; 4</formula>
    </cfRule>
  </conditionalFormatting>
  <conditionalFormatting sqref="B69">
    <cfRule type="expression" dxfId="1439" priority="100">
      <formula>kvartal &lt; 4</formula>
    </cfRule>
  </conditionalFormatting>
  <conditionalFormatting sqref="C69">
    <cfRule type="expression" dxfId="1438" priority="99">
      <formula>kvartal &lt; 4</formula>
    </cfRule>
  </conditionalFormatting>
  <conditionalFormatting sqref="B72">
    <cfRule type="expression" dxfId="1437" priority="98">
      <formula>kvartal &lt; 4</formula>
    </cfRule>
  </conditionalFormatting>
  <conditionalFormatting sqref="C72">
    <cfRule type="expression" dxfId="1436" priority="97">
      <formula>kvartal &lt; 4</formula>
    </cfRule>
  </conditionalFormatting>
  <conditionalFormatting sqref="B80">
    <cfRule type="expression" dxfId="1435" priority="96">
      <formula>kvartal &lt; 4</formula>
    </cfRule>
  </conditionalFormatting>
  <conditionalFormatting sqref="C80">
    <cfRule type="expression" dxfId="1434" priority="95">
      <formula>kvartal &lt; 4</formula>
    </cfRule>
  </conditionalFormatting>
  <conditionalFormatting sqref="B83">
    <cfRule type="expression" dxfId="1433" priority="94">
      <formula>kvartal &lt; 4</formula>
    </cfRule>
  </conditionalFormatting>
  <conditionalFormatting sqref="C83">
    <cfRule type="expression" dxfId="1432" priority="93">
      <formula>kvartal &lt; 4</formula>
    </cfRule>
  </conditionalFormatting>
  <conditionalFormatting sqref="B90">
    <cfRule type="expression" dxfId="1431" priority="84">
      <formula>kvartal &lt; 4</formula>
    </cfRule>
  </conditionalFormatting>
  <conditionalFormatting sqref="C90">
    <cfRule type="expression" dxfId="1430" priority="83">
      <formula>kvartal &lt; 4</formula>
    </cfRule>
  </conditionalFormatting>
  <conditionalFormatting sqref="B93">
    <cfRule type="expression" dxfId="1429" priority="82">
      <formula>kvartal &lt; 4</formula>
    </cfRule>
  </conditionalFormatting>
  <conditionalFormatting sqref="C93">
    <cfRule type="expression" dxfId="1428" priority="81">
      <formula>kvartal &lt; 4</formula>
    </cfRule>
  </conditionalFormatting>
  <conditionalFormatting sqref="B101">
    <cfRule type="expression" dxfId="1427" priority="80">
      <formula>kvartal &lt; 4</formula>
    </cfRule>
  </conditionalFormatting>
  <conditionalFormatting sqref="C101">
    <cfRule type="expression" dxfId="1426" priority="79">
      <formula>kvartal &lt; 4</formula>
    </cfRule>
  </conditionalFormatting>
  <conditionalFormatting sqref="B104">
    <cfRule type="expression" dxfId="1425" priority="78">
      <formula>kvartal &lt; 4</formula>
    </cfRule>
  </conditionalFormatting>
  <conditionalFormatting sqref="C104">
    <cfRule type="expression" dxfId="1424" priority="77">
      <formula>kvartal &lt; 4</formula>
    </cfRule>
  </conditionalFormatting>
  <conditionalFormatting sqref="B115">
    <cfRule type="expression" dxfId="1423" priority="76">
      <formula>kvartal &lt; 4</formula>
    </cfRule>
  </conditionalFormatting>
  <conditionalFormatting sqref="C115">
    <cfRule type="expression" dxfId="1422" priority="75">
      <formula>kvartal &lt; 4</formula>
    </cfRule>
  </conditionalFormatting>
  <conditionalFormatting sqref="B123">
    <cfRule type="expression" dxfId="1421" priority="74">
      <formula>kvartal &lt; 4</formula>
    </cfRule>
  </conditionalFormatting>
  <conditionalFormatting sqref="C123">
    <cfRule type="expression" dxfId="1420" priority="73">
      <formula>kvartal &lt; 4</formula>
    </cfRule>
  </conditionalFormatting>
  <conditionalFormatting sqref="F70">
    <cfRule type="expression" dxfId="1419" priority="72">
      <formula>kvartal &lt; 4</formula>
    </cfRule>
  </conditionalFormatting>
  <conditionalFormatting sqref="G70">
    <cfRule type="expression" dxfId="1418" priority="71">
      <formula>kvartal &lt; 4</formula>
    </cfRule>
  </conditionalFormatting>
  <conditionalFormatting sqref="F71:G71">
    <cfRule type="expression" dxfId="1417" priority="70">
      <formula>kvartal &lt; 4</formula>
    </cfRule>
  </conditionalFormatting>
  <conditionalFormatting sqref="F73:G74">
    <cfRule type="expression" dxfId="1416" priority="69">
      <formula>kvartal &lt; 4</formula>
    </cfRule>
  </conditionalFormatting>
  <conditionalFormatting sqref="F81:G82">
    <cfRule type="expression" dxfId="1415" priority="68">
      <formula>kvartal &lt; 4</formula>
    </cfRule>
  </conditionalFormatting>
  <conditionalFormatting sqref="F84:G85">
    <cfRule type="expression" dxfId="1414" priority="67">
      <formula>kvartal &lt; 4</formula>
    </cfRule>
  </conditionalFormatting>
  <conditionalFormatting sqref="F91:G92">
    <cfRule type="expression" dxfId="1413" priority="62">
      <formula>kvartal &lt; 4</formula>
    </cfRule>
  </conditionalFormatting>
  <conditionalFormatting sqref="F94:G95">
    <cfRule type="expression" dxfId="1412" priority="61">
      <formula>kvartal &lt; 4</formula>
    </cfRule>
  </conditionalFormatting>
  <conditionalFormatting sqref="F102:G103">
    <cfRule type="expression" dxfId="1411" priority="60">
      <formula>kvartal &lt; 4</formula>
    </cfRule>
  </conditionalFormatting>
  <conditionalFormatting sqref="F105:G106">
    <cfRule type="expression" dxfId="1410" priority="59">
      <formula>kvartal &lt; 4</formula>
    </cfRule>
  </conditionalFormatting>
  <conditionalFormatting sqref="F115">
    <cfRule type="expression" dxfId="1409" priority="58">
      <formula>kvartal &lt; 4</formula>
    </cfRule>
  </conditionalFormatting>
  <conditionalFormatting sqref="G115">
    <cfRule type="expression" dxfId="1408" priority="57">
      <formula>kvartal &lt; 4</formula>
    </cfRule>
  </conditionalFormatting>
  <conditionalFormatting sqref="F123:G123">
    <cfRule type="expression" dxfId="1407" priority="56">
      <formula>kvartal &lt; 4</formula>
    </cfRule>
  </conditionalFormatting>
  <conditionalFormatting sqref="F69:G69">
    <cfRule type="expression" dxfId="1406" priority="55">
      <formula>kvartal &lt; 4</formula>
    </cfRule>
  </conditionalFormatting>
  <conditionalFormatting sqref="F72:G72">
    <cfRule type="expression" dxfId="1405" priority="54">
      <formula>kvartal &lt; 4</formula>
    </cfRule>
  </conditionalFormatting>
  <conditionalFormatting sqref="F80:G80">
    <cfRule type="expression" dxfId="1404" priority="53">
      <formula>kvartal &lt; 4</formula>
    </cfRule>
  </conditionalFormatting>
  <conditionalFormatting sqref="F83:G83">
    <cfRule type="expression" dxfId="1403" priority="52">
      <formula>kvartal &lt; 4</formula>
    </cfRule>
  </conditionalFormatting>
  <conditionalFormatting sqref="F90:G90">
    <cfRule type="expression" dxfId="1402" priority="46">
      <formula>kvartal &lt; 4</formula>
    </cfRule>
  </conditionalFormatting>
  <conditionalFormatting sqref="F93">
    <cfRule type="expression" dxfId="1401" priority="45">
      <formula>kvartal &lt; 4</formula>
    </cfRule>
  </conditionalFormatting>
  <conditionalFormatting sqref="G93">
    <cfRule type="expression" dxfId="1400" priority="44">
      <formula>kvartal &lt; 4</formula>
    </cfRule>
  </conditionalFormatting>
  <conditionalFormatting sqref="F101">
    <cfRule type="expression" dxfId="1399" priority="43">
      <formula>kvartal &lt; 4</formula>
    </cfRule>
  </conditionalFormatting>
  <conditionalFormatting sqref="G101">
    <cfRule type="expression" dxfId="1398" priority="42">
      <formula>kvartal &lt; 4</formula>
    </cfRule>
  </conditionalFormatting>
  <conditionalFormatting sqref="G104">
    <cfRule type="expression" dxfId="1397" priority="41">
      <formula>kvartal &lt; 4</formula>
    </cfRule>
  </conditionalFormatting>
  <conditionalFormatting sqref="F104">
    <cfRule type="expression" dxfId="1396" priority="40">
      <formula>kvartal &lt; 4</formula>
    </cfRule>
  </conditionalFormatting>
  <conditionalFormatting sqref="J69:K73">
    <cfRule type="expression" dxfId="1395" priority="39">
      <formula>kvartal &lt; 4</formula>
    </cfRule>
  </conditionalFormatting>
  <conditionalFormatting sqref="J74:K74">
    <cfRule type="expression" dxfId="1394" priority="38">
      <formula>kvartal &lt; 4</formula>
    </cfRule>
  </conditionalFormatting>
  <conditionalFormatting sqref="J80:K85">
    <cfRule type="expression" dxfId="1393" priority="37">
      <formula>kvartal &lt; 4</formula>
    </cfRule>
  </conditionalFormatting>
  <conditionalFormatting sqref="J90:K95">
    <cfRule type="expression" dxfId="1392" priority="34">
      <formula>kvartal &lt; 4</formula>
    </cfRule>
  </conditionalFormatting>
  <conditionalFormatting sqref="J101:K106">
    <cfRule type="expression" dxfId="1391" priority="33">
      <formula>kvartal &lt; 4</formula>
    </cfRule>
  </conditionalFormatting>
  <conditionalFormatting sqref="J115:K115">
    <cfRule type="expression" dxfId="1390" priority="32">
      <formula>kvartal &lt; 4</formula>
    </cfRule>
  </conditionalFormatting>
  <conditionalFormatting sqref="J123:K123">
    <cfRule type="expression" dxfId="1389" priority="31">
      <formula>kvartal &lt; 4</formula>
    </cfRule>
  </conditionalFormatting>
  <conditionalFormatting sqref="A23:A26">
    <cfRule type="expression" dxfId="1388" priority="15">
      <formula>kvartal &lt; 4</formula>
    </cfRule>
  </conditionalFormatting>
  <conditionalFormatting sqref="A30:A33">
    <cfRule type="expression" dxfId="1387" priority="13">
      <formula>kvartal &lt; 4</formula>
    </cfRule>
  </conditionalFormatting>
  <conditionalFormatting sqref="A50:A52">
    <cfRule type="expression" dxfId="1386" priority="12">
      <formula>kvartal &lt; 4</formula>
    </cfRule>
  </conditionalFormatting>
  <conditionalFormatting sqref="A69:A74">
    <cfRule type="expression" dxfId="1385" priority="10">
      <formula>kvartal &lt; 4</formula>
    </cfRule>
  </conditionalFormatting>
  <conditionalFormatting sqref="A80:A85">
    <cfRule type="expression" dxfId="1384" priority="9">
      <formula>kvartal &lt; 4</formula>
    </cfRule>
  </conditionalFormatting>
  <conditionalFormatting sqref="A90:A95">
    <cfRule type="expression" dxfId="1383" priority="6">
      <formula>kvartal &lt; 4</formula>
    </cfRule>
  </conditionalFormatting>
  <conditionalFormatting sqref="A101:A106">
    <cfRule type="expression" dxfId="1382" priority="5">
      <formula>kvartal &lt; 4</formula>
    </cfRule>
  </conditionalFormatting>
  <conditionalFormatting sqref="A115">
    <cfRule type="expression" dxfId="1381" priority="4">
      <formula>kvartal &lt; 4</formula>
    </cfRule>
  </conditionalFormatting>
  <conditionalFormatting sqref="A123">
    <cfRule type="expression" dxfId="1380" priority="3">
      <formula>kvartal &lt; 4</formula>
    </cfRule>
  </conditionalFormatting>
  <conditionalFormatting sqref="A27">
    <cfRule type="expression" dxfId="1379" priority="2">
      <formula>kvartal &lt; 4</formula>
    </cfRule>
  </conditionalFormatting>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7"/>
  <dimension ref="A1:O144"/>
  <sheetViews>
    <sheetView showGridLines="0" zoomScale="90" zoomScaleNormal="90" workbookViewId="0"/>
  </sheetViews>
  <sheetFormatPr baseColWidth="10" defaultColWidth="11.42578125" defaultRowHeight="12.75" x14ac:dyDescent="0.2"/>
  <cols>
    <col min="1" max="1" width="41.5703125" style="147" customWidth="1"/>
    <col min="2" max="2" width="10.85546875" style="147" customWidth="1"/>
    <col min="3" max="3" width="11" style="147" customWidth="1"/>
    <col min="4" max="5" width="8.7109375" style="147" customWidth="1"/>
    <col min="6" max="7" width="10.85546875" style="147" customWidth="1"/>
    <col min="8" max="9" width="8.7109375" style="147" customWidth="1"/>
    <col min="10" max="11" width="10.85546875" style="147" customWidth="1"/>
    <col min="12" max="13" width="8.7109375" style="147" customWidth="1"/>
    <col min="14" max="14" width="11.42578125" style="147"/>
    <col min="15" max="15" width="3" style="146" bestFit="1" customWidth="1"/>
    <col min="16" max="16384" width="11.42578125" style="1"/>
  </cols>
  <sheetData>
    <row r="1" spans="1:15" x14ac:dyDescent="0.2">
      <c r="A1" s="170" t="s">
        <v>152</v>
      </c>
      <c r="B1" s="932"/>
      <c r="C1" s="247" t="s">
        <v>143</v>
      </c>
      <c r="D1" s="25"/>
      <c r="E1" s="25"/>
      <c r="F1" s="25"/>
      <c r="G1" s="25"/>
      <c r="H1" s="25"/>
      <c r="I1" s="25"/>
      <c r="J1" s="25"/>
      <c r="K1" s="25"/>
      <c r="L1" s="25"/>
      <c r="M1" s="25"/>
      <c r="O1" s="423"/>
    </row>
    <row r="2" spans="1:15" ht="15.75" x14ac:dyDescent="0.25">
      <c r="A2" s="163" t="s">
        <v>31</v>
      </c>
      <c r="B2" s="965"/>
      <c r="C2" s="965"/>
      <c r="D2" s="965"/>
      <c r="E2" s="297"/>
      <c r="F2" s="965"/>
      <c r="G2" s="965"/>
      <c r="H2" s="965"/>
      <c r="I2" s="297"/>
      <c r="J2" s="965"/>
      <c r="K2" s="965"/>
      <c r="L2" s="965"/>
      <c r="M2" s="297"/>
    </row>
    <row r="3" spans="1:15" ht="15.75" x14ac:dyDescent="0.25">
      <c r="A3" s="161"/>
      <c r="B3" s="297"/>
      <c r="C3" s="297"/>
      <c r="D3" s="297"/>
      <c r="E3" s="297"/>
      <c r="F3" s="297"/>
      <c r="G3" s="297"/>
      <c r="H3" s="297"/>
      <c r="I3" s="297"/>
      <c r="J3" s="297"/>
      <c r="K3" s="297"/>
      <c r="L3" s="297"/>
      <c r="M3" s="297"/>
    </row>
    <row r="4" spans="1:15" x14ac:dyDescent="0.2">
      <c r="A4" s="142"/>
      <c r="B4" s="960" t="s">
        <v>0</v>
      </c>
      <c r="C4" s="961"/>
      <c r="D4" s="961"/>
      <c r="E4" s="299"/>
      <c r="F4" s="960" t="s">
        <v>1</v>
      </c>
      <c r="G4" s="961"/>
      <c r="H4" s="961"/>
      <c r="I4" s="302"/>
      <c r="J4" s="960" t="s">
        <v>2</v>
      </c>
      <c r="K4" s="961"/>
      <c r="L4" s="961"/>
      <c r="M4" s="302"/>
    </row>
    <row r="5" spans="1:15" x14ac:dyDescent="0.2">
      <c r="A5" s="156"/>
      <c r="B5" s="150" t="s">
        <v>504</v>
      </c>
      <c r="C5" s="150" t="s">
        <v>505</v>
      </c>
      <c r="D5" s="243" t="s">
        <v>3</v>
      </c>
      <c r="E5" s="303" t="s">
        <v>32</v>
      </c>
      <c r="F5" s="150" t="s">
        <v>504</v>
      </c>
      <c r="G5" s="150" t="s">
        <v>505</v>
      </c>
      <c r="H5" s="243" t="s">
        <v>3</v>
      </c>
      <c r="I5" s="160" t="s">
        <v>32</v>
      </c>
      <c r="J5" s="150" t="s">
        <v>504</v>
      </c>
      <c r="K5" s="150" t="s">
        <v>505</v>
      </c>
      <c r="L5" s="243" t="s">
        <v>3</v>
      </c>
      <c r="M5" s="160" t="s">
        <v>32</v>
      </c>
      <c r="O5" s="931"/>
    </row>
    <row r="6" spans="1:15" x14ac:dyDescent="0.2">
      <c r="A6" s="933"/>
      <c r="B6" s="154"/>
      <c r="C6" s="154"/>
      <c r="D6" s="245" t="s">
        <v>4</v>
      </c>
      <c r="E6" s="154" t="s">
        <v>33</v>
      </c>
      <c r="F6" s="159"/>
      <c r="G6" s="159"/>
      <c r="H6" s="243" t="s">
        <v>4</v>
      </c>
      <c r="I6" s="154" t="s">
        <v>33</v>
      </c>
      <c r="J6" s="159"/>
      <c r="K6" s="159"/>
      <c r="L6" s="243" t="s">
        <v>4</v>
      </c>
      <c r="M6" s="154" t="s">
        <v>33</v>
      </c>
    </row>
    <row r="7" spans="1:15" ht="15.75" x14ac:dyDescent="0.2">
      <c r="A7" s="14" t="s">
        <v>26</v>
      </c>
      <c r="B7" s="304"/>
      <c r="C7" s="305"/>
      <c r="D7" s="348"/>
      <c r="E7" s="11"/>
      <c r="F7" s="304">
        <v>112801</v>
      </c>
      <c r="G7" s="305">
        <v>141496</v>
      </c>
      <c r="H7" s="348">
        <f>IF(F7=0, "    ---- ", IF(ABS(ROUND(100/F7*G7-100,1))&lt;999,ROUND(100/F7*G7-100,1),IF(ROUND(100/F7*G7-100,1)&gt;999,999,-999)))</f>
        <v>25.4</v>
      </c>
      <c r="I7" s="158">
        <f>IFERROR(100/'Skjema total MA'!F7*G7,0)</f>
        <v>1.6065219851372023</v>
      </c>
      <c r="J7" s="306">
        <v>112801</v>
      </c>
      <c r="K7" s="307">
        <v>141496</v>
      </c>
      <c r="L7" s="424">
        <f>IF(J7=0, "    ---- ", IF(ABS(ROUND(100/J7*K7-100,1))&lt;999,ROUND(100/J7*K7-100,1),IF(ROUND(100/J7*K7-100,1)&gt;999,999,-999)))</f>
        <v>25.4</v>
      </c>
      <c r="M7" s="11">
        <f>IFERROR(100/'Skjema total MA'!I7*K7,0)</f>
        <v>1.0503460974173713</v>
      </c>
    </row>
    <row r="8" spans="1:15" ht="15.75" x14ac:dyDescent="0.2">
      <c r="A8" s="20" t="s">
        <v>28</v>
      </c>
      <c r="B8" s="279"/>
      <c r="C8" s="280"/>
      <c r="D8" s="164"/>
      <c r="E8" s="26"/>
      <c r="F8" s="283"/>
      <c r="G8" s="284"/>
      <c r="H8" s="164"/>
      <c r="I8" s="174"/>
      <c r="J8" s="232"/>
      <c r="K8" s="285"/>
      <c r="L8" s="164"/>
      <c r="M8" s="26"/>
    </row>
    <row r="9" spans="1:15" ht="15.75" x14ac:dyDescent="0.2">
      <c r="A9" s="20" t="s">
        <v>27</v>
      </c>
      <c r="B9" s="279"/>
      <c r="C9" s="280"/>
      <c r="D9" s="164"/>
      <c r="E9" s="26"/>
      <c r="F9" s="283"/>
      <c r="G9" s="284"/>
      <c r="H9" s="164"/>
      <c r="I9" s="174"/>
      <c r="J9" s="232"/>
      <c r="K9" s="285"/>
      <c r="L9" s="164"/>
      <c r="M9" s="26"/>
    </row>
    <row r="10" spans="1:15" ht="15.75" x14ac:dyDescent="0.2">
      <c r="A10" s="13" t="s">
        <v>25</v>
      </c>
      <c r="B10" s="308"/>
      <c r="C10" s="309"/>
      <c r="D10" s="169"/>
      <c r="E10" s="11"/>
      <c r="F10" s="308">
        <v>352394</v>
      </c>
      <c r="G10" s="309">
        <v>517631</v>
      </c>
      <c r="H10" s="169">
        <f t="shared" ref="H10:H12" si="0">IF(F10=0, "    ---- ", IF(ABS(ROUND(100/F10*G10-100,1))&lt;999,ROUND(100/F10*G10-100,1),IF(ROUND(100/F10*G10-100,1)&gt;999,999,-999)))</f>
        <v>46.9</v>
      </c>
      <c r="I10" s="158">
        <f>IFERROR(100/'Skjema total MA'!F10*G10,0)</f>
        <v>1.2242862448858576</v>
      </c>
      <c r="J10" s="306">
        <v>352394</v>
      </c>
      <c r="K10" s="307">
        <v>517631</v>
      </c>
      <c r="L10" s="425">
        <f t="shared" ref="L10:L12" si="1">IF(J10=0, "    ---- ", IF(ABS(ROUND(100/J10*K10-100,1))&lt;999,ROUND(100/J10*K10-100,1),IF(ROUND(100/J10*K10-100,1)&gt;999,999,-999)))</f>
        <v>46.9</v>
      </c>
      <c r="M10" s="11">
        <f>IFERROR(100/'Skjema total MA'!I10*K10,0)</f>
        <v>0.78052483271239659</v>
      </c>
    </row>
    <row r="11" spans="1:15" s="42" customFormat="1" ht="15.75" x14ac:dyDescent="0.2">
      <c r="A11" s="13" t="s">
        <v>24</v>
      </c>
      <c r="B11" s="308"/>
      <c r="C11" s="309"/>
      <c r="D11" s="169"/>
      <c r="E11" s="11"/>
      <c r="F11" s="308">
        <v>9235</v>
      </c>
      <c r="G11" s="309">
        <v>8036</v>
      </c>
      <c r="H11" s="169">
        <f t="shared" si="0"/>
        <v>-13</v>
      </c>
      <c r="I11" s="158">
        <f>IFERROR(100/'Skjema total MA'!F11*G11,0)</f>
        <v>3.0420620577046846</v>
      </c>
      <c r="J11" s="306">
        <v>9235</v>
      </c>
      <c r="K11" s="307">
        <v>8036</v>
      </c>
      <c r="L11" s="425">
        <f t="shared" si="1"/>
        <v>-13</v>
      </c>
      <c r="M11" s="11">
        <f>IFERROR(100/'Skjema total MA'!I11*K11,0)</f>
        <v>2.2341527702630324</v>
      </c>
      <c r="N11" s="141"/>
      <c r="O11" s="146"/>
    </row>
    <row r="12" spans="1:15" s="42" customFormat="1" ht="15.75" x14ac:dyDescent="0.2">
      <c r="A12" s="40" t="s">
        <v>23</v>
      </c>
      <c r="B12" s="310"/>
      <c r="C12" s="311"/>
      <c r="D12" s="167"/>
      <c r="E12" s="35"/>
      <c r="F12" s="310">
        <v>1644</v>
      </c>
      <c r="G12" s="311">
        <v>565</v>
      </c>
      <c r="H12" s="167">
        <f t="shared" si="0"/>
        <v>-65.599999999999994</v>
      </c>
      <c r="I12" s="167">
        <f>IFERROR(100/'Skjema total MA'!F12*G12,0)</f>
        <v>0.31487041622738882</v>
      </c>
      <c r="J12" s="312">
        <v>1644</v>
      </c>
      <c r="K12" s="313">
        <v>565</v>
      </c>
      <c r="L12" s="426">
        <f t="shared" si="1"/>
        <v>-65.599999999999994</v>
      </c>
      <c r="M12" s="35">
        <f>IFERROR(100/'Skjema total MA'!I12*K12,0)</f>
        <v>0.2712253045701648</v>
      </c>
      <c r="N12" s="141"/>
      <c r="O12" s="146"/>
    </row>
    <row r="13" spans="1:15" s="42" customFormat="1" x14ac:dyDescent="0.2">
      <c r="A13" s="166"/>
      <c r="B13" s="143"/>
      <c r="C13" s="32"/>
      <c r="D13" s="157"/>
      <c r="E13" s="157"/>
      <c r="F13" s="143"/>
      <c r="G13" s="32"/>
      <c r="H13" s="157"/>
      <c r="I13" s="157"/>
      <c r="J13" s="47"/>
      <c r="K13" s="47"/>
      <c r="L13" s="157"/>
      <c r="M13" s="157"/>
      <c r="N13" s="141"/>
      <c r="O13" s="423"/>
    </row>
    <row r="14" spans="1:15" x14ac:dyDescent="0.2">
      <c r="A14" s="151" t="s">
        <v>296</v>
      </c>
      <c r="B14" s="25"/>
    </row>
    <row r="15" spans="1:15" x14ac:dyDescent="0.2">
      <c r="F15" s="144"/>
      <c r="G15" s="144"/>
      <c r="H15" s="144"/>
      <c r="I15" s="144"/>
      <c r="J15" s="144"/>
      <c r="K15" s="144"/>
      <c r="L15" s="144"/>
      <c r="M15" s="144"/>
    </row>
    <row r="16" spans="1:15" s="3" customFormat="1" ht="15.75" x14ac:dyDescent="0.25">
      <c r="A16" s="162"/>
      <c r="B16" s="146"/>
      <c r="C16" s="152"/>
      <c r="D16" s="152"/>
      <c r="E16" s="152"/>
      <c r="F16" s="152"/>
      <c r="G16" s="152"/>
      <c r="H16" s="152"/>
      <c r="I16" s="152"/>
      <c r="J16" s="152"/>
      <c r="K16" s="152"/>
      <c r="L16" s="152"/>
      <c r="M16" s="152"/>
      <c r="N16" s="146"/>
      <c r="O16" s="146"/>
    </row>
    <row r="17" spans="1:15" ht="15.75" x14ac:dyDescent="0.25">
      <c r="A17" s="145" t="s">
        <v>293</v>
      </c>
      <c r="B17" s="155"/>
      <c r="C17" s="155"/>
      <c r="D17" s="149"/>
      <c r="E17" s="149"/>
      <c r="F17" s="155"/>
      <c r="G17" s="155"/>
      <c r="H17" s="155"/>
      <c r="I17" s="155"/>
      <c r="J17" s="155"/>
      <c r="K17" s="155"/>
      <c r="L17" s="155"/>
      <c r="M17" s="155"/>
    </row>
    <row r="18" spans="1:15" ht="15.75" x14ac:dyDescent="0.25">
      <c r="B18" s="963"/>
      <c r="C18" s="963"/>
      <c r="D18" s="963"/>
      <c r="E18" s="297"/>
      <c r="F18" s="963"/>
      <c r="G18" s="963"/>
      <c r="H18" s="963"/>
      <c r="I18" s="297"/>
      <c r="J18" s="963"/>
      <c r="K18" s="963"/>
      <c r="L18" s="963"/>
      <c r="M18" s="297"/>
    </row>
    <row r="19" spans="1:15" x14ac:dyDescent="0.2">
      <c r="A19" s="142"/>
      <c r="B19" s="960" t="s">
        <v>0</v>
      </c>
      <c r="C19" s="961"/>
      <c r="D19" s="961"/>
      <c r="E19" s="299"/>
      <c r="F19" s="960" t="s">
        <v>1</v>
      </c>
      <c r="G19" s="961"/>
      <c r="H19" s="961"/>
      <c r="I19" s="302"/>
      <c r="J19" s="960" t="s">
        <v>2</v>
      </c>
      <c r="K19" s="961"/>
      <c r="L19" s="961"/>
      <c r="M19" s="302"/>
    </row>
    <row r="20" spans="1:15" x14ac:dyDescent="0.2">
      <c r="A20" s="139" t="s">
        <v>5</v>
      </c>
      <c r="B20" s="240" t="s">
        <v>504</v>
      </c>
      <c r="C20" s="240" t="s">
        <v>505</v>
      </c>
      <c r="D20" s="160" t="s">
        <v>3</v>
      </c>
      <c r="E20" s="303" t="s">
        <v>32</v>
      </c>
      <c r="F20" s="240" t="s">
        <v>504</v>
      </c>
      <c r="G20" s="240" t="s">
        <v>505</v>
      </c>
      <c r="H20" s="160" t="s">
        <v>3</v>
      </c>
      <c r="I20" s="160" t="s">
        <v>32</v>
      </c>
      <c r="J20" s="240" t="s">
        <v>504</v>
      </c>
      <c r="K20" s="240" t="s">
        <v>505</v>
      </c>
      <c r="L20" s="160" t="s">
        <v>3</v>
      </c>
      <c r="M20" s="160" t="s">
        <v>32</v>
      </c>
    </row>
    <row r="21" spans="1:15" x14ac:dyDescent="0.2">
      <c r="A21" s="934"/>
      <c r="B21" s="154"/>
      <c r="C21" s="154"/>
      <c r="D21" s="245" t="s">
        <v>4</v>
      </c>
      <c r="E21" s="154" t="s">
        <v>33</v>
      </c>
      <c r="F21" s="159"/>
      <c r="G21" s="159"/>
      <c r="H21" s="243" t="s">
        <v>4</v>
      </c>
      <c r="I21" s="154" t="s">
        <v>33</v>
      </c>
      <c r="J21" s="159"/>
      <c r="K21" s="159"/>
      <c r="L21" s="154" t="s">
        <v>4</v>
      </c>
      <c r="M21" s="154" t="s">
        <v>33</v>
      </c>
    </row>
    <row r="22" spans="1:15" ht="15.75" x14ac:dyDescent="0.2">
      <c r="A22" s="14" t="s">
        <v>26</v>
      </c>
      <c r="B22" s="314">
        <f>B23+B24+B25+B26</f>
        <v>278770</v>
      </c>
      <c r="C22" s="314">
        <f>C23+C24+C25+C26</f>
        <v>315619</v>
      </c>
      <c r="D22" s="348">
        <f t="shared" ref="D22:D30" si="2">IF(B22=0, "    ---- ", IF(ABS(ROUND(100/B22*C22-100,1))&lt;999,ROUND(100/B22*C22-100,1),IF(ROUND(100/B22*C22-100,1)&gt;999,999,-999)))</f>
        <v>13.2</v>
      </c>
      <c r="E22" s="11">
        <f>IFERROR(100/'Skjema total MA'!C22*C22,0)</f>
        <v>19.346587630754719</v>
      </c>
      <c r="F22" s="314">
        <f>F23+F24+F25+F26</f>
        <v>9664</v>
      </c>
      <c r="G22" s="314">
        <f>G23+G24+G25+G26</f>
        <v>85763</v>
      </c>
      <c r="H22" s="348">
        <f t="shared" ref="H22:H35" si="3">IF(F22=0, "    ---- ", IF(ABS(ROUND(100/F22*G22-100,1))&lt;999,ROUND(100/F22*G22-100,1),IF(ROUND(100/F22*G22-100,1)&gt;999,999,-999)))</f>
        <v>787.4</v>
      </c>
      <c r="I22" s="11">
        <f>IFERROR(100/'Skjema total MA'!F22*G22,0)</f>
        <v>7.3911914114469557</v>
      </c>
      <c r="J22" s="314">
        <f t="shared" ref="J22:K35" si="4">SUM(B22,F22)</f>
        <v>288434</v>
      </c>
      <c r="K22" s="314">
        <f t="shared" si="4"/>
        <v>401382</v>
      </c>
      <c r="L22" s="424">
        <f t="shared" ref="L22:L35" si="5">IF(J22=0, "    ---- ", IF(ABS(ROUND(100/J22*K22-100,1))&lt;999,ROUND(100/J22*K22-100,1),IF(ROUND(100/J22*K22-100,1)&gt;999,999,-999)))</f>
        <v>39.200000000000003</v>
      </c>
      <c r="M22" s="23">
        <f>IFERROR(100/'Skjema total MA'!I22*K22,0)</f>
        <v>14.377514313491657</v>
      </c>
    </row>
    <row r="23" spans="1:15" ht="15.75" x14ac:dyDescent="0.2">
      <c r="A23" s="294" t="s">
        <v>305</v>
      </c>
      <c r="B23" s="288">
        <v>278770</v>
      </c>
      <c r="C23" s="288">
        <v>315619</v>
      </c>
      <c r="D23" s="164">
        <f t="shared" si="2"/>
        <v>13.2</v>
      </c>
      <c r="E23" s="26">
        <f>IFERROR(100/'Skjema total MA'!C23*C23,0)</f>
        <v>20.208095571155532</v>
      </c>
      <c r="F23" s="288">
        <v>47</v>
      </c>
      <c r="G23" s="288">
        <v>17</v>
      </c>
      <c r="H23" s="164">
        <f t="shared" si="3"/>
        <v>-63.8</v>
      </c>
      <c r="I23" s="414">
        <f>IFERROR(100/'Skjema total MA'!F23*G23,0)</f>
        <v>1.1066385529221671E-2</v>
      </c>
      <c r="J23" s="43">
        <f t="shared" si="4"/>
        <v>278817</v>
      </c>
      <c r="K23" s="43">
        <f t="shared" si="4"/>
        <v>315636</v>
      </c>
      <c r="L23" s="164">
        <f t="shared" si="5"/>
        <v>13.2</v>
      </c>
      <c r="M23" s="22">
        <f>IFERROR(100/'Skjema total MA'!I23*K23,0)</f>
        <v>18.399467217383755</v>
      </c>
    </row>
    <row r="24" spans="1:15" ht="15.75" x14ac:dyDescent="0.2">
      <c r="A24" s="294" t="s">
        <v>306</v>
      </c>
      <c r="B24" s="288"/>
      <c r="C24" s="288"/>
      <c r="D24" s="164"/>
      <c r="E24" s="414"/>
      <c r="F24" s="288"/>
      <c r="G24" s="288"/>
      <c r="H24" s="164"/>
      <c r="I24" s="414"/>
      <c r="J24" s="288"/>
      <c r="K24" s="288"/>
      <c r="L24" s="164"/>
      <c r="M24" s="22"/>
    </row>
    <row r="25" spans="1:15" ht="15.75" x14ac:dyDescent="0.2">
      <c r="A25" s="294" t="s">
        <v>406</v>
      </c>
      <c r="B25" s="288"/>
      <c r="C25" s="288"/>
      <c r="D25" s="164"/>
      <c r="E25" s="414"/>
      <c r="F25" s="288">
        <v>9617</v>
      </c>
      <c r="G25" s="288">
        <v>6141</v>
      </c>
      <c r="H25" s="164">
        <f t="shared" ref="H25:H26" si="6">IF(F25=0, "    ---- ", IF(ABS(ROUND(100/F25*G25-100,1))&lt;999,ROUND(100/F25*G25-100,1),IF(ROUND(100/F25*G25-100,1)&gt;999,999,-999)))</f>
        <v>-36.1</v>
      </c>
      <c r="I25" s="414">
        <f>IFERROR(100/'Skjema total MA'!F25*G25,0)</f>
        <v>3.0278163509057432</v>
      </c>
      <c r="J25" s="43">
        <f t="shared" si="4"/>
        <v>9617</v>
      </c>
      <c r="K25" s="43">
        <f t="shared" si="4"/>
        <v>6141</v>
      </c>
      <c r="L25" s="164">
        <f t="shared" ref="L25" si="7">IF(J25=0, "    ---- ", IF(ABS(ROUND(100/J25*K25-100,1))&lt;999,ROUND(100/J25*K25-100,1),IF(ROUND(100/J25*K25-100,1)&gt;999,999,-999)))</f>
        <v>-36.1</v>
      </c>
      <c r="M25" s="22">
        <f>IFERROR(100/'Skjema total MA'!I25*K25,0)</f>
        <v>2.6430302836411164</v>
      </c>
    </row>
    <row r="26" spans="1:15" ht="15.75" x14ac:dyDescent="0.2">
      <c r="A26" s="294" t="s">
        <v>307</v>
      </c>
      <c r="B26" s="288"/>
      <c r="C26" s="288"/>
      <c r="D26" s="164"/>
      <c r="E26" s="414"/>
      <c r="F26" s="288">
        <v>0</v>
      </c>
      <c r="G26" s="288">
        <v>79605</v>
      </c>
      <c r="H26" s="164" t="str">
        <f t="shared" si="6"/>
        <v xml:space="preserve">    ---- </v>
      </c>
      <c r="I26" s="414">
        <f>IFERROR(100/'Skjema total MA'!F26*G26,0)</f>
        <v>9.9123658807239554</v>
      </c>
      <c r="J26" s="43">
        <f t="shared" si="4"/>
        <v>0</v>
      </c>
      <c r="K26" s="43">
        <f t="shared" si="4"/>
        <v>79605</v>
      </c>
      <c r="L26" s="164" t="str">
        <f t="shared" ref="L26" si="8">IF(J26=0, "    ---- ", IF(ABS(ROUND(100/J26*K26-100,1))&lt;999,ROUND(100/J26*K26-100,1),IF(ROUND(100/J26*K26-100,1)&gt;999,999,-999)))</f>
        <v xml:space="preserve">    ---- </v>
      </c>
      <c r="M26" s="22">
        <f>IFERROR(100/'Skjema total MA'!I26*K26,0)</f>
        <v>9.9123658807239554</v>
      </c>
    </row>
    <row r="27" spans="1:15" x14ac:dyDescent="0.2">
      <c r="A27" s="294" t="s">
        <v>11</v>
      </c>
      <c r="B27" s="288"/>
      <c r="C27" s="288"/>
      <c r="D27" s="164"/>
      <c r="E27" s="414"/>
      <c r="F27" s="288"/>
      <c r="G27" s="288"/>
      <c r="H27" s="164"/>
      <c r="I27" s="414"/>
      <c r="J27" s="288"/>
      <c r="K27" s="288"/>
      <c r="L27" s="164"/>
      <c r="M27" s="22"/>
    </row>
    <row r="28" spans="1:15" ht="15.75" x14ac:dyDescent="0.2">
      <c r="A28" s="48" t="s">
        <v>297</v>
      </c>
      <c r="B28" s="43">
        <v>278770</v>
      </c>
      <c r="C28" s="285">
        <v>315619</v>
      </c>
      <c r="D28" s="164">
        <f t="shared" si="2"/>
        <v>13.2</v>
      </c>
      <c r="E28" s="26">
        <f>IFERROR(100/'Skjema total MA'!C28*C28,0)</f>
        <v>19.534218111134994</v>
      </c>
      <c r="F28" s="232"/>
      <c r="G28" s="285"/>
      <c r="H28" s="164"/>
      <c r="I28" s="26"/>
      <c r="J28" s="43">
        <f t="shared" si="4"/>
        <v>278770</v>
      </c>
      <c r="K28" s="43">
        <f t="shared" si="4"/>
        <v>315619</v>
      </c>
      <c r="L28" s="253">
        <f t="shared" si="5"/>
        <v>13.2</v>
      </c>
      <c r="M28" s="22">
        <f>IFERROR(100/'Skjema total MA'!I28*K28,0)</f>
        <v>19.534218111134994</v>
      </c>
    </row>
    <row r="29" spans="1:15" s="3" customFormat="1" ht="15.75" x14ac:dyDescent="0.2">
      <c r="A29" s="13" t="s">
        <v>25</v>
      </c>
      <c r="B29" s="234">
        <f>B30+B31+B32+B33</f>
        <v>989584</v>
      </c>
      <c r="C29" s="234">
        <f>C30+C31+C32+C33</f>
        <v>1291434</v>
      </c>
      <c r="D29" s="169">
        <f t="shared" si="2"/>
        <v>30.5</v>
      </c>
      <c r="E29" s="11">
        <f>IFERROR(100/'Skjema total MA'!C29*C29,0)</f>
        <v>2.6118837124938836</v>
      </c>
      <c r="F29" s="234">
        <f>F30+F31+F32+F33</f>
        <v>1593158</v>
      </c>
      <c r="G29" s="234">
        <f>G30+G31+G32+G33</f>
        <v>1599558</v>
      </c>
      <c r="H29" s="169">
        <f t="shared" si="3"/>
        <v>0.4</v>
      </c>
      <c r="I29" s="11">
        <f>IFERROR(100/'Skjema total MA'!F29*G29,0)</f>
        <v>7.7233453235170391</v>
      </c>
      <c r="J29" s="234">
        <f t="shared" si="4"/>
        <v>2582742</v>
      </c>
      <c r="K29" s="234">
        <f t="shared" si="4"/>
        <v>2890992</v>
      </c>
      <c r="L29" s="425">
        <f t="shared" si="5"/>
        <v>11.9</v>
      </c>
      <c r="M29" s="23">
        <f>IFERROR(100/'Skjema total MA'!I29*K29,0)</f>
        <v>4.1208501192038272</v>
      </c>
      <c r="N29" s="146"/>
      <c r="O29" s="146"/>
    </row>
    <row r="30" spans="1:15" s="3" customFormat="1" ht="15.75" x14ac:dyDescent="0.2">
      <c r="A30" s="294" t="s">
        <v>305</v>
      </c>
      <c r="B30" s="288">
        <v>989584</v>
      </c>
      <c r="C30" s="288">
        <v>1291434</v>
      </c>
      <c r="D30" s="164">
        <f t="shared" si="2"/>
        <v>30.5</v>
      </c>
      <c r="E30" s="26">
        <f>IFERROR(100/'Skjema total MA'!C30*C30,0)</f>
        <v>10.040816537505783</v>
      </c>
      <c r="F30" s="288">
        <v>34958</v>
      </c>
      <c r="G30" s="288">
        <v>33555</v>
      </c>
      <c r="H30" s="164">
        <f t="shared" si="3"/>
        <v>-4</v>
      </c>
      <c r="I30" s="414">
        <f>IFERROR(100/'Skjema total MA'!F30*G30,0)</f>
        <v>0.74570937514942737</v>
      </c>
      <c r="J30" s="43">
        <f t="shared" si="4"/>
        <v>1024542</v>
      </c>
      <c r="K30" s="43">
        <f t="shared" si="4"/>
        <v>1324989</v>
      </c>
      <c r="L30" s="164">
        <f t="shared" si="5"/>
        <v>29.3</v>
      </c>
      <c r="M30" s="22">
        <f>IFERROR(100/'Skjema total MA'!I30*K30,0)</f>
        <v>7.6317284617651104</v>
      </c>
      <c r="N30" s="146"/>
      <c r="O30" s="146"/>
    </row>
    <row r="31" spans="1:15" s="3" customFormat="1" ht="15.75" x14ac:dyDescent="0.2">
      <c r="A31" s="294" t="s">
        <v>306</v>
      </c>
      <c r="B31" s="288"/>
      <c r="C31" s="288"/>
      <c r="D31" s="164"/>
      <c r="E31" s="414"/>
      <c r="F31" s="288">
        <v>1447194</v>
      </c>
      <c r="G31" s="288">
        <v>1397378</v>
      </c>
      <c r="H31" s="164">
        <f t="shared" si="3"/>
        <v>-3.4</v>
      </c>
      <c r="I31" s="414">
        <f>IFERROR(100/'Skjema total MA'!F31*G31,0)</f>
        <v>12.41375745091352</v>
      </c>
      <c r="J31" s="43">
        <f t="shared" si="4"/>
        <v>1447194</v>
      </c>
      <c r="K31" s="43">
        <f t="shared" si="4"/>
        <v>1397378</v>
      </c>
      <c r="L31" s="164">
        <f t="shared" ref="L31" si="9">IF(J31=0, "    ---- ", IF(ABS(ROUND(100/J31*K31-100,1))&lt;999,ROUND(100/J31*K31-100,1),IF(ROUND(100/J31*K31-100,1)&gt;999,999,-999)))</f>
        <v>-3.4</v>
      </c>
      <c r="M31" s="22">
        <f>IFERROR(100/'Skjema total MA'!I31*K31,0)</f>
        <v>3.0090012153421046</v>
      </c>
      <c r="N31" s="146"/>
      <c r="O31" s="146"/>
    </row>
    <row r="32" spans="1:15" ht="15.75" x14ac:dyDescent="0.2">
      <c r="A32" s="294" t="s">
        <v>406</v>
      </c>
      <c r="B32" s="288"/>
      <c r="C32" s="288"/>
      <c r="D32" s="164"/>
      <c r="E32" s="414"/>
      <c r="F32" s="288">
        <v>111006</v>
      </c>
      <c r="G32" s="288">
        <v>125695</v>
      </c>
      <c r="H32" s="164">
        <f t="shared" si="3"/>
        <v>13.2</v>
      </c>
      <c r="I32" s="414">
        <f>IFERROR(100/'Skjema total MA'!F32*G32,0)</f>
        <v>3.0419805531154234</v>
      </c>
      <c r="J32" s="43">
        <f t="shared" si="4"/>
        <v>111006</v>
      </c>
      <c r="K32" s="43">
        <f t="shared" si="4"/>
        <v>125695</v>
      </c>
      <c r="L32" s="164">
        <f t="shared" ref="L32" si="10">IF(J32=0, "    ---- ", IF(ABS(ROUND(100/J32*K32-100,1))&lt;999,ROUND(100/J32*K32-100,1),IF(ROUND(100/J32*K32-100,1)&gt;999,999,-999)))</f>
        <v>13.2</v>
      </c>
      <c r="M32" s="22">
        <f>IFERROR(100/'Skjema total MA'!I32*K32,0)</f>
        <v>2.3065803013645816</v>
      </c>
    </row>
    <row r="33" spans="1:15" ht="15.75" x14ac:dyDescent="0.2">
      <c r="A33" s="294" t="s">
        <v>307</v>
      </c>
      <c r="B33" s="288"/>
      <c r="C33" s="288"/>
      <c r="D33" s="164"/>
      <c r="E33" s="414"/>
      <c r="F33" s="288">
        <v>0</v>
      </c>
      <c r="G33" s="288">
        <v>42930</v>
      </c>
      <c r="H33" s="164" t="str">
        <f t="shared" si="3"/>
        <v xml:space="preserve">    ---- </v>
      </c>
      <c r="I33" s="414">
        <f>IFERROR(100/'Skjema total MA'!F34*G33,0)</f>
        <v>236.90593210754326</v>
      </c>
      <c r="J33" s="43">
        <f t="shared" si="4"/>
        <v>0</v>
      </c>
      <c r="K33" s="43">
        <f t="shared" si="4"/>
        <v>42930</v>
      </c>
      <c r="L33" s="164" t="str">
        <f t="shared" ref="L33" si="11">IF(J33=0, "    ---- ", IF(ABS(ROUND(100/J33*K33-100,1))&lt;999,ROUND(100/J33*K33-100,1),IF(ROUND(100/J33*K33-100,1)&gt;999,999,-999)))</f>
        <v xml:space="preserve">    ---- </v>
      </c>
      <c r="M33" s="22">
        <f>IFERROR(100/'Skjema total MA'!I34*K33,0)</f>
        <v>72.698958919004056</v>
      </c>
    </row>
    <row r="34" spans="1:15" ht="15.75" x14ac:dyDescent="0.2">
      <c r="A34" s="13" t="s">
        <v>24</v>
      </c>
      <c r="B34" s="234"/>
      <c r="C34" s="307"/>
      <c r="D34" s="169"/>
      <c r="E34" s="11"/>
      <c r="F34" s="306">
        <v>35897</v>
      </c>
      <c r="G34" s="307">
        <v>21626</v>
      </c>
      <c r="H34" s="169">
        <f t="shared" si="3"/>
        <v>-39.799999999999997</v>
      </c>
      <c r="I34" s="11">
        <f>IFERROR(100/'Skjema total MA'!F34*G34,0)</f>
        <v>119.34143227947195</v>
      </c>
      <c r="J34" s="234">
        <f t="shared" si="4"/>
        <v>35897</v>
      </c>
      <c r="K34" s="234">
        <f t="shared" si="4"/>
        <v>21626</v>
      </c>
      <c r="L34" s="425">
        <f t="shared" si="5"/>
        <v>-39.799999999999997</v>
      </c>
      <c r="M34" s="23">
        <f>IFERROR(100/'Skjema total MA'!I34*K34,0)</f>
        <v>36.622121723325918</v>
      </c>
    </row>
    <row r="35" spans="1:15" ht="15.75" x14ac:dyDescent="0.2">
      <c r="A35" s="13" t="s">
        <v>23</v>
      </c>
      <c r="B35" s="234"/>
      <c r="C35" s="307"/>
      <c r="D35" s="169"/>
      <c r="E35" s="11"/>
      <c r="F35" s="306">
        <v>4993</v>
      </c>
      <c r="G35" s="307">
        <v>4312</v>
      </c>
      <c r="H35" s="169">
        <f t="shared" si="3"/>
        <v>-13.6</v>
      </c>
      <c r="I35" s="11">
        <f>IFERROR(100/'Skjema total MA'!F35*G35,0)</f>
        <v>4.6919326273860076</v>
      </c>
      <c r="J35" s="234">
        <f t="shared" si="4"/>
        <v>4993</v>
      </c>
      <c r="K35" s="234">
        <f t="shared" si="4"/>
        <v>4312</v>
      </c>
      <c r="L35" s="425">
        <f t="shared" si="5"/>
        <v>-13.6</v>
      </c>
      <c r="M35" s="23">
        <f>IFERROR(100/'Skjema total MA'!I35*K35,0)</f>
        <v>16.417005230944834</v>
      </c>
    </row>
    <row r="36" spans="1:15" ht="15.75" x14ac:dyDescent="0.2">
      <c r="A36" s="12" t="s">
        <v>308</v>
      </c>
      <c r="B36" s="234"/>
      <c r="C36" s="307"/>
      <c r="D36" s="169"/>
      <c r="E36" s="11"/>
      <c r="F36" s="317"/>
      <c r="G36" s="318"/>
      <c r="H36" s="169"/>
      <c r="I36" s="431"/>
      <c r="J36" s="234"/>
      <c r="K36" s="234"/>
      <c r="L36" s="425"/>
      <c r="M36" s="23"/>
    </row>
    <row r="37" spans="1:15" ht="15.75" x14ac:dyDescent="0.2">
      <c r="A37" s="12" t="s">
        <v>309</v>
      </c>
      <c r="B37" s="234"/>
      <c r="C37" s="307"/>
      <c r="D37" s="169"/>
      <c r="E37" s="11"/>
      <c r="F37" s="317"/>
      <c r="G37" s="319"/>
      <c r="H37" s="169"/>
      <c r="I37" s="431"/>
      <c r="J37" s="234"/>
      <c r="K37" s="234"/>
      <c r="L37" s="425"/>
      <c r="M37" s="23"/>
    </row>
    <row r="38" spans="1:15" ht="15.75" x14ac:dyDescent="0.2">
      <c r="A38" s="12" t="s">
        <v>310</v>
      </c>
      <c r="B38" s="234"/>
      <c r="C38" s="307"/>
      <c r="D38" s="169"/>
      <c r="E38" s="11"/>
      <c r="F38" s="317"/>
      <c r="G38" s="318"/>
      <c r="H38" s="169"/>
      <c r="I38" s="431"/>
      <c r="J38" s="234"/>
      <c r="K38" s="234"/>
      <c r="L38" s="425"/>
      <c r="M38" s="23"/>
    </row>
    <row r="39" spans="1:15" ht="15.75" x14ac:dyDescent="0.2">
      <c r="A39" s="18" t="s">
        <v>311</v>
      </c>
      <c r="B39" s="274"/>
      <c r="C39" s="313"/>
      <c r="D39" s="167"/>
      <c r="E39" s="11"/>
      <c r="F39" s="320"/>
      <c r="G39" s="321"/>
      <c r="H39" s="167"/>
      <c r="I39" s="35"/>
      <c r="J39" s="234"/>
      <c r="K39" s="234"/>
      <c r="L39" s="426"/>
      <c r="M39" s="35"/>
    </row>
    <row r="40" spans="1:15" ht="15.75" x14ac:dyDescent="0.25">
      <c r="A40" s="46"/>
      <c r="B40" s="252"/>
      <c r="C40" s="252"/>
      <c r="D40" s="964"/>
      <c r="E40" s="964"/>
      <c r="F40" s="964"/>
      <c r="G40" s="964"/>
      <c r="H40" s="964"/>
      <c r="I40" s="964"/>
      <c r="J40" s="964"/>
      <c r="K40" s="964"/>
      <c r="L40" s="964"/>
      <c r="M40" s="300"/>
    </row>
    <row r="41" spans="1:15" x14ac:dyDescent="0.2">
      <c r="A41" s="153"/>
    </row>
    <row r="42" spans="1:15" ht="15.75" x14ac:dyDescent="0.25">
      <c r="A42" s="145" t="s">
        <v>294</v>
      </c>
      <c r="B42" s="965"/>
      <c r="C42" s="965"/>
      <c r="D42" s="965"/>
      <c r="E42" s="297"/>
      <c r="F42" s="966"/>
      <c r="G42" s="966"/>
      <c r="H42" s="966"/>
      <c r="I42" s="300"/>
      <c r="J42" s="966"/>
      <c r="K42" s="966"/>
      <c r="L42" s="966"/>
      <c r="M42" s="300"/>
    </row>
    <row r="43" spans="1:15" ht="15.75" x14ac:dyDescent="0.25">
      <c r="A43" s="161"/>
      <c r="B43" s="301"/>
      <c r="C43" s="301"/>
      <c r="D43" s="301"/>
      <c r="E43" s="301"/>
      <c r="F43" s="300"/>
      <c r="G43" s="300"/>
      <c r="H43" s="300"/>
      <c r="I43" s="300"/>
      <c r="J43" s="300"/>
      <c r="K43" s="300"/>
      <c r="L43" s="300"/>
      <c r="M43" s="300"/>
    </row>
    <row r="44" spans="1:15" ht="15.75" x14ac:dyDescent="0.25">
      <c r="A44" s="246"/>
      <c r="B44" s="960" t="s">
        <v>0</v>
      </c>
      <c r="C44" s="961"/>
      <c r="D44" s="961"/>
      <c r="E44" s="241"/>
      <c r="F44" s="300"/>
      <c r="G44" s="300"/>
      <c r="H44" s="300"/>
      <c r="I44" s="300"/>
      <c r="J44" s="300"/>
      <c r="K44" s="300"/>
      <c r="L44" s="300"/>
      <c r="M44" s="300"/>
    </row>
    <row r="45" spans="1:15" s="3" customFormat="1" x14ac:dyDescent="0.2">
      <c r="A45" s="139"/>
      <c r="B45" s="171" t="s">
        <v>504</v>
      </c>
      <c r="C45" s="171" t="s">
        <v>505</v>
      </c>
      <c r="D45" s="160" t="s">
        <v>3</v>
      </c>
      <c r="E45" s="160" t="s">
        <v>32</v>
      </c>
      <c r="F45" s="173"/>
      <c r="G45" s="173"/>
      <c r="H45" s="172"/>
      <c r="I45" s="172"/>
      <c r="J45" s="173"/>
      <c r="K45" s="173"/>
      <c r="L45" s="172"/>
      <c r="M45" s="172"/>
      <c r="N45" s="146"/>
      <c r="O45" s="146"/>
    </row>
    <row r="46" spans="1:15" s="3" customFormat="1" x14ac:dyDescent="0.2">
      <c r="A46" s="934"/>
      <c r="B46" s="242"/>
      <c r="C46" s="242"/>
      <c r="D46" s="243" t="s">
        <v>4</v>
      </c>
      <c r="E46" s="154" t="s">
        <v>33</v>
      </c>
      <c r="F46" s="172"/>
      <c r="G46" s="172"/>
      <c r="H46" s="172"/>
      <c r="I46" s="172"/>
      <c r="J46" s="172"/>
      <c r="K46" s="172"/>
      <c r="L46" s="172"/>
      <c r="M46" s="172"/>
      <c r="N46" s="146"/>
      <c r="O46" s="146"/>
    </row>
    <row r="47" spans="1:15" s="3" customFormat="1" ht="15.75" x14ac:dyDescent="0.2">
      <c r="A47" s="14" t="s">
        <v>26</v>
      </c>
      <c r="B47" s="308"/>
      <c r="C47" s="309"/>
      <c r="D47" s="424"/>
      <c r="E47" s="11"/>
      <c r="F47" s="143"/>
      <c r="G47" s="32"/>
      <c r="H47" s="157"/>
      <c r="I47" s="157"/>
      <c r="J47" s="36"/>
      <c r="K47" s="36"/>
      <c r="L47" s="157"/>
      <c r="M47" s="157"/>
      <c r="N47" s="146"/>
      <c r="O47" s="146"/>
    </row>
    <row r="48" spans="1:15" s="3" customFormat="1" ht="15.75" x14ac:dyDescent="0.2">
      <c r="A48" s="37" t="s">
        <v>312</v>
      </c>
      <c r="B48" s="279"/>
      <c r="C48" s="280"/>
      <c r="D48" s="253"/>
      <c r="E48" s="26"/>
      <c r="F48" s="143"/>
      <c r="G48" s="32"/>
      <c r="H48" s="143"/>
      <c r="I48" s="143"/>
      <c r="J48" s="32"/>
      <c r="K48" s="32"/>
      <c r="L48" s="157"/>
      <c r="M48" s="157"/>
      <c r="N48" s="146"/>
      <c r="O48" s="146"/>
    </row>
    <row r="49" spans="1:15" s="3" customFormat="1" ht="15.75" x14ac:dyDescent="0.2">
      <c r="A49" s="37" t="s">
        <v>313</v>
      </c>
      <c r="B49" s="43"/>
      <c r="C49" s="285"/>
      <c r="D49" s="253"/>
      <c r="E49" s="26"/>
      <c r="F49" s="143"/>
      <c r="G49" s="32"/>
      <c r="H49" s="143"/>
      <c r="I49" s="143"/>
      <c r="J49" s="36"/>
      <c r="K49" s="36"/>
      <c r="L49" s="157"/>
      <c r="M49" s="157"/>
      <c r="N49" s="146"/>
      <c r="O49" s="146"/>
    </row>
    <row r="50" spans="1:15" s="3" customFormat="1" x14ac:dyDescent="0.2">
      <c r="A50" s="294" t="s">
        <v>6</v>
      </c>
      <c r="B50" s="288"/>
      <c r="C50" s="289"/>
      <c r="D50" s="253"/>
      <c r="E50" s="22"/>
      <c r="F50" s="143"/>
      <c r="G50" s="32"/>
      <c r="H50" s="143"/>
      <c r="I50" s="143"/>
      <c r="J50" s="32"/>
      <c r="K50" s="32"/>
      <c r="L50" s="157"/>
      <c r="M50" s="157"/>
      <c r="N50" s="146"/>
      <c r="O50" s="146"/>
    </row>
    <row r="51" spans="1:15" s="3" customFormat="1" x14ac:dyDescent="0.2">
      <c r="A51" s="294" t="s">
        <v>7</v>
      </c>
      <c r="B51" s="288"/>
      <c r="C51" s="289"/>
      <c r="D51" s="253"/>
      <c r="E51" s="22"/>
      <c r="F51" s="143"/>
      <c r="G51" s="32"/>
      <c r="H51" s="143"/>
      <c r="I51" s="143"/>
      <c r="J51" s="32"/>
      <c r="K51" s="32"/>
      <c r="L51" s="157"/>
      <c r="M51" s="157"/>
      <c r="N51" s="146"/>
      <c r="O51" s="146"/>
    </row>
    <row r="52" spans="1:15" s="3" customFormat="1" x14ac:dyDescent="0.2">
      <c r="A52" s="294" t="s">
        <v>8</v>
      </c>
      <c r="B52" s="288"/>
      <c r="C52" s="289"/>
      <c r="D52" s="253"/>
      <c r="E52" s="22"/>
      <c r="F52" s="143"/>
      <c r="G52" s="32"/>
      <c r="H52" s="143"/>
      <c r="I52" s="143"/>
      <c r="J52" s="32"/>
      <c r="K52" s="32"/>
      <c r="L52" s="157"/>
      <c r="M52" s="157"/>
      <c r="N52" s="146"/>
      <c r="O52" s="146"/>
    </row>
    <row r="53" spans="1:15" s="3" customFormat="1" ht="15.75" x14ac:dyDescent="0.2">
      <c r="A53" s="38" t="s">
        <v>314</v>
      </c>
      <c r="B53" s="308"/>
      <c r="C53" s="309"/>
      <c r="D53" s="425"/>
      <c r="E53" s="11"/>
      <c r="F53" s="143"/>
      <c r="G53" s="32"/>
      <c r="H53" s="143"/>
      <c r="I53" s="143"/>
      <c r="J53" s="32"/>
      <c r="K53" s="32"/>
      <c r="L53" s="157"/>
      <c r="M53" s="157"/>
      <c r="N53" s="146"/>
      <c r="O53" s="146"/>
    </row>
    <row r="54" spans="1:15" s="3" customFormat="1" ht="15.75" x14ac:dyDescent="0.2">
      <c r="A54" s="37" t="s">
        <v>312</v>
      </c>
      <c r="B54" s="279"/>
      <c r="C54" s="280"/>
      <c r="D54" s="253"/>
      <c r="E54" s="26"/>
      <c r="F54" s="143"/>
      <c r="G54" s="32"/>
      <c r="H54" s="143"/>
      <c r="I54" s="143"/>
      <c r="J54" s="32"/>
      <c r="K54" s="32"/>
      <c r="L54" s="157"/>
      <c r="M54" s="157"/>
      <c r="N54" s="146"/>
      <c r="O54" s="146"/>
    </row>
    <row r="55" spans="1:15" s="3" customFormat="1" ht="15.75" x14ac:dyDescent="0.2">
      <c r="A55" s="37" t="s">
        <v>313</v>
      </c>
      <c r="B55" s="279"/>
      <c r="C55" s="280"/>
      <c r="D55" s="253"/>
      <c r="E55" s="26"/>
      <c r="F55" s="143"/>
      <c r="G55" s="32"/>
      <c r="H55" s="143"/>
      <c r="I55" s="143"/>
      <c r="J55" s="32"/>
      <c r="K55" s="32"/>
      <c r="L55" s="157"/>
      <c r="M55" s="157"/>
      <c r="N55" s="146"/>
      <c r="O55" s="146"/>
    </row>
    <row r="56" spans="1:15" s="3" customFormat="1" ht="15.75" x14ac:dyDescent="0.2">
      <c r="A56" s="38" t="s">
        <v>315</v>
      </c>
      <c r="B56" s="308"/>
      <c r="C56" s="309"/>
      <c r="D56" s="425"/>
      <c r="E56" s="11"/>
      <c r="F56" s="143"/>
      <c r="G56" s="32"/>
      <c r="H56" s="143"/>
      <c r="I56" s="143"/>
      <c r="J56" s="32"/>
      <c r="K56" s="32"/>
      <c r="L56" s="157"/>
      <c r="M56" s="157"/>
      <c r="N56" s="146"/>
      <c r="O56" s="146"/>
    </row>
    <row r="57" spans="1:15" s="3" customFormat="1" ht="15.75" x14ac:dyDescent="0.2">
      <c r="A57" s="37" t="s">
        <v>312</v>
      </c>
      <c r="B57" s="279"/>
      <c r="C57" s="280"/>
      <c r="D57" s="253"/>
      <c r="E57" s="26"/>
      <c r="F57" s="143"/>
      <c r="G57" s="32"/>
      <c r="H57" s="143"/>
      <c r="I57" s="143"/>
      <c r="J57" s="32"/>
      <c r="K57" s="32"/>
      <c r="L57" s="157"/>
      <c r="M57" s="157"/>
      <c r="N57" s="146"/>
      <c r="O57" s="146"/>
    </row>
    <row r="58" spans="1:15" s="3" customFormat="1" ht="15.75" x14ac:dyDescent="0.2">
      <c r="A58" s="45" t="s">
        <v>313</v>
      </c>
      <c r="B58" s="281"/>
      <c r="C58" s="282"/>
      <c r="D58" s="254"/>
      <c r="E58" s="21"/>
      <c r="F58" s="143"/>
      <c r="G58" s="32"/>
      <c r="H58" s="143"/>
      <c r="I58" s="143"/>
      <c r="J58" s="32"/>
      <c r="K58" s="32"/>
      <c r="L58" s="157"/>
      <c r="M58" s="157"/>
      <c r="N58" s="146"/>
      <c r="O58" s="146"/>
    </row>
    <row r="59" spans="1:15" s="3" customFormat="1" ht="15.75" x14ac:dyDescent="0.25">
      <c r="A59" s="162"/>
      <c r="B59" s="152"/>
      <c r="C59" s="152"/>
      <c r="D59" s="152"/>
      <c r="E59" s="152"/>
      <c r="F59" s="140"/>
      <c r="G59" s="140"/>
      <c r="H59" s="140"/>
      <c r="I59" s="140"/>
      <c r="J59" s="140"/>
      <c r="K59" s="140"/>
      <c r="L59" s="140"/>
      <c r="M59" s="140"/>
      <c r="N59" s="146"/>
      <c r="O59" s="146"/>
    </row>
    <row r="60" spans="1:15" x14ac:dyDescent="0.2">
      <c r="A60" s="153"/>
    </row>
    <row r="61" spans="1:15" ht="15.75" x14ac:dyDescent="0.25">
      <c r="A61" s="145" t="s">
        <v>295</v>
      </c>
      <c r="C61" s="25"/>
      <c r="D61" s="25"/>
      <c r="E61" s="25"/>
      <c r="F61" s="25"/>
      <c r="G61" s="25"/>
      <c r="H61" s="25"/>
      <c r="I61" s="25"/>
      <c r="J61" s="25"/>
      <c r="K61" s="25"/>
      <c r="L61" s="25"/>
      <c r="M61" s="25"/>
    </row>
    <row r="62" spans="1:15" ht="15.75" x14ac:dyDescent="0.25">
      <c r="B62" s="963"/>
      <c r="C62" s="963"/>
      <c r="D62" s="963"/>
      <c r="E62" s="297"/>
      <c r="F62" s="963"/>
      <c r="G62" s="963"/>
      <c r="H62" s="963"/>
      <c r="I62" s="297"/>
      <c r="J62" s="963"/>
      <c r="K62" s="963"/>
      <c r="L62" s="963"/>
      <c r="M62" s="297"/>
    </row>
    <row r="63" spans="1:15" x14ac:dyDescent="0.2">
      <c r="A63" s="142"/>
      <c r="B63" s="960" t="s">
        <v>0</v>
      </c>
      <c r="C63" s="961"/>
      <c r="D63" s="962"/>
      <c r="E63" s="298"/>
      <c r="F63" s="961" t="s">
        <v>1</v>
      </c>
      <c r="G63" s="961"/>
      <c r="H63" s="961"/>
      <c r="I63" s="302"/>
      <c r="J63" s="960" t="s">
        <v>2</v>
      </c>
      <c r="K63" s="961"/>
      <c r="L63" s="961"/>
      <c r="M63" s="302"/>
    </row>
    <row r="64" spans="1:15" x14ac:dyDescent="0.2">
      <c r="A64" s="139"/>
      <c r="B64" s="150" t="s">
        <v>504</v>
      </c>
      <c r="C64" s="150" t="s">
        <v>505</v>
      </c>
      <c r="D64" s="243" t="s">
        <v>3</v>
      </c>
      <c r="E64" s="303" t="s">
        <v>32</v>
      </c>
      <c r="F64" s="150" t="s">
        <v>504</v>
      </c>
      <c r="G64" s="150" t="s">
        <v>505</v>
      </c>
      <c r="H64" s="243" t="s">
        <v>3</v>
      </c>
      <c r="I64" s="303" t="s">
        <v>32</v>
      </c>
      <c r="J64" s="150" t="s">
        <v>504</v>
      </c>
      <c r="K64" s="150" t="s">
        <v>505</v>
      </c>
      <c r="L64" s="243" t="s">
        <v>3</v>
      </c>
      <c r="M64" s="160" t="s">
        <v>32</v>
      </c>
    </row>
    <row r="65" spans="1:15" x14ac:dyDescent="0.2">
      <c r="A65" s="934"/>
      <c r="B65" s="154"/>
      <c r="C65" s="154"/>
      <c r="D65" s="245" t="s">
        <v>4</v>
      </c>
      <c r="E65" s="154" t="s">
        <v>33</v>
      </c>
      <c r="F65" s="159"/>
      <c r="G65" s="159"/>
      <c r="H65" s="243" t="s">
        <v>4</v>
      </c>
      <c r="I65" s="154" t="s">
        <v>33</v>
      </c>
      <c r="J65" s="159"/>
      <c r="K65" s="204"/>
      <c r="L65" s="154" t="s">
        <v>4</v>
      </c>
      <c r="M65" s="154" t="s">
        <v>33</v>
      </c>
    </row>
    <row r="66" spans="1:15" ht="15.75" x14ac:dyDescent="0.2">
      <c r="A66" s="14" t="s">
        <v>26</v>
      </c>
      <c r="B66" s="350">
        <f>B67+B68+B75+B76</f>
        <v>180563</v>
      </c>
      <c r="C66" s="350">
        <f>C67+C68+C75+C76</f>
        <v>208014</v>
      </c>
      <c r="D66" s="348">
        <f t="shared" ref="D66:D111" si="12">IF(B66=0, "    ---- ", IF(ABS(ROUND(100/B66*C66-100,1))&lt;999,ROUND(100/B66*C66-100,1),IF(ROUND(100/B66*C66-100,1)&gt;999,999,-999)))</f>
        <v>15.2</v>
      </c>
      <c r="E66" s="11">
        <f>IFERROR(100/'Skjema total MA'!C66*C66,0)</f>
        <v>2.1107290995090437</v>
      </c>
      <c r="F66" s="350">
        <f>F67+F68+F75+F76</f>
        <v>1890282</v>
      </c>
      <c r="G66" s="350">
        <f>G67+G68+G75+G76</f>
        <v>2343878</v>
      </c>
      <c r="H66" s="348">
        <f t="shared" ref="H66:H111" si="13">IF(F66=0, "    ---- ", IF(ABS(ROUND(100/F66*G66-100,1))&lt;999,ROUND(100/F66*G66-100,1),IF(ROUND(100/F66*G66-100,1)&gt;999,999,-999)))</f>
        <v>24</v>
      </c>
      <c r="I66" s="11">
        <f>IFERROR(100/'Skjema total MA'!F66*G66,0)</f>
        <v>8.7763178163234059</v>
      </c>
      <c r="J66" s="307">
        <f t="shared" ref="J66:K85" si="14">SUM(B66,F66)</f>
        <v>2070845</v>
      </c>
      <c r="K66" s="314">
        <f t="shared" si="14"/>
        <v>2551892</v>
      </c>
      <c r="L66" s="425">
        <f t="shared" ref="L66:L111" si="15">IF(J66=0, "    ---- ", IF(ABS(ROUND(100/J66*K66-100,1))&lt;999,ROUND(100/J66*K66-100,1),IF(ROUND(100/J66*K66-100,1)&gt;999,999,-999)))</f>
        <v>23.2</v>
      </c>
      <c r="M66" s="11">
        <f>IFERROR(100/'Skjema total MA'!I66*K66,0)</f>
        <v>6.9796429354786254</v>
      </c>
    </row>
    <row r="67" spans="1:15" x14ac:dyDescent="0.2">
      <c r="A67" s="416" t="s">
        <v>9</v>
      </c>
      <c r="B67" s="43">
        <v>180563</v>
      </c>
      <c r="C67" s="143">
        <v>208014</v>
      </c>
      <c r="D67" s="164">
        <f t="shared" si="12"/>
        <v>15.2</v>
      </c>
      <c r="E67" s="26">
        <f>IFERROR(100/'Skjema total MA'!C67*C67,0)</f>
        <v>2.566962569688565</v>
      </c>
      <c r="F67" s="232"/>
      <c r="G67" s="143"/>
      <c r="H67" s="164"/>
      <c r="I67" s="26"/>
      <c r="J67" s="285">
        <f t="shared" si="14"/>
        <v>180563</v>
      </c>
      <c r="K67" s="43">
        <f t="shared" si="14"/>
        <v>208014</v>
      </c>
      <c r="L67" s="253">
        <f t="shared" si="15"/>
        <v>15.2</v>
      </c>
      <c r="M67" s="26">
        <f>IFERROR(100/'Skjema total MA'!I67*K67,0)</f>
        <v>2.566962569688565</v>
      </c>
    </row>
    <row r="68" spans="1:15" x14ac:dyDescent="0.2">
      <c r="A68" s="20" t="s">
        <v>10</v>
      </c>
      <c r="B68" s="290"/>
      <c r="C68" s="291"/>
      <c r="D68" s="164"/>
      <c r="E68" s="26"/>
      <c r="F68" s="290">
        <v>1890282</v>
      </c>
      <c r="G68" s="291">
        <v>2343878</v>
      </c>
      <c r="H68" s="164">
        <f t="shared" si="13"/>
        <v>24</v>
      </c>
      <c r="I68" s="26">
        <f>IFERROR(100/'Skjema total MA'!F68*G68,0)</f>
        <v>8.8752352202660969</v>
      </c>
      <c r="J68" s="285">
        <f t="shared" si="14"/>
        <v>1890282</v>
      </c>
      <c r="K68" s="43">
        <f t="shared" si="14"/>
        <v>2343878</v>
      </c>
      <c r="L68" s="253">
        <f t="shared" si="15"/>
        <v>24</v>
      </c>
      <c r="M68" s="26">
        <f>IFERROR(100/'Skjema total MA'!I68*K68,0)</f>
        <v>8.8220606588353121</v>
      </c>
    </row>
    <row r="69" spans="1:15" ht="15.75" x14ac:dyDescent="0.2">
      <c r="A69" s="294" t="s">
        <v>316</v>
      </c>
      <c r="B69" s="279"/>
      <c r="C69" s="279"/>
      <c r="D69" s="164"/>
      <c r="E69" s="414"/>
      <c r="F69" s="279"/>
      <c r="G69" s="279"/>
      <c r="H69" s="164"/>
      <c r="I69" s="414"/>
      <c r="J69" s="288"/>
      <c r="K69" s="288"/>
      <c r="L69" s="164"/>
      <c r="M69" s="22"/>
    </row>
    <row r="70" spans="1:15" x14ac:dyDescent="0.2">
      <c r="A70" s="294" t="s">
        <v>12</v>
      </c>
      <c r="B70" s="292"/>
      <c r="C70" s="293"/>
      <c r="D70" s="164"/>
      <c r="E70" s="414"/>
      <c r="F70" s="279"/>
      <c r="G70" s="279"/>
      <c r="H70" s="164"/>
      <c r="I70" s="414"/>
      <c r="J70" s="288"/>
      <c r="K70" s="288"/>
      <c r="L70" s="164"/>
      <c r="M70" s="22"/>
    </row>
    <row r="71" spans="1:15" x14ac:dyDescent="0.2">
      <c r="A71" s="294" t="s">
        <v>13</v>
      </c>
      <c r="B71" s="233"/>
      <c r="C71" s="287"/>
      <c r="D71" s="164"/>
      <c r="E71" s="414"/>
      <c r="F71" s="279"/>
      <c r="G71" s="279"/>
      <c r="H71" s="164"/>
      <c r="I71" s="414"/>
      <c r="J71" s="288"/>
      <c r="K71" s="288"/>
      <c r="L71" s="164"/>
      <c r="M71" s="22"/>
    </row>
    <row r="72" spans="1:15" ht="15.75" x14ac:dyDescent="0.2">
      <c r="A72" s="294" t="s">
        <v>317</v>
      </c>
      <c r="B72" s="279"/>
      <c r="C72" s="279"/>
      <c r="D72" s="164"/>
      <c r="E72" s="414"/>
      <c r="F72" s="279">
        <v>1890282</v>
      </c>
      <c r="G72" s="279">
        <v>2343878</v>
      </c>
      <c r="H72" s="164">
        <f t="shared" si="13"/>
        <v>24</v>
      </c>
      <c r="I72" s="414">
        <f>IFERROR(100/'Skjema total MA'!F72*G72,0)</f>
        <v>8.8765721545577811</v>
      </c>
      <c r="J72" s="285">
        <f t="shared" si="14"/>
        <v>1890282</v>
      </c>
      <c r="K72" s="285">
        <f t="shared" si="14"/>
        <v>2343878</v>
      </c>
      <c r="L72" s="164">
        <f t="shared" ref="L72" si="16">IF(J72=0, "    ---- ", IF(ABS(ROUND(100/J72*K72-100,1))&lt;999,ROUND(100/J72*K72-100,1),IF(ROUND(100/J72*K72-100,1)&gt;999,999,-999)))</f>
        <v>24</v>
      </c>
      <c r="M72" s="22">
        <f>IFERROR(100/'Skjema total MA'!I72*K72,0)</f>
        <v>8.8294468715992238</v>
      </c>
    </row>
    <row r="73" spans="1:15" x14ac:dyDescent="0.2">
      <c r="A73" s="294" t="s">
        <v>12</v>
      </c>
      <c r="B73" s="233"/>
      <c r="C73" s="287"/>
      <c r="D73" s="164"/>
      <c r="E73" s="414"/>
      <c r="F73" s="279"/>
      <c r="G73" s="279"/>
      <c r="H73" s="164"/>
      <c r="I73" s="414"/>
      <c r="J73" s="288"/>
      <c r="K73" s="288"/>
      <c r="L73" s="164"/>
      <c r="M73" s="22"/>
    </row>
    <row r="74" spans="1:15" s="3" customFormat="1" x14ac:dyDescent="0.2">
      <c r="A74" s="294" t="s">
        <v>13</v>
      </c>
      <c r="B74" s="233"/>
      <c r="C74" s="287"/>
      <c r="D74" s="164"/>
      <c r="E74" s="414"/>
      <c r="F74" s="279">
        <v>1890282</v>
      </c>
      <c r="G74" s="279">
        <v>2343878</v>
      </c>
      <c r="H74" s="164">
        <f t="shared" si="13"/>
        <v>24</v>
      </c>
      <c r="I74" s="414">
        <f>IFERROR(100/'Skjema total MA'!F74*G74,0)</f>
        <v>8.9898171691645583</v>
      </c>
      <c r="J74" s="285">
        <f t="shared" si="14"/>
        <v>1890282</v>
      </c>
      <c r="K74" s="285">
        <f t="shared" si="14"/>
        <v>2343878</v>
      </c>
      <c r="L74" s="164">
        <f t="shared" ref="L74" si="17">IF(J74=0, "    ---- ", IF(ABS(ROUND(100/J74*K74-100,1))&lt;999,ROUND(100/J74*K74-100,1),IF(ROUND(100/J74*K74-100,1)&gt;999,999,-999)))</f>
        <v>24</v>
      </c>
      <c r="M74" s="22">
        <f>IFERROR(100/'Skjema total MA'!I74*K74,0)</f>
        <v>8.9898171691645583</v>
      </c>
      <c r="N74" s="146"/>
      <c r="O74" s="146"/>
    </row>
    <row r="75" spans="1:15" s="3" customFormat="1" x14ac:dyDescent="0.2">
      <c r="A75" s="20" t="s">
        <v>395</v>
      </c>
      <c r="B75" s="232"/>
      <c r="C75" s="143"/>
      <c r="D75" s="164"/>
      <c r="E75" s="26"/>
      <c r="F75" s="232"/>
      <c r="G75" s="143"/>
      <c r="H75" s="164"/>
      <c r="I75" s="26"/>
      <c r="J75" s="285"/>
      <c r="K75" s="285"/>
      <c r="L75" s="253"/>
      <c r="M75" s="26"/>
      <c r="N75" s="146"/>
      <c r="O75" s="146"/>
    </row>
    <row r="76" spans="1:15" s="3" customFormat="1" x14ac:dyDescent="0.2">
      <c r="A76" s="20" t="s">
        <v>394</v>
      </c>
      <c r="B76" s="232"/>
      <c r="C76" s="143"/>
      <c r="D76" s="164"/>
      <c r="E76" s="26"/>
      <c r="F76" s="232"/>
      <c r="G76" s="143"/>
      <c r="H76" s="164"/>
      <c r="I76" s="26"/>
      <c r="J76" s="285"/>
      <c r="K76" s="285"/>
      <c r="L76" s="253"/>
      <c r="M76" s="26"/>
      <c r="N76" s="146"/>
      <c r="O76" s="146"/>
    </row>
    <row r="77" spans="1:15" ht="15.75" x14ac:dyDescent="0.2">
      <c r="A77" s="20" t="s">
        <v>318</v>
      </c>
      <c r="B77" s="232">
        <v>180563</v>
      </c>
      <c r="C77" s="232">
        <v>208014</v>
      </c>
      <c r="D77" s="164">
        <f t="shared" si="12"/>
        <v>15.2</v>
      </c>
      <c r="E77" s="26">
        <f>IFERROR(100/'Skjema total MA'!C77*C77,0)</f>
        <v>2.5799670244304296</v>
      </c>
      <c r="F77" s="232">
        <v>1890282</v>
      </c>
      <c r="G77" s="143">
        <v>2343878</v>
      </c>
      <c r="H77" s="164">
        <f t="shared" si="13"/>
        <v>24</v>
      </c>
      <c r="I77" s="26">
        <f>IFERROR(100/'Skjema total MA'!F77*G77,0)</f>
        <v>8.8796556628240459</v>
      </c>
      <c r="J77" s="285">
        <f t="shared" si="14"/>
        <v>2070845</v>
      </c>
      <c r="K77" s="285">
        <f t="shared" si="14"/>
        <v>2551892</v>
      </c>
      <c r="L77" s="253">
        <f t="shared" si="15"/>
        <v>23.2</v>
      </c>
      <c r="M77" s="26">
        <f>IFERROR(100/'Skjema total MA'!I77*K77,0)</f>
        <v>7.4056521633468897</v>
      </c>
    </row>
    <row r="78" spans="1:15" x14ac:dyDescent="0.2">
      <c r="A78" s="20" t="s">
        <v>9</v>
      </c>
      <c r="B78" s="232">
        <v>180563</v>
      </c>
      <c r="C78" s="143">
        <v>208014</v>
      </c>
      <c r="D78" s="164">
        <f t="shared" si="12"/>
        <v>15.2</v>
      </c>
      <c r="E78" s="26">
        <f>IFERROR(100/'Skjema total MA'!C78*C78,0)</f>
        <v>2.6306047887985065</v>
      </c>
      <c r="F78" s="232"/>
      <c r="G78" s="143"/>
      <c r="H78" s="164"/>
      <c r="I78" s="26"/>
      <c r="J78" s="285">
        <f t="shared" si="14"/>
        <v>180563</v>
      </c>
      <c r="K78" s="285">
        <f t="shared" si="14"/>
        <v>208014</v>
      </c>
      <c r="L78" s="253">
        <f t="shared" si="15"/>
        <v>15.2</v>
      </c>
      <c r="M78" s="26">
        <f>IFERROR(100/'Skjema total MA'!I78*K78,0)</f>
        <v>2.6306047887985065</v>
      </c>
    </row>
    <row r="79" spans="1:15" x14ac:dyDescent="0.2">
      <c r="A79" s="20" t="s">
        <v>10</v>
      </c>
      <c r="B79" s="290"/>
      <c r="C79" s="291"/>
      <c r="D79" s="164"/>
      <c r="E79" s="26"/>
      <c r="F79" s="290">
        <v>1890282</v>
      </c>
      <c r="G79" s="291">
        <v>2343878</v>
      </c>
      <c r="H79" s="164">
        <f t="shared" si="13"/>
        <v>24</v>
      </c>
      <c r="I79" s="26">
        <f>IFERROR(100/'Skjema total MA'!F79*G79,0)</f>
        <v>8.8796556628240459</v>
      </c>
      <c r="J79" s="285">
        <f t="shared" si="14"/>
        <v>1890282</v>
      </c>
      <c r="K79" s="285">
        <f t="shared" si="14"/>
        <v>2343878</v>
      </c>
      <c r="L79" s="253">
        <f t="shared" si="15"/>
        <v>24</v>
      </c>
      <c r="M79" s="26">
        <f>IFERROR(100/'Skjema total MA'!I79*K79,0)</f>
        <v>8.8277507445209107</v>
      </c>
    </row>
    <row r="80" spans="1:15" ht="15.75" x14ac:dyDescent="0.2">
      <c r="A80" s="294" t="s">
        <v>316</v>
      </c>
      <c r="B80" s="279"/>
      <c r="C80" s="279"/>
      <c r="D80" s="164"/>
      <c r="E80" s="414"/>
      <c r="F80" s="279"/>
      <c r="G80" s="279"/>
      <c r="H80" s="164"/>
      <c r="I80" s="414"/>
      <c r="J80" s="288"/>
      <c r="K80" s="288"/>
      <c r="L80" s="164"/>
      <c r="M80" s="22"/>
    </row>
    <row r="81" spans="1:13" x14ac:dyDescent="0.2">
      <c r="A81" s="294" t="s">
        <v>12</v>
      </c>
      <c r="B81" s="233"/>
      <c r="C81" s="287"/>
      <c r="D81" s="164"/>
      <c r="E81" s="414"/>
      <c r="F81" s="279"/>
      <c r="G81" s="279"/>
      <c r="H81" s="164"/>
      <c r="I81" s="414"/>
      <c r="J81" s="288"/>
      <c r="K81" s="288"/>
      <c r="L81" s="164"/>
      <c r="M81" s="22"/>
    </row>
    <row r="82" spans="1:13" x14ac:dyDescent="0.2">
      <c r="A82" s="294" t="s">
        <v>13</v>
      </c>
      <c r="B82" s="233"/>
      <c r="C82" s="287"/>
      <c r="D82" s="164"/>
      <c r="E82" s="414"/>
      <c r="F82" s="279"/>
      <c r="G82" s="279"/>
      <c r="H82" s="164"/>
      <c r="I82" s="414"/>
      <c r="J82" s="288"/>
      <c r="K82" s="288"/>
      <c r="L82" s="164"/>
      <c r="M82" s="22"/>
    </row>
    <row r="83" spans="1:13" ht="15.75" x14ac:dyDescent="0.2">
      <c r="A83" s="294" t="s">
        <v>317</v>
      </c>
      <c r="B83" s="279"/>
      <c r="C83" s="279"/>
      <c r="D83" s="164"/>
      <c r="E83" s="414"/>
      <c r="F83" s="279">
        <v>1890282</v>
      </c>
      <c r="G83" s="279">
        <v>2343878</v>
      </c>
      <c r="H83" s="164">
        <f t="shared" si="13"/>
        <v>24</v>
      </c>
      <c r="I83" s="414">
        <f>IFERROR(100/'Skjema total MA'!F83*G83,0)</f>
        <v>8.8796556628240459</v>
      </c>
      <c r="J83" s="285">
        <f t="shared" si="14"/>
        <v>1890282</v>
      </c>
      <c r="K83" s="285">
        <f t="shared" si="14"/>
        <v>2343878</v>
      </c>
      <c r="L83" s="164">
        <f t="shared" ref="L83" si="18">IF(J83=0, "    ---- ", IF(ABS(ROUND(100/J83*K83-100,1))&lt;999,ROUND(100/J83*K83-100,1),IF(ROUND(100/J83*K83-100,1)&gt;999,999,-999)))</f>
        <v>24</v>
      </c>
      <c r="M83" s="22">
        <f>IFERROR(100/'Skjema total MA'!I83*K83,0)</f>
        <v>8.8277507445209107</v>
      </c>
    </row>
    <row r="84" spans="1:13" x14ac:dyDescent="0.2">
      <c r="A84" s="294" t="s">
        <v>12</v>
      </c>
      <c r="B84" s="233"/>
      <c r="C84" s="287"/>
      <c r="D84" s="164"/>
      <c r="E84" s="414"/>
      <c r="F84" s="279"/>
      <c r="G84" s="279"/>
      <c r="H84" s="164"/>
      <c r="I84" s="414"/>
      <c r="J84" s="288"/>
      <c r="K84" s="288"/>
      <c r="L84" s="164"/>
      <c r="M84" s="22"/>
    </row>
    <row r="85" spans="1:13" x14ac:dyDescent="0.2">
      <c r="A85" s="294" t="s">
        <v>13</v>
      </c>
      <c r="B85" s="233"/>
      <c r="C85" s="287"/>
      <c r="D85" s="164"/>
      <c r="E85" s="414"/>
      <c r="F85" s="279">
        <v>1890282</v>
      </c>
      <c r="G85" s="279">
        <v>2343878</v>
      </c>
      <c r="H85" s="164">
        <f t="shared" si="13"/>
        <v>24</v>
      </c>
      <c r="I85" s="414">
        <f>IFERROR(100/'Skjema total MA'!F85*G85,0)</f>
        <v>8.9929191435019717</v>
      </c>
      <c r="J85" s="285">
        <f t="shared" si="14"/>
        <v>1890282</v>
      </c>
      <c r="K85" s="285">
        <f t="shared" si="14"/>
        <v>2343878</v>
      </c>
      <c r="L85" s="164">
        <f t="shared" ref="L85" si="19">IF(J85=0, "    ---- ", IF(ABS(ROUND(100/J85*K85-100,1))&lt;999,ROUND(100/J85*K85-100,1),IF(ROUND(100/J85*K85-100,1)&gt;999,999,-999)))</f>
        <v>24</v>
      </c>
      <c r="M85" s="22">
        <f>IFERROR(100/'Skjema total MA'!I85*K85,0)</f>
        <v>8.9929191435019717</v>
      </c>
    </row>
    <row r="86" spans="1:13" ht="15.75" x14ac:dyDescent="0.2">
      <c r="A86" s="20" t="s">
        <v>327</v>
      </c>
      <c r="B86" s="232"/>
      <c r="C86" s="143"/>
      <c r="D86" s="164"/>
      <c r="E86" s="26"/>
      <c r="F86" s="232"/>
      <c r="G86" s="143"/>
      <c r="H86" s="164"/>
      <c r="I86" s="26"/>
      <c r="J86" s="285"/>
      <c r="K86" s="285"/>
      <c r="L86" s="253"/>
      <c r="M86" s="26"/>
    </row>
    <row r="87" spans="1:13" ht="15.75" x14ac:dyDescent="0.2">
      <c r="A87" s="13" t="s">
        <v>25</v>
      </c>
      <c r="B87" s="350">
        <f>B88+B89+B96+B97</f>
        <v>4419972</v>
      </c>
      <c r="C87" s="350">
        <f>C88+C89+C96+C97</f>
        <v>4726929</v>
      </c>
      <c r="D87" s="169">
        <f t="shared" si="12"/>
        <v>6.9</v>
      </c>
      <c r="E87" s="11">
        <f>IFERROR(100/'Skjema total MA'!C87*C87,0)</f>
        <v>1.2394751709154834</v>
      </c>
      <c r="F87" s="350">
        <f>F88+F89+F96+F97</f>
        <v>15882147</v>
      </c>
      <c r="G87" s="350">
        <f>G88+G89+G96+G97</f>
        <v>20563404</v>
      </c>
      <c r="H87" s="169">
        <f t="shared" si="13"/>
        <v>29.5</v>
      </c>
      <c r="I87" s="11">
        <f>IFERROR(100/'Skjema total MA'!F87*G87,0)</f>
        <v>9.191350826170698</v>
      </c>
      <c r="J87" s="307">
        <f t="shared" ref="J87:K111" si="20">SUM(B87,F87)</f>
        <v>20302119</v>
      </c>
      <c r="K87" s="307">
        <f t="shared" si="20"/>
        <v>25290333</v>
      </c>
      <c r="L87" s="425">
        <f t="shared" si="15"/>
        <v>24.6</v>
      </c>
      <c r="M87" s="11">
        <f>IFERROR(100/'Skjema total MA'!I87*K87,0)</f>
        <v>4.1795919707735898</v>
      </c>
    </row>
    <row r="88" spans="1:13" x14ac:dyDescent="0.2">
      <c r="A88" s="20" t="s">
        <v>9</v>
      </c>
      <c r="B88" s="232">
        <v>4419972</v>
      </c>
      <c r="C88" s="143">
        <v>4726929</v>
      </c>
      <c r="D88" s="164">
        <f t="shared" si="12"/>
        <v>6.9</v>
      </c>
      <c r="E88" s="26">
        <f>IFERROR(100/'Skjema total MA'!C88*C88,0)</f>
        <v>1.2661219880573009</v>
      </c>
      <c r="F88" s="232"/>
      <c r="G88" s="143"/>
      <c r="H88" s="164"/>
      <c r="I88" s="26"/>
      <c r="J88" s="285">
        <f t="shared" si="20"/>
        <v>4419972</v>
      </c>
      <c r="K88" s="285">
        <f t="shared" si="20"/>
        <v>4726929</v>
      </c>
      <c r="L88" s="253">
        <f t="shared" si="15"/>
        <v>6.9</v>
      </c>
      <c r="M88" s="26">
        <f>IFERROR(100/'Skjema total MA'!I88*K88,0)</f>
        <v>1.2661219880573009</v>
      </c>
    </row>
    <row r="89" spans="1:13" x14ac:dyDescent="0.2">
      <c r="A89" s="20" t="s">
        <v>10</v>
      </c>
      <c r="B89" s="232"/>
      <c r="C89" s="143"/>
      <c r="D89" s="164"/>
      <c r="E89" s="26"/>
      <c r="F89" s="232">
        <v>15882147</v>
      </c>
      <c r="G89" s="143">
        <v>20563404</v>
      </c>
      <c r="H89" s="164">
        <f t="shared" si="13"/>
        <v>29.5</v>
      </c>
      <c r="I89" s="26">
        <f>IFERROR(100/'Skjema total MA'!F89*G89,0)</f>
        <v>9.2201552519414651</v>
      </c>
      <c r="J89" s="285">
        <f t="shared" si="20"/>
        <v>15882147</v>
      </c>
      <c r="K89" s="285">
        <f t="shared" si="20"/>
        <v>20563404</v>
      </c>
      <c r="L89" s="253">
        <f t="shared" si="15"/>
        <v>29.5</v>
      </c>
      <c r="M89" s="26">
        <f>IFERROR(100/'Skjema total MA'!I89*K89,0)</f>
        <v>9.1173525315393587</v>
      </c>
    </row>
    <row r="90" spans="1:13" ht="15.75" x14ac:dyDescent="0.2">
      <c r="A90" s="294" t="s">
        <v>316</v>
      </c>
      <c r="B90" s="279"/>
      <c r="C90" s="279"/>
      <c r="D90" s="164"/>
      <c r="E90" s="414"/>
      <c r="F90" s="279"/>
      <c r="G90" s="279"/>
      <c r="H90" s="164"/>
      <c r="I90" s="414"/>
      <c r="J90" s="288"/>
      <c r="K90" s="288"/>
      <c r="L90" s="164"/>
      <c r="M90" s="22"/>
    </row>
    <row r="91" spans="1:13" x14ac:dyDescent="0.2">
      <c r="A91" s="294" t="s">
        <v>12</v>
      </c>
      <c r="B91" s="233"/>
      <c r="C91" s="287"/>
      <c r="D91" s="164"/>
      <c r="E91" s="414"/>
      <c r="F91" s="279"/>
      <c r="G91" s="279"/>
      <c r="H91" s="164"/>
      <c r="I91" s="414"/>
      <c r="J91" s="288"/>
      <c r="K91" s="288"/>
      <c r="L91" s="164"/>
      <c r="M91" s="22"/>
    </row>
    <row r="92" spans="1:13" x14ac:dyDescent="0.2">
      <c r="A92" s="294" t="s">
        <v>13</v>
      </c>
      <c r="B92" s="233"/>
      <c r="C92" s="287"/>
      <c r="D92" s="164"/>
      <c r="E92" s="414"/>
      <c r="F92" s="279"/>
      <c r="G92" s="279"/>
      <c r="H92" s="164"/>
      <c r="I92" s="414"/>
      <c r="J92" s="288"/>
      <c r="K92" s="288"/>
      <c r="L92" s="164"/>
      <c r="M92" s="22"/>
    </row>
    <row r="93" spans="1:13" ht="15.75" x14ac:dyDescent="0.2">
      <c r="A93" s="294" t="s">
        <v>317</v>
      </c>
      <c r="B93" s="279"/>
      <c r="C93" s="279"/>
      <c r="D93" s="164"/>
      <c r="E93" s="414"/>
      <c r="F93" s="279">
        <v>15882147</v>
      </c>
      <c r="G93" s="279">
        <v>20563404</v>
      </c>
      <c r="H93" s="164">
        <f t="shared" si="13"/>
        <v>29.5</v>
      </c>
      <c r="I93" s="414">
        <f>IFERROR(100/'Skjema total MA'!F93*G93,0)</f>
        <v>9.2263529999361946</v>
      </c>
      <c r="J93" s="285">
        <f t="shared" ref="J93:K93" si="21">SUM(B93,F93)</f>
        <v>15882147</v>
      </c>
      <c r="K93" s="285">
        <f t="shared" si="21"/>
        <v>20563404</v>
      </c>
      <c r="L93" s="164">
        <f t="shared" ref="L93" si="22">IF(J93=0, "    ---- ", IF(ABS(ROUND(100/J93*K93-100,1))&lt;999,ROUND(100/J93*K93-100,1),IF(ROUND(100/J93*K93-100,1)&gt;999,999,-999)))</f>
        <v>29.5</v>
      </c>
      <c r="M93" s="22">
        <f>IFERROR(100/'Skjema total MA'!I93*K93,0)</f>
        <v>9.1234127975256119</v>
      </c>
    </row>
    <row r="94" spans="1:13" x14ac:dyDescent="0.2">
      <c r="A94" s="294" t="s">
        <v>12</v>
      </c>
      <c r="B94" s="233"/>
      <c r="C94" s="287"/>
      <c r="D94" s="164"/>
      <c r="E94" s="414"/>
      <c r="F94" s="279"/>
      <c r="G94" s="279"/>
      <c r="H94" s="164"/>
      <c r="I94" s="414"/>
      <c r="J94" s="288"/>
      <c r="K94" s="288"/>
      <c r="L94" s="164"/>
      <c r="M94" s="22"/>
    </row>
    <row r="95" spans="1:13" x14ac:dyDescent="0.2">
      <c r="A95" s="294" t="s">
        <v>13</v>
      </c>
      <c r="B95" s="233"/>
      <c r="C95" s="287"/>
      <c r="D95" s="164"/>
      <c r="E95" s="414"/>
      <c r="F95" s="279">
        <v>15882147</v>
      </c>
      <c r="G95" s="279">
        <v>20563404</v>
      </c>
      <c r="H95" s="164">
        <f t="shared" si="13"/>
        <v>29.5</v>
      </c>
      <c r="I95" s="414">
        <f>IFERROR(100/'Skjema total MA'!F95*G95,0)</f>
        <v>9.3650396526321646</v>
      </c>
      <c r="J95" s="285">
        <f t="shared" ref="J95:K95" si="23">SUM(B95,F95)</f>
        <v>15882147</v>
      </c>
      <c r="K95" s="285">
        <f t="shared" si="23"/>
        <v>20563404</v>
      </c>
      <c r="L95" s="164">
        <f t="shared" ref="L95" si="24">IF(J95=0, "    ---- ", IF(ABS(ROUND(100/J95*K95-100,1))&lt;999,ROUND(100/J95*K95-100,1),IF(ROUND(100/J95*K95-100,1)&gt;999,999,-999)))</f>
        <v>29.5</v>
      </c>
      <c r="M95" s="22">
        <f>IFERROR(100/'Skjema total MA'!I95*K95,0)</f>
        <v>9.3650396526321646</v>
      </c>
    </row>
    <row r="96" spans="1:13" x14ac:dyDescent="0.2">
      <c r="A96" s="20" t="s">
        <v>393</v>
      </c>
      <c r="B96" s="232"/>
      <c r="C96" s="143"/>
      <c r="D96" s="164"/>
      <c r="E96" s="26"/>
      <c r="F96" s="232"/>
      <c r="G96" s="143"/>
      <c r="H96" s="164"/>
      <c r="I96" s="26"/>
      <c r="J96" s="285"/>
      <c r="K96" s="285"/>
      <c r="L96" s="253"/>
      <c r="M96" s="26"/>
    </row>
    <row r="97" spans="1:13" x14ac:dyDescent="0.2">
      <c r="A97" s="20" t="s">
        <v>392</v>
      </c>
      <c r="B97" s="232"/>
      <c r="C97" s="143"/>
      <c r="D97" s="164"/>
      <c r="E97" s="26"/>
      <c r="F97" s="232"/>
      <c r="G97" s="143"/>
      <c r="H97" s="164"/>
      <c r="I97" s="26"/>
      <c r="J97" s="285"/>
      <c r="K97" s="285"/>
      <c r="L97" s="253"/>
      <c r="M97" s="26"/>
    </row>
    <row r="98" spans="1:13" ht="15.75" x14ac:dyDescent="0.2">
      <c r="A98" s="20" t="s">
        <v>318</v>
      </c>
      <c r="B98" s="232">
        <v>4419972</v>
      </c>
      <c r="C98" s="232">
        <v>4726929</v>
      </c>
      <c r="D98" s="164">
        <f t="shared" si="12"/>
        <v>6.9</v>
      </c>
      <c r="E98" s="26">
        <f>IFERROR(100/'Skjema total MA'!C98*C98,0)</f>
        <v>1.2710928925716973</v>
      </c>
      <c r="F98" s="290">
        <v>15882147</v>
      </c>
      <c r="G98" s="290">
        <v>20563404</v>
      </c>
      <c r="H98" s="164">
        <f t="shared" si="13"/>
        <v>29.5</v>
      </c>
      <c r="I98" s="26">
        <f>IFERROR(100/'Skjema total MA'!F98*G98,0)</f>
        <v>9.2448306080215197</v>
      </c>
      <c r="J98" s="285">
        <f t="shared" si="20"/>
        <v>20302119</v>
      </c>
      <c r="K98" s="285">
        <f t="shared" si="20"/>
        <v>25290333</v>
      </c>
      <c r="L98" s="253">
        <f t="shared" si="15"/>
        <v>24.6</v>
      </c>
      <c r="M98" s="26">
        <f>IFERROR(100/'Skjema total MA'!I98*K98,0)</f>
        <v>4.255407459564343</v>
      </c>
    </row>
    <row r="99" spans="1:13" x14ac:dyDescent="0.2">
      <c r="A99" s="20" t="s">
        <v>9</v>
      </c>
      <c r="B99" s="290">
        <v>4419972</v>
      </c>
      <c r="C99" s="291">
        <v>4726929</v>
      </c>
      <c r="D99" s="164">
        <f t="shared" si="12"/>
        <v>6.9</v>
      </c>
      <c r="E99" s="26">
        <f>IFERROR(100/'Skjema total MA'!C99*C99,0)</f>
        <v>1.2797468532065797</v>
      </c>
      <c r="F99" s="232"/>
      <c r="G99" s="143"/>
      <c r="H99" s="164"/>
      <c r="I99" s="26"/>
      <c r="J99" s="285">
        <f t="shared" si="20"/>
        <v>4419972</v>
      </c>
      <c r="K99" s="285">
        <f t="shared" si="20"/>
        <v>4726929</v>
      </c>
      <c r="L99" s="253">
        <f t="shared" si="15"/>
        <v>6.9</v>
      </c>
      <c r="M99" s="26">
        <f>IFERROR(100/'Skjema total MA'!I99*K99,0)</f>
        <v>1.2797468532065797</v>
      </c>
    </row>
    <row r="100" spans="1:13" x14ac:dyDescent="0.2">
      <c r="A100" s="20" t="s">
        <v>10</v>
      </c>
      <c r="B100" s="290"/>
      <c r="C100" s="291"/>
      <c r="D100" s="164"/>
      <c r="E100" s="26"/>
      <c r="F100" s="232">
        <v>15882147</v>
      </c>
      <c r="G100" s="232">
        <v>20563404</v>
      </c>
      <c r="H100" s="164">
        <f t="shared" si="13"/>
        <v>29.5</v>
      </c>
      <c r="I100" s="26">
        <f>IFERROR(100/'Skjema total MA'!F100*G100,0)</f>
        <v>9.2448306080215197</v>
      </c>
      <c r="J100" s="285">
        <f t="shared" si="20"/>
        <v>15882147</v>
      </c>
      <c r="K100" s="285">
        <f t="shared" si="20"/>
        <v>20563404</v>
      </c>
      <c r="L100" s="253">
        <f t="shared" si="15"/>
        <v>29.5</v>
      </c>
      <c r="M100" s="26">
        <f>IFERROR(100/'Skjema total MA'!I100*K100,0)</f>
        <v>9.1414799855715856</v>
      </c>
    </row>
    <row r="101" spans="1:13" ht="15.75" x14ac:dyDescent="0.2">
      <c r="A101" s="294" t="s">
        <v>316</v>
      </c>
      <c r="B101" s="279"/>
      <c r="C101" s="279"/>
      <c r="D101" s="164"/>
      <c r="E101" s="414"/>
      <c r="F101" s="279"/>
      <c r="G101" s="279"/>
      <c r="H101" s="164"/>
      <c r="I101" s="414"/>
      <c r="J101" s="288"/>
      <c r="K101" s="288"/>
      <c r="L101" s="164"/>
      <c r="M101" s="22"/>
    </row>
    <row r="102" spans="1:13" x14ac:dyDescent="0.2">
      <c r="A102" s="294" t="s">
        <v>12</v>
      </c>
      <c r="B102" s="233"/>
      <c r="C102" s="287"/>
      <c r="D102" s="164"/>
      <c r="E102" s="414"/>
      <c r="F102" s="279"/>
      <c r="G102" s="279"/>
      <c r="H102" s="164"/>
      <c r="I102" s="414"/>
      <c r="J102" s="288"/>
      <c r="K102" s="288"/>
      <c r="L102" s="164"/>
      <c r="M102" s="22"/>
    </row>
    <row r="103" spans="1:13" x14ac:dyDescent="0.2">
      <c r="A103" s="294" t="s">
        <v>13</v>
      </c>
      <c r="B103" s="233"/>
      <c r="C103" s="287"/>
      <c r="D103" s="164"/>
      <c r="E103" s="414"/>
      <c r="F103" s="279"/>
      <c r="G103" s="279"/>
      <c r="H103" s="164"/>
      <c r="I103" s="414"/>
      <c r="J103" s="288"/>
      <c r="K103" s="288"/>
      <c r="L103" s="164"/>
      <c r="M103" s="22"/>
    </row>
    <row r="104" spans="1:13" ht="15.75" x14ac:dyDescent="0.2">
      <c r="A104" s="294" t="s">
        <v>317</v>
      </c>
      <c r="B104" s="279"/>
      <c r="C104" s="279"/>
      <c r="D104" s="164"/>
      <c r="E104" s="414"/>
      <c r="F104" s="279">
        <v>15882147</v>
      </c>
      <c r="G104" s="279">
        <v>20563404</v>
      </c>
      <c r="H104" s="164">
        <f t="shared" si="13"/>
        <v>29.5</v>
      </c>
      <c r="I104" s="414">
        <f>IFERROR(100/'Skjema total MA'!F104*G104,0)</f>
        <v>9.2448306080215197</v>
      </c>
      <c r="J104" s="285">
        <f t="shared" ref="J104:K104" si="25">SUM(B104,F104)</f>
        <v>15882147</v>
      </c>
      <c r="K104" s="285">
        <f t="shared" si="25"/>
        <v>20563404</v>
      </c>
      <c r="L104" s="164">
        <f t="shared" ref="L104" si="26">IF(J104=0, "    ---- ", IF(ABS(ROUND(100/J104*K104-100,1))&lt;999,ROUND(100/J104*K104-100,1),IF(ROUND(100/J104*K104-100,1)&gt;999,999,-999)))</f>
        <v>29.5</v>
      </c>
      <c r="M104" s="22">
        <f>IFERROR(100/'Skjema total MA'!I104*K104,0)</f>
        <v>9.1414799855715856</v>
      </c>
    </row>
    <row r="105" spans="1:13" x14ac:dyDescent="0.2">
      <c r="A105" s="294" t="s">
        <v>12</v>
      </c>
      <c r="B105" s="233"/>
      <c r="C105" s="287"/>
      <c r="D105" s="164"/>
      <c r="E105" s="414"/>
      <c r="F105" s="279"/>
      <c r="G105" s="279"/>
      <c r="H105" s="164"/>
      <c r="I105" s="414"/>
      <c r="J105" s="288"/>
      <c r="K105" s="288"/>
      <c r="L105" s="164"/>
      <c r="M105" s="22"/>
    </row>
    <row r="106" spans="1:13" x14ac:dyDescent="0.2">
      <c r="A106" s="294" t="s">
        <v>13</v>
      </c>
      <c r="B106" s="233"/>
      <c r="C106" s="287"/>
      <c r="D106" s="164"/>
      <c r="E106" s="414"/>
      <c r="F106" s="279">
        <v>15882147</v>
      </c>
      <c r="G106" s="279">
        <v>20563404</v>
      </c>
      <c r="H106" s="164">
        <f t="shared" si="13"/>
        <v>29.5</v>
      </c>
      <c r="I106" s="414">
        <f>IFERROR(100/'Skjema total MA'!F106*G106,0)</f>
        <v>9.3676382629844692</v>
      </c>
      <c r="J106" s="285">
        <f t="shared" ref="J106:K106" si="27">SUM(B106,F106)</f>
        <v>15882147</v>
      </c>
      <c r="K106" s="285">
        <f t="shared" si="27"/>
        <v>20563404</v>
      </c>
      <c r="L106" s="164">
        <f t="shared" ref="L106" si="28">IF(J106=0, "    ---- ", IF(ABS(ROUND(100/J106*K106-100,1))&lt;999,ROUND(100/J106*K106-100,1),IF(ROUND(100/J106*K106-100,1)&gt;999,999,-999)))</f>
        <v>29.5</v>
      </c>
      <c r="M106" s="22">
        <f>IFERROR(100/'Skjema total MA'!I106*K106,0)</f>
        <v>9.3676382629844692</v>
      </c>
    </row>
    <row r="107" spans="1:13" ht="15.75" x14ac:dyDescent="0.2">
      <c r="A107" s="20" t="s">
        <v>327</v>
      </c>
      <c r="B107" s="232"/>
      <c r="C107" s="143"/>
      <c r="D107" s="164"/>
      <c r="E107" s="26"/>
      <c r="F107" s="232"/>
      <c r="G107" s="143"/>
      <c r="H107" s="164"/>
      <c r="I107" s="26"/>
      <c r="J107" s="285"/>
      <c r="K107" s="43"/>
      <c r="L107" s="253"/>
      <c r="M107" s="26"/>
    </row>
    <row r="108" spans="1:13" ht="15.75" x14ac:dyDescent="0.2">
      <c r="A108" s="20" t="s">
        <v>328</v>
      </c>
      <c r="B108" s="232">
        <v>3457092</v>
      </c>
      <c r="C108" s="232">
        <v>3995480</v>
      </c>
      <c r="D108" s="164">
        <f t="shared" si="12"/>
        <v>15.6</v>
      </c>
      <c r="E108" s="26">
        <f>IFERROR(100/'Skjema total MA'!C108*C108,0)</f>
        <v>1.3263389374704349</v>
      </c>
      <c r="F108" s="232"/>
      <c r="G108" s="232"/>
      <c r="H108" s="164"/>
      <c r="I108" s="26"/>
      <c r="J108" s="285">
        <f t="shared" si="20"/>
        <v>3457092</v>
      </c>
      <c r="K108" s="43">
        <f t="shared" si="20"/>
        <v>3995480</v>
      </c>
      <c r="L108" s="253">
        <f t="shared" si="15"/>
        <v>15.6</v>
      </c>
      <c r="M108" s="26">
        <f>IFERROR(100/'Skjema total MA'!I108*K108,0)</f>
        <v>1.2952130872704164</v>
      </c>
    </row>
    <row r="109" spans="1:13" ht="15.75" x14ac:dyDescent="0.2">
      <c r="A109" s="20" t="s">
        <v>320</v>
      </c>
      <c r="B109" s="232"/>
      <c r="C109" s="232"/>
      <c r="D109" s="164"/>
      <c r="E109" s="26"/>
      <c r="F109" s="232">
        <v>5284724</v>
      </c>
      <c r="G109" s="232">
        <v>6914666</v>
      </c>
      <c r="H109" s="164">
        <f t="shared" si="13"/>
        <v>30.8</v>
      </c>
      <c r="I109" s="26">
        <f>IFERROR(100/'Skjema total MA'!F109*G109,0)</f>
        <v>9.4222996341572127</v>
      </c>
      <c r="J109" s="285">
        <f t="shared" si="20"/>
        <v>5284724</v>
      </c>
      <c r="K109" s="43">
        <f t="shared" si="20"/>
        <v>6914666</v>
      </c>
      <c r="L109" s="253">
        <f t="shared" si="15"/>
        <v>30.8</v>
      </c>
      <c r="M109" s="26">
        <f>IFERROR(100/'Skjema total MA'!I109*K109,0)</f>
        <v>9.322641055452916</v>
      </c>
    </row>
    <row r="110" spans="1:13" ht="15.75" x14ac:dyDescent="0.2">
      <c r="A110" s="20" t="s">
        <v>321</v>
      </c>
      <c r="B110" s="232"/>
      <c r="C110" s="232"/>
      <c r="D110" s="164"/>
      <c r="E110" s="26"/>
      <c r="F110" s="232"/>
      <c r="G110" s="232"/>
      <c r="H110" s="164"/>
      <c r="I110" s="26"/>
      <c r="J110" s="285"/>
      <c r="K110" s="43"/>
      <c r="L110" s="253"/>
      <c r="M110" s="26"/>
    </row>
    <row r="111" spans="1:13" ht="15.75" x14ac:dyDescent="0.2">
      <c r="A111" s="13" t="s">
        <v>24</v>
      </c>
      <c r="B111" s="306">
        <f>SUM(B112:B114)</f>
        <v>66453</v>
      </c>
      <c r="C111" s="157">
        <f>SUM(C112:C114)</f>
        <v>91259</v>
      </c>
      <c r="D111" s="169">
        <f t="shared" si="12"/>
        <v>37.299999999999997</v>
      </c>
      <c r="E111" s="11">
        <f>IFERROR(100/'Skjema total MA'!C111*C111,0)</f>
        <v>16.569128497742742</v>
      </c>
      <c r="F111" s="306">
        <f>SUM(F112:F114)</f>
        <v>1020537</v>
      </c>
      <c r="G111" s="157">
        <f>SUM(G112:G114)</f>
        <v>1898054</v>
      </c>
      <c r="H111" s="169">
        <f t="shared" si="13"/>
        <v>86</v>
      </c>
      <c r="I111" s="11">
        <f>IFERROR(100/'Skjema total MA'!F111*G111,0)</f>
        <v>19.776268208529171</v>
      </c>
      <c r="J111" s="307">
        <f t="shared" si="20"/>
        <v>1086990</v>
      </c>
      <c r="K111" s="234">
        <f t="shared" si="20"/>
        <v>1989313</v>
      </c>
      <c r="L111" s="425">
        <f t="shared" si="15"/>
        <v>83</v>
      </c>
      <c r="M111" s="11">
        <f>IFERROR(100/'Skjema total MA'!I111*K111,0)</f>
        <v>19.602209473123573</v>
      </c>
    </row>
    <row r="112" spans="1:13" x14ac:dyDescent="0.2">
      <c r="A112" s="20" t="s">
        <v>9</v>
      </c>
      <c r="B112" s="232">
        <v>66453</v>
      </c>
      <c r="C112" s="143">
        <v>91259</v>
      </c>
      <c r="D112" s="164">
        <f t="shared" ref="D112:D124" si="29">IF(B112=0, "    ---- ", IF(ABS(ROUND(100/B112*C112-100,1))&lt;999,ROUND(100/B112*C112-100,1),IF(ROUND(100/B112*C112-100,1)&gt;999,999,-999)))</f>
        <v>37.299999999999997</v>
      </c>
      <c r="E112" s="26">
        <f>IFERROR(100/'Skjema total MA'!C112*C112,0)</f>
        <v>16.77967798050835</v>
      </c>
      <c r="F112" s="232"/>
      <c r="G112" s="143"/>
      <c r="H112" s="164"/>
      <c r="I112" s="26"/>
      <c r="J112" s="285">
        <f t="shared" ref="J112:K125" si="30">SUM(B112,F112)</f>
        <v>66453</v>
      </c>
      <c r="K112" s="43">
        <f t="shared" si="30"/>
        <v>91259</v>
      </c>
      <c r="L112" s="253">
        <f t="shared" ref="L112:L125" si="31">IF(J112=0, "    ---- ", IF(ABS(ROUND(100/J112*K112-100,1))&lt;999,ROUND(100/J112*K112-100,1),IF(ROUND(100/J112*K112-100,1)&gt;999,999,-999)))</f>
        <v>37.299999999999997</v>
      </c>
      <c r="M112" s="26">
        <f>IFERROR(100/'Skjema total MA'!I112*K112,0)</f>
        <v>16.77967798050835</v>
      </c>
    </row>
    <row r="113" spans="1:14" x14ac:dyDescent="0.2">
      <c r="A113" s="20" t="s">
        <v>10</v>
      </c>
      <c r="B113" s="232"/>
      <c r="C113" s="143"/>
      <c r="D113" s="164"/>
      <c r="E113" s="26"/>
      <c r="F113" s="232">
        <v>1020537</v>
      </c>
      <c r="G113" s="143">
        <v>1898054</v>
      </c>
      <c r="H113" s="164">
        <f t="shared" ref="H113:H125" si="32">IF(F113=0, "    ---- ", IF(ABS(ROUND(100/F113*G113-100,1))&lt;999,ROUND(100/F113*G113-100,1),IF(ROUND(100/F113*G113-100,1)&gt;999,999,-999)))</f>
        <v>86</v>
      </c>
      <c r="I113" s="26">
        <f>IFERROR(100/'Skjema total MA'!F113*G113,0)</f>
        <v>19.778747399168171</v>
      </c>
      <c r="J113" s="285">
        <f t="shared" si="30"/>
        <v>1020537</v>
      </c>
      <c r="K113" s="43">
        <f t="shared" si="30"/>
        <v>1898054</v>
      </c>
      <c r="L113" s="253">
        <f t="shared" si="31"/>
        <v>86</v>
      </c>
      <c r="M113" s="26">
        <f>IFERROR(100/'Skjema total MA'!I113*K113,0)</f>
        <v>19.772937180252931</v>
      </c>
    </row>
    <row r="114" spans="1:14" x14ac:dyDescent="0.2">
      <c r="A114" s="20" t="s">
        <v>29</v>
      </c>
      <c r="B114" s="232"/>
      <c r="C114" s="143"/>
      <c r="D114" s="164"/>
      <c r="E114" s="26"/>
      <c r="F114" s="232"/>
      <c r="G114" s="143"/>
      <c r="H114" s="164"/>
      <c r="I114" s="26"/>
      <c r="J114" s="285"/>
      <c r="K114" s="43"/>
      <c r="L114" s="253"/>
      <c r="M114" s="26"/>
    </row>
    <row r="115" spans="1:14" x14ac:dyDescent="0.2">
      <c r="A115" s="294" t="s">
        <v>15</v>
      </c>
      <c r="B115" s="279"/>
      <c r="C115" s="279"/>
      <c r="D115" s="164"/>
      <c r="E115" s="414"/>
      <c r="F115" s="279"/>
      <c r="G115" s="279"/>
      <c r="H115" s="164"/>
      <c r="I115" s="414"/>
      <c r="J115" s="288"/>
      <c r="K115" s="288"/>
      <c r="L115" s="164"/>
      <c r="M115" s="22"/>
    </row>
    <row r="116" spans="1:14" ht="15.75" x14ac:dyDescent="0.2">
      <c r="A116" s="20" t="s">
        <v>329</v>
      </c>
      <c r="B116" s="232">
        <v>9977</v>
      </c>
      <c r="C116" s="232">
        <v>0</v>
      </c>
      <c r="D116" s="164">
        <f t="shared" si="29"/>
        <v>-100</v>
      </c>
      <c r="E116" s="26">
        <f>IFERROR(100/'Skjema total MA'!C116*C116,0)</f>
        <v>0</v>
      </c>
      <c r="F116" s="232"/>
      <c r="G116" s="232"/>
      <c r="H116" s="164"/>
      <c r="I116" s="26"/>
      <c r="J116" s="285">
        <f t="shared" si="30"/>
        <v>9977</v>
      </c>
      <c r="K116" s="43">
        <f t="shared" si="30"/>
        <v>0</v>
      </c>
      <c r="L116" s="253">
        <f t="shared" si="31"/>
        <v>-100</v>
      </c>
      <c r="M116" s="26">
        <f>IFERROR(100/'Skjema total MA'!I116*K116,0)</f>
        <v>0</v>
      </c>
    </row>
    <row r="117" spans="1:14" ht="15.75" x14ac:dyDescent="0.2">
      <c r="A117" s="20" t="s">
        <v>322</v>
      </c>
      <c r="B117" s="232"/>
      <c r="C117" s="232"/>
      <c r="D117" s="164"/>
      <c r="E117" s="26"/>
      <c r="F117" s="232">
        <v>105236</v>
      </c>
      <c r="G117" s="232">
        <v>188788</v>
      </c>
      <c r="H117" s="164">
        <f t="shared" si="32"/>
        <v>79.400000000000006</v>
      </c>
      <c r="I117" s="26">
        <f>IFERROR(100/'Skjema total MA'!F117*G117,0)</f>
        <v>9.7656085369361723</v>
      </c>
      <c r="J117" s="285">
        <f t="shared" si="30"/>
        <v>105236</v>
      </c>
      <c r="K117" s="43">
        <f t="shared" si="30"/>
        <v>188788</v>
      </c>
      <c r="L117" s="253">
        <f t="shared" si="31"/>
        <v>79.400000000000006</v>
      </c>
      <c r="M117" s="26">
        <f>IFERROR(100/'Skjema total MA'!I117*K117,0)</f>
        <v>9.7609410631744034</v>
      </c>
    </row>
    <row r="118" spans="1:14" ht="15.75" x14ac:dyDescent="0.2">
      <c r="A118" s="20" t="s">
        <v>321</v>
      </c>
      <c r="B118" s="232"/>
      <c r="C118" s="232"/>
      <c r="D118" s="164"/>
      <c r="E118" s="26"/>
      <c r="F118" s="232"/>
      <c r="G118" s="232"/>
      <c r="H118" s="164"/>
      <c r="I118" s="26"/>
      <c r="J118" s="285"/>
      <c r="K118" s="43"/>
      <c r="L118" s="253"/>
      <c r="M118" s="26"/>
    </row>
    <row r="119" spans="1:14" ht="15.75" x14ac:dyDescent="0.2">
      <c r="A119" s="13" t="s">
        <v>23</v>
      </c>
      <c r="B119" s="306">
        <f>SUM(B120:B122)</f>
        <v>45931</v>
      </c>
      <c r="C119" s="157">
        <f>SUM(C120:C122)</f>
        <v>42063</v>
      </c>
      <c r="D119" s="169">
        <f t="shared" si="29"/>
        <v>-8.4</v>
      </c>
      <c r="E119" s="11">
        <f>IFERROR(100/'Skjema total MA'!C119*C119,0)</f>
        <v>9.3707219934395098</v>
      </c>
      <c r="F119" s="306">
        <f>SUM(F120:F122)</f>
        <v>643263</v>
      </c>
      <c r="G119" s="157">
        <f>SUM(G120:G122)</f>
        <v>1184244</v>
      </c>
      <c r="H119" s="169">
        <f t="shared" si="32"/>
        <v>84.1</v>
      </c>
      <c r="I119" s="11">
        <f>IFERROR(100/'Skjema total MA'!F119*G119,0)</f>
        <v>12.142790243107484</v>
      </c>
      <c r="J119" s="307">
        <f t="shared" si="30"/>
        <v>689194</v>
      </c>
      <c r="K119" s="234">
        <f t="shared" si="30"/>
        <v>1226307</v>
      </c>
      <c r="L119" s="425">
        <f t="shared" si="31"/>
        <v>77.900000000000006</v>
      </c>
      <c r="M119" s="11">
        <f>IFERROR(100/'Skjema total MA'!I119*K119,0)</f>
        <v>12.02081663407561</v>
      </c>
    </row>
    <row r="120" spans="1:14" x14ac:dyDescent="0.2">
      <c r="A120" s="20" t="s">
        <v>9</v>
      </c>
      <c r="B120" s="232">
        <v>45931</v>
      </c>
      <c r="C120" s="143">
        <v>42063</v>
      </c>
      <c r="D120" s="164">
        <f t="shared" si="29"/>
        <v>-8.4</v>
      </c>
      <c r="E120" s="26">
        <f>IFERROR(100/'Skjema total MA'!C120*C120,0)</f>
        <v>10.230039964657641</v>
      </c>
      <c r="F120" s="232">
        <v>0</v>
      </c>
      <c r="G120" s="143">
        <v>0</v>
      </c>
      <c r="H120" s="164" t="str">
        <f t="shared" si="32"/>
        <v xml:space="preserve">    ---- </v>
      </c>
      <c r="I120" s="26">
        <f>IFERROR(100/'Skjema total MA'!F120*G120,0)</f>
        <v>0</v>
      </c>
      <c r="J120" s="285">
        <f t="shared" si="30"/>
        <v>45931</v>
      </c>
      <c r="K120" s="43">
        <f t="shared" si="30"/>
        <v>42063</v>
      </c>
      <c r="L120" s="253">
        <f t="shared" si="31"/>
        <v>-8.4</v>
      </c>
      <c r="M120" s="26">
        <f>IFERROR(100/'Skjema total MA'!I120*K120,0)</f>
        <v>10.230039964657641</v>
      </c>
    </row>
    <row r="121" spans="1:14" x14ac:dyDescent="0.2">
      <c r="A121" s="20" t="s">
        <v>10</v>
      </c>
      <c r="B121" s="232"/>
      <c r="C121" s="143"/>
      <c r="D121" s="164"/>
      <c r="E121" s="26"/>
      <c r="F121" s="232">
        <v>643263</v>
      </c>
      <c r="G121" s="143">
        <v>1184244</v>
      </c>
      <c r="H121" s="164">
        <f t="shared" si="32"/>
        <v>84.1</v>
      </c>
      <c r="I121" s="26">
        <f>IFERROR(100/'Skjema total MA'!F121*G121,0)</f>
        <v>12.142790243107484</v>
      </c>
      <c r="J121" s="285">
        <f t="shared" si="30"/>
        <v>643263</v>
      </c>
      <c r="K121" s="43">
        <f t="shared" si="30"/>
        <v>1184244</v>
      </c>
      <c r="L121" s="253">
        <f t="shared" si="31"/>
        <v>84.1</v>
      </c>
      <c r="M121" s="26">
        <f>IFERROR(100/'Skjema total MA'!I121*K121,0)</f>
        <v>12.09644323708671</v>
      </c>
    </row>
    <row r="122" spans="1:14" x14ac:dyDescent="0.2">
      <c r="A122" s="20" t="s">
        <v>29</v>
      </c>
      <c r="B122" s="232"/>
      <c r="C122" s="143"/>
      <c r="D122" s="164"/>
      <c r="E122" s="26"/>
      <c r="F122" s="232"/>
      <c r="G122" s="143"/>
      <c r="H122" s="164"/>
      <c r="I122" s="26"/>
      <c r="J122" s="285"/>
      <c r="K122" s="43"/>
      <c r="L122" s="253"/>
      <c r="M122" s="26"/>
    </row>
    <row r="123" spans="1:14" x14ac:dyDescent="0.2">
      <c r="A123" s="294" t="s">
        <v>14</v>
      </c>
      <c r="B123" s="279"/>
      <c r="C123" s="279"/>
      <c r="D123" s="164"/>
      <c r="E123" s="414"/>
      <c r="F123" s="279"/>
      <c r="G123" s="279"/>
      <c r="H123" s="164"/>
      <c r="I123" s="414"/>
      <c r="J123" s="288"/>
      <c r="K123" s="288"/>
      <c r="L123" s="164"/>
      <c r="M123" s="22"/>
    </row>
    <row r="124" spans="1:14" ht="15.75" x14ac:dyDescent="0.2">
      <c r="A124" s="20" t="s">
        <v>319</v>
      </c>
      <c r="B124" s="232">
        <v>28</v>
      </c>
      <c r="C124" s="232">
        <v>0</v>
      </c>
      <c r="D124" s="164">
        <f t="shared" si="29"/>
        <v>-100</v>
      </c>
      <c r="E124" s="26">
        <f>IFERROR(100/'Skjema total MA'!C124*C124,0)</f>
        <v>0</v>
      </c>
      <c r="F124" s="232"/>
      <c r="G124" s="232"/>
      <c r="H124" s="164"/>
      <c r="I124" s="26"/>
      <c r="J124" s="285">
        <f t="shared" si="30"/>
        <v>28</v>
      </c>
      <c r="K124" s="43">
        <f t="shared" si="30"/>
        <v>0</v>
      </c>
      <c r="L124" s="253">
        <f t="shared" si="31"/>
        <v>-100</v>
      </c>
      <c r="M124" s="26">
        <f>IFERROR(100/'Skjema total MA'!I124*K124,0)</f>
        <v>0</v>
      </c>
    </row>
    <row r="125" spans="1:14" ht="15.75" x14ac:dyDescent="0.2">
      <c r="A125" s="20" t="s">
        <v>320</v>
      </c>
      <c r="B125" s="232"/>
      <c r="C125" s="232"/>
      <c r="D125" s="164"/>
      <c r="E125" s="26"/>
      <c r="F125" s="232">
        <v>124072</v>
      </c>
      <c r="G125" s="232">
        <v>213656</v>
      </c>
      <c r="H125" s="164">
        <f t="shared" si="32"/>
        <v>72.2</v>
      </c>
      <c r="I125" s="26">
        <f>IFERROR(100/'Skjema total MA'!F125*G125,0)</f>
        <v>11.640154287346265</v>
      </c>
      <c r="J125" s="285">
        <f t="shared" si="30"/>
        <v>124072</v>
      </c>
      <c r="K125" s="43">
        <f t="shared" si="30"/>
        <v>213656</v>
      </c>
      <c r="L125" s="253">
        <f t="shared" si="31"/>
        <v>72.2</v>
      </c>
      <c r="M125" s="26">
        <f>IFERROR(100/'Skjema total MA'!I125*K125,0)</f>
        <v>11.609829025396579</v>
      </c>
    </row>
    <row r="126" spans="1:14" ht="15.75" x14ac:dyDescent="0.2">
      <c r="A126" s="10" t="s">
        <v>321</v>
      </c>
      <c r="B126" s="44"/>
      <c r="C126" s="44"/>
      <c r="D126" s="165"/>
      <c r="E126" s="415"/>
      <c r="F126" s="44"/>
      <c r="G126" s="44"/>
      <c r="H126" s="165"/>
      <c r="I126" s="21"/>
      <c r="J126" s="286"/>
      <c r="K126" s="44"/>
      <c r="L126" s="254"/>
      <c r="M126" s="21"/>
    </row>
    <row r="127" spans="1:14" x14ac:dyDescent="0.2">
      <c r="A127" s="153"/>
      <c r="L127" s="25"/>
      <c r="M127" s="25"/>
      <c r="N127" s="25"/>
    </row>
    <row r="128" spans="1:14" x14ac:dyDescent="0.2">
      <c r="L128" s="25"/>
      <c r="M128" s="25"/>
      <c r="N128" s="25"/>
    </row>
    <row r="129" spans="1:15" ht="15.75" x14ac:dyDescent="0.25">
      <c r="A129" s="163" t="s">
        <v>30</v>
      </c>
    </row>
    <row r="130" spans="1:15" ht="15.75" x14ac:dyDescent="0.25">
      <c r="B130" s="963"/>
      <c r="C130" s="963"/>
      <c r="D130" s="963"/>
      <c r="E130" s="297"/>
      <c r="F130" s="963"/>
      <c r="G130" s="963"/>
      <c r="H130" s="963"/>
      <c r="I130" s="297"/>
      <c r="J130" s="963"/>
      <c r="K130" s="963"/>
      <c r="L130" s="963"/>
      <c r="M130" s="297"/>
    </row>
    <row r="131" spans="1:15" s="3" customFormat="1" x14ac:dyDescent="0.2">
      <c r="A131" s="142"/>
      <c r="B131" s="960" t="s">
        <v>0</v>
      </c>
      <c r="C131" s="961"/>
      <c r="D131" s="961"/>
      <c r="E131" s="299"/>
      <c r="F131" s="960" t="s">
        <v>1</v>
      </c>
      <c r="G131" s="961"/>
      <c r="H131" s="961"/>
      <c r="I131" s="302"/>
      <c r="J131" s="960" t="s">
        <v>2</v>
      </c>
      <c r="K131" s="961"/>
      <c r="L131" s="961"/>
      <c r="M131" s="302"/>
      <c r="N131" s="146"/>
      <c r="O131" s="146"/>
    </row>
    <row r="132" spans="1:15" s="3" customFormat="1" x14ac:dyDescent="0.2">
      <c r="A132" s="139"/>
      <c r="B132" s="150" t="s">
        <v>504</v>
      </c>
      <c r="C132" s="150" t="s">
        <v>505</v>
      </c>
      <c r="D132" s="243" t="s">
        <v>3</v>
      </c>
      <c r="E132" s="303" t="s">
        <v>32</v>
      </c>
      <c r="F132" s="150" t="s">
        <v>504</v>
      </c>
      <c r="G132" s="150" t="s">
        <v>505</v>
      </c>
      <c r="H132" s="204" t="s">
        <v>3</v>
      </c>
      <c r="I132" s="160" t="s">
        <v>32</v>
      </c>
      <c r="J132" s="244" t="s">
        <v>504</v>
      </c>
      <c r="K132" s="244" t="s">
        <v>505</v>
      </c>
      <c r="L132" s="245" t="s">
        <v>3</v>
      </c>
      <c r="M132" s="160" t="s">
        <v>32</v>
      </c>
      <c r="N132" s="146"/>
      <c r="O132" s="146"/>
    </row>
    <row r="133" spans="1:15" s="3" customFormat="1" x14ac:dyDescent="0.2">
      <c r="A133" s="934"/>
      <c r="B133" s="154"/>
      <c r="C133" s="154"/>
      <c r="D133" s="245" t="s">
        <v>4</v>
      </c>
      <c r="E133" s="154" t="s">
        <v>33</v>
      </c>
      <c r="F133" s="159"/>
      <c r="G133" s="159"/>
      <c r="H133" s="204" t="s">
        <v>4</v>
      </c>
      <c r="I133" s="154" t="s">
        <v>33</v>
      </c>
      <c r="J133" s="154"/>
      <c r="K133" s="154"/>
      <c r="L133" s="148" t="s">
        <v>4</v>
      </c>
      <c r="M133" s="154" t="s">
        <v>33</v>
      </c>
      <c r="N133" s="146"/>
      <c r="O133" s="146"/>
    </row>
    <row r="134" spans="1:15" s="3" customFormat="1" ht="15.75" x14ac:dyDescent="0.2">
      <c r="A134" s="14" t="s">
        <v>323</v>
      </c>
      <c r="B134" s="234"/>
      <c r="C134" s="307"/>
      <c r="D134" s="348"/>
      <c r="E134" s="11"/>
      <c r="F134" s="314"/>
      <c r="G134" s="315"/>
      <c r="H134" s="428"/>
      <c r="I134" s="23"/>
      <c r="J134" s="316"/>
      <c r="K134" s="316"/>
      <c r="L134" s="424"/>
      <c r="M134" s="11"/>
      <c r="N134" s="146"/>
      <c r="O134" s="146"/>
    </row>
    <row r="135" spans="1:15" s="3" customFormat="1" ht="15.75" x14ac:dyDescent="0.2">
      <c r="A135" s="13" t="s">
        <v>324</v>
      </c>
      <c r="B135" s="234"/>
      <c r="C135" s="307"/>
      <c r="D135" s="169"/>
      <c r="E135" s="11"/>
      <c r="F135" s="234"/>
      <c r="G135" s="307"/>
      <c r="H135" s="429"/>
      <c r="I135" s="23"/>
      <c r="J135" s="306"/>
      <c r="K135" s="306"/>
      <c r="L135" s="425"/>
      <c r="M135" s="11"/>
      <c r="N135" s="146"/>
      <c r="O135" s="146"/>
    </row>
    <row r="136" spans="1:15" s="3" customFormat="1" ht="15.75" x14ac:dyDescent="0.2">
      <c r="A136" s="13" t="s">
        <v>325</v>
      </c>
      <c r="B136" s="234"/>
      <c r="C136" s="307"/>
      <c r="D136" s="169"/>
      <c r="E136" s="11"/>
      <c r="F136" s="234"/>
      <c r="G136" s="307"/>
      <c r="H136" s="429"/>
      <c r="I136" s="23"/>
      <c r="J136" s="306"/>
      <c r="K136" s="306"/>
      <c r="L136" s="425"/>
      <c r="M136" s="11"/>
      <c r="N136" s="146"/>
      <c r="O136" s="146"/>
    </row>
    <row r="137" spans="1:15" s="3" customFormat="1" ht="15.75" x14ac:dyDescent="0.2">
      <c r="A137" s="40" t="s">
        <v>326</v>
      </c>
      <c r="B137" s="274"/>
      <c r="C137" s="313"/>
      <c r="D137" s="167"/>
      <c r="E137" s="9"/>
      <c r="F137" s="274"/>
      <c r="G137" s="313"/>
      <c r="H137" s="430"/>
      <c r="I137" s="35"/>
      <c r="J137" s="312"/>
      <c r="K137" s="312"/>
      <c r="L137" s="426"/>
      <c r="M137" s="35"/>
      <c r="N137" s="146"/>
      <c r="O137" s="146"/>
    </row>
    <row r="138" spans="1:15" s="3" customFormat="1" x14ac:dyDescent="0.2">
      <c r="A138" s="166"/>
      <c r="B138" s="32"/>
      <c r="C138" s="32"/>
      <c r="D138" s="157"/>
      <c r="E138" s="157"/>
      <c r="F138" s="32"/>
      <c r="G138" s="32"/>
      <c r="H138" s="157"/>
      <c r="I138" s="157"/>
      <c r="J138" s="32"/>
      <c r="K138" s="32"/>
      <c r="L138" s="157"/>
      <c r="M138" s="157"/>
      <c r="N138" s="146"/>
      <c r="O138" s="146"/>
    </row>
    <row r="139" spans="1:15" x14ac:dyDescent="0.2">
      <c r="A139" s="166"/>
      <c r="B139" s="32"/>
      <c r="C139" s="32"/>
      <c r="D139" s="157"/>
      <c r="E139" s="157"/>
      <c r="F139" s="32"/>
      <c r="G139" s="32"/>
      <c r="H139" s="157"/>
      <c r="I139" s="157"/>
      <c r="J139" s="32"/>
      <c r="K139" s="32"/>
      <c r="L139" s="157"/>
      <c r="M139" s="157"/>
      <c r="N139" s="146"/>
    </row>
    <row r="140" spans="1:15" x14ac:dyDescent="0.2">
      <c r="A140" s="166"/>
      <c r="B140" s="32"/>
      <c r="C140" s="32"/>
      <c r="D140" s="157"/>
      <c r="E140" s="157"/>
      <c r="F140" s="32"/>
      <c r="G140" s="32"/>
      <c r="H140" s="157"/>
      <c r="I140" s="157"/>
      <c r="J140" s="32"/>
      <c r="K140" s="32"/>
      <c r="L140" s="157"/>
      <c r="M140" s="157"/>
      <c r="N140" s="146"/>
    </row>
    <row r="141" spans="1:15" x14ac:dyDescent="0.2">
      <c r="A141" s="144"/>
      <c r="B141" s="144"/>
      <c r="C141" s="144"/>
      <c r="D141" s="144"/>
      <c r="E141" s="144"/>
      <c r="F141" s="144"/>
      <c r="G141" s="144"/>
      <c r="H141" s="144"/>
      <c r="I141" s="144"/>
      <c r="J141" s="144"/>
      <c r="K141" s="144"/>
      <c r="L141" s="144"/>
      <c r="M141" s="144"/>
      <c r="N141" s="144"/>
    </row>
    <row r="142" spans="1:15" ht="15.75" x14ac:dyDescent="0.25">
      <c r="B142" s="140"/>
      <c r="C142" s="140"/>
      <c r="D142" s="140"/>
      <c r="E142" s="140"/>
      <c r="F142" s="140"/>
      <c r="G142" s="140"/>
      <c r="H142" s="140"/>
      <c r="I142" s="140"/>
      <c r="J142" s="140"/>
      <c r="K142" s="140"/>
      <c r="L142" s="140"/>
      <c r="M142" s="140"/>
      <c r="N142" s="140"/>
    </row>
    <row r="143" spans="1:15" ht="15.75" x14ac:dyDescent="0.25">
      <c r="B143" s="155"/>
      <c r="C143" s="155"/>
      <c r="D143" s="155"/>
      <c r="E143" s="155"/>
      <c r="F143" s="155"/>
      <c r="G143" s="155"/>
      <c r="H143" s="155"/>
      <c r="I143" s="155"/>
      <c r="J143" s="155"/>
      <c r="K143" s="155"/>
      <c r="L143" s="155"/>
      <c r="M143" s="155"/>
      <c r="N143" s="155"/>
      <c r="O143" s="152"/>
    </row>
    <row r="144" spans="1:15" ht="15.75" x14ac:dyDescent="0.25">
      <c r="B144" s="155"/>
      <c r="C144" s="155"/>
      <c r="D144" s="155"/>
      <c r="E144" s="155"/>
      <c r="F144" s="155"/>
      <c r="G144" s="155"/>
      <c r="H144" s="155"/>
      <c r="I144" s="155"/>
      <c r="J144" s="155"/>
      <c r="K144" s="155"/>
      <c r="L144" s="155"/>
      <c r="M144" s="155"/>
      <c r="N144" s="155"/>
      <c r="O144" s="152"/>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378" priority="132">
      <formula>kvartal &lt; 4</formula>
    </cfRule>
  </conditionalFormatting>
  <conditionalFormatting sqref="B30">
    <cfRule type="expression" dxfId="1377" priority="130">
      <formula>kvartal &lt; 4</formula>
    </cfRule>
  </conditionalFormatting>
  <conditionalFormatting sqref="B31">
    <cfRule type="expression" dxfId="1376" priority="129">
      <formula>kvartal &lt; 4</formula>
    </cfRule>
  </conditionalFormatting>
  <conditionalFormatting sqref="B32:B33">
    <cfRule type="expression" dxfId="1375" priority="128">
      <formula>kvartal &lt; 4</formula>
    </cfRule>
  </conditionalFormatting>
  <conditionalFormatting sqref="C30">
    <cfRule type="expression" dxfId="1374" priority="127">
      <formula>kvartal &lt; 4</formula>
    </cfRule>
  </conditionalFormatting>
  <conditionalFormatting sqref="C31">
    <cfRule type="expression" dxfId="1373" priority="126">
      <formula>kvartal &lt; 4</formula>
    </cfRule>
  </conditionalFormatting>
  <conditionalFormatting sqref="C32:C33">
    <cfRule type="expression" dxfId="1372" priority="125">
      <formula>kvartal &lt; 4</formula>
    </cfRule>
  </conditionalFormatting>
  <conditionalFormatting sqref="B23:C26">
    <cfRule type="expression" dxfId="1371" priority="124">
      <formula>kvartal &lt; 4</formula>
    </cfRule>
  </conditionalFormatting>
  <conditionalFormatting sqref="F23:G26">
    <cfRule type="expression" dxfId="1370" priority="120">
      <formula>kvartal &lt; 4</formula>
    </cfRule>
  </conditionalFormatting>
  <conditionalFormatting sqref="F30">
    <cfRule type="expression" dxfId="1369" priority="113">
      <formula>kvartal &lt; 4</formula>
    </cfRule>
  </conditionalFormatting>
  <conditionalFormatting sqref="F31">
    <cfRule type="expression" dxfId="1368" priority="112">
      <formula>kvartal &lt; 4</formula>
    </cfRule>
  </conditionalFormatting>
  <conditionalFormatting sqref="F32:F33">
    <cfRule type="expression" dxfId="1367" priority="111">
      <formula>kvartal &lt; 4</formula>
    </cfRule>
  </conditionalFormatting>
  <conditionalFormatting sqref="G30">
    <cfRule type="expression" dxfId="1366" priority="110">
      <formula>kvartal &lt; 4</formula>
    </cfRule>
  </conditionalFormatting>
  <conditionalFormatting sqref="G31">
    <cfRule type="expression" dxfId="1365" priority="109">
      <formula>kvartal &lt; 4</formula>
    </cfRule>
  </conditionalFormatting>
  <conditionalFormatting sqref="G32:G33">
    <cfRule type="expression" dxfId="1364" priority="108">
      <formula>kvartal &lt; 4</formula>
    </cfRule>
  </conditionalFormatting>
  <conditionalFormatting sqref="B27">
    <cfRule type="expression" dxfId="1363" priority="107">
      <formula>kvartal &lt; 4</formula>
    </cfRule>
  </conditionalFormatting>
  <conditionalFormatting sqref="C27">
    <cfRule type="expression" dxfId="1362" priority="106">
      <formula>kvartal &lt; 4</formula>
    </cfRule>
  </conditionalFormatting>
  <conditionalFormatting sqref="F27">
    <cfRule type="expression" dxfId="1361" priority="105">
      <formula>kvartal &lt; 4</formula>
    </cfRule>
  </conditionalFormatting>
  <conditionalFormatting sqref="G27">
    <cfRule type="expression" dxfId="1360" priority="104">
      <formula>kvartal &lt; 4</formula>
    </cfRule>
  </conditionalFormatting>
  <conditionalFormatting sqref="J24:K24 J27:K27">
    <cfRule type="expression" dxfId="1359" priority="103">
      <formula>kvartal &lt; 4</formula>
    </cfRule>
  </conditionalFormatting>
  <conditionalFormatting sqref="B69">
    <cfRule type="expression" dxfId="1358" priority="100">
      <formula>kvartal &lt; 4</formula>
    </cfRule>
  </conditionalFormatting>
  <conditionalFormatting sqref="C69">
    <cfRule type="expression" dxfId="1357" priority="99">
      <formula>kvartal &lt; 4</formula>
    </cfRule>
  </conditionalFormatting>
  <conditionalFormatting sqref="B72">
    <cfRule type="expression" dxfId="1356" priority="98">
      <formula>kvartal &lt; 4</formula>
    </cfRule>
  </conditionalFormatting>
  <conditionalFormatting sqref="C72">
    <cfRule type="expression" dxfId="1355" priority="97">
      <formula>kvartal &lt; 4</formula>
    </cfRule>
  </conditionalFormatting>
  <conditionalFormatting sqref="B80">
    <cfRule type="expression" dxfId="1354" priority="96">
      <formula>kvartal &lt; 4</formula>
    </cfRule>
  </conditionalFormatting>
  <conditionalFormatting sqref="C80">
    <cfRule type="expression" dxfId="1353" priority="95">
      <formula>kvartal &lt; 4</formula>
    </cfRule>
  </conditionalFormatting>
  <conditionalFormatting sqref="B83">
    <cfRule type="expression" dxfId="1352" priority="94">
      <formula>kvartal &lt; 4</formula>
    </cfRule>
  </conditionalFormatting>
  <conditionalFormatting sqref="C83">
    <cfRule type="expression" dxfId="1351" priority="93">
      <formula>kvartal &lt; 4</formula>
    </cfRule>
  </conditionalFormatting>
  <conditionalFormatting sqref="B90">
    <cfRule type="expression" dxfId="1350" priority="84">
      <formula>kvartal &lt; 4</formula>
    </cfRule>
  </conditionalFormatting>
  <conditionalFormatting sqref="C90">
    <cfRule type="expression" dxfId="1349" priority="83">
      <formula>kvartal &lt; 4</formula>
    </cfRule>
  </conditionalFormatting>
  <conditionalFormatting sqref="B93">
    <cfRule type="expression" dxfId="1348" priority="82">
      <formula>kvartal &lt; 4</formula>
    </cfRule>
  </conditionalFormatting>
  <conditionalFormatting sqref="C93">
    <cfRule type="expression" dxfId="1347" priority="81">
      <formula>kvartal &lt; 4</formula>
    </cfRule>
  </conditionalFormatting>
  <conditionalFormatting sqref="B101">
    <cfRule type="expression" dxfId="1346" priority="80">
      <formula>kvartal &lt; 4</formula>
    </cfRule>
  </conditionalFormatting>
  <conditionalFormatting sqref="C101">
    <cfRule type="expression" dxfId="1345" priority="79">
      <formula>kvartal &lt; 4</formula>
    </cfRule>
  </conditionalFormatting>
  <conditionalFormatting sqref="B104">
    <cfRule type="expression" dxfId="1344" priority="78">
      <formula>kvartal &lt; 4</formula>
    </cfRule>
  </conditionalFormatting>
  <conditionalFormatting sqref="C104">
    <cfRule type="expression" dxfId="1343" priority="77">
      <formula>kvartal &lt; 4</formula>
    </cfRule>
  </conditionalFormatting>
  <conditionalFormatting sqref="B115">
    <cfRule type="expression" dxfId="1342" priority="76">
      <formula>kvartal &lt; 4</formula>
    </cfRule>
  </conditionalFormatting>
  <conditionalFormatting sqref="C115">
    <cfRule type="expression" dxfId="1341" priority="75">
      <formula>kvartal &lt; 4</formula>
    </cfRule>
  </conditionalFormatting>
  <conditionalFormatting sqref="B123">
    <cfRule type="expression" dxfId="1340" priority="74">
      <formula>kvartal &lt; 4</formula>
    </cfRule>
  </conditionalFormatting>
  <conditionalFormatting sqref="C123">
    <cfRule type="expression" dxfId="1339" priority="73">
      <formula>kvartal &lt; 4</formula>
    </cfRule>
  </conditionalFormatting>
  <conditionalFormatting sqref="F70">
    <cfRule type="expression" dxfId="1338" priority="72">
      <formula>kvartal &lt; 4</formula>
    </cfRule>
  </conditionalFormatting>
  <conditionalFormatting sqref="G70">
    <cfRule type="expression" dxfId="1337" priority="71">
      <formula>kvartal &lt; 4</formula>
    </cfRule>
  </conditionalFormatting>
  <conditionalFormatting sqref="F71:G71">
    <cfRule type="expression" dxfId="1336" priority="70">
      <formula>kvartal &lt; 4</formula>
    </cfRule>
  </conditionalFormatting>
  <conditionalFormatting sqref="F73:G74">
    <cfRule type="expression" dxfId="1335" priority="69">
      <formula>kvartal &lt; 4</formula>
    </cfRule>
  </conditionalFormatting>
  <conditionalFormatting sqref="F81:G82">
    <cfRule type="expression" dxfId="1334" priority="68">
      <formula>kvartal &lt; 4</formula>
    </cfRule>
  </conditionalFormatting>
  <conditionalFormatting sqref="F84:G85">
    <cfRule type="expression" dxfId="1333" priority="67">
      <formula>kvartal &lt; 4</formula>
    </cfRule>
  </conditionalFormatting>
  <conditionalFormatting sqref="F91:G92">
    <cfRule type="expression" dxfId="1332" priority="62">
      <formula>kvartal &lt; 4</formula>
    </cfRule>
  </conditionalFormatting>
  <conditionalFormatting sqref="F94:G95">
    <cfRule type="expression" dxfId="1331" priority="61">
      <formula>kvartal &lt; 4</formula>
    </cfRule>
  </conditionalFormatting>
  <conditionalFormatting sqref="F102:G103">
    <cfRule type="expression" dxfId="1330" priority="60">
      <formula>kvartal &lt; 4</formula>
    </cfRule>
  </conditionalFormatting>
  <conditionalFormatting sqref="F105:G106">
    <cfRule type="expression" dxfId="1329" priority="59">
      <formula>kvartal &lt; 4</formula>
    </cfRule>
  </conditionalFormatting>
  <conditionalFormatting sqref="F115">
    <cfRule type="expression" dxfId="1328" priority="58">
      <formula>kvartal &lt; 4</formula>
    </cfRule>
  </conditionalFormatting>
  <conditionalFormatting sqref="G115">
    <cfRule type="expression" dxfId="1327" priority="57">
      <formula>kvartal &lt; 4</formula>
    </cfRule>
  </conditionalFormatting>
  <conditionalFormatting sqref="F123:G123">
    <cfRule type="expression" dxfId="1326" priority="56">
      <formula>kvartal &lt; 4</formula>
    </cfRule>
  </conditionalFormatting>
  <conditionalFormatting sqref="F69:G69">
    <cfRule type="expression" dxfId="1325" priority="55">
      <formula>kvartal &lt; 4</formula>
    </cfRule>
  </conditionalFormatting>
  <conditionalFormatting sqref="F72:G72">
    <cfRule type="expression" dxfId="1324" priority="54">
      <formula>kvartal &lt; 4</formula>
    </cfRule>
  </conditionalFormatting>
  <conditionalFormatting sqref="F80:G80">
    <cfRule type="expression" dxfId="1323" priority="53">
      <formula>kvartal &lt; 4</formula>
    </cfRule>
  </conditionalFormatting>
  <conditionalFormatting sqref="F83:G83">
    <cfRule type="expression" dxfId="1322" priority="52">
      <formula>kvartal &lt; 4</formula>
    </cfRule>
  </conditionalFormatting>
  <conditionalFormatting sqref="F90:G90">
    <cfRule type="expression" dxfId="1321" priority="46">
      <formula>kvartal &lt; 4</formula>
    </cfRule>
  </conditionalFormatting>
  <conditionalFormatting sqref="F93">
    <cfRule type="expression" dxfId="1320" priority="45">
      <formula>kvartal &lt; 4</formula>
    </cfRule>
  </conditionalFormatting>
  <conditionalFormatting sqref="G93">
    <cfRule type="expression" dxfId="1319" priority="44">
      <formula>kvartal &lt; 4</formula>
    </cfRule>
  </conditionalFormatting>
  <conditionalFormatting sqref="F101">
    <cfRule type="expression" dxfId="1318" priority="43">
      <formula>kvartal &lt; 4</formula>
    </cfRule>
  </conditionalFormatting>
  <conditionalFormatting sqref="G101">
    <cfRule type="expression" dxfId="1317" priority="42">
      <formula>kvartal &lt; 4</formula>
    </cfRule>
  </conditionalFormatting>
  <conditionalFormatting sqref="G104">
    <cfRule type="expression" dxfId="1316" priority="41">
      <formula>kvartal &lt; 4</formula>
    </cfRule>
  </conditionalFormatting>
  <conditionalFormatting sqref="F104">
    <cfRule type="expression" dxfId="1315" priority="40">
      <formula>kvartal &lt; 4</formula>
    </cfRule>
  </conditionalFormatting>
  <conditionalFormatting sqref="J73:K73 J69:K71">
    <cfRule type="expression" dxfId="1314" priority="39">
      <formula>kvartal &lt; 4</formula>
    </cfRule>
  </conditionalFormatting>
  <conditionalFormatting sqref="J80:K82 J84:K84">
    <cfRule type="expression" dxfId="1313" priority="37">
      <formula>kvartal &lt; 4</formula>
    </cfRule>
  </conditionalFormatting>
  <conditionalFormatting sqref="J90:K92 J94:K94">
    <cfRule type="expression" dxfId="1312" priority="34">
      <formula>kvartal &lt; 4</formula>
    </cfRule>
  </conditionalFormatting>
  <conditionalFormatting sqref="J101:K103 J105:K105">
    <cfRule type="expression" dxfId="1311" priority="33">
      <formula>kvartal &lt; 4</formula>
    </cfRule>
  </conditionalFormatting>
  <conditionalFormatting sqref="J115:K115">
    <cfRule type="expression" dxfId="1310" priority="32">
      <formula>kvartal &lt; 4</formula>
    </cfRule>
  </conditionalFormatting>
  <conditionalFormatting sqref="J123:K123">
    <cfRule type="expression" dxfId="1309" priority="31">
      <formula>kvartal &lt; 4</formula>
    </cfRule>
  </conditionalFormatting>
  <conditionalFormatting sqref="A23:A26">
    <cfRule type="expression" dxfId="1308" priority="15">
      <formula>kvartal &lt; 4</formula>
    </cfRule>
  </conditionalFormatting>
  <conditionalFormatting sqref="A30:A33">
    <cfRule type="expression" dxfId="1307" priority="13">
      <formula>kvartal &lt; 4</formula>
    </cfRule>
  </conditionalFormatting>
  <conditionalFormatting sqref="A50:A52">
    <cfRule type="expression" dxfId="1306" priority="12">
      <formula>kvartal &lt; 4</formula>
    </cfRule>
  </conditionalFormatting>
  <conditionalFormatting sqref="A69:A74">
    <cfRule type="expression" dxfId="1305" priority="10">
      <formula>kvartal &lt; 4</formula>
    </cfRule>
  </conditionalFormatting>
  <conditionalFormatting sqref="A80:A85">
    <cfRule type="expression" dxfId="1304" priority="9">
      <formula>kvartal &lt; 4</formula>
    </cfRule>
  </conditionalFormatting>
  <conditionalFormatting sqref="A90:A95">
    <cfRule type="expression" dxfId="1303" priority="6">
      <formula>kvartal &lt; 4</formula>
    </cfRule>
  </conditionalFormatting>
  <conditionalFormatting sqref="A101:A106">
    <cfRule type="expression" dxfId="1302" priority="5">
      <formula>kvartal &lt; 4</formula>
    </cfRule>
  </conditionalFormatting>
  <conditionalFormatting sqref="A115">
    <cfRule type="expression" dxfId="1301" priority="4">
      <formula>kvartal &lt; 4</formula>
    </cfRule>
  </conditionalFormatting>
  <conditionalFormatting sqref="A123">
    <cfRule type="expression" dxfId="1300" priority="3">
      <formula>kvartal &lt; 4</formula>
    </cfRule>
  </conditionalFormatting>
  <conditionalFormatting sqref="A27">
    <cfRule type="expression" dxfId="1299" priority="2">
      <formula>kvartal &lt; 4</formula>
    </cfRule>
  </conditionalFormatting>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8"/>
  <dimension ref="A1:O144"/>
  <sheetViews>
    <sheetView showGridLines="0" zoomScale="90" zoomScaleNormal="90" workbookViewId="0"/>
  </sheetViews>
  <sheetFormatPr baseColWidth="10" defaultColWidth="11.42578125" defaultRowHeight="12.75" x14ac:dyDescent="0.2"/>
  <cols>
    <col min="1" max="1" width="41.5703125" style="147" customWidth="1"/>
    <col min="2" max="2" width="10.85546875" style="147" customWidth="1"/>
    <col min="3" max="3" width="11" style="147" customWidth="1"/>
    <col min="4" max="5" width="8.7109375" style="147" customWidth="1"/>
    <col min="6" max="7" width="10.85546875" style="147" customWidth="1"/>
    <col min="8" max="9" width="8.7109375" style="147" customWidth="1"/>
    <col min="10" max="11" width="10.85546875" style="147" customWidth="1"/>
    <col min="12" max="13" width="8.7109375" style="147" customWidth="1"/>
    <col min="14" max="14" width="11.42578125" style="147"/>
    <col min="15" max="15" width="3" style="146" bestFit="1" customWidth="1"/>
    <col min="16" max="16384" width="11.42578125" style="1"/>
  </cols>
  <sheetData>
    <row r="1" spans="1:15" x14ac:dyDescent="0.2">
      <c r="A1" s="170" t="s">
        <v>152</v>
      </c>
      <c r="B1" s="932"/>
      <c r="C1" s="247" t="s">
        <v>100</v>
      </c>
      <c r="D1" s="25"/>
      <c r="E1" s="25"/>
      <c r="F1" s="25"/>
      <c r="G1" s="25"/>
      <c r="H1" s="25"/>
      <c r="I1" s="25"/>
      <c r="J1" s="25"/>
      <c r="K1" s="25"/>
      <c r="L1" s="25"/>
      <c r="M1" s="25"/>
      <c r="O1" s="423"/>
    </row>
    <row r="2" spans="1:15" ht="15.75" x14ac:dyDescent="0.25">
      <c r="A2" s="163" t="s">
        <v>31</v>
      </c>
      <c r="B2" s="965"/>
      <c r="C2" s="965"/>
      <c r="D2" s="965"/>
      <c r="E2" s="297"/>
      <c r="F2" s="965"/>
      <c r="G2" s="965"/>
      <c r="H2" s="965"/>
      <c r="I2" s="297"/>
      <c r="J2" s="965"/>
      <c r="K2" s="965"/>
      <c r="L2" s="965"/>
      <c r="M2" s="297"/>
    </row>
    <row r="3" spans="1:15" ht="15.75" x14ac:dyDescent="0.25">
      <c r="A3" s="161"/>
      <c r="B3" s="297"/>
      <c r="C3" s="297"/>
      <c r="D3" s="297"/>
      <c r="E3" s="297"/>
      <c r="F3" s="297"/>
      <c r="G3" s="297"/>
      <c r="H3" s="297"/>
      <c r="I3" s="297"/>
      <c r="J3" s="297"/>
      <c r="K3" s="297"/>
      <c r="L3" s="297"/>
      <c r="M3" s="297"/>
    </row>
    <row r="4" spans="1:15" x14ac:dyDescent="0.2">
      <c r="A4" s="142"/>
      <c r="B4" s="960" t="s">
        <v>0</v>
      </c>
      <c r="C4" s="961"/>
      <c r="D4" s="961"/>
      <c r="E4" s="299"/>
      <c r="F4" s="960" t="s">
        <v>1</v>
      </c>
      <c r="G4" s="961"/>
      <c r="H4" s="961"/>
      <c r="I4" s="302"/>
      <c r="J4" s="960" t="s">
        <v>2</v>
      </c>
      <c r="K4" s="961"/>
      <c r="L4" s="961"/>
      <c r="M4" s="302"/>
    </row>
    <row r="5" spans="1:15" x14ac:dyDescent="0.2">
      <c r="A5" s="156"/>
      <c r="B5" s="150" t="s">
        <v>504</v>
      </c>
      <c r="C5" s="150" t="s">
        <v>505</v>
      </c>
      <c r="D5" s="243" t="s">
        <v>3</v>
      </c>
      <c r="E5" s="303" t="s">
        <v>32</v>
      </c>
      <c r="F5" s="150" t="s">
        <v>504</v>
      </c>
      <c r="G5" s="150" t="s">
        <v>505</v>
      </c>
      <c r="H5" s="243" t="s">
        <v>3</v>
      </c>
      <c r="I5" s="160" t="s">
        <v>32</v>
      </c>
      <c r="J5" s="150" t="s">
        <v>504</v>
      </c>
      <c r="K5" s="150" t="s">
        <v>505</v>
      </c>
      <c r="L5" s="243" t="s">
        <v>3</v>
      </c>
      <c r="M5" s="160" t="s">
        <v>32</v>
      </c>
      <c r="O5" s="931"/>
    </row>
    <row r="6" spans="1:15" x14ac:dyDescent="0.2">
      <c r="A6" s="933"/>
      <c r="B6" s="154"/>
      <c r="C6" s="154"/>
      <c r="D6" s="245" t="s">
        <v>4</v>
      </c>
      <c r="E6" s="154" t="s">
        <v>33</v>
      </c>
      <c r="F6" s="159"/>
      <c r="G6" s="159"/>
      <c r="H6" s="243" t="s">
        <v>4</v>
      </c>
      <c r="I6" s="154" t="s">
        <v>33</v>
      </c>
      <c r="J6" s="159"/>
      <c r="K6" s="159"/>
      <c r="L6" s="243" t="s">
        <v>4</v>
      </c>
      <c r="M6" s="154" t="s">
        <v>33</v>
      </c>
    </row>
    <row r="7" spans="1:15" ht="15.75" x14ac:dyDescent="0.2">
      <c r="A7" s="14" t="s">
        <v>26</v>
      </c>
      <c r="B7" s="304">
        <v>38344</v>
      </c>
      <c r="C7" s="305">
        <v>37120</v>
      </c>
      <c r="D7" s="348">
        <f>IF(B7=0, "    ---- ", IF(ABS(ROUND(100/B7*C7-100,1))&lt;999,ROUND(100/B7*C7-100,1),IF(ROUND(100/B7*C7-100,1)&gt;999,999,-999)))</f>
        <v>-3.2</v>
      </c>
      <c r="E7" s="11">
        <f>IFERROR(100/'Skjema total MA'!C7*C7,0)</f>
        <v>0.79592243668545093</v>
      </c>
      <c r="F7" s="304"/>
      <c r="G7" s="305"/>
      <c r="H7" s="348"/>
      <c r="I7" s="158"/>
      <c r="J7" s="306">
        <v>38344</v>
      </c>
      <c r="K7" s="307">
        <v>37120</v>
      </c>
      <c r="L7" s="424">
        <f>IF(J7=0, "    ---- ", IF(ABS(ROUND(100/J7*K7-100,1))&lt;999,ROUND(100/J7*K7-100,1),IF(ROUND(100/J7*K7-100,1)&gt;999,999,-999)))</f>
        <v>-3.2</v>
      </c>
      <c r="M7" s="11">
        <f>IFERROR(100/'Skjema total MA'!I7*K7,0)</f>
        <v>0.27554734505662931</v>
      </c>
    </row>
    <row r="8" spans="1:15" ht="15.75" x14ac:dyDescent="0.2">
      <c r="A8" s="20" t="s">
        <v>28</v>
      </c>
      <c r="B8" s="279">
        <v>23372.823287785101</v>
      </c>
      <c r="C8" s="280">
        <v>13875</v>
      </c>
      <c r="D8" s="164">
        <f>IF(AND(_xlfn.NUMBERVALUE(B8)=0,_xlfn.NUMBERVALUE(C8)=0),,IF(B8=0, "    ---- ", IF(ABS(ROUND(100/B8*C8-100,1))&lt;999,IF(ROUND(100/B8*C8-100,1)=0,"    ---- ",ROUND(100/B8*C8-100,1)),IF(ROUND(100/B8*C8-100,1)&gt;999,999,-999))))</f>
        <v>-40.6</v>
      </c>
      <c r="E8" s="26">
        <f>IFERROR(100/'Skjema total MA'!C8*C8,0)</f>
        <v>0.55748819956365714</v>
      </c>
      <c r="F8" s="283"/>
      <c r="G8" s="284"/>
      <c r="H8" s="164"/>
      <c r="I8" s="174"/>
      <c r="J8" s="232">
        <v>23372.823287785101</v>
      </c>
      <c r="K8" s="285">
        <v>13875</v>
      </c>
      <c r="L8" s="164">
        <f>IF(AND(_xlfn.NUMBERVALUE(J8)=0,_xlfn.NUMBERVALUE(K8)=0),,IF(J8=0, "    ---- ", IF(ABS(ROUND(100/J8*K8-100,1))&lt;999,IF(ROUND(100/J8*K8-100,1)=0,"    ---- ",ROUND(100/J8*K8-100,1)),IF(ROUND(100/J8*K8-100,1)&gt;999,999,-999))))</f>
        <v>-40.6</v>
      </c>
      <c r="M8" s="26">
        <f>IFERROR(100/'Skjema total MA'!I8*K8,0)</f>
        <v>0.55748819956365714</v>
      </c>
    </row>
    <row r="9" spans="1:15" ht="15.75" x14ac:dyDescent="0.2">
      <c r="A9" s="20" t="s">
        <v>27</v>
      </c>
      <c r="B9" s="279">
        <v>14327.060393833101</v>
      </c>
      <c r="C9" s="280">
        <v>22712</v>
      </c>
      <c r="D9" s="164">
        <f t="shared" ref="D9:D10" si="0">IF(B9=0, "    ---- ", IF(ABS(ROUND(100/B9*C9-100,1))&lt;999,ROUND(100/B9*C9-100,1),IF(ROUND(100/B9*C9-100,1)&gt;999,999,-999)))</f>
        <v>58.5</v>
      </c>
      <c r="E9" s="26">
        <f>IFERROR(100/'Skjema total MA'!C9*C9,0)</f>
        <v>2.0990333745227399</v>
      </c>
      <c r="F9" s="283"/>
      <c r="G9" s="284"/>
      <c r="H9" s="164"/>
      <c r="I9" s="174"/>
      <c r="J9" s="232">
        <v>14327.060393833101</v>
      </c>
      <c r="K9" s="285">
        <v>22712</v>
      </c>
      <c r="L9" s="164">
        <f>IF(AND(_xlfn.NUMBERVALUE(J9)=0,_xlfn.NUMBERVALUE(K9)=0),,IF(J9=0, "    ---- ", IF(ABS(ROUND(100/J9*K9-100,1))&lt;999,IF(ROUND(100/J9*K9-100,1)=0,"    ---- ",ROUND(100/J9*K9-100,1)),IF(ROUND(100/J9*K9-100,1)&gt;999,999,-999))))</f>
        <v>58.5</v>
      </c>
      <c r="M9" s="26">
        <f>IFERROR(100/'Skjema total MA'!I9*K9,0)</f>
        <v>2.0990333745227399</v>
      </c>
    </row>
    <row r="10" spans="1:15" ht="15.75" x14ac:dyDescent="0.2">
      <c r="A10" s="13" t="s">
        <v>25</v>
      </c>
      <c r="B10" s="308">
        <v>23415</v>
      </c>
      <c r="C10" s="309">
        <v>24042</v>
      </c>
      <c r="D10" s="169">
        <f t="shared" si="0"/>
        <v>2.7</v>
      </c>
      <c r="E10" s="11">
        <f>IFERROR(100/'Skjema total MA'!C10*C10,0)</f>
        <v>0.1000162288623903</v>
      </c>
      <c r="F10" s="308"/>
      <c r="G10" s="309"/>
      <c r="H10" s="169"/>
      <c r="I10" s="158"/>
      <c r="J10" s="306">
        <v>23415</v>
      </c>
      <c r="K10" s="307">
        <v>24042</v>
      </c>
      <c r="L10" s="425">
        <f t="shared" ref="L10" si="1">IF(J10=0, "    ---- ", IF(ABS(ROUND(100/J10*K10-100,1))&lt;999,ROUND(100/J10*K10-100,1),IF(ROUND(100/J10*K10-100,1)&gt;999,999,-999)))</f>
        <v>2.7</v>
      </c>
      <c r="M10" s="11">
        <f>IFERROR(100/'Skjema total MA'!I10*K10,0)</f>
        <v>3.6252423112355013E-2</v>
      </c>
    </row>
    <row r="11" spans="1:15" s="42" customFormat="1" ht="15.75" x14ac:dyDescent="0.2">
      <c r="A11" s="13" t="s">
        <v>24</v>
      </c>
      <c r="B11" s="308"/>
      <c r="C11" s="309"/>
      <c r="D11" s="169"/>
      <c r="E11" s="11"/>
      <c r="F11" s="308"/>
      <c r="G11" s="309"/>
      <c r="H11" s="169"/>
      <c r="I11" s="158"/>
      <c r="J11" s="306"/>
      <c r="K11" s="307"/>
      <c r="L11" s="425"/>
      <c r="M11" s="11"/>
      <c r="N11" s="141"/>
      <c r="O11" s="146"/>
    </row>
    <row r="12" spans="1:15" s="42" customFormat="1" ht="15.75" x14ac:dyDescent="0.2">
      <c r="A12" s="40" t="s">
        <v>23</v>
      </c>
      <c r="B12" s="310"/>
      <c r="C12" s="311"/>
      <c r="D12" s="167"/>
      <c r="E12" s="35"/>
      <c r="F12" s="310"/>
      <c r="G12" s="311"/>
      <c r="H12" s="167"/>
      <c r="I12" s="167"/>
      <c r="J12" s="312"/>
      <c r="K12" s="313"/>
      <c r="L12" s="426"/>
      <c r="M12" s="35"/>
      <c r="N12" s="141"/>
      <c r="O12" s="146"/>
    </row>
    <row r="13" spans="1:15" s="42" customFormat="1" x14ac:dyDescent="0.2">
      <c r="A13" s="166"/>
      <c r="B13" s="143"/>
      <c r="C13" s="32"/>
      <c r="D13" s="157"/>
      <c r="E13" s="157"/>
      <c r="F13" s="143"/>
      <c r="G13" s="32"/>
      <c r="H13" s="157"/>
      <c r="I13" s="157"/>
      <c r="J13" s="47"/>
      <c r="K13" s="47"/>
      <c r="L13" s="157"/>
      <c r="M13" s="157"/>
      <c r="N13" s="141"/>
      <c r="O13" s="423"/>
    </row>
    <row r="14" spans="1:15" x14ac:dyDescent="0.2">
      <c r="A14" s="151" t="s">
        <v>296</v>
      </c>
      <c r="B14" s="25"/>
    </row>
    <row r="15" spans="1:15" x14ac:dyDescent="0.2">
      <c r="F15" s="144"/>
      <c r="G15" s="144"/>
      <c r="H15" s="144"/>
      <c r="I15" s="144"/>
      <c r="J15" s="144"/>
      <c r="K15" s="144"/>
      <c r="L15" s="144"/>
      <c r="M15" s="144"/>
    </row>
    <row r="16" spans="1:15" s="3" customFormat="1" ht="15.75" x14ac:dyDescent="0.25">
      <c r="A16" s="162"/>
      <c r="B16" s="146"/>
      <c r="C16" s="152"/>
      <c r="D16" s="152"/>
      <c r="E16" s="152"/>
      <c r="F16" s="152"/>
      <c r="G16" s="152"/>
      <c r="H16" s="152"/>
      <c r="I16" s="152"/>
      <c r="J16" s="152"/>
      <c r="K16" s="152"/>
      <c r="L16" s="152"/>
      <c r="M16" s="152"/>
      <c r="N16" s="146"/>
      <c r="O16" s="146"/>
    </row>
    <row r="17" spans="1:15" ht="15.75" x14ac:dyDescent="0.25">
      <c r="A17" s="145" t="s">
        <v>293</v>
      </c>
      <c r="B17" s="155"/>
      <c r="C17" s="155"/>
      <c r="D17" s="149"/>
      <c r="E17" s="149"/>
      <c r="F17" s="155"/>
      <c r="G17" s="155"/>
      <c r="H17" s="155"/>
      <c r="I17" s="155"/>
      <c r="J17" s="155"/>
      <c r="K17" s="155"/>
      <c r="L17" s="155"/>
      <c r="M17" s="155"/>
    </row>
    <row r="18" spans="1:15" ht="15.75" x14ac:dyDescent="0.25">
      <c r="B18" s="963"/>
      <c r="C18" s="963"/>
      <c r="D18" s="963"/>
      <c r="E18" s="297"/>
      <c r="F18" s="963"/>
      <c r="G18" s="963"/>
      <c r="H18" s="963"/>
      <c r="I18" s="297"/>
      <c r="J18" s="963"/>
      <c r="K18" s="963"/>
      <c r="L18" s="963"/>
      <c r="M18" s="297"/>
    </row>
    <row r="19" spans="1:15" x14ac:dyDescent="0.2">
      <c r="A19" s="142"/>
      <c r="B19" s="960" t="s">
        <v>0</v>
      </c>
      <c r="C19" s="961"/>
      <c r="D19" s="961"/>
      <c r="E19" s="299"/>
      <c r="F19" s="960" t="s">
        <v>1</v>
      </c>
      <c r="G19" s="961"/>
      <c r="H19" s="961"/>
      <c r="I19" s="302"/>
      <c r="J19" s="960" t="s">
        <v>2</v>
      </c>
      <c r="K19" s="961"/>
      <c r="L19" s="961"/>
      <c r="M19" s="302"/>
    </row>
    <row r="20" spans="1:15" x14ac:dyDescent="0.2">
      <c r="A20" s="139" t="s">
        <v>5</v>
      </c>
      <c r="B20" s="240" t="s">
        <v>504</v>
      </c>
      <c r="C20" s="240" t="s">
        <v>505</v>
      </c>
      <c r="D20" s="160" t="s">
        <v>3</v>
      </c>
      <c r="E20" s="303" t="s">
        <v>32</v>
      </c>
      <c r="F20" s="240" t="s">
        <v>504</v>
      </c>
      <c r="G20" s="240" t="s">
        <v>505</v>
      </c>
      <c r="H20" s="160" t="s">
        <v>3</v>
      </c>
      <c r="I20" s="160" t="s">
        <v>32</v>
      </c>
      <c r="J20" s="240" t="s">
        <v>504</v>
      </c>
      <c r="K20" s="240" t="s">
        <v>505</v>
      </c>
      <c r="L20" s="160" t="s">
        <v>3</v>
      </c>
      <c r="M20" s="160" t="s">
        <v>32</v>
      </c>
    </row>
    <row r="21" spans="1:15" x14ac:dyDescent="0.2">
      <c r="A21" s="934"/>
      <c r="B21" s="154"/>
      <c r="C21" s="154"/>
      <c r="D21" s="245" t="s">
        <v>4</v>
      </c>
      <c r="E21" s="154" t="s">
        <v>33</v>
      </c>
      <c r="F21" s="159"/>
      <c r="G21" s="159"/>
      <c r="H21" s="243" t="s">
        <v>4</v>
      </c>
      <c r="I21" s="154" t="s">
        <v>33</v>
      </c>
      <c r="J21" s="159"/>
      <c r="K21" s="159"/>
      <c r="L21" s="154" t="s">
        <v>4</v>
      </c>
      <c r="M21" s="154" t="s">
        <v>33</v>
      </c>
    </row>
    <row r="22" spans="1:15" ht="15.75" x14ac:dyDescent="0.2">
      <c r="A22" s="14" t="s">
        <v>26</v>
      </c>
      <c r="B22" s="314">
        <f>B23+B24+B25+B26</f>
        <v>273</v>
      </c>
      <c r="C22" s="314">
        <f>C23+C24+C25+C26</f>
        <v>242</v>
      </c>
      <c r="D22" s="348">
        <f t="shared" ref="D22:D31" si="2">IF(B22=0, "    ---- ", IF(ABS(ROUND(100/B22*C22-100,1))&lt;999,ROUND(100/B22*C22-100,1),IF(ROUND(100/B22*C22-100,1)&gt;999,999,-999)))</f>
        <v>-11.4</v>
      </c>
      <c r="E22" s="11">
        <f>IFERROR(100/'Skjema total MA'!C22*C22,0)</f>
        <v>1.483394284451393E-2</v>
      </c>
      <c r="F22" s="314"/>
      <c r="G22" s="314"/>
      <c r="H22" s="348"/>
      <c r="I22" s="11"/>
      <c r="J22" s="314">
        <f t="shared" ref="J22:K31" si="3">SUM(B22,F22)</f>
        <v>273</v>
      </c>
      <c r="K22" s="314">
        <f t="shared" si="3"/>
        <v>242</v>
      </c>
      <c r="L22" s="424">
        <f t="shared" ref="L22:L29" si="4">IF(J22=0, "    ---- ", IF(ABS(ROUND(100/J22*K22-100,1))&lt;999,ROUND(100/J22*K22-100,1),IF(ROUND(100/J22*K22-100,1)&gt;999,999,-999)))</f>
        <v>-11.4</v>
      </c>
      <c r="M22" s="23">
        <f>IFERROR(100/'Skjema total MA'!I22*K22,0)</f>
        <v>8.6684466763955054E-3</v>
      </c>
    </row>
    <row r="23" spans="1:15" ht="15.75" x14ac:dyDescent="0.2">
      <c r="A23" s="294" t="s">
        <v>305</v>
      </c>
      <c r="B23" s="288"/>
      <c r="C23" s="288"/>
      <c r="D23" s="164"/>
      <c r="E23" s="414"/>
      <c r="F23" s="288"/>
      <c r="G23" s="288"/>
      <c r="H23" s="164"/>
      <c r="I23" s="414"/>
      <c r="J23" s="288"/>
      <c r="K23" s="288"/>
      <c r="L23" s="164"/>
      <c r="M23" s="22"/>
    </row>
    <row r="24" spans="1:15" ht="15.75" x14ac:dyDescent="0.2">
      <c r="A24" s="294" t="s">
        <v>306</v>
      </c>
      <c r="B24" s="288">
        <v>273</v>
      </c>
      <c r="C24" s="288">
        <v>242</v>
      </c>
      <c r="D24" s="164">
        <f t="shared" si="2"/>
        <v>-11.4</v>
      </c>
      <c r="E24" s="26">
        <f>IFERROR(100/'Skjema total MA'!C24*C24,0)</f>
        <v>1.3716359999460961</v>
      </c>
      <c r="F24" s="288"/>
      <c r="G24" s="288"/>
      <c r="H24" s="164"/>
      <c r="I24" s="414"/>
      <c r="J24" s="43">
        <f t="shared" si="3"/>
        <v>273</v>
      </c>
      <c r="K24" s="43">
        <f t="shared" si="3"/>
        <v>242</v>
      </c>
      <c r="L24" s="164">
        <f t="shared" ref="L24" si="5">IF(J24=0, "    ---- ", IF(ABS(ROUND(100/J24*K24-100,1))&lt;999,ROUND(100/J24*K24-100,1),IF(ROUND(100/J24*K24-100,1)&gt;999,999,-999)))</f>
        <v>-11.4</v>
      </c>
      <c r="M24" s="22">
        <f>IFERROR(100/'Skjema total MA'!I24*K24,0)</f>
        <v>1.3110667523827197</v>
      </c>
    </row>
    <row r="25" spans="1:15" ht="15.75" x14ac:dyDescent="0.2">
      <c r="A25" s="294" t="s">
        <v>406</v>
      </c>
      <c r="B25" s="288"/>
      <c r="C25" s="288"/>
      <c r="D25" s="164"/>
      <c r="E25" s="414"/>
      <c r="F25" s="288"/>
      <c r="G25" s="288"/>
      <c r="H25" s="164"/>
      <c r="I25" s="414"/>
      <c r="J25" s="288"/>
      <c r="K25" s="288"/>
      <c r="L25" s="164"/>
      <c r="M25" s="22"/>
    </row>
    <row r="26" spans="1:15" ht="15.75" x14ac:dyDescent="0.2">
      <c r="A26" s="294" t="s">
        <v>307</v>
      </c>
      <c r="B26" s="288"/>
      <c r="C26" s="288"/>
      <c r="D26" s="164"/>
      <c r="E26" s="414"/>
      <c r="F26" s="288"/>
      <c r="G26" s="288"/>
      <c r="H26" s="164"/>
      <c r="I26" s="414"/>
      <c r="J26" s="288"/>
      <c r="K26" s="288"/>
      <c r="L26" s="164"/>
      <c r="M26" s="22"/>
    </row>
    <row r="27" spans="1:15" x14ac:dyDescent="0.2">
      <c r="A27" s="294" t="s">
        <v>11</v>
      </c>
      <c r="B27" s="288"/>
      <c r="C27" s="288"/>
      <c r="D27" s="164"/>
      <c r="E27" s="414"/>
      <c r="F27" s="288"/>
      <c r="G27" s="288"/>
      <c r="H27" s="164"/>
      <c r="I27" s="414"/>
      <c r="J27" s="288"/>
      <c r="K27" s="288"/>
      <c r="L27" s="164"/>
      <c r="M27" s="22"/>
    </row>
    <row r="28" spans="1:15" ht="15.75" x14ac:dyDescent="0.2">
      <c r="A28" s="48" t="s">
        <v>297</v>
      </c>
      <c r="B28" s="43">
        <v>273</v>
      </c>
      <c r="C28" s="285">
        <v>242</v>
      </c>
      <c r="D28" s="164">
        <f t="shared" si="2"/>
        <v>-11.4</v>
      </c>
      <c r="E28" s="26">
        <f>IFERROR(100/'Skjema total MA'!C28*C28,0)</f>
        <v>1.4977807999184677E-2</v>
      </c>
      <c r="F28" s="232"/>
      <c r="G28" s="285"/>
      <c r="H28" s="164"/>
      <c r="I28" s="26"/>
      <c r="J28" s="43">
        <f t="shared" si="3"/>
        <v>273</v>
      </c>
      <c r="K28" s="43">
        <f t="shared" si="3"/>
        <v>242</v>
      </c>
      <c r="L28" s="253">
        <f t="shared" si="4"/>
        <v>-11.4</v>
      </c>
      <c r="M28" s="22">
        <f>IFERROR(100/'Skjema total MA'!I28*K28,0)</f>
        <v>1.4977807999184677E-2</v>
      </c>
    </row>
    <row r="29" spans="1:15" s="3" customFormat="1" ht="15.75" x14ac:dyDescent="0.2">
      <c r="A29" s="13" t="s">
        <v>25</v>
      </c>
      <c r="B29" s="234">
        <f>B30+B31+B32+B33</f>
        <v>2486</v>
      </c>
      <c r="C29" s="234">
        <f>C30+C31+C32+C33</f>
        <v>2332</v>
      </c>
      <c r="D29" s="169">
        <f t="shared" si="2"/>
        <v>-6.2</v>
      </c>
      <c r="E29" s="11">
        <f>IFERROR(100/'Skjema total MA'!C29*C29,0)</f>
        <v>4.7163949667855549E-3</v>
      </c>
      <c r="F29" s="234"/>
      <c r="G29" s="234"/>
      <c r="H29" s="169"/>
      <c r="I29" s="11"/>
      <c r="J29" s="234">
        <f t="shared" si="3"/>
        <v>2486</v>
      </c>
      <c r="K29" s="234">
        <f t="shared" si="3"/>
        <v>2332</v>
      </c>
      <c r="L29" s="425">
        <f t="shared" si="4"/>
        <v>-6.2</v>
      </c>
      <c r="M29" s="23">
        <f>IFERROR(100/'Skjema total MA'!I29*K29,0)</f>
        <v>3.324057098042238E-3</v>
      </c>
      <c r="N29" s="146"/>
      <c r="O29" s="146"/>
    </row>
    <row r="30" spans="1:15" s="3" customFormat="1" ht="15.75" x14ac:dyDescent="0.2">
      <c r="A30" s="294" t="s">
        <v>305</v>
      </c>
      <c r="B30" s="288"/>
      <c r="C30" s="288"/>
      <c r="D30" s="164"/>
      <c r="E30" s="414"/>
      <c r="F30" s="288"/>
      <c r="G30" s="288"/>
      <c r="H30" s="164"/>
      <c r="I30" s="414"/>
      <c r="J30" s="288"/>
      <c r="K30" s="288"/>
      <c r="L30" s="164"/>
      <c r="M30" s="22"/>
      <c r="N30" s="146"/>
      <c r="O30" s="146"/>
    </row>
    <row r="31" spans="1:15" s="3" customFormat="1" ht="15.75" x14ac:dyDescent="0.2">
      <c r="A31" s="294" t="s">
        <v>306</v>
      </c>
      <c r="B31" s="288">
        <v>2486</v>
      </c>
      <c r="C31" s="288">
        <v>2332</v>
      </c>
      <c r="D31" s="164">
        <f t="shared" si="2"/>
        <v>-6.2</v>
      </c>
      <c r="E31" s="26">
        <f>IFERROR(100/'Skjema total MA'!C31*C31,0)</f>
        <v>6.6281559760255756E-3</v>
      </c>
      <c r="F31" s="288"/>
      <c r="G31" s="288"/>
      <c r="H31" s="164"/>
      <c r="I31" s="414"/>
      <c r="J31" s="43">
        <f t="shared" si="3"/>
        <v>2486</v>
      </c>
      <c r="K31" s="43">
        <f t="shared" si="3"/>
        <v>2332</v>
      </c>
      <c r="L31" s="164">
        <f t="shared" ref="L31" si="6">IF(J31=0, "    ---- ", IF(ABS(ROUND(100/J31*K31-100,1))&lt;999,ROUND(100/J31*K31-100,1),IF(ROUND(100/J31*K31-100,1)&gt;999,999,-999)))</f>
        <v>-6.2</v>
      </c>
      <c r="M31" s="22">
        <f>IFERROR(100/'Skjema total MA'!I31*K31,0)</f>
        <v>5.0215409389426395E-3</v>
      </c>
      <c r="N31" s="146"/>
      <c r="O31" s="146"/>
    </row>
    <row r="32" spans="1:15" ht="15.75" x14ac:dyDescent="0.2">
      <c r="A32" s="294" t="s">
        <v>406</v>
      </c>
      <c r="B32" s="288"/>
      <c r="C32" s="288"/>
      <c r="D32" s="164"/>
      <c r="E32" s="414"/>
      <c r="F32" s="288"/>
      <c r="G32" s="288"/>
      <c r="H32" s="164"/>
      <c r="I32" s="414"/>
      <c r="J32" s="288"/>
      <c r="K32" s="288"/>
      <c r="L32" s="164"/>
      <c r="M32" s="22"/>
    </row>
    <row r="33" spans="1:15" ht="15.75" x14ac:dyDescent="0.2">
      <c r="A33" s="294" t="s">
        <v>307</v>
      </c>
      <c r="B33" s="288"/>
      <c r="C33" s="288"/>
      <c r="D33" s="164"/>
      <c r="E33" s="414"/>
      <c r="F33" s="288"/>
      <c r="G33" s="288"/>
      <c r="H33" s="164"/>
      <c r="I33" s="414"/>
      <c r="J33" s="288"/>
      <c r="K33" s="288"/>
      <c r="L33" s="164"/>
      <c r="M33" s="22"/>
    </row>
    <row r="34" spans="1:15" ht="15.75" x14ac:dyDescent="0.2">
      <c r="A34" s="13" t="s">
        <v>24</v>
      </c>
      <c r="B34" s="234"/>
      <c r="C34" s="307"/>
      <c r="D34" s="169"/>
      <c r="E34" s="11"/>
      <c r="F34" s="306"/>
      <c r="G34" s="307"/>
      <c r="H34" s="169"/>
      <c r="I34" s="11"/>
      <c r="J34" s="234"/>
      <c r="K34" s="234"/>
      <c r="L34" s="425"/>
      <c r="M34" s="23"/>
    </row>
    <row r="35" spans="1:15" ht="15.75" x14ac:dyDescent="0.2">
      <c r="A35" s="13" t="s">
        <v>23</v>
      </c>
      <c r="B35" s="234"/>
      <c r="C35" s="307"/>
      <c r="D35" s="169"/>
      <c r="E35" s="11"/>
      <c r="F35" s="306"/>
      <c r="G35" s="307"/>
      <c r="H35" s="169"/>
      <c r="I35" s="11"/>
      <c r="J35" s="234"/>
      <c r="K35" s="234"/>
      <c r="L35" s="425"/>
      <c r="M35" s="23"/>
    </row>
    <row r="36" spans="1:15" ht="15.75" x14ac:dyDescent="0.2">
      <c r="A36" s="12" t="s">
        <v>308</v>
      </c>
      <c r="B36" s="234"/>
      <c r="C36" s="307"/>
      <c r="D36" s="169"/>
      <c r="E36" s="11"/>
      <c r="F36" s="317"/>
      <c r="G36" s="318"/>
      <c r="H36" s="169"/>
      <c r="I36" s="431"/>
      <c r="J36" s="234"/>
      <c r="K36" s="234"/>
      <c r="L36" s="425"/>
      <c r="M36" s="23"/>
    </row>
    <row r="37" spans="1:15" ht="15.75" x14ac:dyDescent="0.2">
      <c r="A37" s="12" t="s">
        <v>309</v>
      </c>
      <c r="B37" s="234"/>
      <c r="C37" s="307"/>
      <c r="D37" s="169"/>
      <c r="E37" s="11"/>
      <c r="F37" s="317"/>
      <c r="G37" s="319"/>
      <c r="H37" s="169"/>
      <c r="I37" s="431"/>
      <c r="J37" s="234"/>
      <c r="K37" s="234"/>
      <c r="L37" s="425"/>
      <c r="M37" s="23"/>
    </row>
    <row r="38" spans="1:15" ht="15.75" x14ac:dyDescent="0.2">
      <c r="A38" s="12" t="s">
        <v>310</v>
      </c>
      <c r="B38" s="234"/>
      <c r="C38" s="307"/>
      <c r="D38" s="169"/>
      <c r="E38" s="11"/>
      <c r="F38" s="317"/>
      <c r="G38" s="318"/>
      <c r="H38" s="169"/>
      <c r="I38" s="431"/>
      <c r="J38" s="234"/>
      <c r="K38" s="234"/>
      <c r="L38" s="425"/>
      <c r="M38" s="23"/>
    </row>
    <row r="39" spans="1:15" ht="15.75" x14ac:dyDescent="0.2">
      <c r="A39" s="18" t="s">
        <v>311</v>
      </c>
      <c r="B39" s="274"/>
      <c r="C39" s="313"/>
      <c r="D39" s="167"/>
      <c r="E39" s="11"/>
      <c r="F39" s="320"/>
      <c r="G39" s="321"/>
      <c r="H39" s="167"/>
      <c r="I39" s="35"/>
      <c r="J39" s="234"/>
      <c r="K39" s="234"/>
      <c r="L39" s="426"/>
      <c r="M39" s="35"/>
    </row>
    <row r="40" spans="1:15" ht="15.75" x14ac:dyDescent="0.25">
      <c r="A40" s="46"/>
      <c r="B40" s="252"/>
      <c r="C40" s="252"/>
      <c r="D40" s="964"/>
      <c r="E40" s="964"/>
      <c r="F40" s="964"/>
      <c r="G40" s="964"/>
      <c r="H40" s="964"/>
      <c r="I40" s="964"/>
      <c r="J40" s="964"/>
      <c r="K40" s="964"/>
      <c r="L40" s="964"/>
      <c r="M40" s="300"/>
    </row>
    <row r="41" spans="1:15" x14ac:dyDescent="0.2">
      <c r="A41" s="153"/>
    </row>
    <row r="42" spans="1:15" ht="15.75" x14ac:dyDescent="0.25">
      <c r="A42" s="145" t="s">
        <v>294</v>
      </c>
      <c r="B42" s="965"/>
      <c r="C42" s="965"/>
      <c r="D42" s="965"/>
      <c r="E42" s="297"/>
      <c r="F42" s="966"/>
      <c r="G42" s="966"/>
      <c r="H42" s="966"/>
      <c r="I42" s="300"/>
      <c r="J42" s="966"/>
      <c r="K42" s="966"/>
      <c r="L42" s="966"/>
      <c r="M42" s="300"/>
    </row>
    <row r="43" spans="1:15" ht="15.75" x14ac:dyDescent="0.25">
      <c r="A43" s="161"/>
      <c r="B43" s="301"/>
      <c r="C43" s="301"/>
      <c r="D43" s="301"/>
      <c r="E43" s="301"/>
      <c r="F43" s="300"/>
      <c r="G43" s="300"/>
      <c r="H43" s="300"/>
      <c r="I43" s="300"/>
      <c r="J43" s="300"/>
      <c r="K43" s="300"/>
      <c r="L43" s="300"/>
      <c r="M43" s="300"/>
    </row>
    <row r="44" spans="1:15" ht="15.75" x14ac:dyDescent="0.25">
      <c r="A44" s="246"/>
      <c r="B44" s="960" t="s">
        <v>0</v>
      </c>
      <c r="C44" s="961"/>
      <c r="D44" s="961"/>
      <c r="E44" s="241"/>
      <c r="F44" s="300"/>
      <c r="G44" s="300"/>
      <c r="H44" s="300"/>
      <c r="I44" s="300"/>
      <c r="J44" s="300"/>
      <c r="K44" s="300"/>
      <c r="L44" s="300"/>
      <c r="M44" s="300"/>
    </row>
    <row r="45" spans="1:15" s="3" customFormat="1" x14ac:dyDescent="0.2">
      <c r="A45" s="139"/>
      <c r="B45" s="171" t="s">
        <v>504</v>
      </c>
      <c r="C45" s="171" t="s">
        <v>505</v>
      </c>
      <c r="D45" s="160" t="s">
        <v>3</v>
      </c>
      <c r="E45" s="160" t="s">
        <v>32</v>
      </c>
      <c r="F45" s="173"/>
      <c r="G45" s="173"/>
      <c r="H45" s="172"/>
      <c r="I45" s="172"/>
      <c r="J45" s="173"/>
      <c r="K45" s="173"/>
      <c r="L45" s="172"/>
      <c r="M45" s="172"/>
      <c r="N45" s="146"/>
      <c r="O45" s="146"/>
    </row>
    <row r="46" spans="1:15" s="3" customFormat="1" x14ac:dyDescent="0.2">
      <c r="A46" s="934"/>
      <c r="B46" s="242"/>
      <c r="C46" s="242"/>
      <c r="D46" s="243" t="s">
        <v>4</v>
      </c>
      <c r="E46" s="154" t="s">
        <v>33</v>
      </c>
      <c r="F46" s="172"/>
      <c r="G46" s="172"/>
      <c r="H46" s="172"/>
      <c r="I46" s="172"/>
      <c r="J46" s="172"/>
      <c r="K46" s="172"/>
      <c r="L46" s="172"/>
      <c r="M46" s="172"/>
      <c r="N46" s="146"/>
      <c r="O46" s="146"/>
    </row>
    <row r="47" spans="1:15" s="3" customFormat="1" ht="15.75" x14ac:dyDescent="0.2">
      <c r="A47" s="14" t="s">
        <v>26</v>
      </c>
      <c r="B47" s="308"/>
      <c r="C47" s="309"/>
      <c r="D47" s="424"/>
      <c r="E47" s="11"/>
      <c r="F47" s="143"/>
      <c r="G47" s="32"/>
      <c r="H47" s="157"/>
      <c r="I47" s="157"/>
      <c r="J47" s="36"/>
      <c r="K47" s="36"/>
      <c r="L47" s="157"/>
      <c r="M47" s="157"/>
      <c r="N47" s="146"/>
      <c r="O47" s="146"/>
    </row>
    <row r="48" spans="1:15" s="3" customFormat="1" ht="15.75" x14ac:dyDescent="0.2">
      <c r="A48" s="37" t="s">
        <v>312</v>
      </c>
      <c r="B48" s="279"/>
      <c r="C48" s="280"/>
      <c r="D48" s="253"/>
      <c r="E48" s="26"/>
      <c r="F48" s="143"/>
      <c r="G48" s="32"/>
      <c r="H48" s="143"/>
      <c r="I48" s="143"/>
      <c r="J48" s="32"/>
      <c r="K48" s="32"/>
      <c r="L48" s="157"/>
      <c r="M48" s="157"/>
      <c r="N48" s="146"/>
      <c r="O48" s="146"/>
    </row>
    <row r="49" spans="1:15" s="3" customFormat="1" ht="15.75" x14ac:dyDescent="0.2">
      <c r="A49" s="37" t="s">
        <v>313</v>
      </c>
      <c r="B49" s="43"/>
      <c r="C49" s="285"/>
      <c r="D49" s="253"/>
      <c r="E49" s="26"/>
      <c r="F49" s="143"/>
      <c r="G49" s="32"/>
      <c r="H49" s="143"/>
      <c r="I49" s="143"/>
      <c r="J49" s="36"/>
      <c r="K49" s="36"/>
      <c r="L49" s="157"/>
      <c r="M49" s="157"/>
      <c r="N49" s="146"/>
      <c r="O49" s="146"/>
    </row>
    <row r="50" spans="1:15" s="3" customFormat="1" x14ac:dyDescent="0.2">
      <c r="A50" s="294" t="s">
        <v>6</v>
      </c>
      <c r="B50" s="288"/>
      <c r="C50" s="289"/>
      <c r="D50" s="253"/>
      <c r="E50" s="22"/>
      <c r="F50" s="143"/>
      <c r="G50" s="32"/>
      <c r="H50" s="143"/>
      <c r="I50" s="143"/>
      <c r="J50" s="32"/>
      <c r="K50" s="32"/>
      <c r="L50" s="157"/>
      <c r="M50" s="157"/>
      <c r="N50" s="146"/>
      <c r="O50" s="146"/>
    </row>
    <row r="51" spans="1:15" s="3" customFormat="1" x14ac:dyDescent="0.2">
      <c r="A51" s="294" t="s">
        <v>7</v>
      </c>
      <c r="B51" s="288"/>
      <c r="C51" s="289"/>
      <c r="D51" s="253"/>
      <c r="E51" s="22"/>
      <c r="F51" s="143"/>
      <c r="G51" s="32"/>
      <c r="H51" s="143"/>
      <c r="I51" s="143"/>
      <c r="J51" s="32"/>
      <c r="K51" s="32"/>
      <c r="L51" s="157"/>
      <c r="M51" s="157"/>
      <c r="N51" s="146"/>
      <c r="O51" s="146"/>
    </row>
    <row r="52" spans="1:15" s="3" customFormat="1" x14ac:dyDescent="0.2">
      <c r="A52" s="294" t="s">
        <v>8</v>
      </c>
      <c r="B52" s="288"/>
      <c r="C52" s="289"/>
      <c r="D52" s="253"/>
      <c r="E52" s="22"/>
      <c r="F52" s="143"/>
      <c r="G52" s="32"/>
      <c r="H52" s="143"/>
      <c r="I52" s="143"/>
      <c r="J52" s="32"/>
      <c r="K52" s="32"/>
      <c r="L52" s="157"/>
      <c r="M52" s="157"/>
      <c r="N52" s="146"/>
      <c r="O52" s="146"/>
    </row>
    <row r="53" spans="1:15" s="3" customFormat="1" ht="15.75" x14ac:dyDescent="0.2">
      <c r="A53" s="38" t="s">
        <v>314</v>
      </c>
      <c r="B53" s="308"/>
      <c r="C53" s="309"/>
      <c r="D53" s="425"/>
      <c r="E53" s="11"/>
      <c r="F53" s="143"/>
      <c r="G53" s="32"/>
      <c r="H53" s="143"/>
      <c r="I53" s="143"/>
      <c r="J53" s="32"/>
      <c r="K53" s="32"/>
      <c r="L53" s="157"/>
      <c r="M53" s="157"/>
      <c r="N53" s="146"/>
      <c r="O53" s="146"/>
    </row>
    <row r="54" spans="1:15" s="3" customFormat="1" ht="15.75" x14ac:dyDescent="0.2">
      <c r="A54" s="37" t="s">
        <v>312</v>
      </c>
      <c r="B54" s="279"/>
      <c r="C54" s="280"/>
      <c r="D54" s="253"/>
      <c r="E54" s="26"/>
      <c r="F54" s="143"/>
      <c r="G54" s="32"/>
      <c r="H54" s="143"/>
      <c r="I54" s="143"/>
      <c r="J54" s="32"/>
      <c r="K54" s="32"/>
      <c r="L54" s="157"/>
      <c r="M54" s="157"/>
      <c r="N54" s="146"/>
      <c r="O54" s="146"/>
    </row>
    <row r="55" spans="1:15" s="3" customFormat="1" ht="15.75" x14ac:dyDescent="0.2">
      <c r="A55" s="37" t="s">
        <v>313</v>
      </c>
      <c r="B55" s="279"/>
      <c r="C55" s="280"/>
      <c r="D55" s="253"/>
      <c r="E55" s="26"/>
      <c r="F55" s="143"/>
      <c r="G55" s="32"/>
      <c r="H55" s="143"/>
      <c r="I55" s="143"/>
      <c r="J55" s="32"/>
      <c r="K55" s="32"/>
      <c r="L55" s="157"/>
      <c r="M55" s="157"/>
      <c r="N55" s="146"/>
      <c r="O55" s="146"/>
    </row>
    <row r="56" spans="1:15" s="3" customFormat="1" ht="15.75" x14ac:dyDescent="0.2">
      <c r="A56" s="38" t="s">
        <v>315</v>
      </c>
      <c r="B56" s="308"/>
      <c r="C56" s="309"/>
      <c r="D56" s="425"/>
      <c r="E56" s="11"/>
      <c r="F56" s="143"/>
      <c r="G56" s="32"/>
      <c r="H56" s="143"/>
      <c r="I56" s="143"/>
      <c r="J56" s="32"/>
      <c r="K56" s="32"/>
      <c r="L56" s="157"/>
      <c r="M56" s="157"/>
      <c r="N56" s="146"/>
      <c r="O56" s="146"/>
    </row>
    <row r="57" spans="1:15" s="3" customFormat="1" ht="15.75" x14ac:dyDescent="0.2">
      <c r="A57" s="37" t="s">
        <v>312</v>
      </c>
      <c r="B57" s="279"/>
      <c r="C57" s="280"/>
      <c r="D57" s="253"/>
      <c r="E57" s="26"/>
      <c r="F57" s="143"/>
      <c r="G57" s="32"/>
      <c r="H57" s="143"/>
      <c r="I57" s="143"/>
      <c r="J57" s="32"/>
      <c r="K57" s="32"/>
      <c r="L57" s="157"/>
      <c r="M57" s="157"/>
      <c r="N57" s="146"/>
      <c r="O57" s="146"/>
    </row>
    <row r="58" spans="1:15" s="3" customFormat="1" ht="15.75" x14ac:dyDescent="0.2">
      <c r="A58" s="45" t="s">
        <v>313</v>
      </c>
      <c r="B58" s="281"/>
      <c r="C58" s="282"/>
      <c r="D58" s="254"/>
      <c r="E58" s="21"/>
      <c r="F58" s="143"/>
      <c r="G58" s="32"/>
      <c r="H58" s="143"/>
      <c r="I58" s="143"/>
      <c r="J58" s="32"/>
      <c r="K58" s="32"/>
      <c r="L58" s="157"/>
      <c r="M58" s="157"/>
      <c r="N58" s="146"/>
      <c r="O58" s="146"/>
    </row>
    <row r="59" spans="1:15" s="3" customFormat="1" ht="15.75" x14ac:dyDescent="0.25">
      <c r="A59" s="162"/>
      <c r="B59" s="152"/>
      <c r="C59" s="152"/>
      <c r="D59" s="152"/>
      <c r="E59" s="152"/>
      <c r="F59" s="140"/>
      <c r="G59" s="140"/>
      <c r="H59" s="140"/>
      <c r="I59" s="140"/>
      <c r="J59" s="140"/>
      <c r="K59" s="140"/>
      <c r="L59" s="140"/>
      <c r="M59" s="140"/>
      <c r="N59" s="146"/>
      <c r="O59" s="146"/>
    </row>
    <row r="60" spans="1:15" x14ac:dyDescent="0.2">
      <c r="A60" s="153"/>
    </row>
    <row r="61" spans="1:15" ht="15.75" x14ac:dyDescent="0.25">
      <c r="A61" s="145" t="s">
        <v>295</v>
      </c>
      <c r="C61" s="25"/>
      <c r="D61" s="25"/>
      <c r="E61" s="25"/>
      <c r="F61" s="25"/>
      <c r="G61" s="25"/>
      <c r="H61" s="25"/>
      <c r="I61" s="25"/>
      <c r="J61" s="25"/>
      <c r="K61" s="25"/>
      <c r="L61" s="25"/>
      <c r="M61" s="25"/>
    </row>
    <row r="62" spans="1:15" ht="15.75" x14ac:dyDescent="0.25">
      <c r="B62" s="963"/>
      <c r="C62" s="963"/>
      <c r="D62" s="963"/>
      <c r="E62" s="297"/>
      <c r="F62" s="963"/>
      <c r="G62" s="963"/>
      <c r="H62" s="963"/>
      <c r="I62" s="297"/>
      <c r="J62" s="963"/>
      <c r="K62" s="963"/>
      <c r="L62" s="963"/>
      <c r="M62" s="297"/>
    </row>
    <row r="63" spans="1:15" x14ac:dyDescent="0.2">
      <c r="A63" s="142"/>
      <c r="B63" s="960" t="s">
        <v>0</v>
      </c>
      <c r="C63" s="961"/>
      <c r="D63" s="962"/>
      <c r="E63" s="298"/>
      <c r="F63" s="961" t="s">
        <v>1</v>
      </c>
      <c r="G63" s="961"/>
      <c r="H63" s="961"/>
      <c r="I63" s="302"/>
      <c r="J63" s="960" t="s">
        <v>2</v>
      </c>
      <c r="K63" s="961"/>
      <c r="L63" s="961"/>
      <c r="M63" s="302"/>
    </row>
    <row r="64" spans="1:15" x14ac:dyDescent="0.2">
      <c r="A64" s="139"/>
      <c r="B64" s="150" t="s">
        <v>504</v>
      </c>
      <c r="C64" s="150" t="s">
        <v>505</v>
      </c>
      <c r="D64" s="243" t="s">
        <v>3</v>
      </c>
      <c r="E64" s="303" t="s">
        <v>32</v>
      </c>
      <c r="F64" s="150" t="s">
        <v>504</v>
      </c>
      <c r="G64" s="150" t="s">
        <v>505</v>
      </c>
      <c r="H64" s="243" t="s">
        <v>3</v>
      </c>
      <c r="I64" s="303" t="s">
        <v>32</v>
      </c>
      <c r="J64" s="150" t="s">
        <v>504</v>
      </c>
      <c r="K64" s="150" t="s">
        <v>505</v>
      </c>
      <c r="L64" s="243" t="s">
        <v>3</v>
      </c>
      <c r="M64" s="160" t="s">
        <v>32</v>
      </c>
    </row>
    <row r="65" spans="1:15" x14ac:dyDescent="0.2">
      <c r="A65" s="934"/>
      <c r="B65" s="154"/>
      <c r="C65" s="154"/>
      <c r="D65" s="245" t="s">
        <v>4</v>
      </c>
      <c r="E65" s="154" t="s">
        <v>33</v>
      </c>
      <c r="F65" s="159"/>
      <c r="G65" s="159"/>
      <c r="H65" s="243" t="s">
        <v>4</v>
      </c>
      <c r="I65" s="154" t="s">
        <v>33</v>
      </c>
      <c r="J65" s="159"/>
      <c r="K65" s="204"/>
      <c r="L65" s="154" t="s">
        <v>4</v>
      </c>
      <c r="M65" s="154" t="s">
        <v>33</v>
      </c>
    </row>
    <row r="66" spans="1:15" ht="15.75" x14ac:dyDescent="0.2">
      <c r="A66" s="14" t="s">
        <v>26</v>
      </c>
      <c r="B66" s="350"/>
      <c r="C66" s="350"/>
      <c r="D66" s="348"/>
      <c r="E66" s="11"/>
      <c r="F66" s="350"/>
      <c r="G66" s="350"/>
      <c r="H66" s="348"/>
      <c r="I66" s="11"/>
      <c r="J66" s="307"/>
      <c r="K66" s="314"/>
      <c r="L66" s="425"/>
      <c r="M66" s="11"/>
    </row>
    <row r="67" spans="1:15" x14ac:dyDescent="0.2">
      <c r="A67" s="416" t="s">
        <v>9</v>
      </c>
      <c r="B67" s="43"/>
      <c r="C67" s="143"/>
      <c r="D67" s="164"/>
      <c r="E67" s="26"/>
      <c r="F67" s="232"/>
      <c r="G67" s="143"/>
      <c r="H67" s="164"/>
      <c r="I67" s="26"/>
      <c r="J67" s="285"/>
      <c r="K67" s="43"/>
      <c r="L67" s="253"/>
      <c r="M67" s="26"/>
    </row>
    <row r="68" spans="1:15" x14ac:dyDescent="0.2">
      <c r="A68" s="20" t="s">
        <v>10</v>
      </c>
      <c r="B68" s="290"/>
      <c r="C68" s="291"/>
      <c r="D68" s="164"/>
      <c r="E68" s="26"/>
      <c r="F68" s="290"/>
      <c r="G68" s="291"/>
      <c r="H68" s="164"/>
      <c r="I68" s="26"/>
      <c r="J68" s="285"/>
      <c r="K68" s="43"/>
      <c r="L68" s="253"/>
      <c r="M68" s="26"/>
    </row>
    <row r="69" spans="1:15" ht="15.75" x14ac:dyDescent="0.2">
      <c r="A69" s="294" t="s">
        <v>316</v>
      </c>
      <c r="B69" s="279"/>
      <c r="C69" s="279"/>
      <c r="D69" s="164"/>
      <c r="E69" s="414"/>
      <c r="F69" s="279"/>
      <c r="G69" s="279"/>
      <c r="H69" s="164"/>
      <c r="I69" s="414"/>
      <c r="J69" s="288"/>
      <c r="K69" s="288"/>
      <c r="L69" s="164"/>
      <c r="M69" s="22"/>
    </row>
    <row r="70" spans="1:15" x14ac:dyDescent="0.2">
      <c r="A70" s="294" t="s">
        <v>12</v>
      </c>
      <c r="B70" s="292"/>
      <c r="C70" s="293"/>
      <c r="D70" s="164"/>
      <c r="E70" s="414"/>
      <c r="F70" s="279"/>
      <c r="G70" s="279"/>
      <c r="H70" s="164"/>
      <c r="I70" s="414"/>
      <c r="J70" s="288"/>
      <c r="K70" s="288"/>
      <c r="L70" s="164"/>
      <c r="M70" s="22"/>
    </row>
    <row r="71" spans="1:15" x14ac:dyDescent="0.2">
      <c r="A71" s="294" t="s">
        <v>13</v>
      </c>
      <c r="B71" s="233"/>
      <c r="C71" s="287"/>
      <c r="D71" s="164"/>
      <c r="E71" s="414"/>
      <c r="F71" s="279"/>
      <c r="G71" s="279"/>
      <c r="H71" s="164"/>
      <c r="I71" s="414"/>
      <c r="J71" s="288"/>
      <c r="K71" s="288"/>
      <c r="L71" s="164"/>
      <c r="M71" s="22"/>
    </row>
    <row r="72" spans="1:15" ht="15.75" x14ac:dyDescent="0.2">
      <c r="A72" s="294" t="s">
        <v>317</v>
      </c>
      <c r="B72" s="279"/>
      <c r="C72" s="279"/>
      <c r="D72" s="164"/>
      <c r="E72" s="414"/>
      <c r="F72" s="279"/>
      <c r="G72" s="279"/>
      <c r="H72" s="164"/>
      <c r="I72" s="414"/>
      <c r="J72" s="288"/>
      <c r="K72" s="288"/>
      <c r="L72" s="164"/>
      <c r="M72" s="22"/>
    </row>
    <row r="73" spans="1:15" x14ac:dyDescent="0.2">
      <c r="A73" s="294" t="s">
        <v>12</v>
      </c>
      <c r="B73" s="233"/>
      <c r="C73" s="287"/>
      <c r="D73" s="164"/>
      <c r="E73" s="414"/>
      <c r="F73" s="279"/>
      <c r="G73" s="279"/>
      <c r="H73" s="164"/>
      <c r="I73" s="414"/>
      <c r="J73" s="288"/>
      <c r="K73" s="288"/>
      <c r="L73" s="164"/>
      <c r="M73" s="22"/>
    </row>
    <row r="74" spans="1:15" s="3" customFormat="1" x14ac:dyDescent="0.2">
      <c r="A74" s="294" t="s">
        <v>13</v>
      </c>
      <c r="B74" s="233"/>
      <c r="C74" s="287"/>
      <c r="D74" s="164"/>
      <c r="E74" s="414"/>
      <c r="F74" s="279"/>
      <c r="G74" s="279"/>
      <c r="H74" s="164"/>
      <c r="I74" s="414"/>
      <c r="J74" s="288"/>
      <c r="K74" s="288"/>
      <c r="L74" s="164"/>
      <c r="M74" s="22"/>
      <c r="N74" s="146"/>
      <c r="O74" s="146"/>
    </row>
    <row r="75" spans="1:15" s="3" customFormat="1" x14ac:dyDescent="0.2">
      <c r="A75" s="20" t="s">
        <v>395</v>
      </c>
      <c r="B75" s="232"/>
      <c r="C75" s="143"/>
      <c r="D75" s="164"/>
      <c r="E75" s="26"/>
      <c r="F75" s="232"/>
      <c r="G75" s="143"/>
      <c r="H75" s="164"/>
      <c r="I75" s="26"/>
      <c r="J75" s="285"/>
      <c r="K75" s="43"/>
      <c r="L75" s="253"/>
      <c r="M75" s="26"/>
      <c r="N75" s="146"/>
      <c r="O75" s="146"/>
    </row>
    <row r="76" spans="1:15" s="3" customFormat="1" x14ac:dyDescent="0.2">
      <c r="A76" s="20" t="s">
        <v>394</v>
      </c>
      <c r="B76" s="232"/>
      <c r="C76" s="143"/>
      <c r="D76" s="164"/>
      <c r="E76" s="26"/>
      <c r="F76" s="232"/>
      <c r="G76" s="143"/>
      <c r="H76" s="164"/>
      <c r="I76" s="26"/>
      <c r="J76" s="285"/>
      <c r="K76" s="43"/>
      <c r="L76" s="253"/>
      <c r="M76" s="26"/>
      <c r="N76" s="146"/>
      <c r="O76" s="146"/>
    </row>
    <row r="77" spans="1:15" ht="15.75" x14ac:dyDescent="0.2">
      <c r="A77" s="20" t="s">
        <v>318</v>
      </c>
      <c r="B77" s="232"/>
      <c r="C77" s="232"/>
      <c r="D77" s="164"/>
      <c r="E77" s="26"/>
      <c r="F77" s="232"/>
      <c r="G77" s="143"/>
      <c r="H77" s="164"/>
      <c r="I77" s="26"/>
      <c r="J77" s="285"/>
      <c r="K77" s="43"/>
      <c r="L77" s="253"/>
      <c r="M77" s="26"/>
    </row>
    <row r="78" spans="1:15" x14ac:dyDescent="0.2">
      <c r="A78" s="20" t="s">
        <v>9</v>
      </c>
      <c r="B78" s="232"/>
      <c r="C78" s="143"/>
      <c r="D78" s="164"/>
      <c r="E78" s="26"/>
      <c r="F78" s="232"/>
      <c r="G78" s="143"/>
      <c r="H78" s="164"/>
      <c r="I78" s="26"/>
      <c r="J78" s="285"/>
      <c r="K78" s="43"/>
      <c r="L78" s="253"/>
      <c r="M78" s="26"/>
    </row>
    <row r="79" spans="1:15" x14ac:dyDescent="0.2">
      <c r="A79" s="20" t="s">
        <v>10</v>
      </c>
      <c r="B79" s="290"/>
      <c r="C79" s="291"/>
      <c r="D79" s="164"/>
      <c r="E79" s="26"/>
      <c r="F79" s="290"/>
      <c r="G79" s="291"/>
      <c r="H79" s="164"/>
      <c r="I79" s="26"/>
      <c r="J79" s="285"/>
      <c r="K79" s="43"/>
      <c r="L79" s="253"/>
      <c r="M79" s="26"/>
    </row>
    <row r="80" spans="1:15" ht="15.75" x14ac:dyDescent="0.2">
      <c r="A80" s="294" t="s">
        <v>316</v>
      </c>
      <c r="B80" s="279"/>
      <c r="C80" s="279"/>
      <c r="D80" s="164"/>
      <c r="E80" s="414"/>
      <c r="F80" s="279"/>
      <c r="G80" s="279"/>
      <c r="H80" s="164"/>
      <c r="I80" s="414"/>
      <c r="J80" s="288"/>
      <c r="K80" s="288"/>
      <c r="L80" s="164"/>
      <c r="M80" s="22"/>
    </row>
    <row r="81" spans="1:13" x14ac:dyDescent="0.2">
      <c r="A81" s="294" t="s">
        <v>12</v>
      </c>
      <c r="B81" s="233"/>
      <c r="C81" s="287"/>
      <c r="D81" s="164"/>
      <c r="E81" s="414"/>
      <c r="F81" s="279"/>
      <c r="G81" s="279"/>
      <c r="H81" s="164"/>
      <c r="I81" s="414"/>
      <c r="J81" s="288"/>
      <c r="K81" s="288"/>
      <c r="L81" s="164"/>
      <c r="M81" s="22"/>
    </row>
    <row r="82" spans="1:13" x14ac:dyDescent="0.2">
      <c r="A82" s="294" t="s">
        <v>13</v>
      </c>
      <c r="B82" s="233"/>
      <c r="C82" s="287"/>
      <c r="D82" s="164"/>
      <c r="E82" s="414"/>
      <c r="F82" s="279"/>
      <c r="G82" s="279"/>
      <c r="H82" s="164"/>
      <c r="I82" s="414"/>
      <c r="J82" s="288"/>
      <c r="K82" s="288"/>
      <c r="L82" s="164"/>
      <c r="M82" s="22"/>
    </row>
    <row r="83" spans="1:13" ht="15.75" x14ac:dyDescent="0.2">
      <c r="A83" s="294" t="s">
        <v>317</v>
      </c>
      <c r="B83" s="279"/>
      <c r="C83" s="279"/>
      <c r="D83" s="164"/>
      <c r="E83" s="414"/>
      <c r="F83" s="279"/>
      <c r="G83" s="279"/>
      <c r="H83" s="164"/>
      <c r="I83" s="414"/>
      <c r="J83" s="288"/>
      <c r="K83" s="288"/>
      <c r="L83" s="164"/>
      <c r="M83" s="22"/>
    </row>
    <row r="84" spans="1:13" x14ac:dyDescent="0.2">
      <c r="A84" s="294" t="s">
        <v>12</v>
      </c>
      <c r="B84" s="233"/>
      <c r="C84" s="287"/>
      <c r="D84" s="164"/>
      <c r="E84" s="414"/>
      <c r="F84" s="279"/>
      <c r="G84" s="279"/>
      <c r="H84" s="164"/>
      <c r="I84" s="414"/>
      <c r="J84" s="288"/>
      <c r="K84" s="288"/>
      <c r="L84" s="164"/>
      <c r="M84" s="22"/>
    </row>
    <row r="85" spans="1:13" x14ac:dyDescent="0.2">
      <c r="A85" s="294" t="s">
        <v>13</v>
      </c>
      <c r="B85" s="233"/>
      <c r="C85" s="287"/>
      <c r="D85" s="164"/>
      <c r="E85" s="414"/>
      <c r="F85" s="279"/>
      <c r="G85" s="279"/>
      <c r="H85" s="164"/>
      <c r="I85" s="414"/>
      <c r="J85" s="288"/>
      <c r="K85" s="288"/>
      <c r="L85" s="164"/>
      <c r="M85" s="22"/>
    </row>
    <row r="86" spans="1:13" ht="15.75" x14ac:dyDescent="0.2">
      <c r="A86" s="20" t="s">
        <v>327</v>
      </c>
      <c r="B86" s="232"/>
      <c r="C86" s="143"/>
      <c r="D86" s="164"/>
      <c r="E86" s="26"/>
      <c r="F86" s="232"/>
      <c r="G86" s="143"/>
      <c r="H86" s="164"/>
      <c r="I86" s="26"/>
      <c r="J86" s="285"/>
      <c r="K86" s="43"/>
      <c r="L86" s="253"/>
      <c r="M86" s="26"/>
    </row>
    <row r="87" spans="1:13" ht="15.75" x14ac:dyDescent="0.2">
      <c r="A87" s="13" t="s">
        <v>25</v>
      </c>
      <c r="B87" s="350"/>
      <c r="C87" s="350"/>
      <c r="D87" s="169"/>
      <c r="E87" s="11"/>
      <c r="F87" s="350"/>
      <c r="G87" s="350"/>
      <c r="H87" s="169"/>
      <c r="I87" s="11"/>
      <c r="J87" s="307"/>
      <c r="K87" s="234"/>
      <c r="L87" s="425"/>
      <c r="M87" s="11"/>
    </row>
    <row r="88" spans="1:13" x14ac:dyDescent="0.2">
      <c r="A88" s="20" t="s">
        <v>9</v>
      </c>
      <c r="B88" s="232"/>
      <c r="C88" s="143"/>
      <c r="D88" s="164"/>
      <c r="E88" s="26"/>
      <c r="F88" s="232"/>
      <c r="G88" s="143"/>
      <c r="H88" s="164"/>
      <c r="I88" s="26"/>
      <c r="J88" s="285"/>
      <c r="K88" s="43"/>
      <c r="L88" s="253"/>
      <c r="M88" s="26"/>
    </row>
    <row r="89" spans="1:13" x14ac:dyDescent="0.2">
      <c r="A89" s="20" t="s">
        <v>10</v>
      </c>
      <c r="B89" s="232"/>
      <c r="C89" s="143"/>
      <c r="D89" s="164"/>
      <c r="E89" s="26"/>
      <c r="F89" s="232"/>
      <c r="G89" s="143"/>
      <c r="H89" s="164"/>
      <c r="I89" s="26"/>
      <c r="J89" s="285"/>
      <c r="K89" s="43"/>
      <c r="L89" s="253"/>
      <c r="M89" s="26"/>
    </row>
    <row r="90" spans="1:13" ht="15.75" x14ac:dyDescent="0.2">
      <c r="A90" s="294" t="s">
        <v>316</v>
      </c>
      <c r="B90" s="279"/>
      <c r="C90" s="279"/>
      <c r="D90" s="164"/>
      <c r="E90" s="414"/>
      <c r="F90" s="279"/>
      <c r="G90" s="279"/>
      <c r="H90" s="164"/>
      <c r="I90" s="414"/>
      <c r="J90" s="288"/>
      <c r="K90" s="288"/>
      <c r="L90" s="164"/>
      <c r="M90" s="22"/>
    </row>
    <row r="91" spans="1:13" x14ac:dyDescent="0.2">
      <c r="A91" s="294" t="s">
        <v>12</v>
      </c>
      <c r="B91" s="233"/>
      <c r="C91" s="287"/>
      <c r="D91" s="164"/>
      <c r="E91" s="414"/>
      <c r="F91" s="279"/>
      <c r="G91" s="279"/>
      <c r="H91" s="164"/>
      <c r="I91" s="414"/>
      <c r="J91" s="288"/>
      <c r="K91" s="288"/>
      <c r="L91" s="164"/>
      <c r="M91" s="22"/>
    </row>
    <row r="92" spans="1:13" x14ac:dyDescent="0.2">
      <c r="A92" s="294" t="s">
        <v>13</v>
      </c>
      <c r="B92" s="233"/>
      <c r="C92" s="287"/>
      <c r="D92" s="164"/>
      <c r="E92" s="414"/>
      <c r="F92" s="279"/>
      <c r="G92" s="279"/>
      <c r="H92" s="164"/>
      <c r="I92" s="414"/>
      <c r="J92" s="288"/>
      <c r="K92" s="288"/>
      <c r="L92" s="164"/>
      <c r="M92" s="22"/>
    </row>
    <row r="93" spans="1:13" ht="15.75" x14ac:dyDescent="0.2">
      <c r="A93" s="294" t="s">
        <v>317</v>
      </c>
      <c r="B93" s="279"/>
      <c r="C93" s="279"/>
      <c r="D93" s="164"/>
      <c r="E93" s="414"/>
      <c r="F93" s="279"/>
      <c r="G93" s="279"/>
      <c r="H93" s="164"/>
      <c r="I93" s="414"/>
      <c r="J93" s="288"/>
      <c r="K93" s="288"/>
      <c r="L93" s="164"/>
      <c r="M93" s="22"/>
    </row>
    <row r="94" spans="1:13" x14ac:dyDescent="0.2">
      <c r="A94" s="294" t="s">
        <v>12</v>
      </c>
      <c r="B94" s="233"/>
      <c r="C94" s="287"/>
      <c r="D94" s="164"/>
      <c r="E94" s="414"/>
      <c r="F94" s="279"/>
      <c r="G94" s="279"/>
      <c r="H94" s="164"/>
      <c r="I94" s="414"/>
      <c r="J94" s="288"/>
      <c r="K94" s="288"/>
      <c r="L94" s="164"/>
      <c r="M94" s="22"/>
    </row>
    <row r="95" spans="1:13" x14ac:dyDescent="0.2">
      <c r="A95" s="294" t="s">
        <v>13</v>
      </c>
      <c r="B95" s="233"/>
      <c r="C95" s="287"/>
      <c r="D95" s="164"/>
      <c r="E95" s="414"/>
      <c r="F95" s="279"/>
      <c r="G95" s="279"/>
      <c r="H95" s="164"/>
      <c r="I95" s="414"/>
      <c r="J95" s="288"/>
      <c r="K95" s="288"/>
      <c r="L95" s="164"/>
      <c r="M95" s="22"/>
    </row>
    <row r="96" spans="1:13" x14ac:dyDescent="0.2">
      <c r="A96" s="20" t="s">
        <v>393</v>
      </c>
      <c r="B96" s="232"/>
      <c r="C96" s="143"/>
      <c r="D96" s="164"/>
      <c r="E96" s="26"/>
      <c r="F96" s="232"/>
      <c r="G96" s="143"/>
      <c r="H96" s="164"/>
      <c r="I96" s="26"/>
      <c r="J96" s="285"/>
      <c r="K96" s="43"/>
      <c r="L96" s="253"/>
      <c r="M96" s="26"/>
    </row>
    <row r="97" spans="1:13" x14ac:dyDescent="0.2">
      <c r="A97" s="20" t="s">
        <v>392</v>
      </c>
      <c r="B97" s="232"/>
      <c r="C97" s="143"/>
      <c r="D97" s="164"/>
      <c r="E97" s="26"/>
      <c r="F97" s="232"/>
      <c r="G97" s="143"/>
      <c r="H97" s="164"/>
      <c r="I97" s="26"/>
      <c r="J97" s="285"/>
      <c r="K97" s="43"/>
      <c r="L97" s="253"/>
      <c r="M97" s="26"/>
    </row>
    <row r="98" spans="1:13" ht="15.75" x14ac:dyDescent="0.2">
      <c r="A98" s="20" t="s">
        <v>318</v>
      </c>
      <c r="B98" s="232"/>
      <c r="C98" s="232"/>
      <c r="D98" s="164"/>
      <c r="E98" s="26"/>
      <c r="F98" s="290"/>
      <c r="G98" s="290"/>
      <c r="H98" s="164"/>
      <c r="I98" s="26"/>
      <c r="J98" s="285"/>
      <c r="K98" s="43"/>
      <c r="L98" s="253"/>
      <c r="M98" s="26"/>
    </row>
    <row r="99" spans="1:13" x14ac:dyDescent="0.2">
      <c r="A99" s="20" t="s">
        <v>9</v>
      </c>
      <c r="B99" s="290"/>
      <c r="C99" s="291"/>
      <c r="D99" s="164"/>
      <c r="E99" s="26"/>
      <c r="F99" s="232"/>
      <c r="G99" s="143"/>
      <c r="H99" s="164"/>
      <c r="I99" s="26"/>
      <c r="J99" s="285"/>
      <c r="K99" s="43"/>
      <c r="L99" s="253"/>
      <c r="M99" s="26"/>
    </row>
    <row r="100" spans="1:13" x14ac:dyDescent="0.2">
      <c r="A100" s="20" t="s">
        <v>10</v>
      </c>
      <c r="B100" s="290"/>
      <c r="C100" s="291"/>
      <c r="D100" s="164"/>
      <c r="E100" s="26"/>
      <c r="F100" s="232"/>
      <c r="G100" s="232"/>
      <c r="H100" s="164"/>
      <c r="I100" s="26"/>
      <c r="J100" s="285"/>
      <c r="K100" s="43"/>
      <c r="L100" s="253"/>
      <c r="M100" s="26"/>
    </row>
    <row r="101" spans="1:13" ht="15.75" x14ac:dyDescent="0.2">
      <c r="A101" s="294" t="s">
        <v>316</v>
      </c>
      <c r="B101" s="279"/>
      <c r="C101" s="279"/>
      <c r="D101" s="164"/>
      <c r="E101" s="414"/>
      <c r="F101" s="279"/>
      <c r="G101" s="279"/>
      <c r="H101" s="164"/>
      <c r="I101" s="414"/>
      <c r="J101" s="288"/>
      <c r="K101" s="288"/>
      <c r="L101" s="164"/>
      <c r="M101" s="22"/>
    </row>
    <row r="102" spans="1:13" x14ac:dyDescent="0.2">
      <c r="A102" s="294" t="s">
        <v>12</v>
      </c>
      <c r="B102" s="233"/>
      <c r="C102" s="287"/>
      <c r="D102" s="164"/>
      <c r="E102" s="414"/>
      <c r="F102" s="279"/>
      <c r="G102" s="279"/>
      <c r="H102" s="164"/>
      <c r="I102" s="414"/>
      <c r="J102" s="288"/>
      <c r="K102" s="288"/>
      <c r="L102" s="164"/>
      <c r="M102" s="22"/>
    </row>
    <row r="103" spans="1:13" x14ac:dyDescent="0.2">
      <c r="A103" s="294" t="s">
        <v>13</v>
      </c>
      <c r="B103" s="233"/>
      <c r="C103" s="287"/>
      <c r="D103" s="164"/>
      <c r="E103" s="414"/>
      <c r="F103" s="279"/>
      <c r="G103" s="279"/>
      <c r="H103" s="164"/>
      <c r="I103" s="414"/>
      <c r="J103" s="288"/>
      <c r="K103" s="288"/>
      <c r="L103" s="164"/>
      <c r="M103" s="22"/>
    </row>
    <row r="104" spans="1:13" ht="15.75" x14ac:dyDescent="0.2">
      <c r="A104" s="294" t="s">
        <v>317</v>
      </c>
      <c r="B104" s="279"/>
      <c r="C104" s="279"/>
      <c r="D104" s="164"/>
      <c r="E104" s="414"/>
      <c r="F104" s="279"/>
      <c r="G104" s="279"/>
      <c r="H104" s="164"/>
      <c r="I104" s="414"/>
      <c r="J104" s="288"/>
      <c r="K104" s="288"/>
      <c r="L104" s="164"/>
      <c r="M104" s="22"/>
    </row>
    <row r="105" spans="1:13" x14ac:dyDescent="0.2">
      <c r="A105" s="294" t="s">
        <v>12</v>
      </c>
      <c r="B105" s="233"/>
      <c r="C105" s="287"/>
      <c r="D105" s="164"/>
      <c r="E105" s="414"/>
      <c r="F105" s="279"/>
      <c r="G105" s="279"/>
      <c r="H105" s="164"/>
      <c r="I105" s="414"/>
      <c r="J105" s="288"/>
      <c r="K105" s="288"/>
      <c r="L105" s="164"/>
      <c r="M105" s="22"/>
    </row>
    <row r="106" spans="1:13" x14ac:dyDescent="0.2">
      <c r="A106" s="294" t="s">
        <v>13</v>
      </c>
      <c r="B106" s="233"/>
      <c r="C106" s="287"/>
      <c r="D106" s="164"/>
      <c r="E106" s="414"/>
      <c r="F106" s="279"/>
      <c r="G106" s="279"/>
      <c r="H106" s="164"/>
      <c r="I106" s="414"/>
      <c r="J106" s="288"/>
      <c r="K106" s="288"/>
      <c r="L106" s="164"/>
      <c r="M106" s="22"/>
    </row>
    <row r="107" spans="1:13" ht="15.75" x14ac:dyDescent="0.2">
      <c r="A107" s="20" t="s">
        <v>327</v>
      </c>
      <c r="B107" s="232"/>
      <c r="C107" s="143"/>
      <c r="D107" s="164"/>
      <c r="E107" s="26"/>
      <c r="F107" s="232"/>
      <c r="G107" s="143"/>
      <c r="H107" s="164"/>
      <c r="I107" s="26"/>
      <c r="J107" s="285"/>
      <c r="K107" s="43"/>
      <c r="L107" s="253"/>
      <c r="M107" s="26"/>
    </row>
    <row r="108" spans="1:13" ht="15.75" x14ac:dyDescent="0.2">
      <c r="A108" s="20" t="s">
        <v>328</v>
      </c>
      <c r="B108" s="232"/>
      <c r="C108" s="232"/>
      <c r="D108" s="164"/>
      <c r="E108" s="26"/>
      <c r="F108" s="232"/>
      <c r="G108" s="232"/>
      <c r="H108" s="164"/>
      <c r="I108" s="26"/>
      <c r="J108" s="285"/>
      <c r="K108" s="43"/>
      <c r="L108" s="253"/>
      <c r="M108" s="26"/>
    </row>
    <row r="109" spans="1:13" ht="15.75" x14ac:dyDescent="0.2">
      <c r="A109" s="20" t="s">
        <v>320</v>
      </c>
      <c r="B109" s="232"/>
      <c r="C109" s="232"/>
      <c r="D109" s="164"/>
      <c r="E109" s="26"/>
      <c r="F109" s="232"/>
      <c r="G109" s="232"/>
      <c r="H109" s="164"/>
      <c r="I109" s="26"/>
      <c r="J109" s="285"/>
      <c r="K109" s="43"/>
      <c r="L109" s="253"/>
      <c r="M109" s="26"/>
    </row>
    <row r="110" spans="1:13" ht="15.75" x14ac:dyDescent="0.2">
      <c r="A110" s="20" t="s">
        <v>321</v>
      </c>
      <c r="B110" s="232"/>
      <c r="C110" s="232"/>
      <c r="D110" s="164"/>
      <c r="E110" s="26"/>
      <c r="F110" s="232"/>
      <c r="G110" s="232"/>
      <c r="H110" s="164"/>
      <c r="I110" s="26"/>
      <c r="J110" s="285"/>
      <c r="K110" s="43"/>
      <c r="L110" s="253"/>
      <c r="M110" s="26"/>
    </row>
    <row r="111" spans="1:13" ht="15.75" x14ac:dyDescent="0.2">
      <c r="A111" s="13" t="s">
        <v>24</v>
      </c>
      <c r="B111" s="306"/>
      <c r="C111" s="157"/>
      <c r="D111" s="169"/>
      <c r="E111" s="11"/>
      <c r="F111" s="306"/>
      <c r="G111" s="157"/>
      <c r="H111" s="169"/>
      <c r="I111" s="11"/>
      <c r="J111" s="307"/>
      <c r="K111" s="234"/>
      <c r="L111" s="425"/>
      <c r="M111" s="11"/>
    </row>
    <row r="112" spans="1:13" x14ac:dyDescent="0.2">
      <c r="A112" s="20" t="s">
        <v>9</v>
      </c>
      <c r="B112" s="232"/>
      <c r="C112" s="143"/>
      <c r="D112" s="164"/>
      <c r="E112" s="26"/>
      <c r="F112" s="232"/>
      <c r="G112" s="143"/>
      <c r="H112" s="164"/>
      <c r="I112" s="26"/>
      <c r="J112" s="285"/>
      <c r="K112" s="43"/>
      <c r="L112" s="253"/>
      <c r="M112" s="26"/>
    </row>
    <row r="113" spans="1:14" x14ac:dyDescent="0.2">
      <c r="A113" s="20" t="s">
        <v>10</v>
      </c>
      <c r="B113" s="232"/>
      <c r="C113" s="143"/>
      <c r="D113" s="164"/>
      <c r="E113" s="26"/>
      <c r="F113" s="232"/>
      <c r="G113" s="143"/>
      <c r="H113" s="164"/>
      <c r="I113" s="26"/>
      <c r="J113" s="285"/>
      <c r="K113" s="43"/>
      <c r="L113" s="253"/>
      <c r="M113" s="26"/>
    </row>
    <row r="114" spans="1:14" x14ac:dyDescent="0.2">
      <c r="A114" s="20" t="s">
        <v>29</v>
      </c>
      <c r="B114" s="232"/>
      <c r="C114" s="143"/>
      <c r="D114" s="164"/>
      <c r="E114" s="26"/>
      <c r="F114" s="232"/>
      <c r="G114" s="143"/>
      <c r="H114" s="164"/>
      <c r="I114" s="26"/>
      <c r="J114" s="285"/>
      <c r="K114" s="43"/>
      <c r="L114" s="253"/>
      <c r="M114" s="26"/>
    </row>
    <row r="115" spans="1:14" x14ac:dyDescent="0.2">
      <c r="A115" s="294" t="s">
        <v>15</v>
      </c>
      <c r="B115" s="279"/>
      <c r="C115" s="279"/>
      <c r="D115" s="164"/>
      <c r="E115" s="414"/>
      <c r="F115" s="279"/>
      <c r="G115" s="279"/>
      <c r="H115" s="164"/>
      <c r="I115" s="414"/>
      <c r="J115" s="288"/>
      <c r="K115" s="288"/>
      <c r="L115" s="164"/>
      <c r="M115" s="22"/>
    </row>
    <row r="116" spans="1:14" ht="15.75" x14ac:dyDescent="0.2">
      <c r="A116" s="20" t="s">
        <v>329</v>
      </c>
      <c r="B116" s="232"/>
      <c r="C116" s="232"/>
      <c r="D116" s="164"/>
      <c r="E116" s="26"/>
      <c r="F116" s="232"/>
      <c r="G116" s="232"/>
      <c r="H116" s="164"/>
      <c r="I116" s="26"/>
      <c r="J116" s="285"/>
      <c r="K116" s="43"/>
      <c r="L116" s="253"/>
      <c r="M116" s="26"/>
    </row>
    <row r="117" spans="1:14" ht="15.75" x14ac:dyDescent="0.2">
      <c r="A117" s="20" t="s">
        <v>322</v>
      </c>
      <c r="B117" s="232"/>
      <c r="C117" s="232"/>
      <c r="D117" s="164"/>
      <c r="E117" s="26"/>
      <c r="F117" s="232"/>
      <c r="G117" s="232"/>
      <c r="H117" s="164"/>
      <c r="I117" s="26"/>
      <c r="J117" s="285"/>
      <c r="K117" s="43"/>
      <c r="L117" s="253"/>
      <c r="M117" s="26"/>
    </row>
    <row r="118" spans="1:14" ht="15.75" x14ac:dyDescent="0.2">
      <c r="A118" s="20" t="s">
        <v>321</v>
      </c>
      <c r="B118" s="232"/>
      <c r="C118" s="232"/>
      <c r="D118" s="164"/>
      <c r="E118" s="26"/>
      <c r="F118" s="232"/>
      <c r="G118" s="232"/>
      <c r="H118" s="164"/>
      <c r="I118" s="26"/>
      <c r="J118" s="285"/>
      <c r="K118" s="43"/>
      <c r="L118" s="253"/>
      <c r="M118" s="26"/>
    </row>
    <row r="119" spans="1:14" ht="15.75" x14ac:dyDescent="0.2">
      <c r="A119" s="13" t="s">
        <v>23</v>
      </c>
      <c r="B119" s="306"/>
      <c r="C119" s="157"/>
      <c r="D119" s="169"/>
      <c r="E119" s="11"/>
      <c r="F119" s="306"/>
      <c r="G119" s="157"/>
      <c r="H119" s="169"/>
      <c r="I119" s="11"/>
      <c r="J119" s="307"/>
      <c r="K119" s="234"/>
      <c r="L119" s="425"/>
      <c r="M119" s="11"/>
    </row>
    <row r="120" spans="1:14" x14ac:dyDescent="0.2">
      <c r="A120" s="20" t="s">
        <v>9</v>
      </c>
      <c r="B120" s="232"/>
      <c r="C120" s="143"/>
      <c r="D120" s="164"/>
      <c r="E120" s="26"/>
      <c r="F120" s="232"/>
      <c r="G120" s="143"/>
      <c r="H120" s="164"/>
      <c r="I120" s="26"/>
      <c r="J120" s="285"/>
      <c r="K120" s="43"/>
      <c r="L120" s="253"/>
      <c r="M120" s="26"/>
    </row>
    <row r="121" spans="1:14" x14ac:dyDescent="0.2">
      <c r="A121" s="20" t="s">
        <v>10</v>
      </c>
      <c r="B121" s="232"/>
      <c r="C121" s="143"/>
      <c r="D121" s="164"/>
      <c r="E121" s="26"/>
      <c r="F121" s="232"/>
      <c r="G121" s="143"/>
      <c r="H121" s="164"/>
      <c r="I121" s="26"/>
      <c r="J121" s="285"/>
      <c r="K121" s="43"/>
      <c r="L121" s="253"/>
      <c r="M121" s="26"/>
    </row>
    <row r="122" spans="1:14" x14ac:dyDescent="0.2">
      <c r="A122" s="20" t="s">
        <v>29</v>
      </c>
      <c r="B122" s="232"/>
      <c r="C122" s="143"/>
      <c r="D122" s="164"/>
      <c r="E122" s="26"/>
      <c r="F122" s="232"/>
      <c r="G122" s="143"/>
      <c r="H122" s="164"/>
      <c r="I122" s="26"/>
      <c r="J122" s="285"/>
      <c r="K122" s="43"/>
      <c r="L122" s="253"/>
      <c r="M122" s="26"/>
    </row>
    <row r="123" spans="1:14" x14ac:dyDescent="0.2">
      <c r="A123" s="294" t="s">
        <v>14</v>
      </c>
      <c r="B123" s="279"/>
      <c r="C123" s="279"/>
      <c r="D123" s="164"/>
      <c r="E123" s="414"/>
      <c r="F123" s="279"/>
      <c r="G123" s="279"/>
      <c r="H123" s="164"/>
      <c r="I123" s="414"/>
      <c r="J123" s="288"/>
      <c r="K123" s="288"/>
      <c r="L123" s="164"/>
      <c r="M123" s="22"/>
    </row>
    <row r="124" spans="1:14" ht="15.75" x14ac:dyDescent="0.2">
      <c r="A124" s="20" t="s">
        <v>319</v>
      </c>
      <c r="B124" s="232"/>
      <c r="C124" s="232"/>
      <c r="D124" s="164"/>
      <c r="E124" s="26"/>
      <c r="F124" s="232"/>
      <c r="G124" s="232"/>
      <c r="H124" s="164"/>
      <c r="I124" s="26"/>
      <c r="J124" s="285"/>
      <c r="K124" s="43"/>
      <c r="L124" s="253"/>
      <c r="M124" s="26"/>
    </row>
    <row r="125" spans="1:14" ht="15.75" x14ac:dyDescent="0.2">
      <c r="A125" s="20" t="s">
        <v>320</v>
      </c>
      <c r="B125" s="232"/>
      <c r="C125" s="232"/>
      <c r="D125" s="164"/>
      <c r="E125" s="26"/>
      <c r="F125" s="232"/>
      <c r="G125" s="232"/>
      <c r="H125" s="164"/>
      <c r="I125" s="26"/>
      <c r="J125" s="285"/>
      <c r="K125" s="43"/>
      <c r="L125" s="253"/>
      <c r="M125" s="26"/>
    </row>
    <row r="126" spans="1:14" ht="15.75" x14ac:dyDescent="0.2">
      <c r="A126" s="10" t="s">
        <v>321</v>
      </c>
      <c r="B126" s="44"/>
      <c r="C126" s="44"/>
      <c r="D126" s="165"/>
      <c r="E126" s="415"/>
      <c r="F126" s="44"/>
      <c r="G126" s="44"/>
      <c r="H126" s="165"/>
      <c r="I126" s="21"/>
      <c r="J126" s="286"/>
      <c r="K126" s="44"/>
      <c r="L126" s="254"/>
      <c r="M126" s="21"/>
    </row>
    <row r="127" spans="1:14" x14ac:dyDescent="0.2">
      <c r="A127" s="153"/>
      <c r="L127" s="25"/>
      <c r="M127" s="25"/>
      <c r="N127" s="25"/>
    </row>
    <row r="128" spans="1:14" x14ac:dyDescent="0.2">
      <c r="L128" s="25"/>
      <c r="M128" s="25"/>
      <c r="N128" s="25"/>
    </row>
    <row r="129" spans="1:15" ht="15.75" x14ac:dyDescent="0.25">
      <c r="A129" s="163" t="s">
        <v>30</v>
      </c>
    </row>
    <row r="130" spans="1:15" ht="15.75" x14ac:dyDescent="0.25">
      <c r="B130" s="963"/>
      <c r="C130" s="963"/>
      <c r="D130" s="963"/>
      <c r="E130" s="297"/>
      <c r="F130" s="963"/>
      <c r="G130" s="963"/>
      <c r="H130" s="963"/>
      <c r="I130" s="297"/>
      <c r="J130" s="963"/>
      <c r="K130" s="963"/>
      <c r="L130" s="963"/>
      <c r="M130" s="297"/>
    </row>
    <row r="131" spans="1:15" s="3" customFormat="1" x14ac:dyDescent="0.2">
      <c r="A131" s="142"/>
      <c r="B131" s="960" t="s">
        <v>0</v>
      </c>
      <c r="C131" s="961"/>
      <c r="D131" s="961"/>
      <c r="E131" s="299"/>
      <c r="F131" s="960" t="s">
        <v>1</v>
      </c>
      <c r="G131" s="961"/>
      <c r="H131" s="961"/>
      <c r="I131" s="302"/>
      <c r="J131" s="960" t="s">
        <v>2</v>
      </c>
      <c r="K131" s="961"/>
      <c r="L131" s="961"/>
      <c r="M131" s="302"/>
      <c r="N131" s="146"/>
      <c r="O131" s="146"/>
    </row>
    <row r="132" spans="1:15" s="3" customFormat="1" x14ac:dyDescent="0.2">
      <c r="A132" s="139"/>
      <c r="B132" s="150" t="s">
        <v>504</v>
      </c>
      <c r="C132" s="150" t="s">
        <v>505</v>
      </c>
      <c r="D132" s="243" t="s">
        <v>3</v>
      </c>
      <c r="E132" s="303" t="s">
        <v>32</v>
      </c>
      <c r="F132" s="150" t="s">
        <v>504</v>
      </c>
      <c r="G132" s="150" t="s">
        <v>505</v>
      </c>
      <c r="H132" s="204" t="s">
        <v>3</v>
      </c>
      <c r="I132" s="160" t="s">
        <v>32</v>
      </c>
      <c r="J132" s="244" t="s">
        <v>504</v>
      </c>
      <c r="K132" s="244" t="s">
        <v>505</v>
      </c>
      <c r="L132" s="245" t="s">
        <v>3</v>
      </c>
      <c r="M132" s="160" t="s">
        <v>32</v>
      </c>
      <c r="N132" s="146"/>
      <c r="O132" s="146"/>
    </row>
    <row r="133" spans="1:15" s="3" customFormat="1" x14ac:dyDescent="0.2">
      <c r="A133" s="934"/>
      <c r="B133" s="154"/>
      <c r="C133" s="154"/>
      <c r="D133" s="245" t="s">
        <v>4</v>
      </c>
      <c r="E133" s="154" t="s">
        <v>33</v>
      </c>
      <c r="F133" s="159"/>
      <c r="G133" s="159"/>
      <c r="H133" s="204" t="s">
        <v>4</v>
      </c>
      <c r="I133" s="154" t="s">
        <v>33</v>
      </c>
      <c r="J133" s="154"/>
      <c r="K133" s="154"/>
      <c r="L133" s="148" t="s">
        <v>4</v>
      </c>
      <c r="M133" s="154" t="s">
        <v>33</v>
      </c>
      <c r="N133" s="146"/>
      <c r="O133" s="146"/>
    </row>
    <row r="134" spans="1:15" s="3" customFormat="1" ht="15.75" x14ac:dyDescent="0.2">
      <c r="A134" s="14" t="s">
        <v>323</v>
      </c>
      <c r="B134" s="234"/>
      <c r="C134" s="307"/>
      <c r="D134" s="348"/>
      <c r="E134" s="11"/>
      <c r="F134" s="314"/>
      <c r="G134" s="315"/>
      <c r="H134" s="428"/>
      <c r="I134" s="23"/>
      <c r="J134" s="316"/>
      <c r="K134" s="316"/>
      <c r="L134" s="424"/>
      <c r="M134" s="11"/>
      <c r="N134" s="146"/>
      <c r="O134" s="146"/>
    </row>
    <row r="135" spans="1:15" s="3" customFormat="1" ht="15.75" x14ac:dyDescent="0.2">
      <c r="A135" s="13" t="s">
        <v>324</v>
      </c>
      <c r="B135" s="234"/>
      <c r="C135" s="307"/>
      <c r="D135" s="169"/>
      <c r="E135" s="11"/>
      <c r="F135" s="234"/>
      <c r="G135" s="307"/>
      <c r="H135" s="429"/>
      <c r="I135" s="23"/>
      <c r="J135" s="306"/>
      <c r="K135" s="306"/>
      <c r="L135" s="425"/>
      <c r="M135" s="11"/>
      <c r="N135" s="146"/>
      <c r="O135" s="146"/>
    </row>
    <row r="136" spans="1:15" s="3" customFormat="1" ht="15.75" x14ac:dyDescent="0.2">
      <c r="A136" s="13" t="s">
        <v>325</v>
      </c>
      <c r="B136" s="234"/>
      <c r="C136" s="307"/>
      <c r="D136" s="169"/>
      <c r="E136" s="11"/>
      <c r="F136" s="234"/>
      <c r="G136" s="307"/>
      <c r="H136" s="429"/>
      <c r="I136" s="23"/>
      <c r="J136" s="306"/>
      <c r="K136" s="306"/>
      <c r="L136" s="425"/>
      <c r="M136" s="11"/>
      <c r="N136" s="146"/>
      <c r="O136" s="146"/>
    </row>
    <row r="137" spans="1:15" s="3" customFormat="1" ht="15.75" x14ac:dyDescent="0.2">
      <c r="A137" s="40" t="s">
        <v>326</v>
      </c>
      <c r="B137" s="274"/>
      <c r="C137" s="313"/>
      <c r="D137" s="167"/>
      <c r="E137" s="9"/>
      <c r="F137" s="274"/>
      <c r="G137" s="313"/>
      <c r="H137" s="430"/>
      <c r="I137" s="35"/>
      <c r="J137" s="312"/>
      <c r="K137" s="312"/>
      <c r="L137" s="426"/>
      <c r="M137" s="35"/>
      <c r="N137" s="146"/>
      <c r="O137" s="146"/>
    </row>
    <row r="138" spans="1:15" s="3" customFormat="1" x14ac:dyDescent="0.2">
      <c r="A138" s="166"/>
      <c r="B138" s="32"/>
      <c r="C138" s="32"/>
      <c r="D138" s="157"/>
      <c r="E138" s="157"/>
      <c r="F138" s="32"/>
      <c r="G138" s="32"/>
      <c r="H138" s="157"/>
      <c r="I138" s="157"/>
      <c r="J138" s="32"/>
      <c r="K138" s="32"/>
      <c r="L138" s="157"/>
      <c r="M138" s="157"/>
      <c r="N138" s="146"/>
      <c r="O138" s="146"/>
    </row>
    <row r="139" spans="1:15" x14ac:dyDescent="0.2">
      <c r="A139" s="166"/>
      <c r="B139" s="32"/>
      <c r="C139" s="32"/>
      <c r="D139" s="157"/>
      <c r="E139" s="157"/>
      <c r="F139" s="32"/>
      <c r="G139" s="32"/>
      <c r="H139" s="157"/>
      <c r="I139" s="157"/>
      <c r="J139" s="32"/>
      <c r="K139" s="32"/>
      <c r="L139" s="157"/>
      <c r="M139" s="157"/>
      <c r="N139" s="146"/>
    </row>
    <row r="140" spans="1:15" x14ac:dyDescent="0.2">
      <c r="A140" s="166"/>
      <c r="B140" s="32"/>
      <c r="C140" s="32"/>
      <c r="D140" s="157"/>
      <c r="E140" s="157"/>
      <c r="F140" s="32"/>
      <c r="G140" s="32"/>
      <c r="H140" s="157"/>
      <c r="I140" s="157"/>
      <c r="J140" s="32"/>
      <c r="K140" s="32"/>
      <c r="L140" s="157"/>
      <c r="M140" s="157"/>
      <c r="N140" s="146"/>
    </row>
    <row r="141" spans="1:15" x14ac:dyDescent="0.2">
      <c r="A141" s="144"/>
      <c r="B141" s="144"/>
      <c r="C141" s="144"/>
      <c r="D141" s="144"/>
      <c r="E141" s="144"/>
      <c r="F141" s="144"/>
      <c r="G141" s="144"/>
      <c r="H141" s="144"/>
      <c r="I141" s="144"/>
      <c r="J141" s="144"/>
      <c r="K141" s="144"/>
      <c r="L141" s="144"/>
      <c r="M141" s="144"/>
      <c r="N141" s="144"/>
    </row>
    <row r="142" spans="1:15" ht="15.75" x14ac:dyDescent="0.25">
      <c r="B142" s="140"/>
      <c r="C142" s="140"/>
      <c r="D142" s="140"/>
      <c r="E142" s="140"/>
      <c r="F142" s="140"/>
      <c r="G142" s="140"/>
      <c r="H142" s="140"/>
      <c r="I142" s="140"/>
      <c r="J142" s="140"/>
      <c r="K142" s="140"/>
      <c r="L142" s="140"/>
      <c r="M142" s="140"/>
      <c r="N142" s="140"/>
    </row>
    <row r="143" spans="1:15" ht="15.75" x14ac:dyDescent="0.25">
      <c r="B143" s="155"/>
      <c r="C143" s="155"/>
      <c r="D143" s="155"/>
      <c r="E143" s="155"/>
      <c r="F143" s="155"/>
      <c r="G143" s="155"/>
      <c r="H143" s="155"/>
      <c r="I143" s="155"/>
      <c r="J143" s="155"/>
      <c r="K143" s="155"/>
      <c r="L143" s="155"/>
      <c r="M143" s="155"/>
      <c r="N143" s="155"/>
      <c r="O143" s="152"/>
    </row>
    <row r="144" spans="1:15" ht="15.75" x14ac:dyDescent="0.25">
      <c r="B144" s="155"/>
      <c r="C144" s="155"/>
      <c r="D144" s="155"/>
      <c r="E144" s="155"/>
      <c r="F144" s="155"/>
      <c r="G144" s="155"/>
      <c r="H144" s="155"/>
      <c r="I144" s="155"/>
      <c r="J144" s="155"/>
      <c r="K144" s="155"/>
      <c r="L144" s="155"/>
      <c r="M144" s="155"/>
      <c r="N144" s="155"/>
      <c r="O144" s="152"/>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298" priority="132">
      <formula>kvartal &lt; 4</formula>
    </cfRule>
  </conditionalFormatting>
  <conditionalFormatting sqref="B30">
    <cfRule type="expression" dxfId="1297" priority="130">
      <formula>kvartal &lt; 4</formula>
    </cfRule>
  </conditionalFormatting>
  <conditionalFormatting sqref="B31">
    <cfRule type="expression" dxfId="1296" priority="129">
      <formula>kvartal &lt; 4</formula>
    </cfRule>
  </conditionalFormatting>
  <conditionalFormatting sqref="B32:B33">
    <cfRule type="expression" dxfId="1295" priority="128">
      <formula>kvartal &lt; 4</formula>
    </cfRule>
  </conditionalFormatting>
  <conditionalFormatting sqref="C30">
    <cfRule type="expression" dxfId="1294" priority="127">
      <formula>kvartal &lt; 4</formula>
    </cfRule>
  </conditionalFormatting>
  <conditionalFormatting sqref="C31">
    <cfRule type="expression" dxfId="1293" priority="126">
      <formula>kvartal &lt; 4</formula>
    </cfRule>
  </conditionalFormatting>
  <conditionalFormatting sqref="C32:C33">
    <cfRule type="expression" dxfId="1292" priority="125">
      <formula>kvartal &lt; 4</formula>
    </cfRule>
  </conditionalFormatting>
  <conditionalFormatting sqref="B23:C26">
    <cfRule type="expression" dxfId="1291" priority="124">
      <formula>kvartal &lt; 4</formula>
    </cfRule>
  </conditionalFormatting>
  <conditionalFormatting sqref="F23:G26">
    <cfRule type="expression" dxfId="1290" priority="120">
      <formula>kvartal &lt; 4</formula>
    </cfRule>
  </conditionalFormatting>
  <conditionalFormatting sqref="F30">
    <cfRule type="expression" dxfId="1289" priority="113">
      <formula>kvartal &lt; 4</formula>
    </cfRule>
  </conditionalFormatting>
  <conditionalFormatting sqref="F31">
    <cfRule type="expression" dxfId="1288" priority="112">
      <formula>kvartal &lt; 4</formula>
    </cfRule>
  </conditionalFormatting>
  <conditionalFormatting sqref="F32:F33">
    <cfRule type="expression" dxfId="1287" priority="111">
      <formula>kvartal &lt; 4</formula>
    </cfRule>
  </conditionalFormatting>
  <conditionalFormatting sqref="G30">
    <cfRule type="expression" dxfId="1286" priority="110">
      <formula>kvartal &lt; 4</formula>
    </cfRule>
  </conditionalFormatting>
  <conditionalFormatting sqref="G31">
    <cfRule type="expression" dxfId="1285" priority="109">
      <formula>kvartal &lt; 4</formula>
    </cfRule>
  </conditionalFormatting>
  <conditionalFormatting sqref="G32:G33">
    <cfRule type="expression" dxfId="1284" priority="108">
      <formula>kvartal &lt; 4</formula>
    </cfRule>
  </conditionalFormatting>
  <conditionalFormatting sqref="B27">
    <cfRule type="expression" dxfId="1283" priority="107">
      <formula>kvartal &lt; 4</formula>
    </cfRule>
  </conditionalFormatting>
  <conditionalFormatting sqref="C27">
    <cfRule type="expression" dxfId="1282" priority="106">
      <formula>kvartal &lt; 4</formula>
    </cfRule>
  </conditionalFormatting>
  <conditionalFormatting sqref="F27">
    <cfRule type="expression" dxfId="1281" priority="105">
      <formula>kvartal &lt; 4</formula>
    </cfRule>
  </conditionalFormatting>
  <conditionalFormatting sqref="G27">
    <cfRule type="expression" dxfId="1280" priority="104">
      <formula>kvartal &lt; 4</formula>
    </cfRule>
  </conditionalFormatting>
  <conditionalFormatting sqref="J23:K23 J25:K27">
    <cfRule type="expression" dxfId="1279" priority="103">
      <formula>kvartal &lt; 4</formula>
    </cfRule>
  </conditionalFormatting>
  <conditionalFormatting sqref="J32:K33 J30:K30">
    <cfRule type="expression" dxfId="1278" priority="101">
      <formula>kvartal &lt; 4</formula>
    </cfRule>
  </conditionalFormatting>
  <conditionalFormatting sqref="B69">
    <cfRule type="expression" dxfId="1277" priority="100">
      <formula>kvartal &lt; 4</formula>
    </cfRule>
  </conditionalFormatting>
  <conditionalFormatting sqref="C69">
    <cfRule type="expression" dxfId="1276" priority="99">
      <formula>kvartal &lt; 4</formula>
    </cfRule>
  </conditionalFormatting>
  <conditionalFormatting sqref="B72">
    <cfRule type="expression" dxfId="1275" priority="98">
      <formula>kvartal &lt; 4</formula>
    </cfRule>
  </conditionalFormatting>
  <conditionalFormatting sqref="C72">
    <cfRule type="expression" dxfId="1274" priority="97">
      <formula>kvartal &lt; 4</formula>
    </cfRule>
  </conditionalFormatting>
  <conditionalFormatting sqref="B80">
    <cfRule type="expression" dxfId="1273" priority="96">
      <formula>kvartal &lt; 4</formula>
    </cfRule>
  </conditionalFormatting>
  <conditionalFormatting sqref="C80">
    <cfRule type="expression" dxfId="1272" priority="95">
      <formula>kvartal &lt; 4</formula>
    </cfRule>
  </conditionalFormatting>
  <conditionalFormatting sqref="B83">
    <cfRule type="expression" dxfId="1271" priority="94">
      <formula>kvartal &lt; 4</formula>
    </cfRule>
  </conditionalFormatting>
  <conditionalFormatting sqref="C83">
    <cfRule type="expression" dxfId="1270" priority="93">
      <formula>kvartal &lt; 4</formula>
    </cfRule>
  </conditionalFormatting>
  <conditionalFormatting sqref="B90">
    <cfRule type="expression" dxfId="1269" priority="84">
      <formula>kvartal &lt; 4</formula>
    </cfRule>
  </conditionalFormatting>
  <conditionalFormatting sqref="C90">
    <cfRule type="expression" dxfId="1268" priority="83">
      <formula>kvartal &lt; 4</formula>
    </cfRule>
  </conditionalFormatting>
  <conditionalFormatting sqref="B93">
    <cfRule type="expression" dxfId="1267" priority="82">
      <formula>kvartal &lt; 4</formula>
    </cfRule>
  </conditionalFormatting>
  <conditionalFormatting sqref="C93">
    <cfRule type="expression" dxfId="1266" priority="81">
      <formula>kvartal &lt; 4</formula>
    </cfRule>
  </conditionalFormatting>
  <conditionalFormatting sqref="B101">
    <cfRule type="expression" dxfId="1265" priority="80">
      <formula>kvartal &lt; 4</formula>
    </cfRule>
  </conditionalFormatting>
  <conditionalFormatting sqref="C101">
    <cfRule type="expression" dxfId="1264" priority="79">
      <formula>kvartal &lt; 4</formula>
    </cfRule>
  </conditionalFormatting>
  <conditionalFormatting sqref="B104">
    <cfRule type="expression" dxfId="1263" priority="78">
      <formula>kvartal &lt; 4</formula>
    </cfRule>
  </conditionalFormatting>
  <conditionalFormatting sqref="C104">
    <cfRule type="expression" dxfId="1262" priority="77">
      <formula>kvartal &lt; 4</formula>
    </cfRule>
  </conditionalFormatting>
  <conditionalFormatting sqref="B115">
    <cfRule type="expression" dxfId="1261" priority="76">
      <formula>kvartal &lt; 4</formula>
    </cfRule>
  </conditionalFormatting>
  <conditionalFormatting sqref="C115">
    <cfRule type="expression" dxfId="1260" priority="75">
      <formula>kvartal &lt; 4</formula>
    </cfRule>
  </conditionalFormatting>
  <conditionalFormatting sqref="B123">
    <cfRule type="expression" dxfId="1259" priority="74">
      <formula>kvartal &lt; 4</formula>
    </cfRule>
  </conditionalFormatting>
  <conditionalFormatting sqref="C123">
    <cfRule type="expression" dxfId="1258" priority="73">
      <formula>kvartal &lt; 4</formula>
    </cfRule>
  </conditionalFormatting>
  <conditionalFormatting sqref="F70">
    <cfRule type="expression" dxfId="1257" priority="72">
      <formula>kvartal &lt; 4</formula>
    </cfRule>
  </conditionalFormatting>
  <conditionalFormatting sqref="G70">
    <cfRule type="expression" dxfId="1256" priority="71">
      <formula>kvartal &lt; 4</formula>
    </cfRule>
  </conditionalFormatting>
  <conditionalFormatting sqref="F71:G71">
    <cfRule type="expression" dxfId="1255" priority="70">
      <formula>kvartal &lt; 4</formula>
    </cfRule>
  </conditionalFormatting>
  <conditionalFormatting sqref="F73:G74">
    <cfRule type="expression" dxfId="1254" priority="69">
      <formula>kvartal &lt; 4</formula>
    </cfRule>
  </conditionalFormatting>
  <conditionalFormatting sqref="F81:G82">
    <cfRule type="expression" dxfId="1253" priority="68">
      <formula>kvartal &lt; 4</formula>
    </cfRule>
  </conditionalFormatting>
  <conditionalFormatting sqref="F84:G85">
    <cfRule type="expression" dxfId="1252" priority="67">
      <formula>kvartal &lt; 4</formula>
    </cfRule>
  </conditionalFormatting>
  <conditionalFormatting sqref="F91:G92">
    <cfRule type="expression" dxfId="1251" priority="62">
      <formula>kvartal &lt; 4</formula>
    </cfRule>
  </conditionalFormatting>
  <conditionalFormatting sqref="F94:G95">
    <cfRule type="expression" dxfId="1250" priority="61">
      <formula>kvartal &lt; 4</formula>
    </cfRule>
  </conditionalFormatting>
  <conditionalFormatting sqref="F102:G103">
    <cfRule type="expression" dxfId="1249" priority="60">
      <formula>kvartal &lt; 4</formula>
    </cfRule>
  </conditionalFormatting>
  <conditionalFormatting sqref="F105:G106">
    <cfRule type="expression" dxfId="1248" priority="59">
      <formula>kvartal &lt; 4</formula>
    </cfRule>
  </conditionalFormatting>
  <conditionalFormatting sqref="F115">
    <cfRule type="expression" dxfId="1247" priority="58">
      <formula>kvartal &lt; 4</formula>
    </cfRule>
  </conditionalFormatting>
  <conditionalFormatting sqref="G115">
    <cfRule type="expression" dxfId="1246" priority="57">
      <formula>kvartal &lt; 4</formula>
    </cfRule>
  </conditionalFormatting>
  <conditionalFormatting sqref="F123:G123">
    <cfRule type="expression" dxfId="1245" priority="56">
      <formula>kvartal &lt; 4</formula>
    </cfRule>
  </conditionalFormatting>
  <conditionalFormatting sqref="F69:G69">
    <cfRule type="expression" dxfId="1244" priority="55">
      <formula>kvartal &lt; 4</formula>
    </cfRule>
  </conditionalFormatting>
  <conditionalFormatting sqref="F72:G72">
    <cfRule type="expression" dxfId="1243" priority="54">
      <formula>kvartal &lt; 4</formula>
    </cfRule>
  </conditionalFormatting>
  <conditionalFormatting sqref="F80:G80">
    <cfRule type="expression" dxfId="1242" priority="53">
      <formula>kvartal &lt; 4</formula>
    </cfRule>
  </conditionalFormatting>
  <conditionalFormatting sqref="F83:G83">
    <cfRule type="expression" dxfId="1241" priority="52">
      <formula>kvartal &lt; 4</formula>
    </cfRule>
  </conditionalFormatting>
  <conditionalFormatting sqref="F90:G90">
    <cfRule type="expression" dxfId="1240" priority="46">
      <formula>kvartal &lt; 4</formula>
    </cfRule>
  </conditionalFormatting>
  <conditionalFormatting sqref="F93">
    <cfRule type="expression" dxfId="1239" priority="45">
      <formula>kvartal &lt; 4</formula>
    </cfRule>
  </conditionalFormatting>
  <conditionalFormatting sqref="G93">
    <cfRule type="expression" dxfId="1238" priority="44">
      <formula>kvartal &lt; 4</formula>
    </cfRule>
  </conditionalFormatting>
  <conditionalFormatting sqref="F101">
    <cfRule type="expression" dxfId="1237" priority="43">
      <formula>kvartal &lt; 4</formula>
    </cfRule>
  </conditionalFormatting>
  <conditionalFormatting sqref="G101">
    <cfRule type="expression" dxfId="1236" priority="42">
      <formula>kvartal &lt; 4</formula>
    </cfRule>
  </conditionalFormatting>
  <conditionalFormatting sqref="G104">
    <cfRule type="expression" dxfId="1235" priority="41">
      <formula>kvartal &lt; 4</formula>
    </cfRule>
  </conditionalFormatting>
  <conditionalFormatting sqref="F104">
    <cfRule type="expression" dxfId="1234" priority="40">
      <formula>kvartal &lt; 4</formula>
    </cfRule>
  </conditionalFormatting>
  <conditionalFormatting sqref="J69:K73">
    <cfRule type="expression" dxfId="1233" priority="39">
      <formula>kvartal &lt; 4</formula>
    </cfRule>
  </conditionalFormatting>
  <conditionalFormatting sqref="J74:K74">
    <cfRule type="expression" dxfId="1232" priority="38">
      <formula>kvartal &lt; 4</formula>
    </cfRule>
  </conditionalFormatting>
  <conditionalFormatting sqref="J80:K85">
    <cfRule type="expression" dxfId="1231" priority="37">
      <formula>kvartal &lt; 4</formula>
    </cfRule>
  </conditionalFormatting>
  <conditionalFormatting sqref="J90:K95">
    <cfRule type="expression" dxfId="1230" priority="34">
      <formula>kvartal &lt; 4</formula>
    </cfRule>
  </conditionalFormatting>
  <conditionalFormatting sqref="J101:K106">
    <cfRule type="expression" dxfId="1229" priority="33">
      <formula>kvartal &lt; 4</formula>
    </cfRule>
  </conditionalFormatting>
  <conditionalFormatting sqref="J115:K115">
    <cfRule type="expression" dxfId="1228" priority="32">
      <formula>kvartal &lt; 4</formula>
    </cfRule>
  </conditionalFormatting>
  <conditionalFormatting sqref="J123:K123">
    <cfRule type="expression" dxfId="1227" priority="31">
      <formula>kvartal &lt; 4</formula>
    </cfRule>
  </conditionalFormatting>
  <conditionalFormatting sqref="A23:A26">
    <cfRule type="expression" dxfId="1226" priority="15">
      <formula>kvartal &lt; 4</formula>
    </cfRule>
  </conditionalFormatting>
  <conditionalFormatting sqref="A30:A33">
    <cfRule type="expression" dxfId="1225" priority="13">
      <formula>kvartal &lt; 4</formula>
    </cfRule>
  </conditionalFormatting>
  <conditionalFormatting sqref="A50:A52">
    <cfRule type="expression" dxfId="1224" priority="12">
      <formula>kvartal &lt; 4</formula>
    </cfRule>
  </conditionalFormatting>
  <conditionalFormatting sqref="A69:A74">
    <cfRule type="expression" dxfId="1223" priority="10">
      <formula>kvartal &lt; 4</formula>
    </cfRule>
  </conditionalFormatting>
  <conditionalFormatting sqref="A80:A85">
    <cfRule type="expression" dxfId="1222" priority="9">
      <formula>kvartal &lt; 4</formula>
    </cfRule>
  </conditionalFormatting>
  <conditionalFormatting sqref="A90:A95">
    <cfRule type="expression" dxfId="1221" priority="6">
      <formula>kvartal &lt; 4</formula>
    </cfRule>
  </conditionalFormatting>
  <conditionalFormatting sqref="A101:A106">
    <cfRule type="expression" dxfId="1220" priority="5">
      <formula>kvartal &lt; 4</formula>
    </cfRule>
  </conditionalFormatting>
  <conditionalFormatting sqref="A115">
    <cfRule type="expression" dxfId="1219" priority="4">
      <formula>kvartal &lt; 4</formula>
    </cfRule>
  </conditionalFormatting>
  <conditionalFormatting sqref="A123">
    <cfRule type="expression" dxfId="1218" priority="3">
      <formula>kvartal &lt; 4</formula>
    </cfRule>
  </conditionalFormatting>
  <conditionalFormatting sqref="A27">
    <cfRule type="expression" dxfId="1217" priority="2">
      <formula>kvartal &lt; 4</formula>
    </cfRule>
  </conditionalFormatting>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9"/>
  <dimension ref="A1:O144"/>
  <sheetViews>
    <sheetView showGridLines="0" zoomScale="90" zoomScaleNormal="90" workbookViewId="0"/>
  </sheetViews>
  <sheetFormatPr baseColWidth="10" defaultColWidth="11.42578125" defaultRowHeight="12.75" x14ac:dyDescent="0.2"/>
  <cols>
    <col min="1" max="1" width="43" style="147" customWidth="1"/>
    <col min="2" max="2" width="10.85546875" style="147" customWidth="1"/>
    <col min="3" max="3" width="11" style="147" customWidth="1"/>
    <col min="4" max="5" width="8.7109375" style="147" customWidth="1"/>
    <col min="6" max="7" width="10.85546875" style="147" customWidth="1"/>
    <col min="8" max="9" width="8.7109375" style="147" customWidth="1"/>
    <col min="10" max="11" width="10.85546875" style="147" customWidth="1"/>
    <col min="12" max="13" width="8.7109375" style="147" customWidth="1"/>
    <col min="14" max="14" width="11.42578125" style="147"/>
    <col min="15" max="15" width="3" style="146" bestFit="1" customWidth="1"/>
    <col min="16" max="16384" width="11.42578125" style="1"/>
  </cols>
  <sheetData>
    <row r="1" spans="1:15" x14ac:dyDescent="0.2">
      <c r="A1" s="170" t="s">
        <v>152</v>
      </c>
      <c r="B1" s="932"/>
      <c r="C1" s="247" t="s">
        <v>144</v>
      </c>
      <c r="D1" s="25"/>
      <c r="E1" s="25"/>
      <c r="F1" s="25"/>
      <c r="G1" s="25"/>
      <c r="H1" s="25"/>
      <c r="I1" s="25"/>
      <c r="J1" s="25"/>
      <c r="K1" s="25"/>
      <c r="L1" s="25"/>
      <c r="M1" s="25"/>
      <c r="O1" s="423"/>
    </row>
    <row r="2" spans="1:15" ht="15.75" x14ac:dyDescent="0.25">
      <c r="A2" s="163" t="s">
        <v>31</v>
      </c>
      <c r="B2" s="965"/>
      <c r="C2" s="965"/>
      <c r="D2" s="965"/>
      <c r="E2" s="297"/>
      <c r="F2" s="965"/>
      <c r="G2" s="965"/>
      <c r="H2" s="965"/>
      <c r="I2" s="297"/>
      <c r="J2" s="965"/>
      <c r="K2" s="965"/>
      <c r="L2" s="965"/>
      <c r="M2" s="297"/>
    </row>
    <row r="3" spans="1:15" ht="15.75" x14ac:dyDescent="0.25">
      <c r="A3" s="161"/>
      <c r="B3" s="297"/>
      <c r="C3" s="297"/>
      <c r="D3" s="297"/>
      <c r="E3" s="297"/>
      <c r="F3" s="297"/>
      <c r="G3" s="297"/>
      <c r="H3" s="297"/>
      <c r="I3" s="297"/>
      <c r="J3" s="297"/>
      <c r="K3" s="297"/>
      <c r="L3" s="297"/>
      <c r="M3" s="297"/>
    </row>
    <row r="4" spans="1:15" x14ac:dyDescent="0.2">
      <c r="A4" s="142"/>
      <c r="B4" s="960" t="s">
        <v>0</v>
      </c>
      <c r="C4" s="961"/>
      <c r="D4" s="961"/>
      <c r="E4" s="299"/>
      <c r="F4" s="960" t="s">
        <v>1</v>
      </c>
      <c r="G4" s="961"/>
      <c r="H4" s="961"/>
      <c r="I4" s="302"/>
      <c r="J4" s="960" t="s">
        <v>2</v>
      </c>
      <c r="K4" s="961"/>
      <c r="L4" s="961"/>
      <c r="M4" s="302"/>
    </row>
    <row r="5" spans="1:15" x14ac:dyDescent="0.2">
      <c r="A5" s="156"/>
      <c r="B5" s="150" t="s">
        <v>504</v>
      </c>
      <c r="C5" s="150" t="s">
        <v>505</v>
      </c>
      <c r="D5" s="243" t="s">
        <v>3</v>
      </c>
      <c r="E5" s="303" t="s">
        <v>32</v>
      </c>
      <c r="F5" s="150" t="s">
        <v>504</v>
      </c>
      <c r="G5" s="150" t="s">
        <v>505</v>
      </c>
      <c r="H5" s="243" t="s">
        <v>3</v>
      </c>
      <c r="I5" s="160" t="s">
        <v>32</v>
      </c>
      <c r="J5" s="150" t="s">
        <v>504</v>
      </c>
      <c r="K5" s="150" t="s">
        <v>505</v>
      </c>
      <c r="L5" s="243" t="s">
        <v>3</v>
      </c>
      <c r="M5" s="160" t="s">
        <v>32</v>
      </c>
      <c r="O5" s="931"/>
    </row>
    <row r="6" spans="1:15" x14ac:dyDescent="0.2">
      <c r="A6" s="933"/>
      <c r="B6" s="154"/>
      <c r="C6" s="154"/>
      <c r="D6" s="245" t="s">
        <v>4</v>
      </c>
      <c r="E6" s="154" t="s">
        <v>33</v>
      </c>
      <c r="F6" s="159"/>
      <c r="G6" s="159"/>
      <c r="H6" s="243" t="s">
        <v>4</v>
      </c>
      <c r="I6" s="154" t="s">
        <v>33</v>
      </c>
      <c r="J6" s="159"/>
      <c r="K6" s="159"/>
      <c r="L6" s="243" t="s">
        <v>4</v>
      </c>
      <c r="M6" s="154" t="s">
        <v>33</v>
      </c>
    </row>
    <row r="7" spans="1:15" ht="15.75" x14ac:dyDescent="0.2">
      <c r="A7" s="14" t="s">
        <v>26</v>
      </c>
      <c r="B7" s="304">
        <v>307300.755</v>
      </c>
      <c r="C7" s="305">
        <v>312560</v>
      </c>
      <c r="D7" s="348">
        <f>IF(B7=0, "    ---- ", IF(ABS(ROUND(100/B7*C7-100,1))&lt;999,ROUND(100/B7*C7-100,1),IF(ROUND(100/B7*C7-100,1)&gt;999,999,-999)))</f>
        <v>1.7</v>
      </c>
      <c r="E7" s="11">
        <f>IFERROR(100/'Skjema total MA'!C7*C7,0)</f>
        <v>6.7018727589009846</v>
      </c>
      <c r="F7" s="304"/>
      <c r="G7" s="305"/>
      <c r="H7" s="348"/>
      <c r="I7" s="158"/>
      <c r="J7" s="306">
        <v>307300.755</v>
      </c>
      <c r="K7" s="307">
        <v>312560</v>
      </c>
      <c r="L7" s="424">
        <f>IF(J7=0, "    ---- ", IF(ABS(ROUND(100/J7*K7-100,1))&lt;999,ROUND(100/J7*K7-100,1),IF(ROUND(100/J7*K7-100,1)&gt;999,999,-999)))</f>
        <v>1.7</v>
      </c>
      <c r="M7" s="11">
        <f>IFERROR(100/'Skjema total MA'!I7*K7,0)</f>
        <v>2.3201799076212297</v>
      </c>
    </row>
    <row r="8" spans="1:15" ht="15.75" x14ac:dyDescent="0.2">
      <c r="A8" s="20" t="s">
        <v>28</v>
      </c>
      <c r="B8" s="279">
        <v>180788.6</v>
      </c>
      <c r="C8" s="280">
        <v>197276</v>
      </c>
      <c r="D8" s="164">
        <f>IF(AND(_xlfn.NUMBERVALUE(B8)=0,_xlfn.NUMBERVALUE(C8)=0),,IF(B8=0, "    ---- ", IF(ABS(ROUND(100/B8*C8-100,1))&lt;999,IF(ROUND(100/B8*C8-100,1)=0,"    ---- ",ROUND(100/B8*C8-100,1)),IF(ROUND(100/B8*C8-100,1)&gt;999,999,-999))))</f>
        <v>9.1</v>
      </c>
      <c r="E8" s="26">
        <f>IFERROR(100/'Skjema total MA'!C8*C8,0)</f>
        <v>7.9264174455582008</v>
      </c>
      <c r="F8" s="283"/>
      <c r="G8" s="284"/>
      <c r="H8" s="164"/>
      <c r="I8" s="174"/>
      <c r="J8" s="232">
        <v>180788.6</v>
      </c>
      <c r="K8" s="285">
        <v>197276</v>
      </c>
      <c r="L8" s="164">
        <f>IF(AND(_xlfn.NUMBERVALUE(J8)=0,_xlfn.NUMBERVALUE(K8)=0),,IF(J8=0, "    ---- ", IF(ABS(ROUND(100/J8*K8-100,1))&lt;999,IF(ROUND(100/J8*K8-100,1)=0,"    ---- ",ROUND(100/J8*K8-100,1)),IF(ROUND(100/J8*K8-100,1)&gt;999,999,-999))))</f>
        <v>9.1</v>
      </c>
      <c r="M8" s="26">
        <f>IFERROR(100/'Skjema total MA'!I8*K8,0)</f>
        <v>7.9264174455582008</v>
      </c>
    </row>
    <row r="9" spans="1:15" ht="15.75" x14ac:dyDescent="0.2">
      <c r="A9" s="20" t="s">
        <v>27</v>
      </c>
      <c r="B9" s="279">
        <v>126512.155</v>
      </c>
      <c r="C9" s="280">
        <v>115284</v>
      </c>
      <c r="D9" s="164">
        <f t="shared" ref="D9:D10" si="0">IF(B9=0, "    ---- ", IF(ABS(ROUND(100/B9*C9-100,1))&lt;999,ROUND(100/B9*C9-100,1),IF(ROUND(100/B9*C9-100,1)&gt;999,999,-999)))</f>
        <v>-8.9</v>
      </c>
      <c r="E9" s="26">
        <f>IFERROR(100/'Skjema total MA'!C9*C9,0)</f>
        <v>10.654498218936224</v>
      </c>
      <c r="F9" s="283"/>
      <c r="G9" s="284"/>
      <c r="H9" s="164"/>
      <c r="I9" s="174"/>
      <c r="J9" s="232">
        <v>126512.155</v>
      </c>
      <c r="K9" s="285">
        <v>115284</v>
      </c>
      <c r="L9" s="164">
        <f>IF(AND(_xlfn.NUMBERVALUE(J9)=0,_xlfn.NUMBERVALUE(K9)=0),,IF(J9=0, "    ---- ", IF(ABS(ROUND(100/J9*K9-100,1))&lt;999,IF(ROUND(100/J9*K9-100,1)=0,"    ---- ",ROUND(100/J9*K9-100,1)),IF(ROUND(100/J9*K9-100,1)&gt;999,999,-999))))</f>
        <v>-8.9</v>
      </c>
      <c r="M9" s="26">
        <f>IFERROR(100/'Skjema total MA'!I9*K9,0)</f>
        <v>10.654498218936224</v>
      </c>
    </row>
    <row r="10" spans="1:15" ht="15.75" x14ac:dyDescent="0.2">
      <c r="A10" s="13" t="s">
        <v>25</v>
      </c>
      <c r="B10" s="308">
        <v>378750</v>
      </c>
      <c r="C10" s="309">
        <v>416284</v>
      </c>
      <c r="D10" s="169">
        <f t="shared" si="0"/>
        <v>9.9</v>
      </c>
      <c r="E10" s="11">
        <f>IFERROR(100/'Skjema total MA'!C10*C10,0)</f>
        <v>1.731767565749575</v>
      </c>
      <c r="F10" s="308"/>
      <c r="G10" s="309"/>
      <c r="H10" s="169"/>
      <c r="I10" s="158"/>
      <c r="J10" s="306">
        <v>378750</v>
      </c>
      <c r="K10" s="307">
        <v>416284</v>
      </c>
      <c r="L10" s="425">
        <f t="shared" ref="L10" si="1">IF(J10=0, "    ---- ", IF(ABS(ROUND(100/J10*K10-100,1))&lt;999,ROUND(100/J10*K10-100,1),IF(ROUND(100/J10*K10-100,1)&gt;999,999,-999)))</f>
        <v>9.9</v>
      </c>
      <c r="M10" s="11">
        <f>IFERROR(100/'Skjema total MA'!I10*K10,0)</f>
        <v>0.62770583574176841</v>
      </c>
    </row>
    <row r="11" spans="1:15" s="42" customFormat="1" ht="15.75" x14ac:dyDescent="0.2">
      <c r="A11" s="13" t="s">
        <v>24</v>
      </c>
      <c r="B11" s="308"/>
      <c r="C11" s="309"/>
      <c r="D11" s="169"/>
      <c r="E11" s="11"/>
      <c r="F11" s="308"/>
      <c r="G11" s="309"/>
      <c r="H11" s="169"/>
      <c r="I11" s="158"/>
      <c r="J11" s="306"/>
      <c r="K11" s="307"/>
      <c r="L11" s="425"/>
      <c r="M11" s="11"/>
      <c r="N11" s="141"/>
      <c r="O11" s="146"/>
    </row>
    <row r="12" spans="1:15" s="42" customFormat="1" ht="15.75" x14ac:dyDescent="0.2">
      <c r="A12" s="40" t="s">
        <v>23</v>
      </c>
      <c r="B12" s="310"/>
      <c r="C12" s="311"/>
      <c r="D12" s="167"/>
      <c r="E12" s="35"/>
      <c r="F12" s="310"/>
      <c r="G12" s="311"/>
      <c r="H12" s="167"/>
      <c r="I12" s="167"/>
      <c r="J12" s="312"/>
      <c r="K12" s="313"/>
      <c r="L12" s="426"/>
      <c r="M12" s="35"/>
      <c r="N12" s="141"/>
      <c r="O12" s="146"/>
    </row>
    <row r="13" spans="1:15" s="42" customFormat="1" x14ac:dyDescent="0.2">
      <c r="A13" s="166"/>
      <c r="B13" s="143"/>
      <c r="C13" s="32"/>
      <c r="D13" s="157"/>
      <c r="E13" s="157"/>
      <c r="F13" s="143"/>
      <c r="G13" s="32"/>
      <c r="H13" s="157"/>
      <c r="I13" s="157"/>
      <c r="J13" s="47"/>
      <c r="K13" s="47"/>
      <c r="L13" s="157"/>
      <c r="M13" s="157"/>
      <c r="N13" s="141"/>
      <c r="O13" s="423"/>
    </row>
    <row r="14" spans="1:15" x14ac:dyDescent="0.2">
      <c r="A14" s="151" t="s">
        <v>296</v>
      </c>
      <c r="B14" s="25"/>
    </row>
    <row r="15" spans="1:15" x14ac:dyDescent="0.2">
      <c r="F15" s="144"/>
      <c r="G15" s="144"/>
      <c r="H15" s="144"/>
      <c r="I15" s="144"/>
      <c r="J15" s="144"/>
      <c r="K15" s="144"/>
      <c r="L15" s="144"/>
      <c r="M15" s="144"/>
    </row>
    <row r="16" spans="1:15" s="3" customFormat="1" ht="15.75" x14ac:dyDescent="0.25">
      <c r="A16" s="162"/>
      <c r="B16" s="146"/>
      <c r="C16" s="152"/>
      <c r="D16" s="152"/>
      <c r="E16" s="152"/>
      <c r="F16" s="152"/>
      <c r="G16" s="152"/>
      <c r="H16" s="152"/>
      <c r="I16" s="152"/>
      <c r="J16" s="152"/>
      <c r="K16" s="152"/>
      <c r="L16" s="152"/>
      <c r="M16" s="152"/>
      <c r="N16" s="146"/>
      <c r="O16" s="146"/>
    </row>
    <row r="17" spans="1:15" ht="15.75" x14ac:dyDescent="0.25">
      <c r="A17" s="145" t="s">
        <v>293</v>
      </c>
      <c r="B17" s="155"/>
      <c r="C17" s="155"/>
      <c r="D17" s="149"/>
      <c r="E17" s="149"/>
      <c r="F17" s="155"/>
      <c r="G17" s="155"/>
      <c r="H17" s="155"/>
      <c r="I17" s="155"/>
      <c r="J17" s="155"/>
      <c r="K17" s="155"/>
      <c r="L17" s="155"/>
      <c r="M17" s="155"/>
    </row>
    <row r="18" spans="1:15" ht="15.75" x14ac:dyDescent="0.25">
      <c r="B18" s="963"/>
      <c r="C18" s="963"/>
      <c r="D18" s="963"/>
      <c r="E18" s="297"/>
      <c r="F18" s="963"/>
      <c r="G18" s="963"/>
      <c r="H18" s="963"/>
      <c r="I18" s="297"/>
      <c r="J18" s="963"/>
      <c r="K18" s="963"/>
      <c r="L18" s="963"/>
      <c r="M18" s="297"/>
    </row>
    <row r="19" spans="1:15" x14ac:dyDescent="0.2">
      <c r="A19" s="142"/>
      <c r="B19" s="960" t="s">
        <v>0</v>
      </c>
      <c r="C19" s="961"/>
      <c r="D19" s="961"/>
      <c r="E19" s="299"/>
      <c r="F19" s="960" t="s">
        <v>1</v>
      </c>
      <c r="G19" s="961"/>
      <c r="H19" s="961"/>
      <c r="I19" s="302"/>
      <c r="J19" s="960" t="s">
        <v>2</v>
      </c>
      <c r="K19" s="961"/>
      <c r="L19" s="961"/>
      <c r="M19" s="302"/>
    </row>
    <row r="20" spans="1:15" x14ac:dyDescent="0.2">
      <c r="A20" s="139" t="s">
        <v>5</v>
      </c>
      <c r="B20" s="240" t="s">
        <v>504</v>
      </c>
      <c r="C20" s="240" t="s">
        <v>505</v>
      </c>
      <c r="D20" s="160" t="s">
        <v>3</v>
      </c>
      <c r="E20" s="303" t="s">
        <v>32</v>
      </c>
      <c r="F20" s="240" t="s">
        <v>504</v>
      </c>
      <c r="G20" s="240" t="s">
        <v>505</v>
      </c>
      <c r="H20" s="160" t="s">
        <v>3</v>
      </c>
      <c r="I20" s="160" t="s">
        <v>32</v>
      </c>
      <c r="J20" s="240" t="s">
        <v>504</v>
      </c>
      <c r="K20" s="240" t="s">
        <v>505</v>
      </c>
      <c r="L20" s="160" t="s">
        <v>3</v>
      </c>
      <c r="M20" s="160" t="s">
        <v>32</v>
      </c>
    </row>
    <row r="21" spans="1:15" x14ac:dyDescent="0.2">
      <c r="A21" s="934"/>
      <c r="B21" s="154"/>
      <c r="C21" s="154"/>
      <c r="D21" s="245" t="s">
        <v>4</v>
      </c>
      <c r="E21" s="154" t="s">
        <v>33</v>
      </c>
      <c r="F21" s="159"/>
      <c r="G21" s="159"/>
      <c r="H21" s="243" t="s">
        <v>4</v>
      </c>
      <c r="I21" s="154" t="s">
        <v>33</v>
      </c>
      <c r="J21" s="159"/>
      <c r="K21" s="159"/>
      <c r="L21" s="154" t="s">
        <v>4</v>
      </c>
      <c r="M21" s="154" t="s">
        <v>33</v>
      </c>
    </row>
    <row r="22" spans="1:15" ht="15.75" x14ac:dyDescent="0.2">
      <c r="A22" s="14" t="s">
        <v>26</v>
      </c>
      <c r="B22" s="314"/>
      <c r="C22" s="314"/>
      <c r="D22" s="348"/>
      <c r="E22" s="11"/>
      <c r="F22" s="314"/>
      <c r="G22" s="314"/>
      <c r="H22" s="348"/>
      <c r="I22" s="11"/>
      <c r="J22" s="314"/>
      <c r="K22" s="314"/>
      <c r="L22" s="424"/>
      <c r="M22" s="23"/>
    </row>
    <row r="23" spans="1:15" ht="15.75" x14ac:dyDescent="0.2">
      <c r="A23" s="294" t="s">
        <v>305</v>
      </c>
      <c r="B23" s="288"/>
      <c r="C23" s="288"/>
      <c r="D23" s="164"/>
      <c r="E23" s="414"/>
      <c r="F23" s="288"/>
      <c r="G23" s="288"/>
      <c r="H23" s="164"/>
      <c r="I23" s="414"/>
      <c r="J23" s="288"/>
      <c r="K23" s="288"/>
      <c r="L23" s="164"/>
      <c r="M23" s="22"/>
    </row>
    <row r="24" spans="1:15" ht="15.75" x14ac:dyDescent="0.2">
      <c r="A24" s="294" t="s">
        <v>306</v>
      </c>
      <c r="B24" s="288"/>
      <c r="C24" s="288"/>
      <c r="D24" s="164"/>
      <c r="E24" s="414"/>
      <c r="F24" s="288"/>
      <c r="G24" s="288"/>
      <c r="H24" s="164"/>
      <c r="I24" s="414"/>
      <c r="J24" s="288"/>
      <c r="K24" s="288"/>
      <c r="L24" s="164"/>
      <c r="M24" s="22"/>
    </row>
    <row r="25" spans="1:15" ht="15.75" x14ac:dyDescent="0.2">
      <c r="A25" s="294" t="s">
        <v>406</v>
      </c>
      <c r="B25" s="288"/>
      <c r="C25" s="288"/>
      <c r="D25" s="164"/>
      <c r="E25" s="414"/>
      <c r="F25" s="288"/>
      <c r="G25" s="288"/>
      <c r="H25" s="164"/>
      <c r="I25" s="414"/>
      <c r="J25" s="288"/>
      <c r="K25" s="288"/>
      <c r="L25" s="164"/>
      <c r="M25" s="22"/>
    </row>
    <row r="26" spans="1:15" ht="15.75" x14ac:dyDescent="0.2">
      <c r="A26" s="294" t="s">
        <v>307</v>
      </c>
      <c r="B26" s="288"/>
      <c r="C26" s="288"/>
      <c r="D26" s="164"/>
      <c r="E26" s="414"/>
      <c r="F26" s="288"/>
      <c r="G26" s="288"/>
      <c r="H26" s="164"/>
      <c r="I26" s="414"/>
      <c r="J26" s="288"/>
      <c r="K26" s="288"/>
      <c r="L26" s="164"/>
      <c r="M26" s="22"/>
    </row>
    <row r="27" spans="1:15" x14ac:dyDescent="0.2">
      <c r="A27" s="294" t="s">
        <v>11</v>
      </c>
      <c r="B27" s="288"/>
      <c r="C27" s="288"/>
      <c r="D27" s="164"/>
      <c r="E27" s="414"/>
      <c r="F27" s="288"/>
      <c r="G27" s="288"/>
      <c r="H27" s="164"/>
      <c r="I27" s="414"/>
      <c r="J27" s="288"/>
      <c r="K27" s="288"/>
      <c r="L27" s="164"/>
      <c r="M27" s="22"/>
    </row>
    <row r="28" spans="1:15" ht="15.75" x14ac:dyDescent="0.2">
      <c r="A28" s="48" t="s">
        <v>297</v>
      </c>
      <c r="B28" s="43">
        <v>109295.97500000001</v>
      </c>
      <c r="C28" s="285">
        <v>115772</v>
      </c>
      <c r="D28" s="164">
        <f t="shared" ref="D28" si="2">IF(B28=0, "    ---- ", IF(ABS(ROUND(100/B28*C28-100,1))&lt;999,ROUND(100/B28*C28-100,1),IF(ROUND(100/B28*C28-100,1)&gt;999,999,-999)))</f>
        <v>5.9</v>
      </c>
      <c r="E28" s="26">
        <f>IFERROR(100/'Skjema total MA'!C28*C28,0)</f>
        <v>7.165333833395076</v>
      </c>
      <c r="F28" s="232"/>
      <c r="G28" s="285"/>
      <c r="H28" s="164"/>
      <c r="I28" s="26"/>
      <c r="J28" s="43">
        <f t="shared" ref="J28:K28" si="3">SUM(B28,F28)</f>
        <v>109295.97500000001</v>
      </c>
      <c r="K28" s="43">
        <f t="shared" si="3"/>
        <v>115772</v>
      </c>
      <c r="L28" s="253">
        <f t="shared" ref="L28" si="4">IF(J28=0, "    ---- ", IF(ABS(ROUND(100/J28*K28-100,1))&lt;999,ROUND(100/J28*K28-100,1),IF(ROUND(100/J28*K28-100,1)&gt;999,999,-999)))</f>
        <v>5.9</v>
      </c>
      <c r="M28" s="22">
        <f>IFERROR(100/'Skjema total MA'!I28*K28,0)</f>
        <v>7.165333833395076</v>
      </c>
    </row>
    <row r="29" spans="1:15" s="3" customFormat="1" ht="15.75" x14ac:dyDescent="0.2">
      <c r="A29" s="13" t="s">
        <v>25</v>
      </c>
      <c r="B29" s="234"/>
      <c r="C29" s="234"/>
      <c r="D29" s="169"/>
      <c r="E29" s="11"/>
      <c r="F29" s="234"/>
      <c r="G29" s="234"/>
      <c r="H29" s="169"/>
      <c r="I29" s="11"/>
      <c r="J29" s="234"/>
      <c r="K29" s="234"/>
      <c r="L29" s="425"/>
      <c r="M29" s="23"/>
      <c r="N29" s="146"/>
      <c r="O29" s="146"/>
    </row>
    <row r="30" spans="1:15" s="3" customFormat="1" ht="15.75" x14ac:dyDescent="0.2">
      <c r="A30" s="294" t="s">
        <v>305</v>
      </c>
      <c r="B30" s="288"/>
      <c r="C30" s="288"/>
      <c r="D30" s="164"/>
      <c r="E30" s="414"/>
      <c r="F30" s="288"/>
      <c r="G30" s="288"/>
      <c r="H30" s="164"/>
      <c r="I30" s="414"/>
      <c r="J30" s="288"/>
      <c r="K30" s="288"/>
      <c r="L30" s="164"/>
      <c r="M30" s="22"/>
      <c r="N30" s="146"/>
      <c r="O30" s="146"/>
    </row>
    <row r="31" spans="1:15" s="3" customFormat="1" ht="15.75" x14ac:dyDescent="0.2">
      <c r="A31" s="294" t="s">
        <v>306</v>
      </c>
      <c r="B31" s="288"/>
      <c r="C31" s="288"/>
      <c r="D31" s="164"/>
      <c r="E31" s="414"/>
      <c r="F31" s="288"/>
      <c r="G31" s="288"/>
      <c r="H31" s="164"/>
      <c r="I31" s="414"/>
      <c r="J31" s="288"/>
      <c r="K31" s="288"/>
      <c r="L31" s="164"/>
      <c r="M31" s="22"/>
      <c r="N31" s="146"/>
      <c r="O31" s="146"/>
    </row>
    <row r="32" spans="1:15" ht="15.75" x14ac:dyDescent="0.2">
      <c r="A32" s="294" t="s">
        <v>406</v>
      </c>
      <c r="B32" s="288"/>
      <c r="C32" s="288"/>
      <c r="D32" s="164"/>
      <c r="E32" s="414"/>
      <c r="F32" s="288"/>
      <c r="G32" s="288"/>
      <c r="H32" s="164"/>
      <c r="I32" s="414"/>
      <c r="J32" s="288"/>
      <c r="K32" s="288"/>
      <c r="L32" s="164"/>
      <c r="M32" s="22"/>
    </row>
    <row r="33" spans="1:15" ht="15.75" x14ac:dyDescent="0.2">
      <c r="A33" s="294" t="s">
        <v>307</v>
      </c>
      <c r="B33" s="288"/>
      <c r="C33" s="288"/>
      <c r="D33" s="164"/>
      <c r="E33" s="414"/>
      <c r="F33" s="288"/>
      <c r="G33" s="288"/>
      <c r="H33" s="164"/>
      <c r="I33" s="414"/>
      <c r="J33" s="288"/>
      <c r="K33" s="288"/>
      <c r="L33" s="164"/>
      <c r="M33" s="22"/>
    </row>
    <row r="34" spans="1:15" ht="15.75" x14ac:dyDescent="0.2">
      <c r="A34" s="13" t="s">
        <v>24</v>
      </c>
      <c r="B34" s="234"/>
      <c r="C34" s="307"/>
      <c r="D34" s="169"/>
      <c r="E34" s="11"/>
      <c r="F34" s="306"/>
      <c r="G34" s="307"/>
      <c r="H34" s="169"/>
      <c r="I34" s="11"/>
      <c r="J34" s="234"/>
      <c r="K34" s="234"/>
      <c r="L34" s="425"/>
      <c r="M34" s="23"/>
    </row>
    <row r="35" spans="1:15" ht="15.75" x14ac:dyDescent="0.2">
      <c r="A35" s="13" t="s">
        <v>23</v>
      </c>
      <c r="B35" s="234"/>
      <c r="C35" s="307"/>
      <c r="D35" s="169"/>
      <c r="E35" s="11"/>
      <c r="F35" s="306"/>
      <c r="G35" s="307"/>
      <c r="H35" s="169"/>
      <c r="I35" s="11"/>
      <c r="J35" s="234"/>
      <c r="K35" s="234"/>
      <c r="L35" s="425"/>
      <c r="M35" s="23"/>
    </row>
    <row r="36" spans="1:15" ht="15.75" x14ac:dyDescent="0.2">
      <c r="A36" s="12" t="s">
        <v>308</v>
      </c>
      <c r="B36" s="234"/>
      <c r="C36" s="307"/>
      <c r="D36" s="169"/>
      <c r="E36" s="11"/>
      <c r="F36" s="317"/>
      <c r="G36" s="318"/>
      <c r="H36" s="169"/>
      <c r="I36" s="431"/>
      <c r="J36" s="234"/>
      <c r="K36" s="234"/>
      <c r="L36" s="425"/>
      <c r="M36" s="23"/>
    </row>
    <row r="37" spans="1:15" ht="15.75" x14ac:dyDescent="0.2">
      <c r="A37" s="12" t="s">
        <v>309</v>
      </c>
      <c r="B37" s="234"/>
      <c r="C37" s="307"/>
      <c r="D37" s="169"/>
      <c r="E37" s="11"/>
      <c r="F37" s="317"/>
      <c r="G37" s="319"/>
      <c r="H37" s="169"/>
      <c r="I37" s="431"/>
      <c r="J37" s="234"/>
      <c r="K37" s="234"/>
      <c r="L37" s="425"/>
      <c r="M37" s="23"/>
    </row>
    <row r="38" spans="1:15" ht="15.75" x14ac:dyDescent="0.2">
      <c r="A38" s="12" t="s">
        <v>310</v>
      </c>
      <c r="B38" s="234"/>
      <c r="C38" s="307"/>
      <c r="D38" s="169"/>
      <c r="E38" s="11"/>
      <c r="F38" s="317"/>
      <c r="G38" s="318"/>
      <c r="H38" s="169"/>
      <c r="I38" s="431"/>
      <c r="J38" s="234"/>
      <c r="K38" s="234"/>
      <c r="L38" s="425"/>
      <c r="M38" s="23"/>
    </row>
    <row r="39" spans="1:15" ht="15.75" x14ac:dyDescent="0.2">
      <c r="A39" s="18" t="s">
        <v>311</v>
      </c>
      <c r="B39" s="274"/>
      <c r="C39" s="313"/>
      <c r="D39" s="167"/>
      <c r="E39" s="11"/>
      <c r="F39" s="320"/>
      <c r="G39" s="321"/>
      <c r="H39" s="167"/>
      <c r="I39" s="35"/>
      <c r="J39" s="234"/>
      <c r="K39" s="234"/>
      <c r="L39" s="426"/>
      <c r="M39" s="35"/>
    </row>
    <row r="40" spans="1:15" ht="15.75" x14ac:dyDescent="0.25">
      <c r="A40" s="46"/>
      <c r="B40" s="252"/>
      <c r="C40" s="252"/>
      <c r="D40" s="964"/>
      <c r="E40" s="964"/>
      <c r="F40" s="964"/>
      <c r="G40" s="964"/>
      <c r="H40" s="964"/>
      <c r="I40" s="964"/>
      <c r="J40" s="964"/>
      <c r="K40" s="964"/>
      <c r="L40" s="964"/>
      <c r="M40" s="300"/>
    </row>
    <row r="41" spans="1:15" x14ac:dyDescent="0.2">
      <c r="A41" s="153"/>
    </row>
    <row r="42" spans="1:15" ht="15.75" x14ac:dyDescent="0.25">
      <c r="A42" s="145" t="s">
        <v>294</v>
      </c>
      <c r="B42" s="965"/>
      <c r="C42" s="965"/>
      <c r="D42" s="965"/>
      <c r="E42" s="297"/>
      <c r="F42" s="966"/>
      <c r="G42" s="966"/>
      <c r="H42" s="966"/>
      <c r="I42" s="300"/>
      <c r="J42" s="966"/>
      <c r="K42" s="966"/>
      <c r="L42" s="966"/>
      <c r="M42" s="300"/>
    </row>
    <row r="43" spans="1:15" ht="15.75" x14ac:dyDescent="0.25">
      <c r="A43" s="161"/>
      <c r="B43" s="301"/>
      <c r="C43" s="301"/>
      <c r="D43" s="301"/>
      <c r="E43" s="301"/>
      <c r="F43" s="300"/>
      <c r="G43" s="300"/>
      <c r="H43" s="300"/>
      <c r="I43" s="300"/>
      <c r="J43" s="300"/>
      <c r="K43" s="300"/>
      <c r="L43" s="300"/>
      <c r="M43" s="300"/>
    </row>
    <row r="44" spans="1:15" ht="15.75" x14ac:dyDescent="0.25">
      <c r="A44" s="246"/>
      <c r="B44" s="960" t="s">
        <v>0</v>
      </c>
      <c r="C44" s="961"/>
      <c r="D44" s="961"/>
      <c r="E44" s="241"/>
      <c r="F44" s="300"/>
      <c r="G44" s="300"/>
      <c r="H44" s="300"/>
      <c r="I44" s="300"/>
      <c r="J44" s="300"/>
      <c r="K44" s="300"/>
      <c r="L44" s="300"/>
      <c r="M44" s="300"/>
    </row>
    <row r="45" spans="1:15" s="3" customFormat="1" x14ac:dyDescent="0.2">
      <c r="A45" s="139"/>
      <c r="B45" s="171" t="s">
        <v>504</v>
      </c>
      <c r="C45" s="171" t="s">
        <v>505</v>
      </c>
      <c r="D45" s="160" t="s">
        <v>3</v>
      </c>
      <c r="E45" s="160" t="s">
        <v>32</v>
      </c>
      <c r="F45" s="173"/>
      <c r="G45" s="173"/>
      <c r="H45" s="172"/>
      <c r="I45" s="172"/>
      <c r="J45" s="173"/>
      <c r="K45" s="173"/>
      <c r="L45" s="172"/>
      <c r="M45" s="172"/>
      <c r="N45" s="146"/>
      <c r="O45" s="146"/>
    </row>
    <row r="46" spans="1:15" s="3" customFormat="1" x14ac:dyDescent="0.2">
      <c r="A46" s="934"/>
      <c r="B46" s="242"/>
      <c r="C46" s="242"/>
      <c r="D46" s="243" t="s">
        <v>4</v>
      </c>
      <c r="E46" s="154" t="s">
        <v>33</v>
      </c>
      <c r="F46" s="172"/>
      <c r="G46" s="172"/>
      <c r="H46" s="172"/>
      <c r="I46" s="172"/>
      <c r="J46" s="172"/>
      <c r="K46" s="172"/>
      <c r="L46" s="172"/>
      <c r="M46" s="172"/>
      <c r="N46" s="146"/>
      <c r="O46" s="146"/>
    </row>
    <row r="47" spans="1:15" s="3" customFormat="1" ht="15.75" x14ac:dyDescent="0.2">
      <c r="A47" s="14" t="s">
        <v>26</v>
      </c>
      <c r="B47" s="308">
        <f>SUM(B48:B49)</f>
        <v>106984</v>
      </c>
      <c r="C47" s="309">
        <f>SUM(C48:C49)</f>
        <v>124345</v>
      </c>
      <c r="D47" s="424">
        <f t="shared" ref="D47:D57" si="5">IF(B47=0, "    ---- ", IF(ABS(ROUND(100/B47*C47-100,1))&lt;999,ROUND(100/B47*C47-100,1),IF(ROUND(100/B47*C47-100,1)&gt;999,999,-999)))</f>
        <v>16.2</v>
      </c>
      <c r="E47" s="11">
        <f>IFERROR(100/'Skjema total MA'!C47*C47,0)</f>
        <v>3.2648615701572883</v>
      </c>
      <c r="F47" s="143"/>
      <c r="G47" s="32"/>
      <c r="H47" s="157"/>
      <c r="I47" s="157"/>
      <c r="J47" s="36"/>
      <c r="K47" s="36"/>
      <c r="L47" s="157"/>
      <c r="M47" s="157"/>
      <c r="N47" s="146"/>
      <c r="O47" s="146"/>
    </row>
    <row r="48" spans="1:15" s="3" customFormat="1" ht="15.75" x14ac:dyDescent="0.2">
      <c r="A48" s="37" t="s">
        <v>312</v>
      </c>
      <c r="B48" s="279">
        <v>106984</v>
      </c>
      <c r="C48" s="280">
        <v>124345</v>
      </c>
      <c r="D48" s="253">
        <f t="shared" si="5"/>
        <v>16.2</v>
      </c>
      <c r="E48" s="26">
        <f>IFERROR(100/'Skjema total MA'!C48*C48,0)</f>
        <v>6.0681018329299921</v>
      </c>
      <c r="F48" s="143"/>
      <c r="G48" s="32"/>
      <c r="H48" s="143"/>
      <c r="I48" s="143"/>
      <c r="J48" s="32"/>
      <c r="K48" s="32"/>
      <c r="L48" s="157"/>
      <c r="M48" s="157"/>
      <c r="N48" s="146"/>
      <c r="O48" s="146"/>
    </row>
    <row r="49" spans="1:15" s="3" customFormat="1" ht="15.75" x14ac:dyDescent="0.2">
      <c r="A49" s="37" t="s">
        <v>313</v>
      </c>
      <c r="B49" s="43"/>
      <c r="C49" s="285"/>
      <c r="D49" s="253"/>
      <c r="E49" s="26"/>
      <c r="F49" s="143"/>
      <c r="G49" s="32"/>
      <c r="H49" s="143"/>
      <c r="I49" s="143"/>
      <c r="J49" s="36"/>
      <c r="K49" s="36"/>
      <c r="L49" s="157"/>
      <c r="M49" s="157"/>
      <c r="N49" s="146"/>
      <c r="O49" s="146"/>
    </row>
    <row r="50" spans="1:15" s="3" customFormat="1" x14ac:dyDescent="0.2">
      <c r="A50" s="294" t="s">
        <v>6</v>
      </c>
      <c r="B50" s="288"/>
      <c r="C50" s="289"/>
      <c r="D50" s="253"/>
      <c r="E50" s="22"/>
      <c r="F50" s="143"/>
      <c r="G50" s="32"/>
      <c r="H50" s="143"/>
      <c r="I50" s="143"/>
      <c r="J50" s="32"/>
      <c r="K50" s="32"/>
      <c r="L50" s="157"/>
      <c r="M50" s="157"/>
      <c r="N50" s="146"/>
      <c r="O50" s="146"/>
    </row>
    <row r="51" spans="1:15" s="3" customFormat="1" x14ac:dyDescent="0.2">
      <c r="A51" s="294" t="s">
        <v>7</v>
      </c>
      <c r="B51" s="288"/>
      <c r="C51" s="289"/>
      <c r="D51" s="253"/>
      <c r="E51" s="22"/>
      <c r="F51" s="143"/>
      <c r="G51" s="32"/>
      <c r="H51" s="143"/>
      <c r="I51" s="143"/>
      <c r="J51" s="32"/>
      <c r="K51" s="32"/>
      <c r="L51" s="157"/>
      <c r="M51" s="157"/>
      <c r="N51" s="146"/>
      <c r="O51" s="146"/>
    </row>
    <row r="52" spans="1:15" s="3" customFormat="1" x14ac:dyDescent="0.2">
      <c r="A52" s="294" t="s">
        <v>8</v>
      </c>
      <c r="B52" s="288"/>
      <c r="C52" s="289"/>
      <c r="D52" s="253"/>
      <c r="E52" s="22"/>
      <c r="F52" s="143"/>
      <c r="G52" s="32"/>
      <c r="H52" s="143"/>
      <c r="I52" s="143"/>
      <c r="J52" s="32"/>
      <c r="K52" s="32"/>
      <c r="L52" s="157"/>
      <c r="M52" s="157"/>
      <c r="N52" s="146"/>
      <c r="O52" s="146"/>
    </row>
    <row r="53" spans="1:15" s="3" customFormat="1" ht="15.75" x14ac:dyDescent="0.2">
      <c r="A53" s="38" t="s">
        <v>314</v>
      </c>
      <c r="B53" s="308">
        <f>SUM(B54:B55)</f>
        <v>11577.137000000001</v>
      </c>
      <c r="C53" s="309">
        <f>SUM(C54:C55)</f>
        <v>7299.1329999999998</v>
      </c>
      <c r="D53" s="425">
        <f t="shared" si="5"/>
        <v>-37</v>
      </c>
      <c r="E53" s="11">
        <f>IFERROR(100/'Skjema total MA'!C53*C53,0)</f>
        <v>4.4732446531650929</v>
      </c>
      <c r="F53" s="143"/>
      <c r="G53" s="32"/>
      <c r="H53" s="143"/>
      <c r="I53" s="143"/>
      <c r="J53" s="32"/>
      <c r="K53" s="32"/>
      <c r="L53" s="157"/>
      <c r="M53" s="157"/>
      <c r="N53" s="146"/>
      <c r="O53" s="146"/>
    </row>
    <row r="54" spans="1:15" s="3" customFormat="1" ht="15.75" x14ac:dyDescent="0.2">
      <c r="A54" s="37" t="s">
        <v>312</v>
      </c>
      <c r="B54" s="279">
        <v>11577.137000000001</v>
      </c>
      <c r="C54" s="280">
        <v>7299.1329999999998</v>
      </c>
      <c r="D54" s="253">
        <f t="shared" si="5"/>
        <v>-37</v>
      </c>
      <c r="E54" s="26">
        <f>IFERROR(100/'Skjema total MA'!C54*C54,0)</f>
        <v>6.9925647657624985</v>
      </c>
      <c r="F54" s="143"/>
      <c r="G54" s="32"/>
      <c r="H54" s="143"/>
      <c r="I54" s="143"/>
      <c r="J54" s="32"/>
      <c r="K54" s="32"/>
      <c r="L54" s="157"/>
      <c r="M54" s="157"/>
      <c r="N54" s="146"/>
      <c r="O54" s="146"/>
    </row>
    <row r="55" spans="1:15" s="3" customFormat="1" ht="15.75" x14ac:dyDescent="0.2">
      <c r="A55" s="37" t="s">
        <v>313</v>
      </c>
      <c r="B55" s="279"/>
      <c r="C55" s="280"/>
      <c r="D55" s="253"/>
      <c r="E55" s="26"/>
      <c r="F55" s="143"/>
      <c r="G55" s="32"/>
      <c r="H55" s="143"/>
      <c r="I55" s="143"/>
      <c r="J55" s="32"/>
      <c r="K55" s="32"/>
      <c r="L55" s="157"/>
      <c r="M55" s="157"/>
      <c r="N55" s="146"/>
      <c r="O55" s="146"/>
    </row>
    <row r="56" spans="1:15" s="3" customFormat="1" ht="15.75" x14ac:dyDescent="0.2">
      <c r="A56" s="38" t="s">
        <v>315</v>
      </c>
      <c r="B56" s="308">
        <f>SUM(B57:B58)</f>
        <v>5800.6660000000002</v>
      </c>
      <c r="C56" s="309">
        <f>SUM(C57:C58)</f>
        <v>1615.6790000000001</v>
      </c>
      <c r="D56" s="425">
        <f t="shared" si="5"/>
        <v>-72.099999999999994</v>
      </c>
      <c r="E56" s="11">
        <f>IFERROR(100/'Skjema total MA'!C56*C56,0)</f>
        <v>0.77694212015175346</v>
      </c>
      <c r="F56" s="143"/>
      <c r="G56" s="32"/>
      <c r="H56" s="143"/>
      <c r="I56" s="143"/>
      <c r="J56" s="32"/>
      <c r="K56" s="32"/>
      <c r="L56" s="157"/>
      <c r="M56" s="157"/>
      <c r="N56" s="146"/>
      <c r="O56" s="146"/>
    </row>
    <row r="57" spans="1:15" s="3" customFormat="1" ht="15.75" x14ac:dyDescent="0.2">
      <c r="A57" s="37" t="s">
        <v>312</v>
      </c>
      <c r="B57" s="279">
        <v>5800.6660000000002</v>
      </c>
      <c r="C57" s="280">
        <v>1615.6790000000001</v>
      </c>
      <c r="D57" s="253">
        <f t="shared" si="5"/>
        <v>-72.099999999999994</v>
      </c>
      <c r="E57" s="26">
        <f>IFERROR(100/'Skjema total MA'!C57*C57,0)</f>
        <v>1.0855227922403643</v>
      </c>
      <c r="F57" s="143"/>
      <c r="G57" s="32"/>
      <c r="H57" s="143"/>
      <c r="I57" s="143"/>
      <c r="J57" s="32"/>
      <c r="K57" s="32"/>
      <c r="L57" s="157"/>
      <c r="M57" s="157"/>
      <c r="N57" s="146"/>
      <c r="O57" s="146"/>
    </row>
    <row r="58" spans="1:15" s="3" customFormat="1" ht="15.75" x14ac:dyDescent="0.2">
      <c r="A58" s="45" t="s">
        <v>313</v>
      </c>
      <c r="B58" s="281"/>
      <c r="C58" s="282"/>
      <c r="D58" s="254"/>
      <c r="E58" s="21"/>
      <c r="F58" s="143"/>
      <c r="G58" s="32"/>
      <c r="H58" s="143"/>
      <c r="I58" s="143"/>
      <c r="J58" s="32"/>
      <c r="K58" s="32"/>
      <c r="L58" s="157"/>
      <c r="M58" s="157"/>
      <c r="N58" s="146"/>
      <c r="O58" s="146"/>
    </row>
    <row r="59" spans="1:15" s="3" customFormat="1" ht="15.75" x14ac:dyDescent="0.25">
      <c r="A59" s="162"/>
      <c r="B59" s="152"/>
      <c r="C59" s="152"/>
      <c r="D59" s="152"/>
      <c r="E59" s="152"/>
      <c r="F59" s="140"/>
      <c r="G59" s="140"/>
      <c r="H59" s="140"/>
      <c r="I59" s="140"/>
      <c r="J59" s="140"/>
      <c r="K59" s="140"/>
      <c r="L59" s="140"/>
      <c r="M59" s="140"/>
      <c r="N59" s="146"/>
      <c r="O59" s="146"/>
    </row>
    <row r="60" spans="1:15" x14ac:dyDescent="0.2">
      <c r="A60" s="153"/>
    </row>
    <row r="61" spans="1:15" ht="15.75" x14ac:dyDescent="0.25">
      <c r="A61" s="145" t="s">
        <v>295</v>
      </c>
      <c r="C61" s="25"/>
      <c r="D61" s="25"/>
      <c r="E61" s="25"/>
      <c r="F61" s="25"/>
      <c r="G61" s="25"/>
      <c r="H61" s="25"/>
      <c r="I61" s="25"/>
      <c r="J61" s="25"/>
      <c r="K61" s="25"/>
      <c r="L61" s="25"/>
      <c r="M61" s="25"/>
    </row>
    <row r="62" spans="1:15" ht="15.75" x14ac:dyDescent="0.25">
      <c r="B62" s="963"/>
      <c r="C62" s="963"/>
      <c r="D62" s="963"/>
      <c r="E62" s="297"/>
      <c r="F62" s="963"/>
      <c r="G62" s="963"/>
      <c r="H62" s="963"/>
      <c r="I62" s="297"/>
      <c r="J62" s="963"/>
      <c r="K62" s="963"/>
      <c r="L62" s="963"/>
      <c r="M62" s="297"/>
    </row>
    <row r="63" spans="1:15" x14ac:dyDescent="0.2">
      <c r="A63" s="142"/>
      <c r="B63" s="960" t="s">
        <v>0</v>
      </c>
      <c r="C63" s="961"/>
      <c r="D63" s="962"/>
      <c r="E63" s="298"/>
      <c r="F63" s="961" t="s">
        <v>1</v>
      </c>
      <c r="G63" s="961"/>
      <c r="H63" s="961"/>
      <c r="I63" s="302"/>
      <c r="J63" s="960" t="s">
        <v>2</v>
      </c>
      <c r="K63" s="961"/>
      <c r="L63" s="961"/>
      <c r="M63" s="302"/>
    </row>
    <row r="64" spans="1:15" x14ac:dyDescent="0.2">
      <c r="A64" s="139"/>
      <c r="B64" s="150" t="s">
        <v>504</v>
      </c>
      <c r="C64" s="150" t="s">
        <v>505</v>
      </c>
      <c r="D64" s="243" t="s">
        <v>3</v>
      </c>
      <c r="E64" s="303" t="s">
        <v>32</v>
      </c>
      <c r="F64" s="150" t="s">
        <v>504</v>
      </c>
      <c r="G64" s="150" t="s">
        <v>505</v>
      </c>
      <c r="H64" s="243" t="s">
        <v>3</v>
      </c>
      <c r="I64" s="303" t="s">
        <v>32</v>
      </c>
      <c r="J64" s="150" t="s">
        <v>504</v>
      </c>
      <c r="K64" s="150" t="s">
        <v>505</v>
      </c>
      <c r="L64" s="243" t="s">
        <v>3</v>
      </c>
      <c r="M64" s="160" t="s">
        <v>32</v>
      </c>
    </row>
    <row r="65" spans="1:15" x14ac:dyDescent="0.2">
      <c r="A65" s="934"/>
      <c r="B65" s="154"/>
      <c r="C65" s="154"/>
      <c r="D65" s="245" t="s">
        <v>4</v>
      </c>
      <c r="E65" s="154" t="s">
        <v>33</v>
      </c>
      <c r="F65" s="159"/>
      <c r="G65" s="159"/>
      <c r="H65" s="243" t="s">
        <v>4</v>
      </c>
      <c r="I65" s="154" t="s">
        <v>33</v>
      </c>
      <c r="J65" s="159"/>
      <c r="K65" s="204"/>
      <c r="L65" s="154" t="s">
        <v>4</v>
      </c>
      <c r="M65" s="154" t="s">
        <v>33</v>
      </c>
    </row>
    <row r="66" spans="1:15" ht="15.75" x14ac:dyDescent="0.2">
      <c r="A66" s="14" t="s">
        <v>26</v>
      </c>
      <c r="B66" s="350"/>
      <c r="C66" s="350"/>
      <c r="D66" s="348"/>
      <c r="E66" s="11"/>
      <c r="F66" s="350"/>
      <c r="G66" s="350"/>
      <c r="H66" s="348"/>
      <c r="I66" s="11"/>
      <c r="J66" s="307"/>
      <c r="K66" s="314"/>
      <c r="L66" s="425"/>
      <c r="M66" s="11"/>
    </row>
    <row r="67" spans="1:15" x14ac:dyDescent="0.2">
      <c r="A67" s="416" t="s">
        <v>9</v>
      </c>
      <c r="B67" s="43"/>
      <c r="C67" s="143"/>
      <c r="D67" s="164"/>
      <c r="E67" s="26"/>
      <c r="F67" s="232"/>
      <c r="G67" s="143"/>
      <c r="H67" s="164"/>
      <c r="I67" s="26"/>
      <c r="J67" s="285"/>
      <c r="K67" s="43"/>
      <c r="L67" s="253"/>
      <c r="M67" s="26"/>
    </row>
    <row r="68" spans="1:15" x14ac:dyDescent="0.2">
      <c r="A68" s="20" t="s">
        <v>10</v>
      </c>
      <c r="B68" s="290"/>
      <c r="C68" s="291"/>
      <c r="D68" s="164"/>
      <c r="E68" s="26"/>
      <c r="F68" s="290"/>
      <c r="G68" s="291"/>
      <c r="H68" s="164"/>
      <c r="I68" s="26"/>
      <c r="J68" s="285"/>
      <c r="K68" s="43"/>
      <c r="L68" s="253"/>
      <c r="M68" s="26"/>
    </row>
    <row r="69" spans="1:15" ht="15.75" x14ac:dyDescent="0.2">
      <c r="A69" s="294" t="s">
        <v>316</v>
      </c>
      <c r="B69" s="279"/>
      <c r="C69" s="279"/>
      <c r="D69" s="164"/>
      <c r="E69" s="414"/>
      <c r="F69" s="279"/>
      <c r="G69" s="279"/>
      <c r="H69" s="164"/>
      <c r="I69" s="414"/>
      <c r="J69" s="288"/>
      <c r="K69" s="288"/>
      <c r="L69" s="164"/>
      <c r="M69" s="22"/>
    </row>
    <row r="70" spans="1:15" x14ac:dyDescent="0.2">
      <c r="A70" s="294" t="s">
        <v>12</v>
      </c>
      <c r="B70" s="292"/>
      <c r="C70" s="293"/>
      <c r="D70" s="164"/>
      <c r="E70" s="414"/>
      <c r="F70" s="279"/>
      <c r="G70" s="279"/>
      <c r="H70" s="164"/>
      <c r="I70" s="414"/>
      <c r="J70" s="288"/>
      <c r="K70" s="288"/>
      <c r="L70" s="164"/>
      <c r="M70" s="22"/>
    </row>
    <row r="71" spans="1:15" x14ac:dyDescent="0.2">
      <c r="A71" s="294" t="s">
        <v>13</v>
      </c>
      <c r="B71" s="233"/>
      <c r="C71" s="287"/>
      <c r="D71" s="164"/>
      <c r="E71" s="414"/>
      <c r="F71" s="279"/>
      <c r="G71" s="279"/>
      <c r="H71" s="164"/>
      <c r="I71" s="414"/>
      <c r="J71" s="288"/>
      <c r="K71" s="288"/>
      <c r="L71" s="164"/>
      <c r="M71" s="22"/>
    </row>
    <row r="72" spans="1:15" ht="15.75" x14ac:dyDescent="0.2">
      <c r="A72" s="294" t="s">
        <v>317</v>
      </c>
      <c r="B72" s="279"/>
      <c r="C72" s="279"/>
      <c r="D72" s="164"/>
      <c r="E72" s="414"/>
      <c r="F72" s="279"/>
      <c r="G72" s="279"/>
      <c r="H72" s="164"/>
      <c r="I72" s="414"/>
      <c r="J72" s="288"/>
      <c r="K72" s="288"/>
      <c r="L72" s="164"/>
      <c r="M72" s="22"/>
    </row>
    <row r="73" spans="1:15" x14ac:dyDescent="0.2">
      <c r="A73" s="294" t="s">
        <v>12</v>
      </c>
      <c r="B73" s="233"/>
      <c r="C73" s="287"/>
      <c r="D73" s="164"/>
      <c r="E73" s="414"/>
      <c r="F73" s="279"/>
      <c r="G73" s="279"/>
      <c r="H73" s="164"/>
      <c r="I73" s="414"/>
      <c r="J73" s="288"/>
      <c r="K73" s="288"/>
      <c r="L73" s="164"/>
      <c r="M73" s="22"/>
    </row>
    <row r="74" spans="1:15" s="3" customFormat="1" x14ac:dyDescent="0.2">
      <c r="A74" s="294" t="s">
        <v>13</v>
      </c>
      <c r="B74" s="233"/>
      <c r="C74" s="287"/>
      <c r="D74" s="164"/>
      <c r="E74" s="414"/>
      <c r="F74" s="279"/>
      <c r="G74" s="279"/>
      <c r="H74" s="164"/>
      <c r="I74" s="414"/>
      <c r="J74" s="288"/>
      <c r="K74" s="288"/>
      <c r="L74" s="164"/>
      <c r="M74" s="22"/>
      <c r="N74" s="146"/>
      <c r="O74" s="146"/>
    </row>
    <row r="75" spans="1:15" s="3" customFormat="1" x14ac:dyDescent="0.2">
      <c r="A75" s="20" t="s">
        <v>395</v>
      </c>
      <c r="B75" s="232"/>
      <c r="C75" s="143"/>
      <c r="D75" s="164"/>
      <c r="E75" s="26"/>
      <c r="F75" s="232"/>
      <c r="G75" s="143"/>
      <c r="H75" s="164"/>
      <c r="I75" s="26"/>
      <c r="J75" s="285"/>
      <c r="K75" s="43"/>
      <c r="L75" s="253"/>
      <c r="M75" s="26"/>
      <c r="N75" s="146"/>
      <c r="O75" s="146"/>
    </row>
    <row r="76" spans="1:15" s="3" customFormat="1" x14ac:dyDescent="0.2">
      <c r="A76" s="20" t="s">
        <v>394</v>
      </c>
      <c r="B76" s="232"/>
      <c r="C76" s="143"/>
      <c r="D76" s="164"/>
      <c r="E76" s="26"/>
      <c r="F76" s="232"/>
      <c r="G76" s="143"/>
      <c r="H76" s="164"/>
      <c r="I76" s="26"/>
      <c r="J76" s="285"/>
      <c r="K76" s="43"/>
      <c r="L76" s="253"/>
      <c r="M76" s="26"/>
      <c r="N76" s="146"/>
      <c r="O76" s="146"/>
    </row>
    <row r="77" spans="1:15" ht="15.75" x14ac:dyDescent="0.2">
      <c r="A77" s="20" t="s">
        <v>318</v>
      </c>
      <c r="B77" s="232"/>
      <c r="C77" s="232"/>
      <c r="D77" s="164"/>
      <c r="E77" s="26"/>
      <c r="F77" s="232"/>
      <c r="G77" s="143"/>
      <c r="H77" s="164"/>
      <c r="I77" s="26"/>
      <c r="J77" s="285"/>
      <c r="K77" s="43"/>
      <c r="L77" s="253"/>
      <c r="M77" s="26"/>
    </row>
    <row r="78" spans="1:15" x14ac:dyDescent="0.2">
      <c r="A78" s="20" t="s">
        <v>9</v>
      </c>
      <c r="B78" s="232"/>
      <c r="C78" s="143"/>
      <c r="D78" s="164"/>
      <c r="E78" s="26"/>
      <c r="F78" s="232"/>
      <c r="G78" s="143"/>
      <c r="H78" s="164"/>
      <c r="I78" s="26"/>
      <c r="J78" s="285"/>
      <c r="K78" s="43"/>
      <c r="L78" s="253"/>
      <c r="M78" s="26"/>
    </row>
    <row r="79" spans="1:15" x14ac:dyDescent="0.2">
      <c r="A79" s="20" t="s">
        <v>10</v>
      </c>
      <c r="B79" s="290"/>
      <c r="C79" s="291"/>
      <c r="D79" s="164"/>
      <c r="E79" s="26"/>
      <c r="F79" s="290"/>
      <c r="G79" s="291"/>
      <c r="H79" s="164"/>
      <c r="I79" s="26"/>
      <c r="J79" s="285"/>
      <c r="K79" s="43"/>
      <c r="L79" s="253"/>
      <c r="M79" s="26"/>
    </row>
    <row r="80" spans="1:15" ht="15.75" x14ac:dyDescent="0.2">
      <c r="A80" s="294" t="s">
        <v>316</v>
      </c>
      <c r="B80" s="279"/>
      <c r="C80" s="279"/>
      <c r="D80" s="164"/>
      <c r="E80" s="414"/>
      <c r="F80" s="279"/>
      <c r="G80" s="279"/>
      <c r="H80" s="164"/>
      <c r="I80" s="414"/>
      <c r="J80" s="288"/>
      <c r="K80" s="288"/>
      <c r="L80" s="164"/>
      <c r="M80" s="22"/>
    </row>
    <row r="81" spans="1:13" x14ac:dyDescent="0.2">
      <c r="A81" s="294" t="s">
        <v>12</v>
      </c>
      <c r="B81" s="233"/>
      <c r="C81" s="287"/>
      <c r="D81" s="164"/>
      <c r="E81" s="414"/>
      <c r="F81" s="279"/>
      <c r="G81" s="279"/>
      <c r="H81" s="164"/>
      <c r="I81" s="414"/>
      <c r="J81" s="288"/>
      <c r="K81" s="288"/>
      <c r="L81" s="164"/>
      <c r="M81" s="22"/>
    </row>
    <row r="82" spans="1:13" x14ac:dyDescent="0.2">
      <c r="A82" s="294" t="s">
        <v>13</v>
      </c>
      <c r="B82" s="233"/>
      <c r="C82" s="287"/>
      <c r="D82" s="164"/>
      <c r="E82" s="414"/>
      <c r="F82" s="279"/>
      <c r="G82" s="279"/>
      <c r="H82" s="164"/>
      <c r="I82" s="414"/>
      <c r="J82" s="288"/>
      <c r="K82" s="288"/>
      <c r="L82" s="164"/>
      <c r="M82" s="22"/>
    </row>
    <row r="83" spans="1:13" ht="15.75" x14ac:dyDescent="0.2">
      <c r="A83" s="294" t="s">
        <v>317</v>
      </c>
      <c r="B83" s="279"/>
      <c r="C83" s="279"/>
      <c r="D83" s="164"/>
      <c r="E83" s="414"/>
      <c r="F83" s="279"/>
      <c r="G83" s="279"/>
      <c r="H83" s="164"/>
      <c r="I83" s="414"/>
      <c r="J83" s="288"/>
      <c r="K83" s="288"/>
      <c r="L83" s="164"/>
      <c r="M83" s="22"/>
    </row>
    <row r="84" spans="1:13" x14ac:dyDescent="0.2">
      <c r="A84" s="294" t="s">
        <v>12</v>
      </c>
      <c r="B84" s="233"/>
      <c r="C84" s="287"/>
      <c r="D84" s="164"/>
      <c r="E84" s="414"/>
      <c r="F84" s="279"/>
      <c r="G84" s="279"/>
      <c r="H84" s="164"/>
      <c r="I84" s="414"/>
      <c r="J84" s="288"/>
      <c r="K84" s="288"/>
      <c r="L84" s="164"/>
      <c r="M84" s="22"/>
    </row>
    <row r="85" spans="1:13" x14ac:dyDescent="0.2">
      <c r="A85" s="294" t="s">
        <v>13</v>
      </c>
      <c r="B85" s="233"/>
      <c r="C85" s="287"/>
      <c r="D85" s="164"/>
      <c r="E85" s="414"/>
      <c r="F85" s="279"/>
      <c r="G85" s="279"/>
      <c r="H85" s="164"/>
      <c r="I85" s="414"/>
      <c r="J85" s="288"/>
      <c r="K85" s="288"/>
      <c r="L85" s="164"/>
      <c r="M85" s="22"/>
    </row>
    <row r="86" spans="1:13" ht="15.75" x14ac:dyDescent="0.2">
      <c r="A86" s="20" t="s">
        <v>327</v>
      </c>
      <c r="B86" s="232"/>
      <c r="C86" s="143"/>
      <c r="D86" s="164"/>
      <c r="E86" s="26"/>
      <c r="F86" s="232"/>
      <c r="G86" s="143"/>
      <c r="H86" s="164"/>
      <c r="I86" s="26"/>
      <c r="J86" s="285"/>
      <c r="K86" s="43"/>
      <c r="L86" s="253"/>
      <c r="M86" s="26"/>
    </row>
    <row r="87" spans="1:13" ht="15.75" x14ac:dyDescent="0.2">
      <c r="A87" s="13" t="s">
        <v>25</v>
      </c>
      <c r="B87" s="350"/>
      <c r="C87" s="350"/>
      <c r="D87" s="169"/>
      <c r="E87" s="11"/>
      <c r="F87" s="350"/>
      <c r="G87" s="350"/>
      <c r="H87" s="169"/>
      <c r="I87" s="11"/>
      <c r="J87" s="307"/>
      <c r="K87" s="234"/>
      <c r="L87" s="425"/>
      <c r="M87" s="11"/>
    </row>
    <row r="88" spans="1:13" x14ac:dyDescent="0.2">
      <c r="A88" s="20" t="s">
        <v>9</v>
      </c>
      <c r="B88" s="232"/>
      <c r="C88" s="143"/>
      <c r="D88" s="164"/>
      <c r="E88" s="26"/>
      <c r="F88" s="232"/>
      <c r="G88" s="143"/>
      <c r="H88" s="164"/>
      <c r="I88" s="26"/>
      <c r="J88" s="285"/>
      <c r="K88" s="43"/>
      <c r="L88" s="253"/>
      <c r="M88" s="26"/>
    </row>
    <row r="89" spans="1:13" x14ac:dyDescent="0.2">
      <c r="A89" s="20" t="s">
        <v>10</v>
      </c>
      <c r="B89" s="232"/>
      <c r="C89" s="143"/>
      <c r="D89" s="164"/>
      <c r="E89" s="26"/>
      <c r="F89" s="232"/>
      <c r="G89" s="143"/>
      <c r="H89" s="164"/>
      <c r="I89" s="26"/>
      <c r="J89" s="285"/>
      <c r="K89" s="43"/>
      <c r="L89" s="253"/>
      <c r="M89" s="26"/>
    </row>
    <row r="90" spans="1:13" ht="15.75" x14ac:dyDescent="0.2">
      <c r="A90" s="294" t="s">
        <v>316</v>
      </c>
      <c r="B90" s="279"/>
      <c r="C90" s="279"/>
      <c r="D90" s="164"/>
      <c r="E90" s="414"/>
      <c r="F90" s="279"/>
      <c r="G90" s="279"/>
      <c r="H90" s="164"/>
      <c r="I90" s="414"/>
      <c r="J90" s="288"/>
      <c r="K90" s="288"/>
      <c r="L90" s="164"/>
      <c r="M90" s="22"/>
    </row>
    <row r="91" spans="1:13" x14ac:dyDescent="0.2">
      <c r="A91" s="294" t="s">
        <v>12</v>
      </c>
      <c r="B91" s="233"/>
      <c r="C91" s="287"/>
      <c r="D91" s="164"/>
      <c r="E91" s="414"/>
      <c r="F91" s="279"/>
      <c r="G91" s="279"/>
      <c r="H91" s="164"/>
      <c r="I91" s="414"/>
      <c r="J91" s="288"/>
      <c r="K91" s="288"/>
      <c r="L91" s="164"/>
      <c r="M91" s="22"/>
    </row>
    <row r="92" spans="1:13" x14ac:dyDescent="0.2">
      <c r="A92" s="294" t="s">
        <v>13</v>
      </c>
      <c r="B92" s="233"/>
      <c r="C92" s="287"/>
      <c r="D92" s="164"/>
      <c r="E92" s="414"/>
      <c r="F92" s="279"/>
      <c r="G92" s="279"/>
      <c r="H92" s="164"/>
      <c r="I92" s="414"/>
      <c r="J92" s="288"/>
      <c r="K92" s="288"/>
      <c r="L92" s="164"/>
      <c r="M92" s="22"/>
    </row>
    <row r="93" spans="1:13" ht="15.75" x14ac:dyDescent="0.2">
      <c r="A93" s="294" t="s">
        <v>317</v>
      </c>
      <c r="B93" s="279"/>
      <c r="C93" s="279"/>
      <c r="D93" s="164"/>
      <c r="E93" s="414"/>
      <c r="F93" s="279"/>
      <c r="G93" s="279"/>
      <c r="H93" s="164"/>
      <c r="I93" s="414"/>
      <c r="J93" s="288"/>
      <c r="K93" s="288"/>
      <c r="L93" s="164"/>
      <c r="M93" s="22"/>
    </row>
    <row r="94" spans="1:13" x14ac:dyDescent="0.2">
      <c r="A94" s="294" t="s">
        <v>12</v>
      </c>
      <c r="B94" s="233"/>
      <c r="C94" s="287"/>
      <c r="D94" s="164"/>
      <c r="E94" s="414"/>
      <c r="F94" s="279"/>
      <c r="G94" s="279"/>
      <c r="H94" s="164"/>
      <c r="I94" s="414"/>
      <c r="J94" s="288"/>
      <c r="K94" s="288"/>
      <c r="L94" s="164"/>
      <c r="M94" s="22"/>
    </row>
    <row r="95" spans="1:13" x14ac:dyDescent="0.2">
      <c r="A95" s="294" t="s">
        <v>13</v>
      </c>
      <c r="B95" s="233"/>
      <c r="C95" s="287"/>
      <c r="D95" s="164"/>
      <c r="E95" s="414"/>
      <c r="F95" s="279"/>
      <c r="G95" s="279"/>
      <c r="H95" s="164"/>
      <c r="I95" s="414"/>
      <c r="J95" s="288"/>
      <c r="K95" s="288"/>
      <c r="L95" s="164"/>
      <c r="M95" s="22"/>
    </row>
    <row r="96" spans="1:13" x14ac:dyDescent="0.2">
      <c r="A96" s="20" t="s">
        <v>393</v>
      </c>
      <c r="B96" s="232"/>
      <c r="C96" s="143"/>
      <c r="D96" s="164"/>
      <c r="E96" s="26"/>
      <c r="F96" s="232"/>
      <c r="G96" s="143"/>
      <c r="H96" s="164"/>
      <c r="I96" s="26"/>
      <c r="J96" s="285"/>
      <c r="K96" s="43"/>
      <c r="L96" s="253"/>
      <c r="M96" s="26"/>
    </row>
    <row r="97" spans="1:13" x14ac:dyDescent="0.2">
      <c r="A97" s="20" t="s">
        <v>392</v>
      </c>
      <c r="B97" s="232"/>
      <c r="C97" s="143"/>
      <c r="D97" s="164"/>
      <c r="E97" s="26"/>
      <c r="F97" s="232"/>
      <c r="G97" s="143"/>
      <c r="H97" s="164"/>
      <c r="I97" s="26"/>
      <c r="J97" s="285"/>
      <c r="K97" s="43"/>
      <c r="L97" s="253"/>
      <c r="M97" s="26"/>
    </row>
    <row r="98" spans="1:13" ht="15.75" x14ac:dyDescent="0.2">
      <c r="A98" s="20" t="s">
        <v>318</v>
      </c>
      <c r="B98" s="232"/>
      <c r="C98" s="232"/>
      <c r="D98" s="164"/>
      <c r="E98" s="26"/>
      <c r="F98" s="290"/>
      <c r="G98" s="290"/>
      <c r="H98" s="164"/>
      <c r="I98" s="26"/>
      <c r="J98" s="285"/>
      <c r="K98" s="43"/>
      <c r="L98" s="253"/>
      <c r="M98" s="26"/>
    </row>
    <row r="99" spans="1:13" x14ac:dyDescent="0.2">
      <c r="A99" s="20" t="s">
        <v>9</v>
      </c>
      <c r="B99" s="290"/>
      <c r="C99" s="291"/>
      <c r="D99" s="164"/>
      <c r="E99" s="26"/>
      <c r="F99" s="232"/>
      <c r="G99" s="143"/>
      <c r="H99" s="164"/>
      <c r="I99" s="26"/>
      <c r="J99" s="285"/>
      <c r="K99" s="43"/>
      <c r="L99" s="253"/>
      <c r="M99" s="26"/>
    </row>
    <row r="100" spans="1:13" x14ac:dyDescent="0.2">
      <c r="A100" s="20" t="s">
        <v>10</v>
      </c>
      <c r="B100" s="290"/>
      <c r="C100" s="291"/>
      <c r="D100" s="164"/>
      <c r="E100" s="26"/>
      <c r="F100" s="232"/>
      <c r="G100" s="232"/>
      <c r="H100" s="164"/>
      <c r="I100" s="26"/>
      <c r="J100" s="285"/>
      <c r="K100" s="43"/>
      <c r="L100" s="253"/>
      <c r="M100" s="26"/>
    </row>
    <row r="101" spans="1:13" ht="15.75" x14ac:dyDescent="0.2">
      <c r="A101" s="294" t="s">
        <v>316</v>
      </c>
      <c r="B101" s="279"/>
      <c r="C101" s="279"/>
      <c r="D101" s="164"/>
      <c r="E101" s="414"/>
      <c r="F101" s="279"/>
      <c r="G101" s="279"/>
      <c r="H101" s="164"/>
      <c r="I101" s="414"/>
      <c r="J101" s="288"/>
      <c r="K101" s="288"/>
      <c r="L101" s="164"/>
      <c r="M101" s="22"/>
    </row>
    <row r="102" spans="1:13" x14ac:dyDescent="0.2">
      <c r="A102" s="294" t="s">
        <v>12</v>
      </c>
      <c r="B102" s="233"/>
      <c r="C102" s="287"/>
      <c r="D102" s="164"/>
      <c r="E102" s="414"/>
      <c r="F102" s="279"/>
      <c r="G102" s="279"/>
      <c r="H102" s="164"/>
      <c r="I102" s="414"/>
      <c r="J102" s="288"/>
      <c r="K102" s="288"/>
      <c r="L102" s="164"/>
      <c r="M102" s="22"/>
    </row>
    <row r="103" spans="1:13" x14ac:dyDescent="0.2">
      <c r="A103" s="294" t="s">
        <v>13</v>
      </c>
      <c r="B103" s="233"/>
      <c r="C103" s="287"/>
      <c r="D103" s="164"/>
      <c r="E103" s="414"/>
      <c r="F103" s="279"/>
      <c r="G103" s="279"/>
      <c r="H103" s="164"/>
      <c r="I103" s="414"/>
      <c r="J103" s="288"/>
      <c r="K103" s="288"/>
      <c r="L103" s="164"/>
      <c r="M103" s="22"/>
    </row>
    <row r="104" spans="1:13" ht="15.75" x14ac:dyDescent="0.2">
      <c r="A104" s="294" t="s">
        <v>317</v>
      </c>
      <c r="B104" s="279"/>
      <c r="C104" s="279"/>
      <c r="D104" s="164"/>
      <c r="E104" s="414"/>
      <c r="F104" s="279"/>
      <c r="G104" s="279"/>
      <c r="H104" s="164"/>
      <c r="I104" s="414"/>
      <c r="J104" s="288"/>
      <c r="K104" s="288"/>
      <c r="L104" s="164"/>
      <c r="M104" s="22"/>
    </row>
    <row r="105" spans="1:13" x14ac:dyDescent="0.2">
      <c r="A105" s="294" t="s">
        <v>12</v>
      </c>
      <c r="B105" s="233"/>
      <c r="C105" s="287"/>
      <c r="D105" s="164"/>
      <c r="E105" s="414"/>
      <c r="F105" s="279"/>
      <c r="G105" s="279"/>
      <c r="H105" s="164"/>
      <c r="I105" s="414"/>
      <c r="J105" s="288"/>
      <c r="K105" s="288"/>
      <c r="L105" s="164"/>
      <c r="M105" s="22"/>
    </row>
    <row r="106" spans="1:13" x14ac:dyDescent="0.2">
      <c r="A106" s="294" t="s">
        <v>13</v>
      </c>
      <c r="B106" s="233"/>
      <c r="C106" s="287"/>
      <c r="D106" s="164"/>
      <c r="E106" s="414"/>
      <c r="F106" s="279"/>
      <c r="G106" s="279"/>
      <c r="H106" s="164"/>
      <c r="I106" s="414"/>
      <c r="J106" s="288"/>
      <c r="K106" s="288"/>
      <c r="L106" s="164"/>
      <c r="M106" s="22"/>
    </row>
    <row r="107" spans="1:13" ht="15.75" x14ac:dyDescent="0.2">
      <c r="A107" s="20" t="s">
        <v>327</v>
      </c>
      <c r="B107" s="232"/>
      <c r="C107" s="143"/>
      <c r="D107" s="164"/>
      <c r="E107" s="26"/>
      <c r="F107" s="232"/>
      <c r="G107" s="143"/>
      <c r="H107" s="164"/>
      <c r="I107" s="26"/>
      <c r="J107" s="285"/>
      <c r="K107" s="43"/>
      <c r="L107" s="253"/>
      <c r="M107" s="26"/>
    </row>
    <row r="108" spans="1:13" ht="15.75" x14ac:dyDescent="0.2">
      <c r="A108" s="20" t="s">
        <v>328</v>
      </c>
      <c r="B108" s="232"/>
      <c r="C108" s="232"/>
      <c r="D108" s="164"/>
      <c r="E108" s="26"/>
      <c r="F108" s="232"/>
      <c r="G108" s="232"/>
      <c r="H108" s="164"/>
      <c r="I108" s="26"/>
      <c r="J108" s="285"/>
      <c r="K108" s="43"/>
      <c r="L108" s="253"/>
      <c r="M108" s="26"/>
    </row>
    <row r="109" spans="1:13" ht="15.75" x14ac:dyDescent="0.2">
      <c r="A109" s="20" t="s">
        <v>320</v>
      </c>
      <c r="B109" s="232"/>
      <c r="C109" s="232"/>
      <c r="D109" s="164"/>
      <c r="E109" s="26"/>
      <c r="F109" s="232"/>
      <c r="G109" s="232"/>
      <c r="H109" s="164"/>
      <c r="I109" s="26"/>
      <c r="J109" s="285"/>
      <c r="K109" s="43"/>
      <c r="L109" s="253"/>
      <c r="M109" s="26"/>
    </row>
    <row r="110" spans="1:13" ht="15.75" x14ac:dyDescent="0.2">
      <c r="A110" s="20" t="s">
        <v>321</v>
      </c>
      <c r="B110" s="232"/>
      <c r="C110" s="232"/>
      <c r="D110" s="164"/>
      <c r="E110" s="26"/>
      <c r="F110" s="232"/>
      <c r="G110" s="232"/>
      <c r="H110" s="164"/>
      <c r="I110" s="26"/>
      <c r="J110" s="285"/>
      <c r="K110" s="43"/>
      <c r="L110" s="253"/>
      <c r="M110" s="26"/>
    </row>
    <row r="111" spans="1:13" ht="15.75" x14ac:dyDescent="0.2">
      <c r="A111" s="13" t="s">
        <v>24</v>
      </c>
      <c r="B111" s="306"/>
      <c r="C111" s="157"/>
      <c r="D111" s="169"/>
      <c r="E111" s="11"/>
      <c r="F111" s="306"/>
      <c r="G111" s="157"/>
      <c r="H111" s="169"/>
      <c r="I111" s="11"/>
      <c r="J111" s="307"/>
      <c r="K111" s="234"/>
      <c r="L111" s="425"/>
      <c r="M111" s="11"/>
    </row>
    <row r="112" spans="1:13" x14ac:dyDescent="0.2">
      <c r="A112" s="20" t="s">
        <v>9</v>
      </c>
      <c r="B112" s="232"/>
      <c r="C112" s="143"/>
      <c r="D112" s="164"/>
      <c r="E112" s="26"/>
      <c r="F112" s="232"/>
      <c r="G112" s="143"/>
      <c r="H112" s="164"/>
      <c r="I112" s="26"/>
      <c r="J112" s="285"/>
      <c r="K112" s="43"/>
      <c r="L112" s="253"/>
      <c r="M112" s="26"/>
    </row>
    <row r="113" spans="1:14" x14ac:dyDescent="0.2">
      <c r="A113" s="20" t="s">
        <v>10</v>
      </c>
      <c r="B113" s="232"/>
      <c r="C113" s="143"/>
      <c r="D113" s="164"/>
      <c r="E113" s="26"/>
      <c r="F113" s="232"/>
      <c r="G113" s="143"/>
      <c r="H113" s="164"/>
      <c r="I113" s="26"/>
      <c r="J113" s="285"/>
      <c r="K113" s="43"/>
      <c r="L113" s="253"/>
      <c r="M113" s="26"/>
    </row>
    <row r="114" spans="1:14" x14ac:dyDescent="0.2">
      <c r="A114" s="20" t="s">
        <v>29</v>
      </c>
      <c r="B114" s="232"/>
      <c r="C114" s="143"/>
      <c r="D114" s="164"/>
      <c r="E114" s="26"/>
      <c r="F114" s="232"/>
      <c r="G114" s="143"/>
      <c r="H114" s="164"/>
      <c r="I114" s="26"/>
      <c r="J114" s="285"/>
      <c r="K114" s="43"/>
      <c r="L114" s="253"/>
      <c r="M114" s="26"/>
    </row>
    <row r="115" spans="1:14" x14ac:dyDescent="0.2">
      <c r="A115" s="294" t="s">
        <v>15</v>
      </c>
      <c r="B115" s="279"/>
      <c r="C115" s="279"/>
      <c r="D115" s="164"/>
      <c r="E115" s="414"/>
      <c r="F115" s="279"/>
      <c r="G115" s="279"/>
      <c r="H115" s="164"/>
      <c r="I115" s="414"/>
      <c r="J115" s="288"/>
      <c r="K115" s="288"/>
      <c r="L115" s="164"/>
      <c r="M115" s="22"/>
    </row>
    <row r="116" spans="1:14" ht="15.75" x14ac:dyDescent="0.2">
      <c r="A116" s="20" t="s">
        <v>329</v>
      </c>
      <c r="B116" s="232"/>
      <c r="C116" s="232"/>
      <c r="D116" s="164"/>
      <c r="E116" s="26"/>
      <c r="F116" s="232"/>
      <c r="G116" s="232"/>
      <c r="H116" s="164"/>
      <c r="I116" s="26"/>
      <c r="J116" s="285"/>
      <c r="K116" s="43"/>
      <c r="L116" s="253"/>
      <c r="M116" s="26"/>
    </row>
    <row r="117" spans="1:14" ht="15.75" x14ac:dyDescent="0.2">
      <c r="A117" s="20" t="s">
        <v>322</v>
      </c>
      <c r="B117" s="232"/>
      <c r="C117" s="232"/>
      <c r="D117" s="164"/>
      <c r="E117" s="26"/>
      <c r="F117" s="232"/>
      <c r="G117" s="232"/>
      <c r="H117" s="164"/>
      <c r="I117" s="26"/>
      <c r="J117" s="285"/>
      <c r="K117" s="43"/>
      <c r="L117" s="253"/>
      <c r="M117" s="26"/>
    </row>
    <row r="118" spans="1:14" ht="15.75" x14ac:dyDescent="0.2">
      <c r="A118" s="20" t="s">
        <v>321</v>
      </c>
      <c r="B118" s="232"/>
      <c r="C118" s="232"/>
      <c r="D118" s="164"/>
      <c r="E118" s="26"/>
      <c r="F118" s="232"/>
      <c r="G118" s="232"/>
      <c r="H118" s="164"/>
      <c r="I118" s="26"/>
      <c r="J118" s="285"/>
      <c r="K118" s="43"/>
      <c r="L118" s="253"/>
      <c r="M118" s="26"/>
    </row>
    <row r="119" spans="1:14" ht="15.75" x14ac:dyDescent="0.2">
      <c r="A119" s="13" t="s">
        <v>23</v>
      </c>
      <c r="B119" s="306"/>
      <c r="C119" s="157"/>
      <c r="D119" s="169"/>
      <c r="E119" s="11"/>
      <c r="F119" s="306"/>
      <c r="G119" s="157"/>
      <c r="H119" s="169"/>
      <c r="I119" s="11"/>
      <c r="J119" s="307"/>
      <c r="K119" s="234"/>
      <c r="L119" s="425"/>
      <c r="M119" s="11"/>
    </row>
    <row r="120" spans="1:14" x14ac:dyDescent="0.2">
      <c r="A120" s="20" t="s">
        <v>9</v>
      </c>
      <c r="B120" s="232"/>
      <c r="C120" s="143"/>
      <c r="D120" s="164"/>
      <c r="E120" s="26"/>
      <c r="F120" s="232"/>
      <c r="G120" s="143"/>
      <c r="H120" s="164"/>
      <c r="I120" s="26"/>
      <c r="J120" s="285"/>
      <c r="K120" s="43"/>
      <c r="L120" s="253"/>
      <c r="M120" s="26"/>
    </row>
    <row r="121" spans="1:14" x14ac:dyDescent="0.2">
      <c r="A121" s="20" t="s">
        <v>10</v>
      </c>
      <c r="B121" s="232"/>
      <c r="C121" s="143"/>
      <c r="D121" s="164"/>
      <c r="E121" s="26"/>
      <c r="F121" s="232"/>
      <c r="G121" s="143"/>
      <c r="H121" s="164"/>
      <c r="I121" s="26"/>
      <c r="J121" s="285"/>
      <c r="K121" s="43"/>
      <c r="L121" s="253"/>
      <c r="M121" s="26"/>
    </row>
    <row r="122" spans="1:14" x14ac:dyDescent="0.2">
      <c r="A122" s="20" t="s">
        <v>29</v>
      </c>
      <c r="B122" s="232"/>
      <c r="C122" s="143"/>
      <c r="D122" s="164"/>
      <c r="E122" s="26"/>
      <c r="F122" s="232"/>
      <c r="G122" s="143"/>
      <c r="H122" s="164"/>
      <c r="I122" s="26"/>
      <c r="J122" s="285"/>
      <c r="K122" s="43"/>
      <c r="L122" s="253"/>
      <c r="M122" s="26"/>
    </row>
    <row r="123" spans="1:14" x14ac:dyDescent="0.2">
      <c r="A123" s="294" t="s">
        <v>14</v>
      </c>
      <c r="B123" s="279"/>
      <c r="C123" s="279"/>
      <c r="D123" s="164"/>
      <c r="E123" s="414"/>
      <c r="F123" s="279"/>
      <c r="G123" s="279"/>
      <c r="H123" s="164"/>
      <c r="I123" s="414"/>
      <c r="J123" s="288"/>
      <c r="K123" s="288"/>
      <c r="L123" s="164"/>
      <c r="M123" s="22"/>
    </row>
    <row r="124" spans="1:14" ht="15.75" x14ac:dyDescent="0.2">
      <c r="A124" s="20" t="s">
        <v>319</v>
      </c>
      <c r="B124" s="232"/>
      <c r="C124" s="232"/>
      <c r="D124" s="164"/>
      <c r="E124" s="26"/>
      <c r="F124" s="232"/>
      <c r="G124" s="232"/>
      <c r="H124" s="164"/>
      <c r="I124" s="26"/>
      <c r="J124" s="285"/>
      <c r="K124" s="43"/>
      <c r="L124" s="253"/>
      <c r="M124" s="26"/>
    </row>
    <row r="125" spans="1:14" ht="15.75" x14ac:dyDescent="0.2">
      <c r="A125" s="20" t="s">
        <v>320</v>
      </c>
      <c r="B125" s="232"/>
      <c r="C125" s="232"/>
      <c r="D125" s="164"/>
      <c r="E125" s="26"/>
      <c r="F125" s="232"/>
      <c r="G125" s="232"/>
      <c r="H125" s="164"/>
      <c r="I125" s="26"/>
      <c r="J125" s="285"/>
      <c r="K125" s="43"/>
      <c r="L125" s="253"/>
      <c r="M125" s="26"/>
    </row>
    <row r="126" spans="1:14" ht="15.75" x14ac:dyDescent="0.2">
      <c r="A126" s="10" t="s">
        <v>321</v>
      </c>
      <c r="B126" s="44"/>
      <c r="C126" s="44"/>
      <c r="D126" s="165"/>
      <c r="E126" s="415"/>
      <c r="F126" s="44"/>
      <c r="G126" s="44"/>
      <c r="H126" s="165"/>
      <c r="I126" s="21"/>
      <c r="J126" s="286"/>
      <c r="K126" s="44"/>
      <c r="L126" s="254"/>
      <c r="M126" s="21"/>
    </row>
    <row r="127" spans="1:14" x14ac:dyDescent="0.2">
      <c r="A127" s="153"/>
      <c r="L127" s="25"/>
      <c r="M127" s="25"/>
      <c r="N127" s="25"/>
    </row>
    <row r="128" spans="1:14" x14ac:dyDescent="0.2">
      <c r="L128" s="25"/>
      <c r="M128" s="25"/>
      <c r="N128" s="25"/>
    </row>
    <row r="129" spans="1:15" ht="15.75" x14ac:dyDescent="0.25">
      <c r="A129" s="163" t="s">
        <v>30</v>
      </c>
    </row>
    <row r="130" spans="1:15" ht="15.75" x14ac:dyDescent="0.25">
      <c r="B130" s="963"/>
      <c r="C130" s="963"/>
      <c r="D130" s="963"/>
      <c r="E130" s="297"/>
      <c r="F130" s="963"/>
      <c r="G130" s="963"/>
      <c r="H130" s="963"/>
      <c r="I130" s="297"/>
      <c r="J130" s="963"/>
      <c r="K130" s="963"/>
      <c r="L130" s="963"/>
      <c r="M130" s="297"/>
    </row>
    <row r="131" spans="1:15" s="3" customFormat="1" x14ac:dyDescent="0.2">
      <c r="A131" s="142"/>
      <c r="B131" s="960" t="s">
        <v>0</v>
      </c>
      <c r="C131" s="961"/>
      <c r="D131" s="961"/>
      <c r="E131" s="299"/>
      <c r="F131" s="960" t="s">
        <v>1</v>
      </c>
      <c r="G131" s="961"/>
      <c r="H131" s="961"/>
      <c r="I131" s="302"/>
      <c r="J131" s="960" t="s">
        <v>2</v>
      </c>
      <c r="K131" s="961"/>
      <c r="L131" s="961"/>
      <c r="M131" s="302"/>
      <c r="N131" s="146"/>
      <c r="O131" s="146"/>
    </row>
    <row r="132" spans="1:15" s="3" customFormat="1" x14ac:dyDescent="0.2">
      <c r="A132" s="139"/>
      <c r="B132" s="150" t="s">
        <v>504</v>
      </c>
      <c r="C132" s="150" t="s">
        <v>505</v>
      </c>
      <c r="D132" s="243" t="s">
        <v>3</v>
      </c>
      <c r="E132" s="303" t="s">
        <v>32</v>
      </c>
      <c r="F132" s="150" t="s">
        <v>504</v>
      </c>
      <c r="G132" s="150" t="s">
        <v>505</v>
      </c>
      <c r="H132" s="204" t="s">
        <v>3</v>
      </c>
      <c r="I132" s="160" t="s">
        <v>32</v>
      </c>
      <c r="J132" s="244" t="s">
        <v>504</v>
      </c>
      <c r="K132" s="244" t="s">
        <v>505</v>
      </c>
      <c r="L132" s="245" t="s">
        <v>3</v>
      </c>
      <c r="M132" s="160" t="s">
        <v>32</v>
      </c>
      <c r="N132" s="146"/>
      <c r="O132" s="146"/>
    </row>
    <row r="133" spans="1:15" s="3" customFormat="1" x14ac:dyDescent="0.2">
      <c r="A133" s="934"/>
      <c r="B133" s="154"/>
      <c r="C133" s="154"/>
      <c r="D133" s="245" t="s">
        <v>4</v>
      </c>
      <c r="E133" s="154" t="s">
        <v>33</v>
      </c>
      <c r="F133" s="159"/>
      <c r="G133" s="159"/>
      <c r="H133" s="204" t="s">
        <v>4</v>
      </c>
      <c r="I133" s="154" t="s">
        <v>33</v>
      </c>
      <c r="J133" s="154"/>
      <c r="K133" s="154"/>
      <c r="L133" s="148" t="s">
        <v>4</v>
      </c>
      <c r="M133" s="154" t="s">
        <v>33</v>
      </c>
      <c r="N133" s="146"/>
      <c r="O133" s="146"/>
    </row>
    <row r="134" spans="1:15" s="3" customFormat="1" ht="15.75" x14ac:dyDescent="0.2">
      <c r="A134" s="14" t="s">
        <v>323</v>
      </c>
      <c r="B134" s="234"/>
      <c r="C134" s="307"/>
      <c r="D134" s="348"/>
      <c r="E134" s="11"/>
      <c r="F134" s="314"/>
      <c r="G134" s="315"/>
      <c r="H134" s="428"/>
      <c r="I134" s="23"/>
      <c r="J134" s="316"/>
      <c r="K134" s="316"/>
      <c r="L134" s="424"/>
      <c r="M134" s="11"/>
      <c r="N134" s="146"/>
      <c r="O134" s="146"/>
    </row>
    <row r="135" spans="1:15" s="3" customFormat="1" ht="15.75" x14ac:dyDescent="0.2">
      <c r="A135" s="13" t="s">
        <v>324</v>
      </c>
      <c r="B135" s="234"/>
      <c r="C135" s="307"/>
      <c r="D135" s="169"/>
      <c r="E135" s="11"/>
      <c r="F135" s="234"/>
      <c r="G135" s="307"/>
      <c r="H135" s="429"/>
      <c r="I135" s="23"/>
      <c r="J135" s="306"/>
      <c r="K135" s="306"/>
      <c r="L135" s="425"/>
      <c r="M135" s="11"/>
      <c r="N135" s="146"/>
      <c r="O135" s="146"/>
    </row>
    <row r="136" spans="1:15" s="3" customFormat="1" ht="15.75" x14ac:dyDescent="0.2">
      <c r="A136" s="13" t="s">
        <v>325</v>
      </c>
      <c r="B136" s="234"/>
      <c r="C136" s="307"/>
      <c r="D136" s="169"/>
      <c r="E136" s="11"/>
      <c r="F136" s="234"/>
      <c r="G136" s="307"/>
      <c r="H136" s="429"/>
      <c r="I136" s="23"/>
      <c r="J136" s="306"/>
      <c r="K136" s="306"/>
      <c r="L136" s="425"/>
      <c r="M136" s="11"/>
      <c r="N136" s="146"/>
      <c r="O136" s="146"/>
    </row>
    <row r="137" spans="1:15" s="3" customFormat="1" ht="15.75" x14ac:dyDescent="0.2">
      <c r="A137" s="40" t="s">
        <v>326</v>
      </c>
      <c r="B137" s="274"/>
      <c r="C137" s="313"/>
      <c r="D137" s="167"/>
      <c r="E137" s="9"/>
      <c r="F137" s="274"/>
      <c r="G137" s="313"/>
      <c r="H137" s="430"/>
      <c r="I137" s="35"/>
      <c r="J137" s="312"/>
      <c r="K137" s="312"/>
      <c r="L137" s="426"/>
      <c r="M137" s="35"/>
      <c r="N137" s="146"/>
      <c r="O137" s="146"/>
    </row>
    <row r="138" spans="1:15" s="3" customFormat="1" x14ac:dyDescent="0.2">
      <c r="A138" s="166"/>
      <c r="B138" s="32"/>
      <c r="C138" s="32"/>
      <c r="D138" s="157"/>
      <c r="E138" s="157"/>
      <c r="F138" s="32"/>
      <c r="G138" s="32"/>
      <c r="H138" s="157"/>
      <c r="I138" s="157"/>
      <c r="J138" s="32"/>
      <c r="K138" s="32"/>
      <c r="L138" s="157"/>
      <c r="M138" s="157"/>
      <c r="N138" s="146"/>
      <c r="O138" s="146"/>
    </row>
    <row r="139" spans="1:15" x14ac:dyDescent="0.2">
      <c r="A139" s="166"/>
      <c r="B139" s="32"/>
      <c r="C139" s="32"/>
      <c r="D139" s="157"/>
      <c r="E139" s="157"/>
      <c r="F139" s="32"/>
      <c r="G139" s="32"/>
      <c r="H139" s="157"/>
      <c r="I139" s="157"/>
      <c r="J139" s="32"/>
      <c r="K139" s="32"/>
      <c r="L139" s="157"/>
      <c r="M139" s="157"/>
      <c r="N139" s="146"/>
    </row>
    <row r="140" spans="1:15" x14ac:dyDescent="0.2">
      <c r="A140" s="166"/>
      <c r="B140" s="32"/>
      <c r="C140" s="32"/>
      <c r="D140" s="157"/>
      <c r="E140" s="157"/>
      <c r="F140" s="32"/>
      <c r="G140" s="32"/>
      <c r="H140" s="157"/>
      <c r="I140" s="157"/>
      <c r="J140" s="32"/>
      <c r="K140" s="32"/>
      <c r="L140" s="157"/>
      <c r="M140" s="157"/>
      <c r="N140" s="146"/>
    </row>
    <row r="141" spans="1:15" x14ac:dyDescent="0.2">
      <c r="A141" s="144"/>
      <c r="B141" s="144"/>
      <c r="C141" s="144"/>
      <c r="D141" s="144"/>
      <c r="E141" s="144"/>
      <c r="F141" s="144"/>
      <c r="G141" s="144"/>
      <c r="H141" s="144"/>
      <c r="I141" s="144"/>
      <c r="J141" s="144"/>
      <c r="K141" s="144"/>
      <c r="L141" s="144"/>
      <c r="M141" s="144"/>
      <c r="N141" s="144"/>
    </row>
    <row r="142" spans="1:15" ht="15.75" x14ac:dyDescent="0.25">
      <c r="B142" s="140"/>
      <c r="C142" s="140"/>
      <c r="D142" s="140"/>
      <c r="E142" s="140"/>
      <c r="F142" s="140"/>
      <c r="G142" s="140"/>
      <c r="H142" s="140"/>
      <c r="I142" s="140"/>
      <c r="J142" s="140"/>
      <c r="K142" s="140"/>
      <c r="L142" s="140"/>
      <c r="M142" s="140"/>
      <c r="N142" s="140"/>
    </row>
    <row r="143" spans="1:15" ht="15.75" x14ac:dyDescent="0.25">
      <c r="B143" s="155"/>
      <c r="C143" s="155"/>
      <c r="D143" s="155"/>
      <c r="E143" s="155"/>
      <c r="F143" s="155"/>
      <c r="G143" s="155"/>
      <c r="H143" s="155"/>
      <c r="I143" s="155"/>
      <c r="J143" s="155"/>
      <c r="K143" s="155"/>
      <c r="L143" s="155"/>
      <c r="M143" s="155"/>
      <c r="N143" s="155"/>
      <c r="O143" s="152"/>
    </row>
    <row r="144" spans="1:15" ht="15.75" x14ac:dyDescent="0.25">
      <c r="B144" s="155"/>
      <c r="C144" s="155"/>
      <c r="D144" s="155"/>
      <c r="E144" s="155"/>
      <c r="F144" s="155"/>
      <c r="G144" s="155"/>
      <c r="H144" s="155"/>
      <c r="I144" s="155"/>
      <c r="J144" s="155"/>
      <c r="K144" s="155"/>
      <c r="L144" s="155"/>
      <c r="M144" s="155"/>
      <c r="N144" s="155"/>
      <c r="O144" s="152"/>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216" priority="132">
      <formula>kvartal &lt; 4</formula>
    </cfRule>
  </conditionalFormatting>
  <conditionalFormatting sqref="B30">
    <cfRule type="expression" dxfId="1215" priority="130">
      <formula>kvartal &lt; 4</formula>
    </cfRule>
  </conditionalFormatting>
  <conditionalFormatting sqref="B31">
    <cfRule type="expression" dxfId="1214" priority="129">
      <formula>kvartal &lt; 4</formula>
    </cfRule>
  </conditionalFormatting>
  <conditionalFormatting sqref="B32:B33">
    <cfRule type="expression" dxfId="1213" priority="128">
      <formula>kvartal &lt; 4</formula>
    </cfRule>
  </conditionalFormatting>
  <conditionalFormatting sqref="C30">
    <cfRule type="expression" dxfId="1212" priority="127">
      <formula>kvartal &lt; 4</formula>
    </cfRule>
  </conditionalFormatting>
  <conditionalFormatting sqref="C31">
    <cfRule type="expression" dxfId="1211" priority="126">
      <formula>kvartal &lt; 4</formula>
    </cfRule>
  </conditionalFormatting>
  <conditionalFormatting sqref="C32:C33">
    <cfRule type="expression" dxfId="1210" priority="125">
      <formula>kvartal &lt; 4</formula>
    </cfRule>
  </conditionalFormatting>
  <conditionalFormatting sqref="B23:C26">
    <cfRule type="expression" dxfId="1209" priority="124">
      <formula>kvartal &lt; 4</formula>
    </cfRule>
  </conditionalFormatting>
  <conditionalFormatting sqref="F23:G26">
    <cfRule type="expression" dxfId="1208" priority="120">
      <formula>kvartal &lt; 4</formula>
    </cfRule>
  </conditionalFormatting>
  <conditionalFormatting sqref="F30">
    <cfRule type="expression" dxfId="1207" priority="113">
      <formula>kvartal &lt; 4</formula>
    </cfRule>
  </conditionalFormatting>
  <conditionalFormatting sqref="F31">
    <cfRule type="expression" dxfId="1206" priority="112">
      <formula>kvartal &lt; 4</formula>
    </cfRule>
  </conditionalFormatting>
  <conditionalFormatting sqref="F32:F33">
    <cfRule type="expression" dxfId="1205" priority="111">
      <formula>kvartal &lt; 4</formula>
    </cfRule>
  </conditionalFormatting>
  <conditionalFormatting sqref="G30">
    <cfRule type="expression" dxfId="1204" priority="110">
      <formula>kvartal &lt; 4</formula>
    </cfRule>
  </conditionalFormatting>
  <conditionalFormatting sqref="G31">
    <cfRule type="expression" dxfId="1203" priority="109">
      <formula>kvartal &lt; 4</formula>
    </cfRule>
  </conditionalFormatting>
  <conditionalFormatting sqref="G32:G33">
    <cfRule type="expression" dxfId="1202" priority="108">
      <formula>kvartal &lt; 4</formula>
    </cfRule>
  </conditionalFormatting>
  <conditionalFormatting sqref="B27">
    <cfRule type="expression" dxfId="1201" priority="107">
      <formula>kvartal &lt; 4</formula>
    </cfRule>
  </conditionalFormatting>
  <conditionalFormatting sqref="C27">
    <cfRule type="expression" dxfId="1200" priority="106">
      <formula>kvartal &lt; 4</formula>
    </cfRule>
  </conditionalFormatting>
  <conditionalFormatting sqref="F27">
    <cfRule type="expression" dxfId="1199" priority="105">
      <formula>kvartal &lt; 4</formula>
    </cfRule>
  </conditionalFormatting>
  <conditionalFormatting sqref="G27">
    <cfRule type="expression" dxfId="1198" priority="104">
      <formula>kvartal &lt; 4</formula>
    </cfRule>
  </conditionalFormatting>
  <conditionalFormatting sqref="J23:K27">
    <cfRule type="expression" dxfId="1197" priority="103">
      <formula>kvartal &lt; 4</formula>
    </cfRule>
  </conditionalFormatting>
  <conditionalFormatting sqref="J30:K33">
    <cfRule type="expression" dxfId="1196" priority="101">
      <formula>kvartal &lt; 4</formula>
    </cfRule>
  </conditionalFormatting>
  <conditionalFormatting sqref="B69">
    <cfRule type="expression" dxfId="1195" priority="100">
      <formula>kvartal &lt; 4</formula>
    </cfRule>
  </conditionalFormatting>
  <conditionalFormatting sqref="C69">
    <cfRule type="expression" dxfId="1194" priority="99">
      <formula>kvartal &lt; 4</formula>
    </cfRule>
  </conditionalFormatting>
  <conditionalFormatting sqref="B72">
    <cfRule type="expression" dxfId="1193" priority="98">
      <formula>kvartal &lt; 4</formula>
    </cfRule>
  </conditionalFormatting>
  <conditionalFormatting sqref="C72">
    <cfRule type="expression" dxfId="1192" priority="97">
      <formula>kvartal &lt; 4</formula>
    </cfRule>
  </conditionalFormatting>
  <conditionalFormatting sqref="B80">
    <cfRule type="expression" dxfId="1191" priority="96">
      <formula>kvartal &lt; 4</formula>
    </cfRule>
  </conditionalFormatting>
  <conditionalFormatting sqref="C80">
    <cfRule type="expression" dxfId="1190" priority="95">
      <formula>kvartal &lt; 4</formula>
    </cfRule>
  </conditionalFormatting>
  <conditionalFormatting sqref="B83">
    <cfRule type="expression" dxfId="1189" priority="94">
      <formula>kvartal &lt; 4</formula>
    </cfRule>
  </conditionalFormatting>
  <conditionalFormatting sqref="C83">
    <cfRule type="expression" dxfId="1188" priority="93">
      <formula>kvartal &lt; 4</formula>
    </cfRule>
  </conditionalFormatting>
  <conditionalFormatting sqref="B90">
    <cfRule type="expression" dxfId="1187" priority="84">
      <formula>kvartal &lt; 4</formula>
    </cfRule>
  </conditionalFormatting>
  <conditionalFormatting sqref="C90">
    <cfRule type="expression" dxfId="1186" priority="83">
      <formula>kvartal &lt; 4</formula>
    </cfRule>
  </conditionalFormatting>
  <conditionalFormatting sqref="B93">
    <cfRule type="expression" dxfId="1185" priority="82">
      <formula>kvartal &lt; 4</formula>
    </cfRule>
  </conditionalFormatting>
  <conditionalFormatting sqref="C93">
    <cfRule type="expression" dxfId="1184" priority="81">
      <formula>kvartal &lt; 4</formula>
    </cfRule>
  </conditionalFormatting>
  <conditionalFormatting sqref="B101">
    <cfRule type="expression" dxfId="1183" priority="80">
      <formula>kvartal &lt; 4</formula>
    </cfRule>
  </conditionalFormatting>
  <conditionalFormatting sqref="C101">
    <cfRule type="expression" dxfId="1182" priority="79">
      <formula>kvartal &lt; 4</formula>
    </cfRule>
  </conditionalFormatting>
  <conditionalFormatting sqref="B104">
    <cfRule type="expression" dxfId="1181" priority="78">
      <formula>kvartal &lt; 4</formula>
    </cfRule>
  </conditionalFormatting>
  <conditionalFormatting sqref="C104">
    <cfRule type="expression" dxfId="1180" priority="77">
      <formula>kvartal &lt; 4</formula>
    </cfRule>
  </conditionalFormatting>
  <conditionalFormatting sqref="B115">
    <cfRule type="expression" dxfId="1179" priority="76">
      <formula>kvartal &lt; 4</formula>
    </cfRule>
  </conditionalFormatting>
  <conditionalFormatting sqref="C115">
    <cfRule type="expression" dxfId="1178" priority="75">
      <formula>kvartal &lt; 4</formula>
    </cfRule>
  </conditionalFormatting>
  <conditionalFormatting sqref="B123">
    <cfRule type="expression" dxfId="1177" priority="74">
      <formula>kvartal &lt; 4</formula>
    </cfRule>
  </conditionalFormatting>
  <conditionalFormatting sqref="C123">
    <cfRule type="expression" dxfId="1176" priority="73">
      <formula>kvartal &lt; 4</formula>
    </cfRule>
  </conditionalFormatting>
  <conditionalFormatting sqref="F70">
    <cfRule type="expression" dxfId="1175" priority="72">
      <formula>kvartal &lt; 4</formula>
    </cfRule>
  </conditionalFormatting>
  <conditionalFormatting sqref="G70">
    <cfRule type="expression" dxfId="1174" priority="71">
      <formula>kvartal &lt; 4</formula>
    </cfRule>
  </conditionalFormatting>
  <conditionalFormatting sqref="F71:G71">
    <cfRule type="expression" dxfId="1173" priority="70">
      <formula>kvartal &lt; 4</formula>
    </cfRule>
  </conditionalFormatting>
  <conditionalFormatting sqref="F73:G74">
    <cfRule type="expression" dxfId="1172" priority="69">
      <formula>kvartal &lt; 4</formula>
    </cfRule>
  </conditionalFormatting>
  <conditionalFormatting sqref="F81:G82">
    <cfRule type="expression" dxfId="1171" priority="68">
      <formula>kvartal &lt; 4</formula>
    </cfRule>
  </conditionalFormatting>
  <conditionalFormatting sqref="F84:G85">
    <cfRule type="expression" dxfId="1170" priority="67">
      <formula>kvartal &lt; 4</formula>
    </cfRule>
  </conditionalFormatting>
  <conditionalFormatting sqref="F91:G92">
    <cfRule type="expression" dxfId="1169" priority="62">
      <formula>kvartal &lt; 4</formula>
    </cfRule>
  </conditionalFormatting>
  <conditionalFormatting sqref="F94:G95">
    <cfRule type="expression" dxfId="1168" priority="61">
      <formula>kvartal &lt; 4</formula>
    </cfRule>
  </conditionalFormatting>
  <conditionalFormatting sqref="F102:G103">
    <cfRule type="expression" dxfId="1167" priority="60">
      <formula>kvartal &lt; 4</formula>
    </cfRule>
  </conditionalFormatting>
  <conditionalFormatting sqref="F105:G106">
    <cfRule type="expression" dxfId="1166" priority="59">
      <formula>kvartal &lt; 4</formula>
    </cfRule>
  </conditionalFormatting>
  <conditionalFormatting sqref="F115">
    <cfRule type="expression" dxfId="1165" priority="58">
      <formula>kvartal &lt; 4</formula>
    </cfRule>
  </conditionalFormatting>
  <conditionalFormatting sqref="G115">
    <cfRule type="expression" dxfId="1164" priority="57">
      <formula>kvartal &lt; 4</formula>
    </cfRule>
  </conditionalFormatting>
  <conditionalFormatting sqref="F123:G123">
    <cfRule type="expression" dxfId="1163" priority="56">
      <formula>kvartal &lt; 4</formula>
    </cfRule>
  </conditionalFormatting>
  <conditionalFormatting sqref="F69:G69">
    <cfRule type="expression" dxfId="1162" priority="55">
      <formula>kvartal &lt; 4</formula>
    </cfRule>
  </conditionalFormatting>
  <conditionalFormatting sqref="F72:G72">
    <cfRule type="expression" dxfId="1161" priority="54">
      <formula>kvartal &lt; 4</formula>
    </cfRule>
  </conditionalFormatting>
  <conditionalFormatting sqref="F80:G80">
    <cfRule type="expression" dxfId="1160" priority="53">
      <formula>kvartal &lt; 4</formula>
    </cfRule>
  </conditionalFormatting>
  <conditionalFormatting sqref="F83:G83">
    <cfRule type="expression" dxfId="1159" priority="52">
      <formula>kvartal &lt; 4</formula>
    </cfRule>
  </conditionalFormatting>
  <conditionalFormatting sqref="F90:G90">
    <cfRule type="expression" dxfId="1158" priority="46">
      <formula>kvartal &lt; 4</formula>
    </cfRule>
  </conditionalFormatting>
  <conditionalFormatting sqref="F93">
    <cfRule type="expression" dxfId="1157" priority="45">
      <formula>kvartal &lt; 4</formula>
    </cfRule>
  </conditionalFormatting>
  <conditionalFormatting sqref="G93">
    <cfRule type="expression" dxfId="1156" priority="44">
      <formula>kvartal &lt; 4</formula>
    </cfRule>
  </conditionalFormatting>
  <conditionalFormatting sqref="F101">
    <cfRule type="expression" dxfId="1155" priority="43">
      <formula>kvartal &lt; 4</formula>
    </cfRule>
  </conditionalFormatting>
  <conditionalFormatting sqref="G101">
    <cfRule type="expression" dxfId="1154" priority="42">
      <formula>kvartal &lt; 4</formula>
    </cfRule>
  </conditionalFormatting>
  <conditionalFormatting sqref="G104">
    <cfRule type="expression" dxfId="1153" priority="41">
      <formula>kvartal &lt; 4</formula>
    </cfRule>
  </conditionalFormatting>
  <conditionalFormatting sqref="F104">
    <cfRule type="expression" dxfId="1152" priority="40">
      <formula>kvartal &lt; 4</formula>
    </cfRule>
  </conditionalFormatting>
  <conditionalFormatting sqref="J69:K73">
    <cfRule type="expression" dxfId="1151" priority="39">
      <formula>kvartal &lt; 4</formula>
    </cfRule>
  </conditionalFormatting>
  <conditionalFormatting sqref="J74:K74">
    <cfRule type="expression" dxfId="1150" priority="38">
      <formula>kvartal &lt; 4</formula>
    </cfRule>
  </conditionalFormatting>
  <conditionalFormatting sqref="J80:K85">
    <cfRule type="expression" dxfId="1149" priority="37">
      <formula>kvartal &lt; 4</formula>
    </cfRule>
  </conditionalFormatting>
  <conditionalFormatting sqref="J90:K95">
    <cfRule type="expression" dxfId="1148" priority="34">
      <formula>kvartal &lt; 4</formula>
    </cfRule>
  </conditionalFormatting>
  <conditionalFormatting sqref="J101:K106">
    <cfRule type="expression" dxfId="1147" priority="33">
      <formula>kvartal &lt; 4</formula>
    </cfRule>
  </conditionalFormatting>
  <conditionalFormatting sqref="J115:K115">
    <cfRule type="expression" dxfId="1146" priority="32">
      <formula>kvartal &lt; 4</formula>
    </cfRule>
  </conditionalFormatting>
  <conditionalFormatting sqref="J123:K123">
    <cfRule type="expression" dxfId="1145" priority="31">
      <formula>kvartal &lt; 4</formula>
    </cfRule>
  </conditionalFormatting>
  <conditionalFormatting sqref="A23:A26">
    <cfRule type="expression" dxfId="1144" priority="15">
      <formula>kvartal &lt; 4</formula>
    </cfRule>
  </conditionalFormatting>
  <conditionalFormatting sqref="A30:A33">
    <cfRule type="expression" dxfId="1143" priority="13">
      <formula>kvartal &lt; 4</formula>
    </cfRule>
  </conditionalFormatting>
  <conditionalFormatting sqref="A50:A52">
    <cfRule type="expression" dxfId="1142" priority="12">
      <formula>kvartal &lt; 4</formula>
    </cfRule>
  </conditionalFormatting>
  <conditionalFormatting sqref="A69:A74">
    <cfRule type="expression" dxfId="1141" priority="10">
      <formula>kvartal &lt; 4</formula>
    </cfRule>
  </conditionalFormatting>
  <conditionalFormatting sqref="A80:A85">
    <cfRule type="expression" dxfId="1140" priority="9">
      <formula>kvartal &lt; 4</formula>
    </cfRule>
  </conditionalFormatting>
  <conditionalFormatting sqref="A90:A95">
    <cfRule type="expression" dxfId="1139" priority="6">
      <formula>kvartal &lt; 4</formula>
    </cfRule>
  </conditionalFormatting>
  <conditionalFormatting sqref="A101:A106">
    <cfRule type="expression" dxfId="1138" priority="5">
      <formula>kvartal &lt; 4</formula>
    </cfRule>
  </conditionalFormatting>
  <conditionalFormatting sqref="A115">
    <cfRule type="expression" dxfId="1137" priority="4">
      <formula>kvartal &lt; 4</formula>
    </cfRule>
  </conditionalFormatting>
  <conditionalFormatting sqref="A123">
    <cfRule type="expression" dxfId="1136" priority="3">
      <formula>kvartal &lt; 4</formula>
    </cfRule>
  </conditionalFormatting>
  <conditionalFormatting sqref="A27">
    <cfRule type="expression" dxfId="1135" priority="2">
      <formula>kvartal &lt; 4</formula>
    </cfRule>
  </conditionalFormatting>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0"/>
  <dimension ref="A1:O144"/>
  <sheetViews>
    <sheetView showGridLines="0" zoomScale="90" zoomScaleNormal="90" workbookViewId="0"/>
  </sheetViews>
  <sheetFormatPr baseColWidth="10" defaultColWidth="11.42578125" defaultRowHeight="12.75" x14ac:dyDescent="0.2"/>
  <cols>
    <col min="1" max="1" width="41.5703125" style="147" customWidth="1"/>
    <col min="2" max="2" width="10.85546875" style="147" customWidth="1"/>
    <col min="3" max="3" width="11" style="147" customWidth="1"/>
    <col min="4" max="5" width="8.7109375" style="147" customWidth="1"/>
    <col min="6" max="7" width="10.85546875" style="147" customWidth="1"/>
    <col min="8" max="9" width="8.7109375" style="147" customWidth="1"/>
    <col min="10" max="11" width="10.85546875" style="147" customWidth="1"/>
    <col min="12" max="13" width="8.7109375" style="147" customWidth="1"/>
    <col min="14" max="14" width="11.42578125" style="147"/>
    <col min="15" max="15" width="3" style="146" bestFit="1" customWidth="1"/>
    <col min="16" max="16384" width="11.42578125" style="1"/>
  </cols>
  <sheetData>
    <row r="1" spans="1:15" x14ac:dyDescent="0.2">
      <c r="A1" s="170" t="s">
        <v>152</v>
      </c>
      <c r="B1" s="932"/>
      <c r="C1" s="247" t="s">
        <v>67</v>
      </c>
      <c r="D1" s="25"/>
      <c r="E1" s="25"/>
      <c r="F1" s="25"/>
      <c r="G1" s="25"/>
      <c r="H1" s="25"/>
      <c r="I1" s="25"/>
      <c r="J1" s="25"/>
      <c r="K1" s="25"/>
      <c r="L1" s="25"/>
      <c r="M1" s="25"/>
      <c r="O1" s="423"/>
    </row>
    <row r="2" spans="1:15" ht="15.75" x14ac:dyDescent="0.25">
      <c r="A2" s="163" t="s">
        <v>31</v>
      </c>
      <c r="B2" s="965"/>
      <c r="C2" s="965"/>
      <c r="D2" s="965"/>
      <c r="E2" s="297"/>
      <c r="F2" s="965"/>
      <c r="G2" s="965"/>
      <c r="H2" s="965"/>
      <c r="I2" s="297"/>
      <c r="J2" s="965"/>
      <c r="K2" s="965"/>
      <c r="L2" s="965"/>
      <c r="M2" s="297"/>
    </row>
    <row r="3" spans="1:15" ht="15.75" x14ac:dyDescent="0.25">
      <c r="A3" s="161"/>
      <c r="B3" s="297"/>
      <c r="C3" s="297"/>
      <c r="D3" s="297"/>
      <c r="E3" s="297"/>
      <c r="F3" s="297"/>
      <c r="G3" s="297"/>
      <c r="H3" s="297"/>
      <c r="I3" s="297"/>
      <c r="J3" s="297"/>
      <c r="K3" s="297"/>
      <c r="L3" s="297"/>
      <c r="M3" s="297"/>
    </row>
    <row r="4" spans="1:15" x14ac:dyDescent="0.2">
      <c r="A4" s="142"/>
      <c r="B4" s="960" t="s">
        <v>0</v>
      </c>
      <c r="C4" s="961"/>
      <c r="D4" s="961"/>
      <c r="E4" s="299"/>
      <c r="F4" s="960" t="s">
        <v>1</v>
      </c>
      <c r="G4" s="961"/>
      <c r="H4" s="961"/>
      <c r="I4" s="302"/>
      <c r="J4" s="960" t="s">
        <v>2</v>
      </c>
      <c r="K4" s="961"/>
      <c r="L4" s="961"/>
      <c r="M4" s="302"/>
    </row>
    <row r="5" spans="1:15" x14ac:dyDescent="0.2">
      <c r="A5" s="156"/>
      <c r="B5" s="150" t="s">
        <v>504</v>
      </c>
      <c r="C5" s="150" t="s">
        <v>505</v>
      </c>
      <c r="D5" s="243" t="s">
        <v>3</v>
      </c>
      <c r="E5" s="303" t="s">
        <v>32</v>
      </c>
      <c r="F5" s="150" t="s">
        <v>504</v>
      </c>
      <c r="G5" s="150" t="s">
        <v>505</v>
      </c>
      <c r="H5" s="243" t="s">
        <v>3</v>
      </c>
      <c r="I5" s="160" t="s">
        <v>32</v>
      </c>
      <c r="J5" s="150" t="s">
        <v>504</v>
      </c>
      <c r="K5" s="150" t="s">
        <v>505</v>
      </c>
      <c r="L5" s="243" t="s">
        <v>3</v>
      </c>
      <c r="M5" s="160" t="s">
        <v>32</v>
      </c>
      <c r="O5" s="931"/>
    </row>
    <row r="6" spans="1:15" x14ac:dyDescent="0.2">
      <c r="A6" s="933"/>
      <c r="B6" s="154"/>
      <c r="C6" s="154"/>
      <c r="D6" s="245" t="s">
        <v>4</v>
      </c>
      <c r="E6" s="154" t="s">
        <v>33</v>
      </c>
      <c r="F6" s="159"/>
      <c r="G6" s="159"/>
      <c r="H6" s="243" t="s">
        <v>4</v>
      </c>
      <c r="I6" s="154" t="s">
        <v>33</v>
      </c>
      <c r="J6" s="159"/>
      <c r="K6" s="159"/>
      <c r="L6" s="243" t="s">
        <v>4</v>
      </c>
      <c r="M6" s="154" t="s">
        <v>33</v>
      </c>
    </row>
    <row r="7" spans="1:15" ht="15.75" x14ac:dyDescent="0.2">
      <c r="A7" s="14" t="s">
        <v>26</v>
      </c>
      <c r="B7" s="304"/>
      <c r="C7" s="305"/>
      <c r="D7" s="348"/>
      <c r="E7" s="11"/>
      <c r="F7" s="304"/>
      <c r="G7" s="305"/>
      <c r="H7" s="348"/>
      <c r="I7" s="158"/>
      <c r="J7" s="306"/>
      <c r="K7" s="307"/>
      <c r="L7" s="424"/>
      <c r="M7" s="11"/>
    </row>
    <row r="8" spans="1:15" ht="15.75" x14ac:dyDescent="0.2">
      <c r="A8" s="20" t="s">
        <v>28</v>
      </c>
      <c r="B8" s="279"/>
      <c r="C8" s="280"/>
      <c r="D8" s="164"/>
      <c r="E8" s="26"/>
      <c r="F8" s="283"/>
      <c r="G8" s="284"/>
      <c r="H8" s="164"/>
      <c r="I8" s="174"/>
      <c r="J8" s="232"/>
      <c r="K8" s="285"/>
      <c r="L8" s="164"/>
      <c r="M8" s="26"/>
    </row>
    <row r="9" spans="1:15" ht="15.75" x14ac:dyDescent="0.2">
      <c r="A9" s="20" t="s">
        <v>27</v>
      </c>
      <c r="B9" s="279"/>
      <c r="C9" s="280"/>
      <c r="D9" s="164"/>
      <c r="E9" s="26"/>
      <c r="F9" s="283"/>
      <c r="G9" s="284"/>
      <c r="H9" s="164"/>
      <c r="I9" s="174"/>
      <c r="J9" s="232"/>
      <c r="K9" s="285"/>
      <c r="L9" s="164"/>
      <c r="M9" s="26"/>
    </row>
    <row r="10" spans="1:15" ht="15.75" x14ac:dyDescent="0.2">
      <c r="A10" s="13" t="s">
        <v>25</v>
      </c>
      <c r="B10" s="308"/>
      <c r="C10" s="309"/>
      <c r="D10" s="169"/>
      <c r="E10" s="11"/>
      <c r="F10" s="308"/>
      <c r="G10" s="309"/>
      <c r="H10" s="169"/>
      <c r="I10" s="158"/>
      <c r="J10" s="306"/>
      <c r="K10" s="307"/>
      <c r="L10" s="425"/>
      <c r="M10" s="11"/>
    </row>
    <row r="11" spans="1:15" s="42" customFormat="1" ht="15.75" x14ac:dyDescent="0.2">
      <c r="A11" s="13" t="s">
        <v>24</v>
      </c>
      <c r="B11" s="308"/>
      <c r="C11" s="309"/>
      <c r="D11" s="169"/>
      <c r="E11" s="11"/>
      <c r="F11" s="308"/>
      <c r="G11" s="309"/>
      <c r="H11" s="169"/>
      <c r="I11" s="158"/>
      <c r="J11" s="306"/>
      <c r="K11" s="307"/>
      <c r="L11" s="425"/>
      <c r="M11" s="11"/>
      <c r="N11" s="141"/>
      <c r="O11" s="146"/>
    </row>
    <row r="12" spans="1:15" s="42" customFormat="1" ht="15.75" x14ac:dyDescent="0.2">
      <c r="A12" s="40" t="s">
        <v>23</v>
      </c>
      <c r="B12" s="310"/>
      <c r="C12" s="311"/>
      <c r="D12" s="167"/>
      <c r="E12" s="35"/>
      <c r="F12" s="310"/>
      <c r="G12" s="311"/>
      <c r="H12" s="167"/>
      <c r="I12" s="167"/>
      <c r="J12" s="312"/>
      <c r="K12" s="313"/>
      <c r="L12" s="426"/>
      <c r="M12" s="35"/>
      <c r="N12" s="141"/>
      <c r="O12" s="146"/>
    </row>
    <row r="13" spans="1:15" s="42" customFormat="1" x14ac:dyDescent="0.2">
      <c r="A13" s="166"/>
      <c r="B13" s="143"/>
      <c r="C13" s="32"/>
      <c r="D13" s="157"/>
      <c r="E13" s="157"/>
      <c r="F13" s="143"/>
      <c r="G13" s="32"/>
      <c r="H13" s="157"/>
      <c r="I13" s="157"/>
      <c r="J13" s="47"/>
      <c r="K13" s="47"/>
      <c r="L13" s="157"/>
      <c r="M13" s="157"/>
      <c r="N13" s="141"/>
      <c r="O13" s="423"/>
    </row>
    <row r="14" spans="1:15" x14ac:dyDescent="0.2">
      <c r="A14" s="151" t="s">
        <v>296</v>
      </c>
      <c r="B14" s="25"/>
    </row>
    <row r="15" spans="1:15" x14ac:dyDescent="0.2">
      <c r="F15" s="144"/>
      <c r="G15" s="144"/>
      <c r="H15" s="144"/>
      <c r="I15" s="144"/>
      <c r="J15" s="144"/>
      <c r="K15" s="144"/>
      <c r="L15" s="144"/>
      <c r="M15" s="144"/>
    </row>
    <row r="16" spans="1:15" s="3" customFormat="1" ht="15.75" x14ac:dyDescent="0.25">
      <c r="A16" s="162"/>
      <c r="B16" s="146"/>
      <c r="C16" s="152"/>
      <c r="D16" s="152"/>
      <c r="E16" s="152"/>
      <c r="F16" s="152"/>
      <c r="G16" s="152"/>
      <c r="H16" s="152"/>
      <c r="I16" s="152"/>
      <c r="J16" s="152"/>
      <c r="K16" s="152"/>
      <c r="L16" s="152"/>
      <c r="M16" s="152"/>
      <c r="N16" s="146"/>
      <c r="O16" s="146"/>
    </row>
    <row r="17" spans="1:15" ht="15.75" x14ac:dyDescent="0.25">
      <c r="A17" s="145" t="s">
        <v>293</v>
      </c>
      <c r="B17" s="155"/>
      <c r="C17" s="155"/>
      <c r="D17" s="149"/>
      <c r="E17" s="149"/>
      <c r="F17" s="155"/>
      <c r="G17" s="155"/>
      <c r="H17" s="155"/>
      <c r="I17" s="155"/>
      <c r="J17" s="155"/>
      <c r="K17" s="155"/>
      <c r="L17" s="155"/>
      <c r="M17" s="155"/>
    </row>
    <row r="18" spans="1:15" ht="15.75" x14ac:dyDescent="0.25">
      <c r="B18" s="963"/>
      <c r="C18" s="963"/>
      <c r="D18" s="963"/>
      <c r="E18" s="297"/>
      <c r="F18" s="963"/>
      <c r="G18" s="963"/>
      <c r="H18" s="963"/>
      <c r="I18" s="297"/>
      <c r="J18" s="963"/>
      <c r="K18" s="963"/>
      <c r="L18" s="963"/>
      <c r="M18" s="297"/>
    </row>
    <row r="19" spans="1:15" x14ac:dyDescent="0.2">
      <c r="A19" s="142"/>
      <c r="B19" s="960" t="s">
        <v>0</v>
      </c>
      <c r="C19" s="961"/>
      <c r="D19" s="961"/>
      <c r="E19" s="299"/>
      <c r="F19" s="960" t="s">
        <v>1</v>
      </c>
      <c r="G19" s="961"/>
      <c r="H19" s="961"/>
      <c r="I19" s="302"/>
      <c r="J19" s="960" t="s">
        <v>2</v>
      </c>
      <c r="K19" s="961"/>
      <c r="L19" s="961"/>
      <c r="M19" s="302"/>
    </row>
    <row r="20" spans="1:15" x14ac:dyDescent="0.2">
      <c r="A20" s="139" t="s">
        <v>5</v>
      </c>
      <c r="B20" s="240" t="s">
        <v>504</v>
      </c>
      <c r="C20" s="240" t="s">
        <v>505</v>
      </c>
      <c r="D20" s="160" t="s">
        <v>3</v>
      </c>
      <c r="E20" s="303" t="s">
        <v>32</v>
      </c>
      <c r="F20" s="240" t="s">
        <v>504</v>
      </c>
      <c r="G20" s="240" t="s">
        <v>505</v>
      </c>
      <c r="H20" s="160" t="s">
        <v>3</v>
      </c>
      <c r="I20" s="160" t="s">
        <v>32</v>
      </c>
      <c r="J20" s="240" t="s">
        <v>504</v>
      </c>
      <c r="K20" s="240" t="s">
        <v>505</v>
      </c>
      <c r="L20" s="160" t="s">
        <v>3</v>
      </c>
      <c r="M20" s="160" t="s">
        <v>32</v>
      </c>
    </row>
    <row r="21" spans="1:15" x14ac:dyDescent="0.2">
      <c r="A21" s="934"/>
      <c r="B21" s="154"/>
      <c r="C21" s="154"/>
      <c r="D21" s="245" t="s">
        <v>4</v>
      </c>
      <c r="E21" s="154" t="s">
        <v>33</v>
      </c>
      <c r="F21" s="159"/>
      <c r="G21" s="159"/>
      <c r="H21" s="243" t="s">
        <v>4</v>
      </c>
      <c r="I21" s="154" t="s">
        <v>33</v>
      </c>
      <c r="J21" s="159"/>
      <c r="K21" s="159"/>
      <c r="L21" s="154" t="s">
        <v>4</v>
      </c>
      <c r="M21" s="154" t="s">
        <v>33</v>
      </c>
    </row>
    <row r="22" spans="1:15" ht="15.75" x14ac:dyDescent="0.2">
      <c r="A22" s="14" t="s">
        <v>26</v>
      </c>
      <c r="B22" s="314"/>
      <c r="C22" s="314"/>
      <c r="D22" s="348"/>
      <c r="E22" s="11"/>
      <c r="F22" s="314"/>
      <c r="G22" s="314"/>
      <c r="H22" s="348"/>
      <c r="I22" s="11"/>
      <c r="J22" s="314"/>
      <c r="K22" s="314"/>
      <c r="L22" s="424"/>
      <c r="M22" s="23"/>
    </row>
    <row r="23" spans="1:15" ht="15.75" x14ac:dyDescent="0.2">
      <c r="A23" s="294" t="s">
        <v>305</v>
      </c>
      <c r="B23" s="288"/>
      <c r="C23" s="288"/>
      <c r="D23" s="164"/>
      <c r="E23" s="414"/>
      <c r="F23" s="288"/>
      <c r="G23" s="288"/>
      <c r="H23" s="164"/>
      <c r="I23" s="414"/>
      <c r="J23" s="288"/>
      <c r="K23" s="288"/>
      <c r="L23" s="164"/>
      <c r="M23" s="22"/>
    </row>
    <row r="24" spans="1:15" ht="15.75" x14ac:dyDescent="0.2">
      <c r="A24" s="294" t="s">
        <v>306</v>
      </c>
      <c r="B24" s="288"/>
      <c r="C24" s="288"/>
      <c r="D24" s="164"/>
      <c r="E24" s="414"/>
      <c r="F24" s="288"/>
      <c r="G24" s="288"/>
      <c r="H24" s="164"/>
      <c r="I24" s="414"/>
      <c r="J24" s="288"/>
      <c r="K24" s="288"/>
      <c r="L24" s="164"/>
      <c r="M24" s="22"/>
    </row>
    <row r="25" spans="1:15" ht="15.75" x14ac:dyDescent="0.2">
      <c r="A25" s="294" t="s">
        <v>406</v>
      </c>
      <c r="B25" s="288"/>
      <c r="C25" s="288"/>
      <c r="D25" s="164"/>
      <c r="E25" s="414"/>
      <c r="F25" s="288"/>
      <c r="G25" s="288"/>
      <c r="H25" s="164"/>
      <c r="I25" s="414"/>
      <c r="J25" s="288"/>
      <c r="K25" s="288"/>
      <c r="L25" s="164"/>
      <c r="M25" s="22"/>
    </row>
    <row r="26" spans="1:15" ht="15.75" x14ac:dyDescent="0.2">
      <c r="A26" s="294" t="s">
        <v>307</v>
      </c>
      <c r="B26" s="288"/>
      <c r="C26" s="288"/>
      <c r="D26" s="164"/>
      <c r="E26" s="414"/>
      <c r="F26" s="288"/>
      <c r="G26" s="288"/>
      <c r="H26" s="164"/>
      <c r="I26" s="414"/>
      <c r="J26" s="288"/>
      <c r="K26" s="288"/>
      <c r="L26" s="164"/>
      <c r="M26" s="22"/>
    </row>
    <row r="27" spans="1:15" x14ac:dyDescent="0.2">
      <c r="A27" s="294" t="s">
        <v>11</v>
      </c>
      <c r="B27" s="288"/>
      <c r="C27" s="288"/>
      <c r="D27" s="164"/>
      <c r="E27" s="414"/>
      <c r="F27" s="288"/>
      <c r="G27" s="288"/>
      <c r="H27" s="164"/>
      <c r="I27" s="414"/>
      <c r="J27" s="288"/>
      <c r="K27" s="288"/>
      <c r="L27" s="164"/>
      <c r="M27" s="22"/>
    </row>
    <row r="28" spans="1:15" ht="15.75" x14ac:dyDescent="0.2">
      <c r="A28" s="48" t="s">
        <v>297</v>
      </c>
      <c r="B28" s="43"/>
      <c r="C28" s="285"/>
      <c r="D28" s="164"/>
      <c r="E28" s="26"/>
      <c r="F28" s="232"/>
      <c r="G28" s="285"/>
      <c r="H28" s="164"/>
      <c r="I28" s="26"/>
      <c r="J28" s="43"/>
      <c r="K28" s="43"/>
      <c r="L28" s="253"/>
      <c r="M28" s="22"/>
    </row>
    <row r="29" spans="1:15" s="3" customFormat="1" ht="15.75" x14ac:dyDescent="0.2">
      <c r="A29" s="13" t="s">
        <v>25</v>
      </c>
      <c r="B29" s="234"/>
      <c r="C29" s="234"/>
      <c r="D29" s="169"/>
      <c r="E29" s="11"/>
      <c r="F29" s="234"/>
      <c r="G29" s="234"/>
      <c r="H29" s="169"/>
      <c r="I29" s="11"/>
      <c r="J29" s="234"/>
      <c r="K29" s="234"/>
      <c r="L29" s="425"/>
      <c r="M29" s="23"/>
      <c r="N29" s="146"/>
      <c r="O29" s="146"/>
    </row>
    <row r="30" spans="1:15" s="3" customFormat="1" ht="15.75" x14ac:dyDescent="0.2">
      <c r="A30" s="294" t="s">
        <v>305</v>
      </c>
      <c r="B30" s="288"/>
      <c r="C30" s="288"/>
      <c r="D30" s="164"/>
      <c r="E30" s="414"/>
      <c r="F30" s="288"/>
      <c r="G30" s="288"/>
      <c r="H30" s="164"/>
      <c r="I30" s="414"/>
      <c r="J30" s="288"/>
      <c r="K30" s="288"/>
      <c r="L30" s="164"/>
      <c r="M30" s="22"/>
      <c r="N30" s="146"/>
      <c r="O30" s="146"/>
    </row>
    <row r="31" spans="1:15" s="3" customFormat="1" ht="15.75" x14ac:dyDescent="0.2">
      <c r="A31" s="294" t="s">
        <v>306</v>
      </c>
      <c r="B31" s="288"/>
      <c r="C31" s="288"/>
      <c r="D31" s="164"/>
      <c r="E31" s="414"/>
      <c r="F31" s="288"/>
      <c r="G31" s="288"/>
      <c r="H31" s="164"/>
      <c r="I31" s="414"/>
      <c r="J31" s="288"/>
      <c r="K31" s="288"/>
      <c r="L31" s="164"/>
      <c r="M31" s="22"/>
      <c r="N31" s="146"/>
      <c r="O31" s="146"/>
    </row>
    <row r="32" spans="1:15" ht="15.75" x14ac:dyDescent="0.2">
      <c r="A32" s="294" t="s">
        <v>406</v>
      </c>
      <c r="B32" s="288"/>
      <c r="C32" s="288"/>
      <c r="D32" s="164"/>
      <c r="E32" s="414"/>
      <c r="F32" s="288"/>
      <c r="G32" s="288"/>
      <c r="H32" s="164"/>
      <c r="I32" s="414"/>
      <c r="J32" s="288"/>
      <c r="K32" s="288"/>
      <c r="L32" s="164"/>
      <c r="M32" s="22"/>
    </row>
    <row r="33" spans="1:15" ht="15.75" x14ac:dyDescent="0.2">
      <c r="A33" s="294" t="s">
        <v>307</v>
      </c>
      <c r="B33" s="288"/>
      <c r="C33" s="288"/>
      <c r="D33" s="164"/>
      <c r="E33" s="414"/>
      <c r="F33" s="288"/>
      <c r="G33" s="288"/>
      <c r="H33" s="164"/>
      <c r="I33" s="414"/>
      <c r="J33" s="288"/>
      <c r="K33" s="288"/>
      <c r="L33" s="164"/>
      <c r="M33" s="22"/>
    </row>
    <row r="34" spans="1:15" ht="15.75" x14ac:dyDescent="0.2">
      <c r="A34" s="13" t="s">
        <v>24</v>
      </c>
      <c r="B34" s="234"/>
      <c r="C34" s="307"/>
      <c r="D34" s="169"/>
      <c r="E34" s="11"/>
      <c r="F34" s="306"/>
      <c r="G34" s="307"/>
      <c r="H34" s="169"/>
      <c r="I34" s="11"/>
      <c r="J34" s="234"/>
      <c r="K34" s="234"/>
      <c r="L34" s="425"/>
      <c r="M34" s="23"/>
    </row>
    <row r="35" spans="1:15" ht="15.75" x14ac:dyDescent="0.2">
      <c r="A35" s="13" t="s">
        <v>23</v>
      </c>
      <c r="B35" s="234"/>
      <c r="C35" s="307"/>
      <c r="D35" s="169"/>
      <c r="E35" s="11"/>
      <c r="F35" s="306"/>
      <c r="G35" s="307"/>
      <c r="H35" s="169"/>
      <c r="I35" s="11"/>
      <c r="J35" s="234"/>
      <c r="K35" s="234"/>
      <c r="L35" s="425"/>
      <c r="M35" s="23"/>
    </row>
    <row r="36" spans="1:15" ht="15.75" x14ac:dyDescent="0.2">
      <c r="A36" s="12" t="s">
        <v>308</v>
      </c>
      <c r="B36" s="234"/>
      <c r="C36" s="307"/>
      <c r="D36" s="169"/>
      <c r="E36" s="11"/>
      <c r="F36" s="317"/>
      <c r="G36" s="318"/>
      <c r="H36" s="169"/>
      <c r="I36" s="431"/>
      <c r="J36" s="234"/>
      <c r="K36" s="234"/>
      <c r="L36" s="425"/>
      <c r="M36" s="23"/>
    </row>
    <row r="37" spans="1:15" ht="15.75" x14ac:dyDescent="0.2">
      <c r="A37" s="12" t="s">
        <v>309</v>
      </c>
      <c r="B37" s="234"/>
      <c r="C37" s="307"/>
      <c r="D37" s="169"/>
      <c r="E37" s="11"/>
      <c r="F37" s="317"/>
      <c r="G37" s="319"/>
      <c r="H37" s="169"/>
      <c r="I37" s="431"/>
      <c r="J37" s="234"/>
      <c r="K37" s="234"/>
      <c r="L37" s="425"/>
      <c r="M37" s="23"/>
    </row>
    <row r="38" spans="1:15" ht="15.75" x14ac:dyDescent="0.2">
      <c r="A38" s="12" t="s">
        <v>310</v>
      </c>
      <c r="B38" s="234"/>
      <c r="C38" s="307"/>
      <c r="D38" s="169"/>
      <c r="E38" s="11"/>
      <c r="F38" s="317"/>
      <c r="G38" s="318"/>
      <c r="H38" s="169"/>
      <c r="I38" s="431"/>
      <c r="J38" s="234"/>
      <c r="K38" s="234"/>
      <c r="L38" s="425"/>
      <c r="M38" s="23"/>
    </row>
    <row r="39" spans="1:15" ht="15.75" x14ac:dyDescent="0.2">
      <c r="A39" s="18" t="s">
        <v>311</v>
      </c>
      <c r="B39" s="274"/>
      <c r="C39" s="313"/>
      <c r="D39" s="167"/>
      <c r="E39" s="11"/>
      <c r="F39" s="320"/>
      <c r="G39" s="321"/>
      <c r="H39" s="167"/>
      <c r="I39" s="35"/>
      <c r="J39" s="234"/>
      <c r="K39" s="234"/>
      <c r="L39" s="426"/>
      <c r="M39" s="35"/>
    </row>
    <row r="40" spans="1:15" ht="15.75" x14ac:dyDescent="0.25">
      <c r="A40" s="46"/>
      <c r="B40" s="252"/>
      <c r="C40" s="252"/>
      <c r="D40" s="964"/>
      <c r="E40" s="964"/>
      <c r="F40" s="964"/>
      <c r="G40" s="964"/>
      <c r="H40" s="964"/>
      <c r="I40" s="964"/>
      <c r="J40" s="964"/>
      <c r="K40" s="964"/>
      <c r="L40" s="964"/>
      <c r="M40" s="300"/>
    </row>
    <row r="41" spans="1:15" x14ac:dyDescent="0.2">
      <c r="A41" s="153"/>
    </row>
    <row r="42" spans="1:15" ht="15.75" x14ac:dyDescent="0.25">
      <c r="A42" s="145" t="s">
        <v>294</v>
      </c>
      <c r="B42" s="965"/>
      <c r="C42" s="965"/>
      <c r="D42" s="965"/>
      <c r="E42" s="297"/>
      <c r="F42" s="966"/>
      <c r="G42" s="966"/>
      <c r="H42" s="966"/>
      <c r="I42" s="300"/>
      <c r="J42" s="966"/>
      <c r="K42" s="966"/>
      <c r="L42" s="966"/>
      <c r="M42" s="300"/>
    </row>
    <row r="43" spans="1:15" ht="15.75" x14ac:dyDescent="0.25">
      <c r="A43" s="161"/>
      <c r="B43" s="301"/>
      <c r="C43" s="301"/>
      <c r="D43" s="301"/>
      <c r="E43" s="301"/>
      <c r="F43" s="300"/>
      <c r="G43" s="300"/>
      <c r="H43" s="300"/>
      <c r="I43" s="300"/>
      <c r="J43" s="300"/>
      <c r="K43" s="300"/>
      <c r="L43" s="300"/>
      <c r="M43" s="300"/>
    </row>
    <row r="44" spans="1:15" ht="15.75" x14ac:dyDescent="0.25">
      <c r="A44" s="246"/>
      <c r="B44" s="960" t="s">
        <v>0</v>
      </c>
      <c r="C44" s="961"/>
      <c r="D44" s="961"/>
      <c r="E44" s="241"/>
      <c r="F44" s="300"/>
      <c r="G44" s="300"/>
      <c r="H44" s="300"/>
      <c r="I44" s="300"/>
      <c r="J44" s="300"/>
      <c r="K44" s="300"/>
      <c r="L44" s="300"/>
      <c r="M44" s="300"/>
    </row>
    <row r="45" spans="1:15" s="3" customFormat="1" x14ac:dyDescent="0.2">
      <c r="A45" s="139"/>
      <c r="B45" s="171" t="s">
        <v>504</v>
      </c>
      <c r="C45" s="171" t="s">
        <v>505</v>
      </c>
      <c r="D45" s="160" t="s">
        <v>3</v>
      </c>
      <c r="E45" s="160" t="s">
        <v>32</v>
      </c>
      <c r="F45" s="173"/>
      <c r="G45" s="173"/>
      <c r="H45" s="172"/>
      <c r="I45" s="172"/>
      <c r="J45" s="173"/>
      <c r="K45" s="173"/>
      <c r="L45" s="172"/>
      <c r="M45" s="172"/>
      <c r="N45" s="146"/>
      <c r="O45" s="146"/>
    </row>
    <row r="46" spans="1:15" s="3" customFormat="1" x14ac:dyDescent="0.2">
      <c r="A46" s="934"/>
      <c r="B46" s="242"/>
      <c r="C46" s="242"/>
      <c r="D46" s="243" t="s">
        <v>4</v>
      </c>
      <c r="E46" s="154" t="s">
        <v>33</v>
      </c>
      <c r="F46" s="172"/>
      <c r="G46" s="172"/>
      <c r="H46" s="172"/>
      <c r="I46" s="172"/>
      <c r="J46" s="172"/>
      <c r="K46" s="172"/>
      <c r="L46" s="172"/>
      <c r="M46" s="172"/>
      <c r="N46" s="146"/>
      <c r="O46" s="146"/>
    </row>
    <row r="47" spans="1:15" s="3" customFormat="1" ht="15.75" x14ac:dyDescent="0.2">
      <c r="A47" s="14" t="s">
        <v>26</v>
      </c>
      <c r="B47" s="308">
        <f>SUM(B48:B49)</f>
        <v>3498.63</v>
      </c>
      <c r="C47" s="309">
        <f>SUM(C48:C49)</f>
        <v>3224.4585299999999</v>
      </c>
      <c r="D47" s="424">
        <f t="shared" ref="D47:D48" si="0">IF(B47=0, "    ---- ", IF(ABS(ROUND(100/B47*C47-100,1))&lt;999,ROUND(100/B47*C47-100,1),IF(ROUND(100/B47*C47-100,1)&gt;999,999,-999)))</f>
        <v>-7.8</v>
      </c>
      <c r="E47" s="11">
        <f>IFERROR(100/'Skjema total MA'!C47*C47,0)</f>
        <v>8.4662919612070134E-2</v>
      </c>
      <c r="F47" s="143"/>
      <c r="G47" s="32"/>
      <c r="H47" s="157"/>
      <c r="I47" s="157"/>
      <c r="J47" s="36"/>
      <c r="K47" s="36"/>
      <c r="L47" s="157"/>
      <c r="M47" s="157"/>
      <c r="N47" s="146"/>
      <c r="O47" s="146"/>
    </row>
    <row r="48" spans="1:15" s="3" customFormat="1" ht="15.75" x14ac:dyDescent="0.2">
      <c r="A48" s="37" t="s">
        <v>312</v>
      </c>
      <c r="B48" s="279">
        <v>586.58541000000002</v>
      </c>
      <c r="C48" s="280">
        <v>795.50834999999995</v>
      </c>
      <c r="D48" s="253">
        <f t="shared" si="0"/>
        <v>35.6</v>
      </c>
      <c r="E48" s="26">
        <f>IFERROR(100/'Skjema total MA'!C48*C48,0)</f>
        <v>3.8821228652105938E-2</v>
      </c>
      <c r="F48" s="143"/>
      <c r="G48" s="32"/>
      <c r="H48" s="143"/>
      <c r="I48" s="143"/>
      <c r="J48" s="32"/>
      <c r="K48" s="32"/>
      <c r="L48" s="157"/>
      <c r="M48" s="157"/>
      <c r="N48" s="146"/>
      <c r="O48" s="146"/>
    </row>
    <row r="49" spans="1:15" s="3" customFormat="1" ht="15.75" x14ac:dyDescent="0.2">
      <c r="A49" s="37" t="s">
        <v>313</v>
      </c>
      <c r="B49" s="43">
        <v>2912.04459</v>
      </c>
      <c r="C49" s="285">
        <v>2428.9501799999998</v>
      </c>
      <c r="D49" s="253">
        <f>IF(B49=0, "    ---- ", IF(ABS(ROUND(100/B49*C49-100,1))&lt;999,ROUND(100/B49*C49-100,1),IF(ROUND(100/B49*C49-100,1)&gt;999,999,-999)))</f>
        <v>-16.600000000000001</v>
      </c>
      <c r="E49" s="26">
        <f>IFERROR(100/'Skjema total MA'!C49*C49,0)</f>
        <v>0.13805355369856026</v>
      </c>
      <c r="F49" s="143"/>
      <c r="G49" s="32"/>
      <c r="H49" s="143"/>
      <c r="I49" s="143"/>
      <c r="J49" s="36"/>
      <c r="K49" s="36"/>
      <c r="L49" s="157"/>
      <c r="M49" s="157"/>
      <c r="N49" s="146"/>
      <c r="O49" s="146"/>
    </row>
    <row r="50" spans="1:15" s="3" customFormat="1" x14ac:dyDescent="0.2">
      <c r="A50" s="294" t="s">
        <v>6</v>
      </c>
      <c r="B50" s="288">
        <v>2912.04459</v>
      </c>
      <c r="C50" s="289">
        <v>2428.9501799999998</v>
      </c>
      <c r="D50" s="253">
        <f t="shared" ref="D50" si="1">IF(B50=0, "    ---- ", IF(ABS(ROUND(100/B50*C50-100,1))&lt;999,ROUND(100/B50*C50-100,1),IF(ROUND(100/B50*C50-100,1)&gt;999,999,-999)))</f>
        <v>-16.600000000000001</v>
      </c>
      <c r="E50" s="26">
        <f>IFERROR(100/'Skjema total MA'!C50*C50,0)</f>
        <v>89.876228681163667</v>
      </c>
      <c r="F50" s="143"/>
      <c r="G50" s="32"/>
      <c r="H50" s="143"/>
      <c r="I50" s="143"/>
      <c r="J50" s="32"/>
      <c r="K50" s="32"/>
      <c r="L50" s="157"/>
      <c r="M50" s="157"/>
      <c r="N50" s="146"/>
      <c r="O50" s="146"/>
    </row>
    <row r="51" spans="1:15" s="3" customFormat="1" x14ac:dyDescent="0.2">
      <c r="A51" s="294" t="s">
        <v>7</v>
      </c>
      <c r="B51" s="288"/>
      <c r="C51" s="289"/>
      <c r="D51" s="253"/>
      <c r="E51" s="22"/>
      <c r="F51" s="143"/>
      <c r="G51" s="32"/>
      <c r="H51" s="143"/>
      <c r="I51" s="143"/>
      <c r="J51" s="32"/>
      <c r="K51" s="32"/>
      <c r="L51" s="157"/>
      <c r="M51" s="157"/>
      <c r="N51" s="146"/>
      <c r="O51" s="146"/>
    </row>
    <row r="52" spans="1:15" s="3" customFormat="1" x14ac:dyDescent="0.2">
      <c r="A52" s="294" t="s">
        <v>8</v>
      </c>
      <c r="B52" s="288"/>
      <c r="C52" s="289"/>
      <c r="D52" s="253"/>
      <c r="E52" s="22"/>
      <c r="F52" s="143"/>
      <c r="G52" s="32"/>
      <c r="H52" s="143"/>
      <c r="I52" s="143"/>
      <c r="J52" s="32"/>
      <c r="K52" s="32"/>
      <c r="L52" s="157"/>
      <c r="M52" s="157"/>
      <c r="N52" s="146"/>
      <c r="O52" s="146"/>
    </row>
    <row r="53" spans="1:15" s="3" customFormat="1" ht="15.75" x14ac:dyDescent="0.2">
      <c r="A53" s="38" t="s">
        <v>314</v>
      </c>
      <c r="B53" s="308"/>
      <c r="C53" s="309"/>
      <c r="D53" s="425"/>
      <c r="E53" s="11"/>
      <c r="F53" s="143"/>
      <c r="G53" s="32"/>
      <c r="H53" s="143"/>
      <c r="I53" s="143"/>
      <c r="J53" s="32"/>
      <c r="K53" s="32"/>
      <c r="L53" s="157"/>
      <c r="M53" s="157"/>
      <c r="N53" s="146"/>
      <c r="O53" s="146"/>
    </row>
    <row r="54" spans="1:15" s="3" customFormat="1" ht="15.75" x14ac:dyDescent="0.2">
      <c r="A54" s="37" t="s">
        <v>312</v>
      </c>
      <c r="B54" s="279"/>
      <c r="C54" s="280"/>
      <c r="D54" s="253"/>
      <c r="E54" s="26"/>
      <c r="F54" s="143"/>
      <c r="G54" s="32"/>
      <c r="H54" s="143"/>
      <c r="I54" s="143"/>
      <c r="J54" s="32"/>
      <c r="K54" s="32"/>
      <c r="L54" s="157"/>
      <c r="M54" s="157"/>
      <c r="N54" s="146"/>
      <c r="O54" s="146"/>
    </row>
    <row r="55" spans="1:15" s="3" customFormat="1" ht="15.75" x14ac:dyDescent="0.2">
      <c r="A55" s="37" t="s">
        <v>313</v>
      </c>
      <c r="B55" s="279"/>
      <c r="C55" s="280"/>
      <c r="D55" s="253"/>
      <c r="E55" s="26"/>
      <c r="F55" s="143"/>
      <c r="G55" s="32"/>
      <c r="H55" s="143"/>
      <c r="I55" s="143"/>
      <c r="J55" s="32"/>
      <c r="K55" s="32"/>
      <c r="L55" s="157"/>
      <c r="M55" s="157"/>
      <c r="N55" s="146"/>
      <c r="O55" s="146"/>
    </row>
    <row r="56" spans="1:15" s="3" customFormat="1" ht="15.75" x14ac:dyDescent="0.2">
      <c r="A56" s="38" t="s">
        <v>315</v>
      </c>
      <c r="B56" s="308"/>
      <c r="C56" s="309"/>
      <c r="D56" s="425"/>
      <c r="E56" s="11"/>
      <c r="F56" s="143"/>
      <c r="G56" s="32"/>
      <c r="H56" s="143"/>
      <c r="I56" s="143"/>
      <c r="J56" s="32"/>
      <c r="K56" s="32"/>
      <c r="L56" s="157"/>
      <c r="M56" s="157"/>
      <c r="N56" s="146"/>
      <c r="O56" s="146"/>
    </row>
    <row r="57" spans="1:15" s="3" customFormat="1" ht="15.75" x14ac:dyDescent="0.2">
      <c r="A57" s="37" t="s">
        <v>312</v>
      </c>
      <c r="B57" s="279"/>
      <c r="C57" s="280"/>
      <c r="D57" s="253"/>
      <c r="E57" s="26"/>
      <c r="F57" s="143"/>
      <c r="G57" s="32"/>
      <c r="H57" s="143"/>
      <c r="I57" s="143"/>
      <c r="J57" s="32"/>
      <c r="K57" s="32"/>
      <c r="L57" s="157"/>
      <c r="M57" s="157"/>
      <c r="N57" s="146"/>
      <c r="O57" s="146"/>
    </row>
    <row r="58" spans="1:15" s="3" customFormat="1" ht="15.75" x14ac:dyDescent="0.2">
      <c r="A58" s="45" t="s">
        <v>313</v>
      </c>
      <c r="B58" s="281"/>
      <c r="C58" s="282"/>
      <c r="D58" s="254"/>
      <c r="E58" s="21"/>
      <c r="F58" s="143"/>
      <c r="G58" s="32"/>
      <c r="H58" s="143"/>
      <c r="I58" s="143"/>
      <c r="J58" s="32"/>
      <c r="K58" s="32"/>
      <c r="L58" s="157"/>
      <c r="M58" s="157"/>
      <c r="N58" s="146"/>
      <c r="O58" s="146"/>
    </row>
    <row r="59" spans="1:15" s="3" customFormat="1" ht="15.75" x14ac:dyDescent="0.25">
      <c r="A59" s="162"/>
      <c r="B59" s="152"/>
      <c r="C59" s="152"/>
      <c r="D59" s="152"/>
      <c r="E59" s="152"/>
      <c r="F59" s="140"/>
      <c r="G59" s="140"/>
      <c r="H59" s="140"/>
      <c r="I59" s="140"/>
      <c r="J59" s="140"/>
      <c r="K59" s="140"/>
      <c r="L59" s="140"/>
      <c r="M59" s="140"/>
      <c r="N59" s="146"/>
      <c r="O59" s="146"/>
    </row>
    <row r="60" spans="1:15" x14ac:dyDescent="0.2">
      <c r="A60" s="153"/>
    </row>
    <row r="61" spans="1:15" ht="15.75" x14ac:dyDescent="0.25">
      <c r="A61" s="145" t="s">
        <v>295</v>
      </c>
      <c r="C61" s="25"/>
      <c r="D61" s="25"/>
      <c r="E61" s="25"/>
      <c r="F61" s="25"/>
      <c r="G61" s="25"/>
      <c r="H61" s="25"/>
      <c r="I61" s="25"/>
      <c r="J61" s="25"/>
      <c r="K61" s="25"/>
      <c r="L61" s="25"/>
      <c r="M61" s="25"/>
    </row>
    <row r="62" spans="1:15" ht="15.75" x14ac:dyDescent="0.25">
      <c r="B62" s="963"/>
      <c r="C62" s="963"/>
      <c r="D62" s="963"/>
      <c r="E62" s="297"/>
      <c r="F62" s="963"/>
      <c r="G62" s="963"/>
      <c r="H62" s="963"/>
      <c r="I62" s="297"/>
      <c r="J62" s="963"/>
      <c r="K62" s="963"/>
      <c r="L62" s="963"/>
      <c r="M62" s="297"/>
    </row>
    <row r="63" spans="1:15" x14ac:dyDescent="0.2">
      <c r="A63" s="142"/>
      <c r="B63" s="960" t="s">
        <v>0</v>
      </c>
      <c r="C63" s="961"/>
      <c r="D63" s="962"/>
      <c r="E63" s="298"/>
      <c r="F63" s="961" t="s">
        <v>1</v>
      </c>
      <c r="G63" s="961"/>
      <c r="H63" s="961"/>
      <c r="I63" s="302"/>
      <c r="J63" s="960" t="s">
        <v>2</v>
      </c>
      <c r="K63" s="961"/>
      <c r="L63" s="961"/>
      <c r="M63" s="302"/>
    </row>
    <row r="64" spans="1:15" x14ac:dyDescent="0.2">
      <c r="A64" s="139"/>
      <c r="B64" s="150" t="s">
        <v>504</v>
      </c>
      <c r="C64" s="150" t="s">
        <v>505</v>
      </c>
      <c r="D64" s="243" t="s">
        <v>3</v>
      </c>
      <c r="E64" s="303" t="s">
        <v>32</v>
      </c>
      <c r="F64" s="150" t="s">
        <v>504</v>
      </c>
      <c r="G64" s="150" t="s">
        <v>505</v>
      </c>
      <c r="H64" s="243" t="s">
        <v>3</v>
      </c>
      <c r="I64" s="303" t="s">
        <v>32</v>
      </c>
      <c r="J64" s="150" t="s">
        <v>504</v>
      </c>
      <c r="K64" s="150" t="s">
        <v>505</v>
      </c>
      <c r="L64" s="243" t="s">
        <v>3</v>
      </c>
      <c r="M64" s="160" t="s">
        <v>32</v>
      </c>
    </row>
    <row r="65" spans="1:15" x14ac:dyDescent="0.2">
      <c r="A65" s="934"/>
      <c r="B65" s="154"/>
      <c r="C65" s="154"/>
      <c r="D65" s="245" t="s">
        <v>4</v>
      </c>
      <c r="E65" s="154" t="s">
        <v>33</v>
      </c>
      <c r="F65" s="159"/>
      <c r="G65" s="159"/>
      <c r="H65" s="243" t="s">
        <v>4</v>
      </c>
      <c r="I65" s="154" t="s">
        <v>33</v>
      </c>
      <c r="J65" s="159"/>
      <c r="K65" s="204"/>
      <c r="L65" s="154" t="s">
        <v>4</v>
      </c>
      <c r="M65" s="154" t="s">
        <v>33</v>
      </c>
    </row>
    <row r="66" spans="1:15" ht="15.75" x14ac:dyDescent="0.2">
      <c r="A66" s="14" t="s">
        <v>26</v>
      </c>
      <c r="B66" s="350"/>
      <c r="C66" s="350"/>
      <c r="D66" s="348"/>
      <c r="E66" s="11"/>
      <c r="F66" s="350"/>
      <c r="G66" s="350"/>
      <c r="H66" s="348"/>
      <c r="I66" s="11"/>
      <c r="J66" s="307"/>
      <c r="K66" s="314"/>
      <c r="L66" s="425"/>
      <c r="M66" s="11"/>
    </row>
    <row r="67" spans="1:15" x14ac:dyDescent="0.2">
      <c r="A67" s="416" t="s">
        <v>9</v>
      </c>
      <c r="B67" s="43"/>
      <c r="C67" s="143"/>
      <c r="D67" s="164"/>
      <c r="E67" s="26"/>
      <c r="F67" s="232"/>
      <c r="G67" s="143"/>
      <c r="H67" s="164"/>
      <c r="I67" s="26"/>
      <c r="J67" s="285"/>
      <c r="K67" s="43"/>
      <c r="L67" s="253"/>
      <c r="M67" s="26"/>
    </row>
    <row r="68" spans="1:15" x14ac:dyDescent="0.2">
      <c r="A68" s="20" t="s">
        <v>10</v>
      </c>
      <c r="B68" s="290"/>
      <c r="C68" s="291"/>
      <c r="D68" s="164"/>
      <c r="E68" s="26"/>
      <c r="F68" s="290"/>
      <c r="G68" s="291"/>
      <c r="H68" s="164"/>
      <c r="I68" s="26"/>
      <c r="J68" s="285"/>
      <c r="K68" s="43"/>
      <c r="L68" s="253"/>
      <c r="M68" s="26"/>
    </row>
    <row r="69" spans="1:15" ht="15.75" x14ac:dyDescent="0.2">
      <c r="A69" s="294" t="s">
        <v>316</v>
      </c>
      <c r="B69" s="279"/>
      <c r="C69" s="279"/>
      <c r="D69" s="164"/>
      <c r="E69" s="414"/>
      <c r="F69" s="279"/>
      <c r="G69" s="279"/>
      <c r="H69" s="164"/>
      <c r="I69" s="414"/>
      <c r="J69" s="288"/>
      <c r="K69" s="288"/>
      <c r="L69" s="164"/>
      <c r="M69" s="22"/>
    </row>
    <row r="70" spans="1:15" x14ac:dyDescent="0.2">
      <c r="A70" s="294" t="s">
        <v>12</v>
      </c>
      <c r="B70" s="292"/>
      <c r="C70" s="293"/>
      <c r="D70" s="164"/>
      <c r="E70" s="414"/>
      <c r="F70" s="279"/>
      <c r="G70" s="279"/>
      <c r="H70" s="164"/>
      <c r="I70" s="414"/>
      <c r="J70" s="288"/>
      <c r="K70" s="288"/>
      <c r="L70" s="164"/>
      <c r="M70" s="22"/>
    </row>
    <row r="71" spans="1:15" x14ac:dyDescent="0.2">
      <c r="A71" s="294" t="s">
        <v>13</v>
      </c>
      <c r="B71" s="233"/>
      <c r="C71" s="287"/>
      <c r="D71" s="164"/>
      <c r="E71" s="414"/>
      <c r="F71" s="279"/>
      <c r="G71" s="279"/>
      <c r="H71" s="164"/>
      <c r="I71" s="414"/>
      <c r="J71" s="288"/>
      <c r="K71" s="288"/>
      <c r="L71" s="164"/>
      <c r="M71" s="22"/>
    </row>
    <row r="72" spans="1:15" ht="15.75" x14ac:dyDescent="0.2">
      <c r="A72" s="294" t="s">
        <v>317</v>
      </c>
      <c r="B72" s="279"/>
      <c r="C72" s="279"/>
      <c r="D72" s="164"/>
      <c r="E72" s="414"/>
      <c r="F72" s="279"/>
      <c r="G72" s="279"/>
      <c r="H72" s="164"/>
      <c r="I72" s="414"/>
      <c r="J72" s="288"/>
      <c r="K72" s="288"/>
      <c r="L72" s="164"/>
      <c r="M72" s="22"/>
    </row>
    <row r="73" spans="1:15" x14ac:dyDescent="0.2">
      <c r="A73" s="294" t="s">
        <v>12</v>
      </c>
      <c r="B73" s="233"/>
      <c r="C73" s="287"/>
      <c r="D73" s="164"/>
      <c r="E73" s="414"/>
      <c r="F73" s="279"/>
      <c r="G73" s="279"/>
      <c r="H73" s="164"/>
      <c r="I73" s="414"/>
      <c r="J73" s="288"/>
      <c r="K73" s="288"/>
      <c r="L73" s="164"/>
      <c r="M73" s="22"/>
    </row>
    <row r="74" spans="1:15" s="3" customFormat="1" x14ac:dyDescent="0.2">
      <c r="A74" s="294" t="s">
        <v>13</v>
      </c>
      <c r="B74" s="233"/>
      <c r="C74" s="287"/>
      <c r="D74" s="164"/>
      <c r="E74" s="414"/>
      <c r="F74" s="279"/>
      <c r="G74" s="279"/>
      <c r="H74" s="164"/>
      <c r="I74" s="414"/>
      <c r="J74" s="288"/>
      <c r="K74" s="288"/>
      <c r="L74" s="164"/>
      <c r="M74" s="22"/>
      <c r="N74" s="146"/>
      <c r="O74" s="146"/>
    </row>
    <row r="75" spans="1:15" s="3" customFormat="1" x14ac:dyDescent="0.2">
      <c r="A75" s="20" t="s">
        <v>395</v>
      </c>
      <c r="B75" s="232"/>
      <c r="C75" s="143"/>
      <c r="D75" s="164"/>
      <c r="E75" s="26"/>
      <c r="F75" s="232"/>
      <c r="G75" s="143"/>
      <c r="H75" s="164"/>
      <c r="I75" s="26"/>
      <c r="J75" s="285"/>
      <c r="K75" s="43"/>
      <c r="L75" s="253"/>
      <c r="M75" s="26"/>
      <c r="N75" s="146"/>
      <c r="O75" s="146"/>
    </row>
    <row r="76" spans="1:15" s="3" customFormat="1" x14ac:dyDescent="0.2">
      <c r="A76" s="20" t="s">
        <v>394</v>
      </c>
      <c r="B76" s="232"/>
      <c r="C76" s="143"/>
      <c r="D76" s="164"/>
      <c r="E76" s="26"/>
      <c r="F76" s="232"/>
      <c r="G76" s="143"/>
      <c r="H76" s="164"/>
      <c r="I76" s="26"/>
      <c r="J76" s="285"/>
      <c r="K76" s="43"/>
      <c r="L76" s="253"/>
      <c r="M76" s="26"/>
      <c r="N76" s="146"/>
      <c r="O76" s="146"/>
    </row>
    <row r="77" spans="1:15" ht="15.75" x14ac:dyDescent="0.2">
      <c r="A77" s="20" t="s">
        <v>318</v>
      </c>
      <c r="B77" s="232"/>
      <c r="C77" s="232"/>
      <c r="D77" s="164"/>
      <c r="E77" s="26"/>
      <c r="F77" s="232"/>
      <c r="G77" s="143"/>
      <c r="H77" s="164"/>
      <c r="I77" s="26"/>
      <c r="J77" s="285"/>
      <c r="K77" s="43"/>
      <c r="L77" s="253"/>
      <c r="M77" s="26"/>
    </row>
    <row r="78" spans="1:15" x14ac:dyDescent="0.2">
      <c r="A78" s="20" t="s">
        <v>9</v>
      </c>
      <c r="B78" s="232"/>
      <c r="C78" s="143"/>
      <c r="D78" s="164"/>
      <c r="E78" s="26"/>
      <c r="F78" s="232"/>
      <c r="G78" s="143"/>
      <c r="H78" s="164"/>
      <c r="I78" s="26"/>
      <c r="J78" s="285"/>
      <c r="K78" s="43"/>
      <c r="L78" s="253"/>
      <c r="M78" s="26"/>
    </row>
    <row r="79" spans="1:15" x14ac:dyDescent="0.2">
      <c r="A79" s="20" t="s">
        <v>10</v>
      </c>
      <c r="B79" s="290"/>
      <c r="C79" s="291"/>
      <c r="D79" s="164"/>
      <c r="E79" s="26"/>
      <c r="F79" s="290"/>
      <c r="G79" s="291"/>
      <c r="H79" s="164"/>
      <c r="I79" s="26"/>
      <c r="J79" s="285"/>
      <c r="K79" s="43"/>
      <c r="L79" s="253"/>
      <c r="M79" s="26"/>
    </row>
    <row r="80" spans="1:15" ht="15.75" x14ac:dyDescent="0.2">
      <c r="A80" s="294" t="s">
        <v>316</v>
      </c>
      <c r="B80" s="279"/>
      <c r="C80" s="279"/>
      <c r="D80" s="164"/>
      <c r="E80" s="414"/>
      <c r="F80" s="279"/>
      <c r="G80" s="279"/>
      <c r="H80" s="164"/>
      <c r="I80" s="414"/>
      <c r="J80" s="288"/>
      <c r="K80" s="288"/>
      <c r="L80" s="164"/>
      <c r="M80" s="22"/>
    </row>
    <row r="81" spans="1:13" x14ac:dyDescent="0.2">
      <c r="A81" s="294" t="s">
        <v>12</v>
      </c>
      <c r="B81" s="233"/>
      <c r="C81" s="287"/>
      <c r="D81" s="164"/>
      <c r="E81" s="414"/>
      <c r="F81" s="279"/>
      <c r="G81" s="279"/>
      <c r="H81" s="164"/>
      <c r="I81" s="414"/>
      <c r="J81" s="288"/>
      <c r="K81" s="288"/>
      <c r="L81" s="164"/>
      <c r="M81" s="22"/>
    </row>
    <row r="82" spans="1:13" x14ac:dyDescent="0.2">
      <c r="A82" s="294" t="s">
        <v>13</v>
      </c>
      <c r="B82" s="233"/>
      <c r="C82" s="287"/>
      <c r="D82" s="164"/>
      <c r="E82" s="414"/>
      <c r="F82" s="279"/>
      <c r="G82" s="279"/>
      <c r="H82" s="164"/>
      <c r="I82" s="414"/>
      <c r="J82" s="288"/>
      <c r="K82" s="288"/>
      <c r="L82" s="164"/>
      <c r="M82" s="22"/>
    </row>
    <row r="83" spans="1:13" ht="15.75" x14ac:dyDescent="0.2">
      <c r="A83" s="294" t="s">
        <v>317</v>
      </c>
      <c r="B83" s="279"/>
      <c r="C83" s="279"/>
      <c r="D83" s="164"/>
      <c r="E83" s="414"/>
      <c r="F83" s="279"/>
      <c r="G83" s="279"/>
      <c r="H83" s="164"/>
      <c r="I83" s="414"/>
      <c r="J83" s="288"/>
      <c r="K83" s="288"/>
      <c r="L83" s="164"/>
      <c r="M83" s="22"/>
    </row>
    <row r="84" spans="1:13" x14ac:dyDescent="0.2">
      <c r="A84" s="294" t="s">
        <v>12</v>
      </c>
      <c r="B84" s="233"/>
      <c r="C84" s="287"/>
      <c r="D84" s="164"/>
      <c r="E84" s="414"/>
      <c r="F84" s="279"/>
      <c r="G84" s="279"/>
      <c r="H84" s="164"/>
      <c r="I84" s="414"/>
      <c r="J84" s="288"/>
      <c r="K84" s="288"/>
      <c r="L84" s="164"/>
      <c r="M84" s="22"/>
    </row>
    <row r="85" spans="1:13" x14ac:dyDescent="0.2">
      <c r="A85" s="294" t="s">
        <v>13</v>
      </c>
      <c r="B85" s="233"/>
      <c r="C85" s="287"/>
      <c r="D85" s="164"/>
      <c r="E85" s="414"/>
      <c r="F85" s="279"/>
      <c r="G85" s="279"/>
      <c r="H85" s="164"/>
      <c r="I85" s="414"/>
      <c r="J85" s="288"/>
      <c r="K85" s="288"/>
      <c r="L85" s="164"/>
      <c r="M85" s="22"/>
    </row>
    <row r="86" spans="1:13" ht="15.75" x14ac:dyDescent="0.2">
      <c r="A86" s="20" t="s">
        <v>327</v>
      </c>
      <c r="B86" s="232"/>
      <c r="C86" s="143"/>
      <c r="D86" s="164"/>
      <c r="E86" s="26"/>
      <c r="F86" s="232"/>
      <c r="G86" s="143"/>
      <c r="H86" s="164"/>
      <c r="I86" s="26"/>
      <c r="J86" s="285"/>
      <c r="K86" s="43"/>
      <c r="L86" s="253"/>
      <c r="M86" s="26"/>
    </row>
    <row r="87" spans="1:13" ht="15.75" x14ac:dyDescent="0.2">
      <c r="A87" s="13" t="s">
        <v>25</v>
      </c>
      <c r="B87" s="350"/>
      <c r="C87" s="350"/>
      <c r="D87" s="169"/>
      <c r="E87" s="11"/>
      <c r="F87" s="350"/>
      <c r="G87" s="350"/>
      <c r="H87" s="169"/>
      <c r="I87" s="11"/>
      <c r="J87" s="307"/>
      <c r="K87" s="234"/>
      <c r="L87" s="425"/>
      <c r="M87" s="11"/>
    </row>
    <row r="88" spans="1:13" x14ac:dyDescent="0.2">
      <c r="A88" s="20" t="s">
        <v>9</v>
      </c>
      <c r="B88" s="232"/>
      <c r="C88" s="143"/>
      <c r="D88" s="164"/>
      <c r="E88" s="26"/>
      <c r="F88" s="232"/>
      <c r="G88" s="143"/>
      <c r="H88" s="164"/>
      <c r="I88" s="26"/>
      <c r="J88" s="285"/>
      <c r="K88" s="43"/>
      <c r="L88" s="253"/>
      <c r="M88" s="26"/>
    </row>
    <row r="89" spans="1:13" x14ac:dyDescent="0.2">
      <c r="A89" s="20" t="s">
        <v>10</v>
      </c>
      <c r="B89" s="232"/>
      <c r="C89" s="143"/>
      <c r="D89" s="164"/>
      <c r="E89" s="26"/>
      <c r="F89" s="232"/>
      <c r="G89" s="143"/>
      <c r="H89" s="164"/>
      <c r="I89" s="26"/>
      <c r="J89" s="285"/>
      <c r="K89" s="43"/>
      <c r="L89" s="253"/>
      <c r="M89" s="26"/>
    </row>
    <row r="90" spans="1:13" ht="15.75" x14ac:dyDescent="0.2">
      <c r="A90" s="294" t="s">
        <v>316</v>
      </c>
      <c r="B90" s="279"/>
      <c r="C90" s="279"/>
      <c r="D90" s="164"/>
      <c r="E90" s="414"/>
      <c r="F90" s="279"/>
      <c r="G90" s="279"/>
      <c r="H90" s="164"/>
      <c r="I90" s="414"/>
      <c r="J90" s="288"/>
      <c r="K90" s="288"/>
      <c r="L90" s="164"/>
      <c r="M90" s="22"/>
    </row>
    <row r="91" spans="1:13" x14ac:dyDescent="0.2">
      <c r="A91" s="294" t="s">
        <v>12</v>
      </c>
      <c r="B91" s="233"/>
      <c r="C91" s="287"/>
      <c r="D91" s="164"/>
      <c r="E91" s="414"/>
      <c r="F91" s="279"/>
      <c r="G91" s="279"/>
      <c r="H91" s="164"/>
      <c r="I91" s="414"/>
      <c r="J91" s="288"/>
      <c r="K91" s="288"/>
      <c r="L91" s="164"/>
      <c r="M91" s="22"/>
    </row>
    <row r="92" spans="1:13" x14ac:dyDescent="0.2">
      <c r="A92" s="294" t="s">
        <v>13</v>
      </c>
      <c r="B92" s="233"/>
      <c r="C92" s="287"/>
      <c r="D92" s="164"/>
      <c r="E92" s="414"/>
      <c r="F92" s="279"/>
      <c r="G92" s="279"/>
      <c r="H92" s="164"/>
      <c r="I92" s="414"/>
      <c r="J92" s="288"/>
      <c r="K92" s="288"/>
      <c r="L92" s="164"/>
      <c r="M92" s="22"/>
    </row>
    <row r="93" spans="1:13" ht="15.75" x14ac:dyDescent="0.2">
      <c r="A93" s="294" t="s">
        <v>317</v>
      </c>
      <c r="B93" s="279"/>
      <c r="C93" s="279"/>
      <c r="D93" s="164"/>
      <c r="E93" s="414"/>
      <c r="F93" s="279"/>
      <c r="G93" s="279"/>
      <c r="H93" s="164"/>
      <c r="I93" s="414"/>
      <c r="J93" s="288"/>
      <c r="K93" s="288"/>
      <c r="L93" s="164"/>
      <c r="M93" s="22"/>
    </row>
    <row r="94" spans="1:13" x14ac:dyDescent="0.2">
      <c r="A94" s="294" t="s">
        <v>12</v>
      </c>
      <c r="B94" s="233"/>
      <c r="C94" s="287"/>
      <c r="D94" s="164"/>
      <c r="E94" s="414"/>
      <c r="F94" s="279"/>
      <c r="G94" s="279"/>
      <c r="H94" s="164"/>
      <c r="I94" s="414"/>
      <c r="J94" s="288"/>
      <c r="K94" s="288"/>
      <c r="L94" s="164"/>
      <c r="M94" s="22"/>
    </row>
    <row r="95" spans="1:13" x14ac:dyDescent="0.2">
      <c r="A95" s="294" t="s">
        <v>13</v>
      </c>
      <c r="B95" s="233"/>
      <c r="C95" s="287"/>
      <c r="D95" s="164"/>
      <c r="E95" s="414"/>
      <c r="F95" s="279"/>
      <c r="G95" s="279"/>
      <c r="H95" s="164"/>
      <c r="I95" s="414"/>
      <c r="J95" s="288"/>
      <c r="K95" s="288"/>
      <c r="L95" s="164"/>
      <c r="M95" s="22"/>
    </row>
    <row r="96" spans="1:13" x14ac:dyDescent="0.2">
      <c r="A96" s="20" t="s">
        <v>393</v>
      </c>
      <c r="B96" s="232"/>
      <c r="C96" s="143"/>
      <c r="D96" s="164"/>
      <c r="E96" s="26"/>
      <c r="F96" s="232"/>
      <c r="G96" s="143"/>
      <c r="H96" s="164"/>
      <c r="I96" s="26"/>
      <c r="J96" s="285"/>
      <c r="K96" s="43"/>
      <c r="L96" s="253"/>
      <c r="M96" s="26"/>
    </row>
    <row r="97" spans="1:13" x14ac:dyDescent="0.2">
      <c r="A97" s="20" t="s">
        <v>392</v>
      </c>
      <c r="B97" s="232"/>
      <c r="C97" s="143"/>
      <c r="D97" s="164"/>
      <c r="E97" s="26"/>
      <c r="F97" s="232"/>
      <c r="G97" s="143"/>
      <c r="H97" s="164"/>
      <c r="I97" s="26"/>
      <c r="J97" s="285"/>
      <c r="K97" s="43"/>
      <c r="L97" s="253"/>
      <c r="M97" s="26"/>
    </row>
    <row r="98" spans="1:13" ht="15.75" x14ac:dyDescent="0.2">
      <c r="A98" s="20" t="s">
        <v>318</v>
      </c>
      <c r="B98" s="232"/>
      <c r="C98" s="232"/>
      <c r="D98" s="164"/>
      <c r="E98" s="26"/>
      <c r="F98" s="290"/>
      <c r="G98" s="290"/>
      <c r="H98" s="164"/>
      <c r="I98" s="26"/>
      <c r="J98" s="285"/>
      <c r="K98" s="43"/>
      <c r="L98" s="253"/>
      <c r="M98" s="26"/>
    </row>
    <row r="99" spans="1:13" x14ac:dyDescent="0.2">
      <c r="A99" s="20" t="s">
        <v>9</v>
      </c>
      <c r="B99" s="290"/>
      <c r="C99" s="291"/>
      <c r="D99" s="164"/>
      <c r="E99" s="26"/>
      <c r="F99" s="232"/>
      <c r="G99" s="143"/>
      <c r="H99" s="164"/>
      <c r="I99" s="26"/>
      <c r="J99" s="285"/>
      <c r="K99" s="43"/>
      <c r="L99" s="253"/>
      <c r="M99" s="26"/>
    </row>
    <row r="100" spans="1:13" x14ac:dyDescent="0.2">
      <c r="A100" s="20" t="s">
        <v>10</v>
      </c>
      <c r="B100" s="290"/>
      <c r="C100" s="291"/>
      <c r="D100" s="164"/>
      <c r="E100" s="26"/>
      <c r="F100" s="232"/>
      <c r="G100" s="232"/>
      <c r="H100" s="164"/>
      <c r="I100" s="26"/>
      <c r="J100" s="285"/>
      <c r="K100" s="43"/>
      <c r="L100" s="253"/>
      <c r="M100" s="26"/>
    </row>
    <row r="101" spans="1:13" ht="15.75" x14ac:dyDescent="0.2">
      <c r="A101" s="294" t="s">
        <v>316</v>
      </c>
      <c r="B101" s="279"/>
      <c r="C101" s="279"/>
      <c r="D101" s="164"/>
      <c r="E101" s="414"/>
      <c r="F101" s="279"/>
      <c r="G101" s="279"/>
      <c r="H101" s="164"/>
      <c r="I101" s="414"/>
      <c r="J101" s="288"/>
      <c r="K101" s="288"/>
      <c r="L101" s="164"/>
      <c r="M101" s="22"/>
    </row>
    <row r="102" spans="1:13" x14ac:dyDescent="0.2">
      <c r="A102" s="294" t="s">
        <v>12</v>
      </c>
      <c r="B102" s="233"/>
      <c r="C102" s="287"/>
      <c r="D102" s="164"/>
      <c r="E102" s="414"/>
      <c r="F102" s="279"/>
      <c r="G102" s="279"/>
      <c r="H102" s="164"/>
      <c r="I102" s="414"/>
      <c r="J102" s="288"/>
      <c r="K102" s="288"/>
      <c r="L102" s="164"/>
      <c r="M102" s="22"/>
    </row>
    <row r="103" spans="1:13" x14ac:dyDescent="0.2">
      <c r="A103" s="294" t="s">
        <v>13</v>
      </c>
      <c r="B103" s="233"/>
      <c r="C103" s="287"/>
      <c r="D103" s="164"/>
      <c r="E103" s="414"/>
      <c r="F103" s="279"/>
      <c r="G103" s="279"/>
      <c r="H103" s="164"/>
      <c r="I103" s="414"/>
      <c r="J103" s="288"/>
      <c r="K103" s="288"/>
      <c r="L103" s="164"/>
      <c r="M103" s="22"/>
    </row>
    <row r="104" spans="1:13" ht="15.75" x14ac:dyDescent="0.2">
      <c r="A104" s="294" t="s">
        <v>317</v>
      </c>
      <c r="B104" s="279"/>
      <c r="C104" s="279"/>
      <c r="D104" s="164"/>
      <c r="E104" s="414"/>
      <c r="F104" s="279"/>
      <c r="G104" s="279"/>
      <c r="H104" s="164"/>
      <c r="I104" s="414"/>
      <c r="J104" s="288"/>
      <c r="K104" s="288"/>
      <c r="L104" s="164"/>
      <c r="M104" s="22"/>
    </row>
    <row r="105" spans="1:13" x14ac:dyDescent="0.2">
      <c r="A105" s="294" t="s">
        <v>12</v>
      </c>
      <c r="B105" s="233"/>
      <c r="C105" s="287"/>
      <c r="D105" s="164"/>
      <c r="E105" s="414"/>
      <c r="F105" s="279"/>
      <c r="G105" s="279"/>
      <c r="H105" s="164"/>
      <c r="I105" s="414"/>
      <c r="J105" s="288"/>
      <c r="K105" s="288"/>
      <c r="L105" s="164"/>
      <c r="M105" s="22"/>
    </row>
    <row r="106" spans="1:13" x14ac:dyDescent="0.2">
      <c r="A106" s="294" t="s">
        <v>13</v>
      </c>
      <c r="B106" s="233"/>
      <c r="C106" s="287"/>
      <c r="D106" s="164"/>
      <c r="E106" s="414"/>
      <c r="F106" s="279"/>
      <c r="G106" s="279"/>
      <c r="H106" s="164"/>
      <c r="I106" s="414"/>
      <c r="J106" s="288"/>
      <c r="K106" s="288"/>
      <c r="L106" s="164"/>
      <c r="M106" s="22"/>
    </row>
    <row r="107" spans="1:13" ht="15.75" x14ac:dyDescent="0.2">
      <c r="A107" s="20" t="s">
        <v>327</v>
      </c>
      <c r="B107" s="232"/>
      <c r="C107" s="143"/>
      <c r="D107" s="164"/>
      <c r="E107" s="26"/>
      <c r="F107" s="232"/>
      <c r="G107" s="143"/>
      <c r="H107" s="164"/>
      <c r="I107" s="26"/>
      <c r="J107" s="285"/>
      <c r="K107" s="43"/>
      <c r="L107" s="253"/>
      <c r="M107" s="26"/>
    </row>
    <row r="108" spans="1:13" ht="15.75" x14ac:dyDescent="0.2">
      <c r="A108" s="20" t="s">
        <v>328</v>
      </c>
      <c r="B108" s="232"/>
      <c r="C108" s="232"/>
      <c r="D108" s="164"/>
      <c r="E108" s="26"/>
      <c r="F108" s="232"/>
      <c r="G108" s="232"/>
      <c r="H108" s="164"/>
      <c r="I108" s="26"/>
      <c r="J108" s="285"/>
      <c r="K108" s="43"/>
      <c r="L108" s="253"/>
      <c r="M108" s="26"/>
    </row>
    <row r="109" spans="1:13" ht="15.75" x14ac:dyDescent="0.2">
      <c r="A109" s="20" t="s">
        <v>320</v>
      </c>
      <c r="B109" s="232"/>
      <c r="C109" s="232"/>
      <c r="D109" s="164"/>
      <c r="E109" s="26"/>
      <c r="F109" s="232"/>
      <c r="G109" s="232"/>
      <c r="H109" s="164"/>
      <c r="I109" s="26"/>
      <c r="J109" s="285"/>
      <c r="K109" s="43"/>
      <c r="L109" s="253"/>
      <c r="M109" s="26"/>
    </row>
    <row r="110" spans="1:13" ht="15.75" x14ac:dyDescent="0.2">
      <c r="A110" s="20" t="s">
        <v>321</v>
      </c>
      <c r="B110" s="232"/>
      <c r="C110" s="232"/>
      <c r="D110" s="164"/>
      <c r="E110" s="26"/>
      <c r="F110" s="232"/>
      <c r="G110" s="232"/>
      <c r="H110" s="164"/>
      <c r="I110" s="26"/>
      <c r="J110" s="285"/>
      <c r="K110" s="43"/>
      <c r="L110" s="253"/>
      <c r="M110" s="26"/>
    </row>
    <row r="111" spans="1:13" ht="15.75" x14ac:dyDescent="0.2">
      <c r="A111" s="13" t="s">
        <v>24</v>
      </c>
      <c r="B111" s="306"/>
      <c r="C111" s="157"/>
      <c r="D111" s="169"/>
      <c r="E111" s="11"/>
      <c r="F111" s="306"/>
      <c r="G111" s="157"/>
      <c r="H111" s="169"/>
      <c r="I111" s="11"/>
      <c r="J111" s="307"/>
      <c r="K111" s="234"/>
      <c r="L111" s="425"/>
      <c r="M111" s="11"/>
    </row>
    <row r="112" spans="1:13" x14ac:dyDescent="0.2">
      <c r="A112" s="20" t="s">
        <v>9</v>
      </c>
      <c r="B112" s="232"/>
      <c r="C112" s="143"/>
      <c r="D112" s="164"/>
      <c r="E112" s="26"/>
      <c r="F112" s="232"/>
      <c r="G112" s="143"/>
      <c r="H112" s="164"/>
      <c r="I112" s="26"/>
      <c r="J112" s="285"/>
      <c r="K112" s="43"/>
      <c r="L112" s="253"/>
      <c r="M112" s="26"/>
    </row>
    <row r="113" spans="1:14" x14ac:dyDescent="0.2">
      <c r="A113" s="20" t="s">
        <v>10</v>
      </c>
      <c r="B113" s="232"/>
      <c r="C113" s="143"/>
      <c r="D113" s="164"/>
      <c r="E113" s="26"/>
      <c r="F113" s="232"/>
      <c r="G113" s="143"/>
      <c r="H113" s="164"/>
      <c r="I113" s="26"/>
      <c r="J113" s="285"/>
      <c r="K113" s="43"/>
      <c r="L113" s="253"/>
      <c r="M113" s="26"/>
    </row>
    <row r="114" spans="1:14" x14ac:dyDescent="0.2">
      <c r="A114" s="20" t="s">
        <v>29</v>
      </c>
      <c r="B114" s="232"/>
      <c r="C114" s="143"/>
      <c r="D114" s="164"/>
      <c r="E114" s="26"/>
      <c r="F114" s="232"/>
      <c r="G114" s="143"/>
      <c r="H114" s="164"/>
      <c r="I114" s="26"/>
      <c r="J114" s="285"/>
      <c r="K114" s="43"/>
      <c r="L114" s="253"/>
      <c r="M114" s="26"/>
    </row>
    <row r="115" spans="1:14" x14ac:dyDescent="0.2">
      <c r="A115" s="294" t="s">
        <v>15</v>
      </c>
      <c r="B115" s="279"/>
      <c r="C115" s="279"/>
      <c r="D115" s="164"/>
      <c r="E115" s="414"/>
      <c r="F115" s="279"/>
      <c r="G115" s="279"/>
      <c r="H115" s="164"/>
      <c r="I115" s="414"/>
      <c r="J115" s="288"/>
      <c r="K115" s="288"/>
      <c r="L115" s="164"/>
      <c r="M115" s="22"/>
    </row>
    <row r="116" spans="1:14" ht="15.75" x14ac:dyDescent="0.2">
      <c r="A116" s="20" t="s">
        <v>329</v>
      </c>
      <c r="B116" s="232"/>
      <c r="C116" s="232"/>
      <c r="D116" s="164"/>
      <c r="E116" s="26"/>
      <c r="F116" s="232"/>
      <c r="G116" s="232"/>
      <c r="H116" s="164"/>
      <c r="I116" s="26"/>
      <c r="J116" s="285"/>
      <c r="K116" s="43"/>
      <c r="L116" s="253"/>
      <c r="M116" s="26"/>
    </row>
    <row r="117" spans="1:14" ht="15.75" x14ac:dyDescent="0.2">
      <c r="A117" s="20" t="s">
        <v>322</v>
      </c>
      <c r="B117" s="232"/>
      <c r="C117" s="232"/>
      <c r="D117" s="164"/>
      <c r="E117" s="26"/>
      <c r="F117" s="232"/>
      <c r="G117" s="232"/>
      <c r="H117" s="164"/>
      <c r="I117" s="26"/>
      <c r="J117" s="285"/>
      <c r="K117" s="43"/>
      <c r="L117" s="253"/>
      <c r="M117" s="26"/>
    </row>
    <row r="118" spans="1:14" ht="15.75" x14ac:dyDescent="0.2">
      <c r="A118" s="20" t="s">
        <v>321</v>
      </c>
      <c r="B118" s="232"/>
      <c r="C118" s="232"/>
      <c r="D118" s="164"/>
      <c r="E118" s="26"/>
      <c r="F118" s="232"/>
      <c r="G118" s="232"/>
      <c r="H118" s="164"/>
      <c r="I118" s="26"/>
      <c r="J118" s="285"/>
      <c r="K118" s="43"/>
      <c r="L118" s="253"/>
      <c r="M118" s="26"/>
    </row>
    <row r="119" spans="1:14" ht="15.75" x14ac:dyDescent="0.2">
      <c r="A119" s="13" t="s">
        <v>23</v>
      </c>
      <c r="B119" s="306"/>
      <c r="C119" s="157"/>
      <c r="D119" s="169"/>
      <c r="E119" s="11"/>
      <c r="F119" s="306"/>
      <c r="G119" s="157"/>
      <c r="H119" s="169"/>
      <c r="I119" s="11"/>
      <c r="J119" s="307"/>
      <c r="K119" s="234"/>
      <c r="L119" s="425"/>
      <c r="M119" s="11"/>
    </row>
    <row r="120" spans="1:14" x14ac:dyDescent="0.2">
      <c r="A120" s="20" t="s">
        <v>9</v>
      </c>
      <c r="B120" s="232"/>
      <c r="C120" s="143"/>
      <c r="D120" s="164"/>
      <c r="E120" s="26"/>
      <c r="F120" s="232"/>
      <c r="G120" s="143"/>
      <c r="H120" s="164"/>
      <c r="I120" s="26"/>
      <c r="J120" s="285"/>
      <c r="K120" s="43"/>
      <c r="L120" s="253"/>
      <c r="M120" s="26"/>
    </row>
    <row r="121" spans="1:14" x14ac:dyDescent="0.2">
      <c r="A121" s="20" t="s">
        <v>10</v>
      </c>
      <c r="B121" s="232"/>
      <c r="C121" s="143"/>
      <c r="D121" s="164"/>
      <c r="E121" s="26"/>
      <c r="F121" s="232"/>
      <c r="G121" s="143"/>
      <c r="H121" s="164"/>
      <c r="I121" s="26"/>
      <c r="J121" s="285"/>
      <c r="K121" s="43"/>
      <c r="L121" s="253"/>
      <c r="M121" s="26"/>
    </row>
    <row r="122" spans="1:14" x14ac:dyDescent="0.2">
      <c r="A122" s="20" t="s">
        <v>29</v>
      </c>
      <c r="B122" s="232"/>
      <c r="C122" s="143"/>
      <c r="D122" s="164"/>
      <c r="E122" s="26"/>
      <c r="F122" s="232"/>
      <c r="G122" s="143"/>
      <c r="H122" s="164"/>
      <c r="I122" s="26"/>
      <c r="J122" s="285"/>
      <c r="K122" s="43"/>
      <c r="L122" s="253"/>
      <c r="M122" s="26"/>
    </row>
    <row r="123" spans="1:14" x14ac:dyDescent="0.2">
      <c r="A123" s="294" t="s">
        <v>14</v>
      </c>
      <c r="B123" s="279"/>
      <c r="C123" s="279"/>
      <c r="D123" s="164"/>
      <c r="E123" s="414"/>
      <c r="F123" s="279"/>
      <c r="G123" s="279"/>
      <c r="H123" s="164"/>
      <c r="I123" s="414"/>
      <c r="J123" s="288"/>
      <c r="K123" s="288"/>
      <c r="L123" s="164"/>
      <c r="M123" s="22"/>
    </row>
    <row r="124" spans="1:14" ht="15.75" x14ac:dyDescent="0.2">
      <c r="A124" s="20" t="s">
        <v>319</v>
      </c>
      <c r="B124" s="232"/>
      <c r="C124" s="232"/>
      <c r="D124" s="164"/>
      <c r="E124" s="26"/>
      <c r="F124" s="232"/>
      <c r="G124" s="232"/>
      <c r="H124" s="164"/>
      <c r="I124" s="26"/>
      <c r="J124" s="285"/>
      <c r="K124" s="43"/>
      <c r="L124" s="253"/>
      <c r="M124" s="26"/>
    </row>
    <row r="125" spans="1:14" ht="15.75" x14ac:dyDescent="0.2">
      <c r="A125" s="20" t="s">
        <v>320</v>
      </c>
      <c r="B125" s="232"/>
      <c r="C125" s="232"/>
      <c r="D125" s="164"/>
      <c r="E125" s="26"/>
      <c r="F125" s="232"/>
      <c r="G125" s="232"/>
      <c r="H125" s="164"/>
      <c r="I125" s="26"/>
      <c r="J125" s="285"/>
      <c r="K125" s="43"/>
      <c r="L125" s="253"/>
      <c r="M125" s="26"/>
    </row>
    <row r="126" spans="1:14" ht="15.75" x14ac:dyDescent="0.2">
      <c r="A126" s="10" t="s">
        <v>321</v>
      </c>
      <c r="B126" s="44"/>
      <c r="C126" s="44"/>
      <c r="D126" s="165"/>
      <c r="E126" s="415"/>
      <c r="F126" s="44"/>
      <c r="G126" s="44"/>
      <c r="H126" s="165"/>
      <c r="I126" s="21"/>
      <c r="J126" s="286"/>
      <c r="K126" s="44"/>
      <c r="L126" s="254"/>
      <c r="M126" s="21"/>
    </row>
    <row r="127" spans="1:14" x14ac:dyDescent="0.2">
      <c r="A127" s="153"/>
      <c r="L127" s="25"/>
      <c r="M127" s="25"/>
      <c r="N127" s="25"/>
    </row>
    <row r="128" spans="1:14" x14ac:dyDescent="0.2">
      <c r="L128" s="25"/>
      <c r="M128" s="25"/>
      <c r="N128" s="25"/>
    </row>
    <row r="129" spans="1:15" ht="15.75" x14ac:dyDescent="0.25">
      <c r="A129" s="163" t="s">
        <v>30</v>
      </c>
    </row>
    <row r="130" spans="1:15" ht="15.75" x14ac:dyDescent="0.25">
      <c r="B130" s="963"/>
      <c r="C130" s="963"/>
      <c r="D130" s="963"/>
      <c r="E130" s="297"/>
      <c r="F130" s="963"/>
      <c r="G130" s="963"/>
      <c r="H130" s="963"/>
      <c r="I130" s="297"/>
      <c r="J130" s="963"/>
      <c r="K130" s="963"/>
      <c r="L130" s="963"/>
      <c r="M130" s="297"/>
    </row>
    <row r="131" spans="1:15" s="3" customFormat="1" x14ac:dyDescent="0.2">
      <c r="A131" s="142"/>
      <c r="B131" s="960" t="s">
        <v>0</v>
      </c>
      <c r="C131" s="961"/>
      <c r="D131" s="961"/>
      <c r="E131" s="299"/>
      <c r="F131" s="960" t="s">
        <v>1</v>
      </c>
      <c r="G131" s="961"/>
      <c r="H131" s="961"/>
      <c r="I131" s="302"/>
      <c r="J131" s="960" t="s">
        <v>2</v>
      </c>
      <c r="K131" s="961"/>
      <c r="L131" s="961"/>
      <c r="M131" s="302"/>
      <c r="N131" s="146"/>
      <c r="O131" s="146"/>
    </row>
    <row r="132" spans="1:15" s="3" customFormat="1" x14ac:dyDescent="0.2">
      <c r="A132" s="139"/>
      <c r="B132" s="150" t="s">
        <v>504</v>
      </c>
      <c r="C132" s="150" t="s">
        <v>505</v>
      </c>
      <c r="D132" s="243" t="s">
        <v>3</v>
      </c>
      <c r="E132" s="303" t="s">
        <v>32</v>
      </c>
      <c r="F132" s="150" t="s">
        <v>504</v>
      </c>
      <c r="G132" s="150" t="s">
        <v>505</v>
      </c>
      <c r="H132" s="204" t="s">
        <v>3</v>
      </c>
      <c r="I132" s="160" t="s">
        <v>32</v>
      </c>
      <c r="J132" s="244" t="s">
        <v>504</v>
      </c>
      <c r="K132" s="244" t="s">
        <v>505</v>
      </c>
      <c r="L132" s="245" t="s">
        <v>3</v>
      </c>
      <c r="M132" s="160" t="s">
        <v>32</v>
      </c>
      <c r="N132" s="146"/>
      <c r="O132" s="146"/>
    </row>
    <row r="133" spans="1:15" s="3" customFormat="1" x14ac:dyDescent="0.2">
      <c r="A133" s="934"/>
      <c r="B133" s="154"/>
      <c r="C133" s="154"/>
      <c r="D133" s="245" t="s">
        <v>4</v>
      </c>
      <c r="E133" s="154" t="s">
        <v>33</v>
      </c>
      <c r="F133" s="159"/>
      <c r="G133" s="159"/>
      <c r="H133" s="204" t="s">
        <v>4</v>
      </c>
      <c r="I133" s="154" t="s">
        <v>33</v>
      </c>
      <c r="J133" s="154"/>
      <c r="K133" s="154"/>
      <c r="L133" s="148" t="s">
        <v>4</v>
      </c>
      <c r="M133" s="154" t="s">
        <v>33</v>
      </c>
      <c r="N133" s="146"/>
      <c r="O133" s="146"/>
    </row>
    <row r="134" spans="1:15" s="3" customFormat="1" ht="15.75" x14ac:dyDescent="0.2">
      <c r="A134" s="14" t="s">
        <v>323</v>
      </c>
      <c r="B134" s="234">
        <v>33469183.758949999</v>
      </c>
      <c r="C134" s="307">
        <v>31989029.321430001</v>
      </c>
      <c r="D134" s="348">
        <f t="shared" ref="D134:D137" si="2">IF(B134=0, "    ---- ", IF(ABS(ROUND(100/B134*C134-100,1))&lt;999,ROUND(100/B134*C134-100,1),IF(ROUND(100/B134*C134-100,1)&gt;999,999,-999)))</f>
        <v>-4.4000000000000004</v>
      </c>
      <c r="E134" s="11">
        <f>IFERROR(100/'Skjema total MA'!C134*C134,0)</f>
        <v>88.157567535581904</v>
      </c>
      <c r="F134" s="314">
        <v>133629.31599999999</v>
      </c>
      <c r="G134" s="315">
        <v>130226.34600000001</v>
      </c>
      <c r="H134" s="428">
        <f t="shared" ref="H134:H136" si="3">IF(F134=0, "    ---- ", IF(ABS(ROUND(100/F134*G134-100,1))&lt;999,ROUND(100/F134*G134-100,1),IF(ROUND(100/F134*G134-100,1)&gt;999,999,-999)))</f>
        <v>-2.5</v>
      </c>
      <c r="I134" s="23">
        <f>IFERROR(100/'Skjema total MA'!F134*G134,0)</f>
        <v>100</v>
      </c>
      <c r="J134" s="316">
        <f t="shared" ref="J134:K137" si="4">SUM(B134,F134)</f>
        <v>33602813.074950002</v>
      </c>
      <c r="K134" s="316">
        <f t="shared" si="4"/>
        <v>32119255.667430002</v>
      </c>
      <c r="L134" s="424">
        <f t="shared" ref="L134:L137" si="5">IF(J134=0, "    ---- ", IF(ABS(ROUND(100/J134*K134-100,1))&lt;999,ROUND(100/J134*K134-100,1),IF(ROUND(100/J134*K134-100,1)&gt;999,999,-999)))</f>
        <v>-4.4000000000000004</v>
      </c>
      <c r="M134" s="11">
        <f>IFERROR(100/'Skjema total MA'!I134*K134,0)</f>
        <v>88.199916468631997</v>
      </c>
      <c r="N134" s="146"/>
      <c r="O134" s="146"/>
    </row>
    <row r="135" spans="1:15" s="3" customFormat="1" ht="15.75" x14ac:dyDescent="0.2">
      <c r="A135" s="13" t="s">
        <v>324</v>
      </c>
      <c r="B135" s="234">
        <v>421845952.55084002</v>
      </c>
      <c r="C135" s="307">
        <v>444493649.38739997</v>
      </c>
      <c r="D135" s="169">
        <f t="shared" si="2"/>
        <v>5.4</v>
      </c>
      <c r="E135" s="11">
        <f>IFERROR(100/'Skjema total MA'!C135*C135,0)</f>
        <v>85.915222020166439</v>
      </c>
      <c r="F135" s="234">
        <v>2181469.20615</v>
      </c>
      <c r="G135" s="307">
        <v>2373955.5961500001</v>
      </c>
      <c r="H135" s="429">
        <f t="shared" si="3"/>
        <v>8.8000000000000007</v>
      </c>
      <c r="I135" s="23">
        <f>IFERROR(100/'Skjema total MA'!F135*G135,0)</f>
        <v>100</v>
      </c>
      <c r="J135" s="306">
        <f t="shared" si="4"/>
        <v>424027421.75699002</v>
      </c>
      <c r="K135" s="306">
        <f t="shared" si="4"/>
        <v>446867604.98354995</v>
      </c>
      <c r="L135" s="425">
        <f t="shared" si="5"/>
        <v>5.4</v>
      </c>
      <c r="M135" s="11">
        <f>IFERROR(100/'Skjema total MA'!I135*K135,0)</f>
        <v>85.979555778250528</v>
      </c>
      <c r="N135" s="146"/>
      <c r="O135" s="146"/>
    </row>
    <row r="136" spans="1:15" s="3" customFormat="1" ht="15.75" x14ac:dyDescent="0.2">
      <c r="A136" s="13" t="s">
        <v>325</v>
      </c>
      <c r="B136" s="234">
        <v>3252225.2170000002</v>
      </c>
      <c r="C136" s="307">
        <v>272334.42499999999</v>
      </c>
      <c r="D136" s="169">
        <f t="shared" si="2"/>
        <v>-91.6</v>
      </c>
      <c r="E136" s="11">
        <f>IFERROR(100/'Skjema total MA'!C136*C136,0)</f>
        <v>100</v>
      </c>
      <c r="F136" s="234">
        <v>-35.832000000000001</v>
      </c>
      <c r="G136" s="307">
        <v>25235.127</v>
      </c>
      <c r="H136" s="429">
        <f t="shared" si="3"/>
        <v>-999</v>
      </c>
      <c r="I136" s="23">
        <f>IFERROR(100/'Skjema total MA'!F136*G136,0)</f>
        <v>99.999999999999986</v>
      </c>
      <c r="J136" s="306">
        <f t="shared" si="4"/>
        <v>3252189.3850000002</v>
      </c>
      <c r="K136" s="306">
        <f t="shared" si="4"/>
        <v>297569.55199999997</v>
      </c>
      <c r="L136" s="425">
        <f t="shared" si="5"/>
        <v>-90.9</v>
      </c>
      <c r="M136" s="11">
        <f>IFERROR(100/'Skjema total MA'!I136*K136,0)</f>
        <v>100</v>
      </c>
      <c r="N136" s="146"/>
      <c r="O136" s="146"/>
    </row>
    <row r="137" spans="1:15" s="3" customFormat="1" ht="15.75" x14ac:dyDescent="0.2">
      <c r="A137" s="40" t="s">
        <v>326</v>
      </c>
      <c r="B137" s="274">
        <v>123887.451</v>
      </c>
      <c r="C137" s="313">
        <v>212098.32</v>
      </c>
      <c r="D137" s="167">
        <f t="shared" si="2"/>
        <v>71.2</v>
      </c>
      <c r="E137" s="9">
        <f>IFERROR(100/'Skjema total MA'!C137*C137,0)</f>
        <v>54.737963229780028</v>
      </c>
      <c r="F137" s="274"/>
      <c r="G137" s="313"/>
      <c r="H137" s="430"/>
      <c r="I137" s="35"/>
      <c r="J137" s="312">
        <f t="shared" si="4"/>
        <v>123887.451</v>
      </c>
      <c r="K137" s="312">
        <f t="shared" si="4"/>
        <v>212098.32</v>
      </c>
      <c r="L137" s="426">
        <f t="shared" si="5"/>
        <v>71.2</v>
      </c>
      <c r="M137" s="35">
        <f>IFERROR(100/'Skjema total MA'!I137*K137,0)</f>
        <v>54.737963229780028</v>
      </c>
      <c r="N137" s="146"/>
      <c r="O137" s="146"/>
    </row>
    <row r="138" spans="1:15" s="3" customFormat="1" x14ac:dyDescent="0.2">
      <c r="A138" s="166"/>
      <c r="B138" s="32"/>
      <c r="C138" s="32"/>
      <c r="D138" s="157"/>
      <c r="E138" s="157"/>
      <c r="F138" s="32"/>
      <c r="G138" s="32"/>
      <c r="H138" s="157"/>
      <c r="I138" s="157"/>
      <c r="J138" s="32"/>
      <c r="K138" s="32"/>
      <c r="L138" s="157"/>
      <c r="M138" s="157"/>
      <c r="N138" s="146"/>
      <c r="O138" s="146"/>
    </row>
    <row r="139" spans="1:15" x14ac:dyDescent="0.2">
      <c r="A139" s="166"/>
      <c r="B139" s="32"/>
      <c r="C139" s="32"/>
      <c r="D139" s="157"/>
      <c r="E139" s="157"/>
      <c r="F139" s="32"/>
      <c r="G139" s="32"/>
      <c r="H139" s="157"/>
      <c r="I139" s="157"/>
      <c r="J139" s="32"/>
      <c r="K139" s="32"/>
      <c r="L139" s="157"/>
      <c r="M139" s="157"/>
      <c r="N139" s="146"/>
    </row>
    <row r="140" spans="1:15" x14ac:dyDescent="0.2">
      <c r="A140" s="166"/>
      <c r="B140" s="32"/>
      <c r="C140" s="32"/>
      <c r="D140" s="157"/>
      <c r="E140" s="157"/>
      <c r="F140" s="32"/>
      <c r="G140" s="32"/>
      <c r="H140" s="157"/>
      <c r="I140" s="157"/>
      <c r="J140" s="32"/>
      <c r="K140" s="32"/>
      <c r="L140" s="157"/>
      <c r="M140" s="157"/>
      <c r="N140" s="146"/>
    </row>
    <row r="141" spans="1:15" x14ac:dyDescent="0.2">
      <c r="A141" s="144"/>
      <c r="B141" s="144"/>
      <c r="C141" s="144"/>
      <c r="D141" s="144"/>
      <c r="E141" s="144"/>
      <c r="F141" s="144"/>
      <c r="G141" s="144"/>
      <c r="H141" s="144"/>
      <c r="I141" s="144"/>
      <c r="J141" s="144"/>
      <c r="K141" s="144"/>
      <c r="L141" s="144"/>
      <c r="M141" s="144"/>
      <c r="N141" s="144"/>
    </row>
    <row r="142" spans="1:15" ht="15.75" x14ac:dyDescent="0.25">
      <c r="B142" s="140"/>
      <c r="C142" s="140"/>
      <c r="D142" s="140"/>
      <c r="E142" s="140"/>
      <c r="F142" s="140"/>
      <c r="G142" s="140"/>
      <c r="H142" s="140"/>
      <c r="I142" s="140"/>
      <c r="J142" s="140"/>
      <c r="K142" s="140"/>
      <c r="L142" s="140"/>
      <c r="M142" s="140"/>
      <c r="N142" s="140"/>
    </row>
    <row r="143" spans="1:15" ht="15.75" x14ac:dyDescent="0.25">
      <c r="B143" s="155"/>
      <c r="C143" s="155"/>
      <c r="D143" s="155"/>
      <c r="E143" s="155"/>
      <c r="F143" s="155"/>
      <c r="G143" s="155"/>
      <c r="H143" s="155"/>
      <c r="I143" s="155"/>
      <c r="J143" s="155"/>
      <c r="K143" s="155"/>
      <c r="L143" s="155"/>
      <c r="M143" s="155"/>
      <c r="N143" s="155"/>
      <c r="O143" s="152"/>
    </row>
    <row r="144" spans="1:15" ht="15.75" x14ac:dyDescent="0.25">
      <c r="B144" s="155"/>
      <c r="C144" s="155"/>
      <c r="D144" s="155"/>
      <c r="E144" s="155"/>
      <c r="F144" s="155"/>
      <c r="G144" s="155"/>
      <c r="H144" s="155"/>
      <c r="I144" s="155"/>
      <c r="J144" s="155"/>
      <c r="K144" s="155"/>
      <c r="L144" s="155"/>
      <c r="M144" s="155"/>
      <c r="N144" s="155"/>
      <c r="O144" s="152"/>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134" priority="132">
      <formula>kvartal &lt; 4</formula>
    </cfRule>
  </conditionalFormatting>
  <conditionalFormatting sqref="B30">
    <cfRule type="expression" dxfId="1133" priority="130">
      <formula>kvartal &lt; 4</formula>
    </cfRule>
  </conditionalFormatting>
  <conditionalFormatting sqref="B31">
    <cfRule type="expression" dxfId="1132" priority="129">
      <formula>kvartal &lt; 4</formula>
    </cfRule>
  </conditionalFormatting>
  <conditionalFormatting sqref="B32:B33">
    <cfRule type="expression" dxfId="1131" priority="128">
      <formula>kvartal &lt; 4</formula>
    </cfRule>
  </conditionalFormatting>
  <conditionalFormatting sqref="C30">
    <cfRule type="expression" dxfId="1130" priority="127">
      <formula>kvartal &lt; 4</formula>
    </cfRule>
  </conditionalFormatting>
  <conditionalFormatting sqref="C31">
    <cfRule type="expression" dxfId="1129" priority="126">
      <formula>kvartal &lt; 4</formula>
    </cfRule>
  </conditionalFormatting>
  <conditionalFormatting sqref="C32:C33">
    <cfRule type="expression" dxfId="1128" priority="125">
      <formula>kvartal &lt; 4</formula>
    </cfRule>
  </conditionalFormatting>
  <conditionalFormatting sqref="B23:C26">
    <cfRule type="expression" dxfId="1127" priority="124">
      <formula>kvartal &lt; 4</formula>
    </cfRule>
  </conditionalFormatting>
  <conditionalFormatting sqref="F23:G26">
    <cfRule type="expression" dxfId="1126" priority="120">
      <formula>kvartal &lt; 4</formula>
    </cfRule>
  </conditionalFormatting>
  <conditionalFormatting sqref="F30">
    <cfRule type="expression" dxfId="1125" priority="113">
      <formula>kvartal &lt; 4</formula>
    </cfRule>
  </conditionalFormatting>
  <conditionalFormatting sqref="F31">
    <cfRule type="expression" dxfId="1124" priority="112">
      <formula>kvartal &lt; 4</formula>
    </cfRule>
  </conditionalFormatting>
  <conditionalFormatting sqref="F32:F33">
    <cfRule type="expression" dxfId="1123" priority="111">
      <formula>kvartal &lt; 4</formula>
    </cfRule>
  </conditionalFormatting>
  <conditionalFormatting sqref="G30">
    <cfRule type="expression" dxfId="1122" priority="110">
      <formula>kvartal &lt; 4</formula>
    </cfRule>
  </conditionalFormatting>
  <conditionalFormatting sqref="G31">
    <cfRule type="expression" dxfId="1121" priority="109">
      <formula>kvartal &lt; 4</formula>
    </cfRule>
  </conditionalFormatting>
  <conditionalFormatting sqref="G32:G33">
    <cfRule type="expression" dxfId="1120" priority="108">
      <formula>kvartal &lt; 4</formula>
    </cfRule>
  </conditionalFormatting>
  <conditionalFormatting sqref="B27">
    <cfRule type="expression" dxfId="1119" priority="107">
      <formula>kvartal &lt; 4</formula>
    </cfRule>
  </conditionalFormatting>
  <conditionalFormatting sqref="C27">
    <cfRule type="expression" dxfId="1118" priority="106">
      <formula>kvartal &lt; 4</formula>
    </cfRule>
  </conditionalFormatting>
  <conditionalFormatting sqref="F27">
    <cfRule type="expression" dxfId="1117" priority="105">
      <formula>kvartal &lt; 4</formula>
    </cfRule>
  </conditionalFormatting>
  <conditionalFormatting sqref="G27">
    <cfRule type="expression" dxfId="1116" priority="104">
      <formula>kvartal &lt; 4</formula>
    </cfRule>
  </conditionalFormatting>
  <conditionalFormatting sqref="J23:K27">
    <cfRule type="expression" dxfId="1115" priority="103">
      <formula>kvartal &lt; 4</formula>
    </cfRule>
  </conditionalFormatting>
  <conditionalFormatting sqref="J30:K33">
    <cfRule type="expression" dxfId="1114" priority="101">
      <formula>kvartal &lt; 4</formula>
    </cfRule>
  </conditionalFormatting>
  <conditionalFormatting sqref="B69">
    <cfRule type="expression" dxfId="1113" priority="100">
      <formula>kvartal &lt; 4</formula>
    </cfRule>
  </conditionalFormatting>
  <conditionalFormatting sqref="C69">
    <cfRule type="expression" dxfId="1112" priority="99">
      <formula>kvartal &lt; 4</formula>
    </cfRule>
  </conditionalFormatting>
  <conditionalFormatting sqref="B72">
    <cfRule type="expression" dxfId="1111" priority="98">
      <formula>kvartal &lt; 4</formula>
    </cfRule>
  </conditionalFormatting>
  <conditionalFormatting sqref="C72">
    <cfRule type="expression" dxfId="1110" priority="97">
      <formula>kvartal &lt; 4</formula>
    </cfRule>
  </conditionalFormatting>
  <conditionalFormatting sqref="B80">
    <cfRule type="expression" dxfId="1109" priority="96">
      <formula>kvartal &lt; 4</formula>
    </cfRule>
  </conditionalFormatting>
  <conditionalFormatting sqref="C80">
    <cfRule type="expression" dxfId="1108" priority="95">
      <formula>kvartal &lt; 4</formula>
    </cfRule>
  </conditionalFormatting>
  <conditionalFormatting sqref="B83">
    <cfRule type="expression" dxfId="1107" priority="94">
      <formula>kvartal &lt; 4</formula>
    </cfRule>
  </conditionalFormatting>
  <conditionalFormatting sqref="C83">
    <cfRule type="expression" dxfId="1106" priority="93">
      <formula>kvartal &lt; 4</formula>
    </cfRule>
  </conditionalFormatting>
  <conditionalFormatting sqref="B90">
    <cfRule type="expression" dxfId="1105" priority="84">
      <formula>kvartal &lt; 4</formula>
    </cfRule>
  </conditionalFormatting>
  <conditionalFormatting sqref="C90">
    <cfRule type="expression" dxfId="1104" priority="83">
      <formula>kvartal &lt; 4</formula>
    </cfRule>
  </conditionalFormatting>
  <conditionalFormatting sqref="B93">
    <cfRule type="expression" dxfId="1103" priority="82">
      <formula>kvartal &lt; 4</formula>
    </cfRule>
  </conditionalFormatting>
  <conditionalFormatting sqref="C93">
    <cfRule type="expression" dxfId="1102" priority="81">
      <formula>kvartal &lt; 4</formula>
    </cfRule>
  </conditionalFormatting>
  <conditionalFormatting sqref="B101">
    <cfRule type="expression" dxfId="1101" priority="80">
      <formula>kvartal &lt; 4</formula>
    </cfRule>
  </conditionalFormatting>
  <conditionalFormatting sqref="C101">
    <cfRule type="expression" dxfId="1100" priority="79">
      <formula>kvartal &lt; 4</formula>
    </cfRule>
  </conditionalFormatting>
  <conditionalFormatting sqref="B104">
    <cfRule type="expression" dxfId="1099" priority="78">
      <formula>kvartal &lt; 4</formula>
    </cfRule>
  </conditionalFormatting>
  <conditionalFormatting sqref="C104">
    <cfRule type="expression" dxfId="1098" priority="77">
      <formula>kvartal &lt; 4</formula>
    </cfRule>
  </conditionalFormatting>
  <conditionalFormatting sqref="B115">
    <cfRule type="expression" dxfId="1097" priority="76">
      <formula>kvartal &lt; 4</formula>
    </cfRule>
  </conditionalFormatting>
  <conditionalFormatting sqref="C115">
    <cfRule type="expression" dxfId="1096" priority="75">
      <formula>kvartal &lt; 4</formula>
    </cfRule>
  </conditionalFormatting>
  <conditionalFormatting sqref="B123">
    <cfRule type="expression" dxfId="1095" priority="74">
      <formula>kvartal &lt; 4</formula>
    </cfRule>
  </conditionalFormatting>
  <conditionalFormatting sqref="C123">
    <cfRule type="expression" dxfId="1094" priority="73">
      <formula>kvartal &lt; 4</formula>
    </cfRule>
  </conditionalFormatting>
  <conditionalFormatting sqref="F70">
    <cfRule type="expression" dxfId="1093" priority="72">
      <formula>kvartal &lt; 4</formula>
    </cfRule>
  </conditionalFormatting>
  <conditionalFormatting sqref="G70">
    <cfRule type="expression" dxfId="1092" priority="71">
      <formula>kvartal &lt; 4</formula>
    </cfRule>
  </conditionalFormatting>
  <conditionalFormatting sqref="F71:G71">
    <cfRule type="expression" dxfId="1091" priority="70">
      <formula>kvartal &lt; 4</formula>
    </cfRule>
  </conditionalFormatting>
  <conditionalFormatting sqref="F73:G74">
    <cfRule type="expression" dxfId="1090" priority="69">
      <formula>kvartal &lt; 4</formula>
    </cfRule>
  </conditionalFormatting>
  <conditionalFormatting sqref="F81:G82">
    <cfRule type="expression" dxfId="1089" priority="68">
      <formula>kvartal &lt; 4</formula>
    </cfRule>
  </conditionalFormatting>
  <conditionalFormatting sqref="F84:G85">
    <cfRule type="expression" dxfId="1088" priority="67">
      <formula>kvartal &lt; 4</formula>
    </cfRule>
  </conditionalFormatting>
  <conditionalFormatting sqref="F91:G92">
    <cfRule type="expression" dxfId="1087" priority="62">
      <formula>kvartal &lt; 4</formula>
    </cfRule>
  </conditionalFormatting>
  <conditionalFormatting sqref="F94:G95">
    <cfRule type="expression" dxfId="1086" priority="61">
      <formula>kvartal &lt; 4</formula>
    </cfRule>
  </conditionalFormatting>
  <conditionalFormatting sqref="F102:G103">
    <cfRule type="expression" dxfId="1085" priority="60">
      <formula>kvartal &lt; 4</formula>
    </cfRule>
  </conditionalFormatting>
  <conditionalFormatting sqref="F105:G106">
    <cfRule type="expression" dxfId="1084" priority="59">
      <formula>kvartal &lt; 4</formula>
    </cfRule>
  </conditionalFormatting>
  <conditionalFormatting sqref="F115">
    <cfRule type="expression" dxfId="1083" priority="58">
      <formula>kvartal &lt; 4</formula>
    </cfRule>
  </conditionalFormatting>
  <conditionalFormatting sqref="G115">
    <cfRule type="expression" dxfId="1082" priority="57">
      <formula>kvartal &lt; 4</formula>
    </cfRule>
  </conditionalFormatting>
  <conditionalFormatting sqref="F123:G123">
    <cfRule type="expression" dxfId="1081" priority="56">
      <formula>kvartal &lt; 4</formula>
    </cfRule>
  </conditionalFormatting>
  <conditionalFormatting sqref="F69:G69">
    <cfRule type="expression" dxfId="1080" priority="55">
      <formula>kvartal &lt; 4</formula>
    </cfRule>
  </conditionalFormatting>
  <conditionalFormatting sqref="F72:G72">
    <cfRule type="expression" dxfId="1079" priority="54">
      <formula>kvartal &lt; 4</formula>
    </cfRule>
  </conditionalFormatting>
  <conditionalFormatting sqref="F80:G80">
    <cfRule type="expression" dxfId="1078" priority="53">
      <formula>kvartal &lt; 4</formula>
    </cfRule>
  </conditionalFormatting>
  <conditionalFormatting sqref="F83:G83">
    <cfRule type="expression" dxfId="1077" priority="52">
      <formula>kvartal &lt; 4</formula>
    </cfRule>
  </conditionalFormatting>
  <conditionalFormatting sqref="F90:G90">
    <cfRule type="expression" dxfId="1076" priority="46">
      <formula>kvartal &lt; 4</formula>
    </cfRule>
  </conditionalFormatting>
  <conditionalFormatting sqref="F93">
    <cfRule type="expression" dxfId="1075" priority="45">
      <formula>kvartal &lt; 4</formula>
    </cfRule>
  </conditionalFormatting>
  <conditionalFormatting sqref="G93">
    <cfRule type="expression" dxfId="1074" priority="44">
      <formula>kvartal &lt; 4</formula>
    </cfRule>
  </conditionalFormatting>
  <conditionalFormatting sqref="F101">
    <cfRule type="expression" dxfId="1073" priority="43">
      <formula>kvartal &lt; 4</formula>
    </cfRule>
  </conditionalFormatting>
  <conditionalFormatting sqref="G101">
    <cfRule type="expression" dxfId="1072" priority="42">
      <formula>kvartal &lt; 4</formula>
    </cfRule>
  </conditionalFormatting>
  <conditionalFormatting sqref="G104">
    <cfRule type="expression" dxfId="1071" priority="41">
      <formula>kvartal &lt; 4</formula>
    </cfRule>
  </conditionalFormatting>
  <conditionalFormatting sqref="F104">
    <cfRule type="expression" dxfId="1070" priority="40">
      <formula>kvartal &lt; 4</formula>
    </cfRule>
  </conditionalFormatting>
  <conditionalFormatting sqref="J69:K73">
    <cfRule type="expression" dxfId="1069" priority="39">
      <formula>kvartal &lt; 4</formula>
    </cfRule>
  </conditionalFormatting>
  <conditionalFormatting sqref="J74:K74">
    <cfRule type="expression" dxfId="1068" priority="38">
      <formula>kvartal &lt; 4</formula>
    </cfRule>
  </conditionalFormatting>
  <conditionalFormatting sqref="J80:K85">
    <cfRule type="expression" dxfId="1067" priority="37">
      <formula>kvartal &lt; 4</formula>
    </cfRule>
  </conditionalFormatting>
  <conditionalFormatting sqref="J90:K95">
    <cfRule type="expression" dxfId="1066" priority="34">
      <formula>kvartal &lt; 4</formula>
    </cfRule>
  </conditionalFormatting>
  <conditionalFormatting sqref="J101:K106">
    <cfRule type="expression" dxfId="1065" priority="33">
      <formula>kvartal &lt; 4</formula>
    </cfRule>
  </conditionalFormatting>
  <conditionalFormatting sqref="J115:K115">
    <cfRule type="expression" dxfId="1064" priority="32">
      <formula>kvartal &lt; 4</formula>
    </cfRule>
  </conditionalFormatting>
  <conditionalFormatting sqref="J123:K123">
    <cfRule type="expression" dxfId="1063" priority="31">
      <formula>kvartal &lt; 4</formula>
    </cfRule>
  </conditionalFormatting>
  <conditionalFormatting sqref="A23:A26">
    <cfRule type="expression" dxfId="1062" priority="15">
      <formula>kvartal &lt; 4</formula>
    </cfRule>
  </conditionalFormatting>
  <conditionalFormatting sqref="A30:A33">
    <cfRule type="expression" dxfId="1061" priority="13">
      <formula>kvartal &lt; 4</formula>
    </cfRule>
  </conditionalFormatting>
  <conditionalFormatting sqref="A50:A52">
    <cfRule type="expression" dxfId="1060" priority="12">
      <formula>kvartal &lt; 4</formula>
    </cfRule>
  </conditionalFormatting>
  <conditionalFormatting sqref="A69:A74">
    <cfRule type="expression" dxfId="1059" priority="10">
      <formula>kvartal &lt; 4</formula>
    </cfRule>
  </conditionalFormatting>
  <conditionalFormatting sqref="A80:A85">
    <cfRule type="expression" dxfId="1058" priority="9">
      <formula>kvartal &lt; 4</formula>
    </cfRule>
  </conditionalFormatting>
  <conditionalFormatting sqref="A90:A95">
    <cfRule type="expression" dxfId="1057" priority="6">
      <formula>kvartal &lt; 4</formula>
    </cfRule>
  </conditionalFormatting>
  <conditionalFormatting sqref="A101:A106">
    <cfRule type="expression" dxfId="1056" priority="5">
      <formula>kvartal &lt; 4</formula>
    </cfRule>
  </conditionalFormatting>
  <conditionalFormatting sqref="A115">
    <cfRule type="expression" dxfId="1055" priority="4">
      <formula>kvartal &lt; 4</formula>
    </cfRule>
  </conditionalFormatting>
  <conditionalFormatting sqref="A123">
    <cfRule type="expression" dxfId="1054" priority="3">
      <formula>kvartal &lt; 4</formula>
    </cfRule>
  </conditionalFormatting>
  <conditionalFormatting sqref="A27">
    <cfRule type="expression" dxfId="1053" priority="2">
      <formula>kvartal &lt; 4</formula>
    </cfRule>
  </conditionalFormatting>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1"/>
  <dimension ref="A1:O144"/>
  <sheetViews>
    <sheetView showGridLines="0" zoomScale="90" zoomScaleNormal="90" workbookViewId="0"/>
  </sheetViews>
  <sheetFormatPr baseColWidth="10" defaultColWidth="11.42578125" defaultRowHeight="12.75" x14ac:dyDescent="0.2"/>
  <cols>
    <col min="1" max="1" width="41.5703125" style="147" customWidth="1"/>
    <col min="2" max="2" width="10.85546875" style="147" customWidth="1"/>
    <col min="3" max="3" width="11" style="147" customWidth="1"/>
    <col min="4" max="5" width="8.7109375" style="147" customWidth="1"/>
    <col min="6" max="7" width="10.85546875" style="147" customWidth="1"/>
    <col min="8" max="9" width="8.7109375" style="147" customWidth="1"/>
    <col min="10" max="11" width="10.85546875" style="147" customWidth="1"/>
    <col min="12" max="13" width="8.7109375" style="147" customWidth="1"/>
    <col min="14" max="14" width="11.42578125" style="147"/>
    <col min="15" max="15" width="3" style="146" bestFit="1" customWidth="1"/>
    <col min="16" max="16384" width="11.42578125" style="1"/>
  </cols>
  <sheetData>
    <row r="1" spans="1:15" x14ac:dyDescent="0.2">
      <c r="A1" s="170" t="s">
        <v>152</v>
      </c>
      <c r="B1" s="932"/>
      <c r="C1" s="247" t="s">
        <v>102</v>
      </c>
      <c r="D1" s="25"/>
      <c r="E1" s="25"/>
      <c r="F1" s="25"/>
      <c r="G1" s="25"/>
      <c r="H1" s="25"/>
      <c r="I1" s="25"/>
      <c r="J1" s="25"/>
      <c r="K1" s="25"/>
      <c r="L1" s="25"/>
      <c r="M1" s="25"/>
      <c r="O1" s="423"/>
    </row>
    <row r="2" spans="1:15" ht="15.75" x14ac:dyDescent="0.25">
      <c r="A2" s="163" t="s">
        <v>31</v>
      </c>
      <c r="B2" s="965"/>
      <c r="C2" s="965"/>
      <c r="D2" s="965"/>
      <c r="E2" s="297"/>
      <c r="F2" s="965"/>
      <c r="G2" s="965"/>
      <c r="H2" s="965"/>
      <c r="I2" s="297"/>
      <c r="J2" s="965"/>
      <c r="K2" s="965"/>
      <c r="L2" s="965"/>
      <c r="M2" s="297"/>
    </row>
    <row r="3" spans="1:15" ht="15.75" x14ac:dyDescent="0.25">
      <c r="A3" s="161"/>
      <c r="B3" s="297"/>
      <c r="C3" s="297"/>
      <c r="D3" s="297"/>
      <c r="E3" s="297"/>
      <c r="F3" s="297"/>
      <c r="G3" s="297"/>
      <c r="H3" s="297"/>
      <c r="I3" s="297"/>
      <c r="J3" s="297"/>
      <c r="K3" s="297"/>
      <c r="L3" s="297"/>
      <c r="M3" s="297"/>
    </row>
    <row r="4" spans="1:15" x14ac:dyDescent="0.2">
      <c r="A4" s="142"/>
      <c r="B4" s="960" t="s">
        <v>0</v>
      </c>
      <c r="C4" s="961"/>
      <c r="D4" s="961"/>
      <c r="E4" s="299"/>
      <c r="F4" s="960" t="s">
        <v>1</v>
      </c>
      <c r="G4" s="961"/>
      <c r="H4" s="961"/>
      <c r="I4" s="302"/>
      <c r="J4" s="960" t="s">
        <v>2</v>
      </c>
      <c r="K4" s="961"/>
      <c r="L4" s="961"/>
      <c r="M4" s="302"/>
    </row>
    <row r="5" spans="1:15" x14ac:dyDescent="0.2">
      <c r="A5" s="156"/>
      <c r="B5" s="150" t="s">
        <v>504</v>
      </c>
      <c r="C5" s="150" t="s">
        <v>505</v>
      </c>
      <c r="D5" s="243" t="s">
        <v>3</v>
      </c>
      <c r="E5" s="303" t="s">
        <v>32</v>
      </c>
      <c r="F5" s="150" t="s">
        <v>504</v>
      </c>
      <c r="G5" s="150" t="s">
        <v>505</v>
      </c>
      <c r="H5" s="243" t="s">
        <v>3</v>
      </c>
      <c r="I5" s="160" t="s">
        <v>32</v>
      </c>
      <c r="J5" s="150" t="s">
        <v>504</v>
      </c>
      <c r="K5" s="150" t="s">
        <v>505</v>
      </c>
      <c r="L5" s="243" t="s">
        <v>3</v>
      </c>
      <c r="M5" s="160" t="s">
        <v>32</v>
      </c>
      <c r="O5" s="931"/>
    </row>
    <row r="6" spans="1:15" x14ac:dyDescent="0.2">
      <c r="A6" s="933"/>
      <c r="B6" s="154"/>
      <c r="C6" s="154"/>
      <c r="D6" s="245" t="s">
        <v>4</v>
      </c>
      <c r="E6" s="154" t="s">
        <v>33</v>
      </c>
      <c r="F6" s="159"/>
      <c r="G6" s="159"/>
      <c r="H6" s="243" t="s">
        <v>4</v>
      </c>
      <c r="I6" s="154" t="s">
        <v>33</v>
      </c>
      <c r="J6" s="159"/>
      <c r="K6" s="159"/>
      <c r="L6" s="243" t="s">
        <v>4</v>
      </c>
      <c r="M6" s="154" t="s">
        <v>33</v>
      </c>
    </row>
    <row r="7" spans="1:15" ht="15.75" x14ac:dyDescent="0.2">
      <c r="A7" s="14" t="s">
        <v>26</v>
      </c>
      <c r="B7" s="304"/>
      <c r="C7" s="305"/>
      <c r="D7" s="348"/>
      <c r="E7" s="11"/>
      <c r="F7" s="304"/>
      <c r="G7" s="305"/>
      <c r="H7" s="348"/>
      <c r="I7" s="158"/>
      <c r="J7" s="306"/>
      <c r="K7" s="307"/>
      <c r="L7" s="424"/>
      <c r="M7" s="11"/>
    </row>
    <row r="8" spans="1:15" ht="15.75" x14ac:dyDescent="0.2">
      <c r="A8" s="20" t="s">
        <v>28</v>
      </c>
      <c r="B8" s="279"/>
      <c r="C8" s="280"/>
      <c r="D8" s="164"/>
      <c r="E8" s="26"/>
      <c r="F8" s="283"/>
      <c r="G8" s="284"/>
      <c r="H8" s="164"/>
      <c r="I8" s="174"/>
      <c r="J8" s="232"/>
      <c r="K8" s="285"/>
      <c r="L8" s="164"/>
      <c r="M8" s="26"/>
    </row>
    <row r="9" spans="1:15" ht="15.75" x14ac:dyDescent="0.2">
      <c r="A9" s="20" t="s">
        <v>27</v>
      </c>
      <c r="B9" s="279"/>
      <c r="C9" s="280"/>
      <c r="D9" s="164"/>
      <c r="E9" s="26"/>
      <c r="F9" s="283"/>
      <c r="G9" s="284"/>
      <c r="H9" s="164"/>
      <c r="I9" s="174"/>
      <c r="J9" s="232"/>
      <c r="K9" s="285"/>
      <c r="L9" s="164"/>
      <c r="M9" s="26"/>
    </row>
    <row r="10" spans="1:15" ht="15.75" x14ac:dyDescent="0.2">
      <c r="A10" s="13" t="s">
        <v>25</v>
      </c>
      <c r="B10" s="308"/>
      <c r="C10" s="309"/>
      <c r="D10" s="169"/>
      <c r="E10" s="11"/>
      <c r="F10" s="308"/>
      <c r="G10" s="309"/>
      <c r="H10" s="169"/>
      <c r="I10" s="158"/>
      <c r="J10" s="306"/>
      <c r="K10" s="307"/>
      <c r="L10" s="425"/>
      <c r="M10" s="11"/>
    </row>
    <row r="11" spans="1:15" s="42" customFormat="1" ht="15.75" x14ac:dyDescent="0.2">
      <c r="A11" s="13" t="s">
        <v>24</v>
      </c>
      <c r="B11" s="308"/>
      <c r="C11" s="309"/>
      <c r="D11" s="169"/>
      <c r="E11" s="11"/>
      <c r="F11" s="308"/>
      <c r="G11" s="309"/>
      <c r="H11" s="169"/>
      <c r="I11" s="158"/>
      <c r="J11" s="306"/>
      <c r="K11" s="307"/>
      <c r="L11" s="425"/>
      <c r="M11" s="11"/>
      <c r="N11" s="141"/>
      <c r="O11" s="146"/>
    </row>
    <row r="12" spans="1:15" s="42" customFormat="1" ht="15.75" x14ac:dyDescent="0.2">
      <c r="A12" s="40" t="s">
        <v>23</v>
      </c>
      <c r="B12" s="310"/>
      <c r="C12" s="311"/>
      <c r="D12" s="167"/>
      <c r="E12" s="35"/>
      <c r="F12" s="310"/>
      <c r="G12" s="311"/>
      <c r="H12" s="167"/>
      <c r="I12" s="167"/>
      <c r="J12" s="312"/>
      <c r="K12" s="313"/>
      <c r="L12" s="426"/>
      <c r="M12" s="35"/>
      <c r="N12" s="141"/>
      <c r="O12" s="146"/>
    </row>
    <row r="13" spans="1:15" s="42" customFormat="1" x14ac:dyDescent="0.2">
      <c r="A13" s="166"/>
      <c r="B13" s="143"/>
      <c r="C13" s="32"/>
      <c r="D13" s="157"/>
      <c r="E13" s="157"/>
      <c r="F13" s="143"/>
      <c r="G13" s="32"/>
      <c r="H13" s="157"/>
      <c r="I13" s="157"/>
      <c r="J13" s="47"/>
      <c r="K13" s="47"/>
      <c r="L13" s="157"/>
      <c r="M13" s="157"/>
      <c r="N13" s="141"/>
      <c r="O13" s="423"/>
    </row>
    <row r="14" spans="1:15" x14ac:dyDescent="0.2">
      <c r="A14" s="151" t="s">
        <v>296</v>
      </c>
      <c r="B14" s="25"/>
    </row>
    <row r="15" spans="1:15" x14ac:dyDescent="0.2">
      <c r="F15" s="144"/>
      <c r="G15" s="144"/>
      <c r="H15" s="144"/>
      <c r="I15" s="144"/>
      <c r="J15" s="144"/>
      <c r="K15" s="144"/>
      <c r="L15" s="144"/>
      <c r="M15" s="144"/>
    </row>
    <row r="16" spans="1:15" s="3" customFormat="1" ht="15.75" x14ac:dyDescent="0.25">
      <c r="A16" s="162"/>
      <c r="B16" s="146"/>
      <c r="C16" s="152"/>
      <c r="D16" s="152"/>
      <c r="E16" s="152"/>
      <c r="F16" s="152"/>
      <c r="G16" s="152"/>
      <c r="H16" s="152"/>
      <c r="I16" s="152"/>
      <c r="J16" s="152"/>
      <c r="K16" s="152"/>
      <c r="L16" s="152"/>
      <c r="M16" s="152"/>
      <c r="N16" s="146"/>
      <c r="O16" s="146"/>
    </row>
    <row r="17" spans="1:15" ht="15.75" x14ac:dyDescent="0.25">
      <c r="A17" s="145" t="s">
        <v>293</v>
      </c>
      <c r="B17" s="155"/>
      <c r="C17" s="155"/>
      <c r="D17" s="149"/>
      <c r="E17" s="149"/>
      <c r="F17" s="155"/>
      <c r="G17" s="155"/>
      <c r="H17" s="155"/>
      <c r="I17" s="155"/>
      <c r="J17" s="155"/>
      <c r="K17" s="155"/>
      <c r="L17" s="155"/>
      <c r="M17" s="155"/>
    </row>
    <row r="18" spans="1:15" ht="15.75" x14ac:dyDescent="0.25">
      <c r="B18" s="963"/>
      <c r="C18" s="963"/>
      <c r="D18" s="963"/>
      <c r="E18" s="297"/>
      <c r="F18" s="963"/>
      <c r="G18" s="963"/>
      <c r="H18" s="963"/>
      <c r="I18" s="297"/>
      <c r="J18" s="963"/>
      <c r="K18" s="963"/>
      <c r="L18" s="963"/>
      <c r="M18" s="297"/>
    </row>
    <row r="19" spans="1:15" x14ac:dyDescent="0.2">
      <c r="A19" s="142"/>
      <c r="B19" s="960" t="s">
        <v>0</v>
      </c>
      <c r="C19" s="961"/>
      <c r="D19" s="961"/>
      <c r="E19" s="299"/>
      <c r="F19" s="960" t="s">
        <v>1</v>
      </c>
      <c r="G19" s="961"/>
      <c r="H19" s="961"/>
      <c r="I19" s="302"/>
      <c r="J19" s="960" t="s">
        <v>2</v>
      </c>
      <c r="K19" s="961"/>
      <c r="L19" s="961"/>
      <c r="M19" s="302"/>
    </row>
    <row r="20" spans="1:15" x14ac:dyDescent="0.2">
      <c r="A20" s="139" t="s">
        <v>5</v>
      </c>
      <c r="B20" s="240" t="s">
        <v>504</v>
      </c>
      <c r="C20" s="240" t="s">
        <v>505</v>
      </c>
      <c r="D20" s="160" t="s">
        <v>3</v>
      </c>
      <c r="E20" s="303" t="s">
        <v>32</v>
      </c>
      <c r="F20" s="240" t="s">
        <v>504</v>
      </c>
      <c r="G20" s="240" t="s">
        <v>505</v>
      </c>
      <c r="H20" s="160" t="s">
        <v>3</v>
      </c>
      <c r="I20" s="160" t="s">
        <v>32</v>
      </c>
      <c r="J20" s="240" t="s">
        <v>504</v>
      </c>
      <c r="K20" s="240" t="s">
        <v>505</v>
      </c>
      <c r="L20" s="160" t="s">
        <v>3</v>
      </c>
      <c r="M20" s="160" t="s">
        <v>32</v>
      </c>
    </row>
    <row r="21" spans="1:15" x14ac:dyDescent="0.2">
      <c r="A21" s="934"/>
      <c r="B21" s="154"/>
      <c r="C21" s="154"/>
      <c r="D21" s="245" t="s">
        <v>4</v>
      </c>
      <c r="E21" s="154" t="s">
        <v>33</v>
      </c>
      <c r="F21" s="159"/>
      <c r="G21" s="159"/>
      <c r="H21" s="243" t="s">
        <v>4</v>
      </c>
      <c r="I21" s="154" t="s">
        <v>33</v>
      </c>
      <c r="J21" s="159"/>
      <c r="K21" s="159"/>
      <c r="L21" s="154" t="s">
        <v>4</v>
      </c>
      <c r="M21" s="154" t="s">
        <v>33</v>
      </c>
    </row>
    <row r="22" spans="1:15" ht="15.75" x14ac:dyDescent="0.2">
      <c r="A22" s="14" t="s">
        <v>26</v>
      </c>
      <c r="B22" s="314"/>
      <c r="C22" s="314"/>
      <c r="D22" s="348"/>
      <c r="E22" s="11"/>
      <c r="F22" s="314"/>
      <c r="G22" s="314"/>
      <c r="H22" s="348"/>
      <c r="I22" s="11"/>
      <c r="J22" s="314"/>
      <c r="K22" s="314"/>
      <c r="L22" s="424"/>
      <c r="M22" s="23"/>
    </row>
    <row r="23" spans="1:15" ht="15.75" x14ac:dyDescent="0.2">
      <c r="A23" s="294" t="s">
        <v>305</v>
      </c>
      <c r="B23" s="288"/>
      <c r="C23" s="288"/>
      <c r="D23" s="164"/>
      <c r="E23" s="414"/>
      <c r="F23" s="288"/>
      <c r="G23" s="288"/>
      <c r="H23" s="164"/>
      <c r="I23" s="414"/>
      <c r="J23" s="288"/>
      <c r="K23" s="288"/>
      <c r="L23" s="164"/>
      <c r="M23" s="22"/>
    </row>
    <row r="24" spans="1:15" ht="15.75" x14ac:dyDescent="0.2">
      <c r="A24" s="294" t="s">
        <v>306</v>
      </c>
      <c r="B24" s="288"/>
      <c r="C24" s="288"/>
      <c r="D24" s="164"/>
      <c r="E24" s="414"/>
      <c r="F24" s="288"/>
      <c r="G24" s="288"/>
      <c r="H24" s="164"/>
      <c r="I24" s="414"/>
      <c r="J24" s="288"/>
      <c r="K24" s="288"/>
      <c r="L24" s="164"/>
      <c r="M24" s="22"/>
    </row>
    <row r="25" spans="1:15" ht="15.75" x14ac:dyDescent="0.2">
      <c r="A25" s="294" t="s">
        <v>406</v>
      </c>
      <c r="B25" s="288"/>
      <c r="C25" s="288"/>
      <c r="D25" s="164"/>
      <c r="E25" s="414"/>
      <c r="F25" s="288"/>
      <c r="G25" s="288"/>
      <c r="H25" s="164"/>
      <c r="I25" s="414"/>
      <c r="J25" s="288"/>
      <c r="K25" s="288"/>
      <c r="L25" s="164"/>
      <c r="M25" s="22"/>
    </row>
    <row r="26" spans="1:15" ht="15.75" x14ac:dyDescent="0.2">
      <c r="A26" s="294" t="s">
        <v>307</v>
      </c>
      <c r="B26" s="288"/>
      <c r="C26" s="288"/>
      <c r="D26" s="164"/>
      <c r="E26" s="414"/>
      <c r="F26" s="288"/>
      <c r="G26" s="288"/>
      <c r="H26" s="164"/>
      <c r="I26" s="414"/>
      <c r="J26" s="288"/>
      <c r="K26" s="288"/>
      <c r="L26" s="164"/>
      <c r="M26" s="22"/>
    </row>
    <row r="27" spans="1:15" x14ac:dyDescent="0.2">
      <c r="A27" s="294" t="s">
        <v>11</v>
      </c>
      <c r="B27" s="288"/>
      <c r="C27" s="288"/>
      <c r="D27" s="164"/>
      <c r="E27" s="414"/>
      <c r="F27" s="288"/>
      <c r="G27" s="288"/>
      <c r="H27" s="164"/>
      <c r="I27" s="414"/>
      <c r="J27" s="288"/>
      <c r="K27" s="288"/>
      <c r="L27" s="164"/>
      <c r="M27" s="22"/>
    </row>
    <row r="28" spans="1:15" ht="15.75" x14ac:dyDescent="0.2">
      <c r="A28" s="48" t="s">
        <v>297</v>
      </c>
      <c r="B28" s="43"/>
      <c r="C28" s="285"/>
      <c r="D28" s="164"/>
      <c r="E28" s="26"/>
      <c r="F28" s="232"/>
      <c r="G28" s="285"/>
      <c r="H28" s="164"/>
      <c r="I28" s="26"/>
      <c r="J28" s="43"/>
      <c r="K28" s="43"/>
      <c r="L28" s="253"/>
      <c r="M28" s="22"/>
    </row>
    <row r="29" spans="1:15" s="3" customFormat="1" ht="15.75" x14ac:dyDescent="0.2">
      <c r="A29" s="13" t="s">
        <v>25</v>
      </c>
      <c r="B29" s="234"/>
      <c r="C29" s="234"/>
      <c r="D29" s="169"/>
      <c r="E29" s="11"/>
      <c r="F29" s="234"/>
      <c r="G29" s="234"/>
      <c r="H29" s="169"/>
      <c r="I29" s="11"/>
      <c r="J29" s="234"/>
      <c r="K29" s="234"/>
      <c r="L29" s="425"/>
      <c r="M29" s="23"/>
      <c r="N29" s="146"/>
      <c r="O29" s="146"/>
    </row>
    <row r="30" spans="1:15" s="3" customFormat="1" ht="15.75" x14ac:dyDescent="0.2">
      <c r="A30" s="294" t="s">
        <v>305</v>
      </c>
      <c r="B30" s="288"/>
      <c r="C30" s="288"/>
      <c r="D30" s="164"/>
      <c r="E30" s="414"/>
      <c r="F30" s="288"/>
      <c r="G30" s="288"/>
      <c r="H30" s="164"/>
      <c r="I30" s="414"/>
      <c r="J30" s="288"/>
      <c r="K30" s="288"/>
      <c r="L30" s="164"/>
      <c r="M30" s="22"/>
      <c r="N30" s="146"/>
      <c r="O30" s="146"/>
    </row>
    <row r="31" spans="1:15" s="3" customFormat="1" ht="15.75" x14ac:dyDescent="0.2">
      <c r="A31" s="294" t="s">
        <v>306</v>
      </c>
      <c r="B31" s="288"/>
      <c r="C31" s="288"/>
      <c r="D31" s="164"/>
      <c r="E31" s="414"/>
      <c r="F31" s="288"/>
      <c r="G31" s="288"/>
      <c r="H31" s="164"/>
      <c r="I31" s="414"/>
      <c r="J31" s="288"/>
      <c r="K31" s="288"/>
      <c r="L31" s="164"/>
      <c r="M31" s="22"/>
      <c r="N31" s="146"/>
      <c r="O31" s="146"/>
    </row>
    <row r="32" spans="1:15" ht="15.75" x14ac:dyDescent="0.2">
      <c r="A32" s="294" t="s">
        <v>406</v>
      </c>
      <c r="B32" s="288"/>
      <c r="C32" s="288"/>
      <c r="D32" s="164"/>
      <c r="E32" s="414"/>
      <c r="F32" s="288"/>
      <c r="G32" s="288"/>
      <c r="H32" s="164"/>
      <c r="I32" s="414"/>
      <c r="J32" s="288"/>
      <c r="K32" s="288"/>
      <c r="L32" s="164"/>
      <c r="M32" s="22"/>
    </row>
    <row r="33" spans="1:15" ht="15.75" x14ac:dyDescent="0.2">
      <c r="A33" s="294" t="s">
        <v>307</v>
      </c>
      <c r="B33" s="288"/>
      <c r="C33" s="288"/>
      <c r="D33" s="164"/>
      <c r="E33" s="414"/>
      <c r="F33" s="288"/>
      <c r="G33" s="288"/>
      <c r="H33" s="164"/>
      <c r="I33" s="414"/>
      <c r="J33" s="288"/>
      <c r="K33" s="288"/>
      <c r="L33" s="164"/>
      <c r="M33" s="22"/>
    </row>
    <row r="34" spans="1:15" ht="15.75" x14ac:dyDescent="0.2">
      <c r="A34" s="13" t="s">
        <v>24</v>
      </c>
      <c r="B34" s="234"/>
      <c r="C34" s="307"/>
      <c r="D34" s="169"/>
      <c r="E34" s="11"/>
      <c r="F34" s="306"/>
      <c r="G34" s="307"/>
      <c r="H34" s="169"/>
      <c r="I34" s="11"/>
      <c r="J34" s="234"/>
      <c r="K34" s="234"/>
      <c r="L34" s="425"/>
      <c r="M34" s="23"/>
    </row>
    <row r="35" spans="1:15" ht="15.75" x14ac:dyDescent="0.2">
      <c r="A35" s="13" t="s">
        <v>23</v>
      </c>
      <c r="B35" s="234"/>
      <c r="C35" s="307"/>
      <c r="D35" s="169"/>
      <c r="E35" s="11"/>
      <c r="F35" s="306"/>
      <c r="G35" s="307"/>
      <c r="H35" s="169"/>
      <c r="I35" s="11"/>
      <c r="J35" s="234"/>
      <c r="K35" s="234"/>
      <c r="L35" s="425"/>
      <c r="M35" s="23"/>
    </row>
    <row r="36" spans="1:15" ht="15.75" x14ac:dyDescent="0.2">
      <c r="A36" s="12" t="s">
        <v>308</v>
      </c>
      <c r="B36" s="234"/>
      <c r="C36" s="307"/>
      <c r="D36" s="169"/>
      <c r="E36" s="11"/>
      <c r="F36" s="317"/>
      <c r="G36" s="318"/>
      <c r="H36" s="169"/>
      <c r="I36" s="431"/>
      <c r="J36" s="234"/>
      <c r="K36" s="234"/>
      <c r="L36" s="425"/>
      <c r="M36" s="23"/>
    </row>
    <row r="37" spans="1:15" ht="15.75" x14ac:dyDescent="0.2">
      <c r="A37" s="12" t="s">
        <v>309</v>
      </c>
      <c r="B37" s="234"/>
      <c r="C37" s="307"/>
      <c r="D37" s="169"/>
      <c r="E37" s="11"/>
      <c r="F37" s="317"/>
      <c r="G37" s="319"/>
      <c r="H37" s="169"/>
      <c r="I37" s="431"/>
      <c r="J37" s="234"/>
      <c r="K37" s="234"/>
      <c r="L37" s="425"/>
      <c r="M37" s="23"/>
    </row>
    <row r="38" spans="1:15" ht="15.75" x14ac:dyDescent="0.2">
      <c r="A38" s="12" t="s">
        <v>310</v>
      </c>
      <c r="B38" s="234"/>
      <c r="C38" s="307"/>
      <c r="D38" s="169"/>
      <c r="E38" s="11"/>
      <c r="F38" s="317"/>
      <c r="G38" s="318"/>
      <c r="H38" s="169"/>
      <c r="I38" s="431"/>
      <c r="J38" s="234"/>
      <c r="K38" s="234"/>
      <c r="L38" s="425"/>
      <c r="M38" s="23"/>
    </row>
    <row r="39" spans="1:15" ht="15.75" x14ac:dyDescent="0.2">
      <c r="A39" s="18" t="s">
        <v>311</v>
      </c>
      <c r="B39" s="274"/>
      <c r="C39" s="313"/>
      <c r="D39" s="167"/>
      <c r="E39" s="11"/>
      <c r="F39" s="320"/>
      <c r="G39" s="321"/>
      <c r="H39" s="167"/>
      <c r="I39" s="35"/>
      <c r="J39" s="234"/>
      <c r="K39" s="234"/>
      <c r="L39" s="426"/>
      <c r="M39" s="35"/>
    </row>
    <row r="40" spans="1:15" ht="15.75" x14ac:dyDescent="0.25">
      <c r="A40" s="46"/>
      <c r="B40" s="252"/>
      <c r="C40" s="252"/>
      <c r="D40" s="964"/>
      <c r="E40" s="964"/>
      <c r="F40" s="964"/>
      <c r="G40" s="964"/>
      <c r="H40" s="964"/>
      <c r="I40" s="964"/>
      <c r="J40" s="964"/>
      <c r="K40" s="964"/>
      <c r="L40" s="964"/>
      <c r="M40" s="300"/>
    </row>
    <row r="41" spans="1:15" x14ac:dyDescent="0.2">
      <c r="A41" s="153"/>
    </row>
    <row r="42" spans="1:15" ht="15.75" x14ac:dyDescent="0.25">
      <c r="A42" s="145" t="s">
        <v>294</v>
      </c>
      <c r="B42" s="965"/>
      <c r="C42" s="965"/>
      <c r="D42" s="965"/>
      <c r="E42" s="297"/>
      <c r="F42" s="966"/>
      <c r="G42" s="966"/>
      <c r="H42" s="966"/>
      <c r="I42" s="300"/>
      <c r="J42" s="966"/>
      <c r="K42" s="966"/>
      <c r="L42" s="966"/>
      <c r="M42" s="300"/>
    </row>
    <row r="43" spans="1:15" ht="15.75" x14ac:dyDescent="0.25">
      <c r="A43" s="161"/>
      <c r="B43" s="301"/>
      <c r="C43" s="301"/>
      <c r="D43" s="301"/>
      <c r="E43" s="301"/>
      <c r="F43" s="300"/>
      <c r="G43" s="300"/>
      <c r="H43" s="300"/>
      <c r="I43" s="300"/>
      <c r="J43" s="300"/>
      <c r="K43" s="300"/>
      <c r="L43" s="300"/>
      <c r="M43" s="300"/>
    </row>
    <row r="44" spans="1:15" ht="15.75" x14ac:dyDescent="0.25">
      <c r="A44" s="246"/>
      <c r="B44" s="960" t="s">
        <v>0</v>
      </c>
      <c r="C44" s="961"/>
      <c r="D44" s="961"/>
      <c r="E44" s="241"/>
      <c r="F44" s="300"/>
      <c r="G44" s="300"/>
      <c r="H44" s="300"/>
      <c r="I44" s="300"/>
      <c r="J44" s="300"/>
      <c r="K44" s="300"/>
      <c r="L44" s="300"/>
      <c r="M44" s="300"/>
    </row>
    <row r="45" spans="1:15" s="3" customFormat="1" x14ac:dyDescent="0.2">
      <c r="A45" s="139"/>
      <c r="B45" s="171" t="s">
        <v>504</v>
      </c>
      <c r="C45" s="171" t="s">
        <v>505</v>
      </c>
      <c r="D45" s="160" t="s">
        <v>3</v>
      </c>
      <c r="E45" s="160" t="s">
        <v>32</v>
      </c>
      <c r="F45" s="173"/>
      <c r="G45" s="173"/>
      <c r="H45" s="172"/>
      <c r="I45" s="172"/>
      <c r="J45" s="173"/>
      <c r="K45" s="173"/>
      <c r="L45" s="172"/>
      <c r="M45" s="172"/>
      <c r="N45" s="146"/>
      <c r="O45" s="146"/>
    </row>
    <row r="46" spans="1:15" s="3" customFormat="1" x14ac:dyDescent="0.2">
      <c r="A46" s="934"/>
      <c r="B46" s="242"/>
      <c r="C46" s="242"/>
      <c r="D46" s="243" t="s">
        <v>4</v>
      </c>
      <c r="E46" s="154" t="s">
        <v>33</v>
      </c>
      <c r="F46" s="172"/>
      <c r="G46" s="172"/>
      <c r="H46" s="172"/>
      <c r="I46" s="172"/>
      <c r="J46" s="172"/>
      <c r="K46" s="172"/>
      <c r="L46" s="172"/>
      <c r="M46" s="172"/>
      <c r="N46" s="146"/>
      <c r="O46" s="146"/>
    </row>
    <row r="47" spans="1:15" s="3" customFormat="1" ht="15.75" x14ac:dyDescent="0.2">
      <c r="A47" s="14" t="s">
        <v>26</v>
      </c>
      <c r="B47" s="308"/>
      <c r="C47" s="309"/>
      <c r="D47" s="424"/>
      <c r="E47" s="11"/>
      <c r="F47" s="143"/>
      <c r="G47" s="32"/>
      <c r="H47" s="157"/>
      <c r="I47" s="157"/>
      <c r="J47" s="36"/>
      <c r="K47" s="36"/>
      <c r="L47" s="157"/>
      <c r="M47" s="157"/>
      <c r="N47" s="146"/>
      <c r="O47" s="146"/>
    </row>
    <row r="48" spans="1:15" s="3" customFormat="1" ht="15.75" x14ac:dyDescent="0.2">
      <c r="A48" s="37" t="s">
        <v>312</v>
      </c>
      <c r="B48" s="279"/>
      <c r="C48" s="280"/>
      <c r="D48" s="253"/>
      <c r="E48" s="26"/>
      <c r="F48" s="143"/>
      <c r="G48" s="32"/>
      <c r="H48" s="143"/>
      <c r="I48" s="143"/>
      <c r="J48" s="32"/>
      <c r="K48" s="32"/>
      <c r="L48" s="157"/>
      <c r="M48" s="157"/>
      <c r="N48" s="146"/>
      <c r="O48" s="146"/>
    </row>
    <row r="49" spans="1:15" s="3" customFormat="1" ht="15.75" x14ac:dyDescent="0.2">
      <c r="A49" s="37" t="s">
        <v>313</v>
      </c>
      <c r="B49" s="43"/>
      <c r="C49" s="285"/>
      <c r="D49" s="253"/>
      <c r="E49" s="26"/>
      <c r="F49" s="143"/>
      <c r="G49" s="32"/>
      <c r="H49" s="143"/>
      <c r="I49" s="143"/>
      <c r="J49" s="36"/>
      <c r="K49" s="36"/>
      <c r="L49" s="157"/>
      <c r="M49" s="157"/>
      <c r="N49" s="146"/>
      <c r="O49" s="146"/>
    </row>
    <row r="50" spans="1:15" s="3" customFormat="1" x14ac:dyDescent="0.2">
      <c r="A50" s="294" t="s">
        <v>6</v>
      </c>
      <c r="B50" s="288"/>
      <c r="C50" s="289"/>
      <c r="D50" s="253"/>
      <c r="E50" s="22"/>
      <c r="F50" s="143"/>
      <c r="G50" s="32"/>
      <c r="H50" s="143"/>
      <c r="I50" s="143"/>
      <c r="J50" s="32"/>
      <c r="K50" s="32"/>
      <c r="L50" s="157"/>
      <c r="M50" s="157"/>
      <c r="N50" s="146"/>
      <c r="O50" s="146"/>
    </row>
    <row r="51" spans="1:15" s="3" customFormat="1" x14ac:dyDescent="0.2">
      <c r="A51" s="294" t="s">
        <v>7</v>
      </c>
      <c r="B51" s="288"/>
      <c r="C51" s="289"/>
      <c r="D51" s="253"/>
      <c r="E51" s="22"/>
      <c r="F51" s="143"/>
      <c r="G51" s="32"/>
      <c r="H51" s="143"/>
      <c r="I51" s="143"/>
      <c r="J51" s="32"/>
      <c r="K51" s="32"/>
      <c r="L51" s="157"/>
      <c r="M51" s="157"/>
      <c r="N51" s="146"/>
      <c r="O51" s="146"/>
    </row>
    <row r="52" spans="1:15" s="3" customFormat="1" x14ac:dyDescent="0.2">
      <c r="A52" s="294" t="s">
        <v>8</v>
      </c>
      <c r="B52" s="288"/>
      <c r="C52" s="289"/>
      <c r="D52" s="253"/>
      <c r="E52" s="22"/>
      <c r="F52" s="143"/>
      <c r="G52" s="32"/>
      <c r="H52" s="143"/>
      <c r="I52" s="143"/>
      <c r="J52" s="32"/>
      <c r="K52" s="32"/>
      <c r="L52" s="157"/>
      <c r="M52" s="157"/>
      <c r="N52" s="146"/>
      <c r="O52" s="146"/>
    </row>
    <row r="53" spans="1:15" s="3" customFormat="1" ht="15.75" x14ac:dyDescent="0.2">
      <c r="A53" s="38" t="s">
        <v>314</v>
      </c>
      <c r="B53" s="308"/>
      <c r="C53" s="309"/>
      <c r="D53" s="425"/>
      <c r="E53" s="11"/>
      <c r="F53" s="143"/>
      <c r="G53" s="32"/>
      <c r="H53" s="143"/>
      <c r="I53" s="143"/>
      <c r="J53" s="32"/>
      <c r="K53" s="32"/>
      <c r="L53" s="157"/>
      <c r="M53" s="157"/>
      <c r="N53" s="146"/>
      <c r="O53" s="146"/>
    </row>
    <row r="54" spans="1:15" s="3" customFormat="1" ht="15.75" x14ac:dyDescent="0.2">
      <c r="A54" s="37" t="s">
        <v>312</v>
      </c>
      <c r="B54" s="279"/>
      <c r="C54" s="280"/>
      <c r="D54" s="253"/>
      <c r="E54" s="26"/>
      <c r="F54" s="143"/>
      <c r="G54" s="32"/>
      <c r="H54" s="143"/>
      <c r="I54" s="143"/>
      <c r="J54" s="32"/>
      <c r="K54" s="32"/>
      <c r="L54" s="157"/>
      <c r="M54" s="157"/>
      <c r="N54" s="146"/>
      <c r="O54" s="146"/>
    </row>
    <row r="55" spans="1:15" s="3" customFormat="1" ht="15.75" x14ac:dyDescent="0.2">
      <c r="A55" s="37" t="s">
        <v>313</v>
      </c>
      <c r="B55" s="279"/>
      <c r="C55" s="280"/>
      <c r="D55" s="253"/>
      <c r="E55" s="26"/>
      <c r="F55" s="143"/>
      <c r="G55" s="32"/>
      <c r="H55" s="143"/>
      <c r="I55" s="143"/>
      <c r="J55" s="32"/>
      <c r="K55" s="32"/>
      <c r="L55" s="157"/>
      <c r="M55" s="157"/>
      <c r="N55" s="146"/>
      <c r="O55" s="146"/>
    </row>
    <row r="56" spans="1:15" s="3" customFormat="1" ht="15.75" x14ac:dyDescent="0.2">
      <c r="A56" s="38" t="s">
        <v>315</v>
      </c>
      <c r="B56" s="308"/>
      <c r="C56" s="309"/>
      <c r="D56" s="425"/>
      <c r="E56" s="11"/>
      <c r="F56" s="143"/>
      <c r="G56" s="32"/>
      <c r="H56" s="143"/>
      <c r="I56" s="143"/>
      <c r="J56" s="32"/>
      <c r="K56" s="32"/>
      <c r="L56" s="157"/>
      <c r="M56" s="157"/>
      <c r="N56" s="146"/>
      <c r="O56" s="146"/>
    </row>
    <row r="57" spans="1:15" s="3" customFormat="1" ht="15.75" x14ac:dyDescent="0.2">
      <c r="A57" s="37" t="s">
        <v>312</v>
      </c>
      <c r="B57" s="279"/>
      <c r="C57" s="280"/>
      <c r="D57" s="253"/>
      <c r="E57" s="26"/>
      <c r="F57" s="143"/>
      <c r="G57" s="32"/>
      <c r="H57" s="143"/>
      <c r="I57" s="143"/>
      <c r="J57" s="32"/>
      <c r="K57" s="32"/>
      <c r="L57" s="157"/>
      <c r="M57" s="157"/>
      <c r="N57" s="146"/>
      <c r="O57" s="146"/>
    </row>
    <row r="58" spans="1:15" s="3" customFormat="1" ht="15.75" x14ac:dyDescent="0.2">
      <c r="A58" s="45" t="s">
        <v>313</v>
      </c>
      <c r="B58" s="281"/>
      <c r="C58" s="282"/>
      <c r="D58" s="254"/>
      <c r="E58" s="21"/>
      <c r="F58" s="143"/>
      <c r="G58" s="32"/>
      <c r="H58" s="143"/>
      <c r="I58" s="143"/>
      <c r="J58" s="32"/>
      <c r="K58" s="32"/>
      <c r="L58" s="157"/>
      <c r="M58" s="157"/>
      <c r="N58" s="146"/>
      <c r="O58" s="146"/>
    </row>
    <row r="59" spans="1:15" s="3" customFormat="1" ht="15.75" x14ac:dyDescent="0.25">
      <c r="A59" s="162"/>
      <c r="B59" s="152"/>
      <c r="C59" s="152"/>
      <c r="D59" s="152"/>
      <c r="E59" s="152"/>
      <c r="F59" s="140"/>
      <c r="G59" s="140"/>
      <c r="H59" s="140"/>
      <c r="I59" s="140"/>
      <c r="J59" s="140"/>
      <c r="K59" s="140"/>
      <c r="L59" s="140"/>
      <c r="M59" s="140"/>
      <c r="N59" s="146"/>
      <c r="O59" s="146"/>
    </row>
    <row r="60" spans="1:15" x14ac:dyDescent="0.2">
      <c r="A60" s="153"/>
    </row>
    <row r="61" spans="1:15" ht="15.75" x14ac:dyDescent="0.25">
      <c r="A61" s="145" t="s">
        <v>295</v>
      </c>
      <c r="C61" s="25"/>
      <c r="D61" s="25"/>
      <c r="E61" s="25"/>
      <c r="F61" s="25"/>
      <c r="G61" s="25"/>
      <c r="H61" s="25"/>
      <c r="I61" s="25"/>
      <c r="J61" s="25"/>
      <c r="K61" s="25"/>
      <c r="L61" s="25"/>
      <c r="M61" s="25"/>
    </row>
    <row r="62" spans="1:15" ht="15.75" x14ac:dyDescent="0.25">
      <c r="B62" s="963"/>
      <c r="C62" s="963"/>
      <c r="D62" s="963"/>
      <c r="E62" s="297"/>
      <c r="F62" s="963"/>
      <c r="G62" s="963"/>
      <c r="H62" s="963"/>
      <c r="I62" s="297"/>
      <c r="J62" s="963"/>
      <c r="K62" s="963"/>
      <c r="L62" s="963"/>
      <c r="M62" s="297"/>
    </row>
    <row r="63" spans="1:15" x14ac:dyDescent="0.2">
      <c r="A63" s="142"/>
      <c r="B63" s="960" t="s">
        <v>0</v>
      </c>
      <c r="C63" s="961"/>
      <c r="D63" s="962"/>
      <c r="E63" s="298"/>
      <c r="F63" s="961" t="s">
        <v>1</v>
      </c>
      <c r="G63" s="961"/>
      <c r="H63" s="961"/>
      <c r="I63" s="302"/>
      <c r="J63" s="960" t="s">
        <v>2</v>
      </c>
      <c r="K63" s="961"/>
      <c r="L63" s="961"/>
      <c r="M63" s="302"/>
    </row>
    <row r="64" spans="1:15" x14ac:dyDescent="0.2">
      <c r="A64" s="139"/>
      <c r="B64" s="150" t="s">
        <v>504</v>
      </c>
      <c r="C64" s="150" t="s">
        <v>505</v>
      </c>
      <c r="D64" s="243" t="s">
        <v>3</v>
      </c>
      <c r="E64" s="303" t="s">
        <v>32</v>
      </c>
      <c r="F64" s="150" t="s">
        <v>504</v>
      </c>
      <c r="G64" s="150" t="s">
        <v>505</v>
      </c>
      <c r="H64" s="243" t="s">
        <v>3</v>
      </c>
      <c r="I64" s="303" t="s">
        <v>32</v>
      </c>
      <c r="J64" s="150" t="s">
        <v>504</v>
      </c>
      <c r="K64" s="150" t="s">
        <v>505</v>
      </c>
      <c r="L64" s="243" t="s">
        <v>3</v>
      </c>
      <c r="M64" s="160" t="s">
        <v>32</v>
      </c>
    </row>
    <row r="65" spans="1:15" x14ac:dyDescent="0.2">
      <c r="A65" s="934"/>
      <c r="B65" s="154"/>
      <c r="C65" s="154"/>
      <c r="D65" s="245" t="s">
        <v>4</v>
      </c>
      <c r="E65" s="154" t="s">
        <v>33</v>
      </c>
      <c r="F65" s="159"/>
      <c r="G65" s="159"/>
      <c r="H65" s="243" t="s">
        <v>4</v>
      </c>
      <c r="I65" s="154" t="s">
        <v>33</v>
      </c>
      <c r="J65" s="159"/>
      <c r="K65" s="204"/>
      <c r="L65" s="154" t="s">
        <v>4</v>
      </c>
      <c r="M65" s="154" t="s">
        <v>33</v>
      </c>
    </row>
    <row r="66" spans="1:15" ht="15.75" x14ac:dyDescent="0.2">
      <c r="A66" s="14" t="s">
        <v>26</v>
      </c>
      <c r="B66" s="350">
        <f>B67+B68+B75+B76</f>
        <v>115325</v>
      </c>
      <c r="C66" s="350">
        <f>C67+C68+C75+C76</f>
        <v>97233</v>
      </c>
      <c r="D66" s="348">
        <f t="shared" ref="D66:D111" si="0">IF(B66=0, "    ---- ", IF(ABS(ROUND(100/B66*C66-100,1))&lt;999,ROUND(100/B66*C66-100,1),IF(ROUND(100/B66*C66-100,1)&gt;999,999,-999)))</f>
        <v>-15.7</v>
      </c>
      <c r="E66" s="11">
        <f>IFERROR(100/'Skjema total MA'!C66*C66,0)</f>
        <v>0.98662841218650121</v>
      </c>
      <c r="F66" s="350">
        <f>F67+F68+F75+F76</f>
        <v>274248</v>
      </c>
      <c r="G66" s="350">
        <f>G67+G68+G75+G76</f>
        <v>356633</v>
      </c>
      <c r="H66" s="348">
        <f t="shared" ref="H66:H111" si="1">IF(F66=0, "    ---- ", IF(ABS(ROUND(100/F66*G66-100,1))&lt;999,ROUND(100/F66*G66-100,1),IF(ROUND(100/F66*G66-100,1)&gt;999,999,-999)))</f>
        <v>30</v>
      </c>
      <c r="I66" s="11">
        <f>IFERROR(100/'Skjema total MA'!F66*G66,0)</f>
        <v>1.3353615468846354</v>
      </c>
      <c r="J66" s="307">
        <f t="shared" ref="J66:K85" si="2">SUM(B66,F66)</f>
        <v>389573</v>
      </c>
      <c r="K66" s="314">
        <f t="shared" si="2"/>
        <v>453866</v>
      </c>
      <c r="L66" s="425">
        <f t="shared" ref="L66:L111" si="3">IF(J66=0, "    ---- ", IF(ABS(ROUND(100/J66*K66-100,1))&lt;999,ROUND(100/J66*K66-100,1),IF(ROUND(100/J66*K66-100,1)&gt;999,999,-999)))</f>
        <v>16.5</v>
      </c>
      <c r="M66" s="11">
        <f>IFERROR(100/'Skjema total MA'!I66*K66,0)</f>
        <v>1.241362338435146</v>
      </c>
    </row>
    <row r="67" spans="1:15" x14ac:dyDescent="0.2">
      <c r="A67" s="416" t="s">
        <v>9</v>
      </c>
      <c r="B67" s="43">
        <v>115325</v>
      </c>
      <c r="C67" s="143">
        <v>97233</v>
      </c>
      <c r="D67" s="164">
        <f t="shared" si="0"/>
        <v>-15.7</v>
      </c>
      <c r="E67" s="26">
        <f>IFERROR(100/'Skjema total MA'!C67*C67,0)</f>
        <v>1.1998878514836897</v>
      </c>
      <c r="F67" s="232"/>
      <c r="G67" s="143"/>
      <c r="H67" s="164"/>
      <c r="I67" s="26"/>
      <c r="J67" s="285">
        <f t="shared" si="2"/>
        <v>115325</v>
      </c>
      <c r="K67" s="43">
        <f t="shared" si="2"/>
        <v>97233</v>
      </c>
      <c r="L67" s="253">
        <f t="shared" si="3"/>
        <v>-15.7</v>
      </c>
      <c r="M67" s="26">
        <f>IFERROR(100/'Skjema total MA'!I67*K67,0)</f>
        <v>1.1998878514836897</v>
      </c>
    </row>
    <row r="68" spans="1:15" x14ac:dyDescent="0.2">
      <c r="A68" s="20" t="s">
        <v>10</v>
      </c>
      <c r="B68" s="290"/>
      <c r="C68" s="291"/>
      <c r="D68" s="164"/>
      <c r="E68" s="26"/>
      <c r="F68" s="290">
        <v>274248</v>
      </c>
      <c r="G68" s="291">
        <v>356633</v>
      </c>
      <c r="H68" s="164">
        <f t="shared" si="1"/>
        <v>30</v>
      </c>
      <c r="I68" s="26">
        <f>IFERROR(100/'Skjema total MA'!F68*G68,0)</f>
        <v>1.3504123347329335</v>
      </c>
      <c r="J68" s="285">
        <f t="shared" si="2"/>
        <v>274248</v>
      </c>
      <c r="K68" s="43">
        <f t="shared" si="2"/>
        <v>356633</v>
      </c>
      <c r="L68" s="253">
        <f t="shared" si="3"/>
        <v>30</v>
      </c>
      <c r="M68" s="26">
        <f>IFERROR(100/'Skjema total MA'!I68*K68,0)</f>
        <v>1.3423215538276367</v>
      </c>
    </row>
    <row r="69" spans="1:15" ht="15.75" x14ac:dyDescent="0.2">
      <c r="A69" s="294" t="s">
        <v>316</v>
      </c>
      <c r="B69" s="279"/>
      <c r="C69" s="279"/>
      <c r="D69" s="164"/>
      <c r="E69" s="414"/>
      <c r="F69" s="279"/>
      <c r="G69" s="279"/>
      <c r="H69" s="164"/>
      <c r="I69" s="414"/>
      <c r="J69" s="288"/>
      <c r="K69" s="288"/>
      <c r="L69" s="164"/>
      <c r="M69" s="22"/>
    </row>
    <row r="70" spans="1:15" x14ac:dyDescent="0.2">
      <c r="A70" s="294" t="s">
        <v>12</v>
      </c>
      <c r="B70" s="292"/>
      <c r="C70" s="293"/>
      <c r="D70" s="164"/>
      <c r="E70" s="414"/>
      <c r="F70" s="279"/>
      <c r="G70" s="279"/>
      <c r="H70" s="164"/>
      <c r="I70" s="414"/>
      <c r="J70" s="288"/>
      <c r="K70" s="288"/>
      <c r="L70" s="164"/>
      <c r="M70" s="22"/>
    </row>
    <row r="71" spans="1:15" x14ac:dyDescent="0.2">
      <c r="A71" s="294" t="s">
        <v>13</v>
      </c>
      <c r="B71" s="233"/>
      <c r="C71" s="287"/>
      <c r="D71" s="164"/>
      <c r="E71" s="414"/>
      <c r="F71" s="279"/>
      <c r="G71" s="279"/>
      <c r="H71" s="164"/>
      <c r="I71" s="414"/>
      <c r="J71" s="288"/>
      <c r="K71" s="288"/>
      <c r="L71" s="164"/>
      <c r="M71" s="22"/>
    </row>
    <row r="72" spans="1:15" ht="15.75" x14ac:dyDescent="0.2">
      <c r="A72" s="294" t="s">
        <v>317</v>
      </c>
      <c r="B72" s="279"/>
      <c r="C72" s="279"/>
      <c r="D72" s="164"/>
      <c r="E72" s="414"/>
      <c r="F72" s="279">
        <v>274248</v>
      </c>
      <c r="G72" s="279">
        <v>356633</v>
      </c>
      <c r="H72" s="164">
        <f t="shared" si="1"/>
        <v>30</v>
      </c>
      <c r="I72" s="414">
        <f>IFERROR(100/'Skjema total MA'!F72*G72,0)</f>
        <v>1.3506157561086394</v>
      </c>
      <c r="J72" s="285">
        <f t="shared" si="2"/>
        <v>274248</v>
      </c>
      <c r="K72" s="285">
        <f t="shared" si="2"/>
        <v>356633</v>
      </c>
      <c r="L72" s="164">
        <f t="shared" ref="L72:L74" si="4">IF(J72=0, "    ---- ", IF(ABS(ROUND(100/J72*K72-100,1))&lt;999,ROUND(100/J72*K72-100,1),IF(ROUND(100/J72*K72-100,1)&gt;999,999,-999)))</f>
        <v>30</v>
      </c>
      <c r="M72" s="22">
        <f>IFERROR(100/'Skjema total MA'!I72*K72,0)</f>
        <v>1.3434454037962069</v>
      </c>
    </row>
    <row r="73" spans="1:15" x14ac:dyDescent="0.2">
      <c r="A73" s="294" t="s">
        <v>12</v>
      </c>
      <c r="B73" s="233"/>
      <c r="C73" s="287"/>
      <c r="D73" s="164"/>
      <c r="E73" s="414"/>
      <c r="F73" s="279">
        <v>274248</v>
      </c>
      <c r="G73" s="279">
        <v>0</v>
      </c>
      <c r="H73" s="164">
        <f t="shared" si="1"/>
        <v>-100</v>
      </c>
      <c r="I73" s="414">
        <f>IFERROR(100/'Skjema total MA'!F73*G73,0)</f>
        <v>0</v>
      </c>
      <c r="J73" s="285">
        <f t="shared" si="2"/>
        <v>274248</v>
      </c>
      <c r="K73" s="285">
        <f t="shared" si="2"/>
        <v>0</v>
      </c>
      <c r="L73" s="164">
        <f t="shared" si="4"/>
        <v>-100</v>
      </c>
      <c r="M73" s="22">
        <f>IFERROR(100/'Skjema total MA'!I73*K73,0)</f>
        <v>0</v>
      </c>
    </row>
    <row r="74" spans="1:15" s="3" customFormat="1" x14ac:dyDescent="0.2">
      <c r="A74" s="294" t="s">
        <v>13</v>
      </c>
      <c r="B74" s="233"/>
      <c r="C74" s="287"/>
      <c r="D74" s="164"/>
      <c r="E74" s="414"/>
      <c r="F74" s="279">
        <v>0</v>
      </c>
      <c r="G74" s="279">
        <v>356633</v>
      </c>
      <c r="H74" s="164" t="str">
        <f t="shared" si="1"/>
        <v xml:space="preserve">    ---- </v>
      </c>
      <c r="I74" s="414">
        <f>IFERROR(100/'Skjema total MA'!F74*G74,0)</f>
        <v>1.3678465630423871</v>
      </c>
      <c r="J74" s="285">
        <f t="shared" si="2"/>
        <v>0</v>
      </c>
      <c r="K74" s="285">
        <f t="shared" si="2"/>
        <v>356633</v>
      </c>
      <c r="L74" s="164" t="str">
        <f t="shared" si="4"/>
        <v xml:space="preserve">    ---- </v>
      </c>
      <c r="M74" s="22">
        <f>IFERROR(100/'Skjema total MA'!I74*K74,0)</f>
        <v>1.3678465630423871</v>
      </c>
      <c r="N74" s="146"/>
      <c r="O74" s="146"/>
    </row>
    <row r="75" spans="1:15" s="3" customFormat="1" x14ac:dyDescent="0.2">
      <c r="A75" s="20" t="s">
        <v>395</v>
      </c>
      <c r="B75" s="232"/>
      <c r="C75" s="143"/>
      <c r="D75" s="164"/>
      <c r="E75" s="26"/>
      <c r="F75" s="232"/>
      <c r="G75" s="143"/>
      <c r="H75" s="164"/>
      <c r="I75" s="26"/>
      <c r="J75" s="285"/>
      <c r="K75" s="285"/>
      <c r="L75" s="253"/>
      <c r="M75" s="26"/>
      <c r="N75" s="146"/>
      <c r="O75" s="146"/>
    </row>
    <row r="76" spans="1:15" s="3" customFormat="1" x14ac:dyDescent="0.2">
      <c r="A76" s="20" t="s">
        <v>394</v>
      </c>
      <c r="B76" s="232"/>
      <c r="C76" s="143"/>
      <c r="D76" s="164"/>
      <c r="E76" s="26"/>
      <c r="F76" s="232"/>
      <c r="G76" s="143"/>
      <c r="H76" s="164"/>
      <c r="I76" s="26"/>
      <c r="J76" s="285"/>
      <c r="K76" s="285"/>
      <c r="L76" s="253"/>
      <c r="M76" s="26"/>
      <c r="N76" s="146"/>
      <c r="O76" s="146"/>
    </row>
    <row r="77" spans="1:15" ht="15.75" x14ac:dyDescent="0.2">
      <c r="A77" s="20" t="s">
        <v>318</v>
      </c>
      <c r="B77" s="232">
        <v>115325</v>
      </c>
      <c r="C77" s="232">
        <v>97233</v>
      </c>
      <c r="D77" s="164">
        <f t="shared" si="0"/>
        <v>-15.7</v>
      </c>
      <c r="E77" s="26">
        <f>IFERROR(100/'Skjema total MA'!C77*C77,0)</f>
        <v>1.2059665872799137</v>
      </c>
      <c r="F77" s="232">
        <v>274248</v>
      </c>
      <c r="G77" s="143">
        <v>356633</v>
      </c>
      <c r="H77" s="164">
        <f t="shared" si="1"/>
        <v>30</v>
      </c>
      <c r="I77" s="26">
        <f>IFERROR(100/'Skjema total MA'!F77*G77,0)</f>
        <v>1.3510849276284551</v>
      </c>
      <c r="J77" s="285">
        <f t="shared" si="2"/>
        <v>389573</v>
      </c>
      <c r="K77" s="285">
        <f t="shared" si="2"/>
        <v>453866</v>
      </c>
      <c r="L77" s="253">
        <f t="shared" si="3"/>
        <v>16.5</v>
      </c>
      <c r="M77" s="26">
        <f>IFERROR(100/'Skjema total MA'!I77*K77,0)</f>
        <v>1.3171300841766029</v>
      </c>
    </row>
    <row r="78" spans="1:15" x14ac:dyDescent="0.2">
      <c r="A78" s="20" t="s">
        <v>9</v>
      </c>
      <c r="B78" s="232">
        <v>115325</v>
      </c>
      <c r="C78" s="143">
        <v>97233</v>
      </c>
      <c r="D78" s="164">
        <f t="shared" si="0"/>
        <v>-15.7</v>
      </c>
      <c r="E78" s="26">
        <f>IFERROR(100/'Skjema total MA'!C78*C78,0)</f>
        <v>1.2296364448029709</v>
      </c>
      <c r="F78" s="232"/>
      <c r="G78" s="143"/>
      <c r="H78" s="164"/>
      <c r="I78" s="26"/>
      <c r="J78" s="285">
        <f t="shared" si="2"/>
        <v>115325</v>
      </c>
      <c r="K78" s="285">
        <f t="shared" si="2"/>
        <v>97233</v>
      </c>
      <c r="L78" s="253">
        <f t="shared" si="3"/>
        <v>-15.7</v>
      </c>
      <c r="M78" s="26">
        <f>IFERROR(100/'Skjema total MA'!I78*K78,0)</f>
        <v>1.2296364448029709</v>
      </c>
    </row>
    <row r="79" spans="1:15" x14ac:dyDescent="0.2">
      <c r="A79" s="20" t="s">
        <v>10</v>
      </c>
      <c r="B79" s="290"/>
      <c r="C79" s="291"/>
      <c r="D79" s="164"/>
      <c r="E79" s="26"/>
      <c r="F79" s="290">
        <v>274248</v>
      </c>
      <c r="G79" s="291">
        <v>356633</v>
      </c>
      <c r="H79" s="164">
        <f t="shared" si="1"/>
        <v>30</v>
      </c>
      <c r="I79" s="26">
        <f>IFERROR(100/'Skjema total MA'!F79*G79,0)</f>
        <v>1.3510849276284551</v>
      </c>
      <c r="J79" s="285">
        <f t="shared" si="2"/>
        <v>274248</v>
      </c>
      <c r="K79" s="285">
        <f t="shared" si="2"/>
        <v>356633</v>
      </c>
      <c r="L79" s="253">
        <f t="shared" si="3"/>
        <v>30</v>
      </c>
      <c r="M79" s="26">
        <f>IFERROR(100/'Skjema total MA'!I79*K79,0)</f>
        <v>1.3431873294048267</v>
      </c>
    </row>
    <row r="80" spans="1:15" ht="15.75" x14ac:dyDescent="0.2">
      <c r="A80" s="294" t="s">
        <v>316</v>
      </c>
      <c r="B80" s="279"/>
      <c r="C80" s="279"/>
      <c r="D80" s="164"/>
      <c r="E80" s="414"/>
      <c r="F80" s="279"/>
      <c r="G80" s="279"/>
      <c r="H80" s="164"/>
      <c r="I80" s="414"/>
      <c r="J80" s="288"/>
      <c r="K80" s="288"/>
      <c r="L80" s="164"/>
      <c r="M80" s="22"/>
    </row>
    <row r="81" spans="1:13" x14ac:dyDescent="0.2">
      <c r="A81" s="294" t="s">
        <v>12</v>
      </c>
      <c r="B81" s="233"/>
      <c r="C81" s="287"/>
      <c r="D81" s="164"/>
      <c r="E81" s="414"/>
      <c r="F81" s="279"/>
      <c r="G81" s="279"/>
      <c r="H81" s="164"/>
      <c r="I81" s="414"/>
      <c r="J81" s="288"/>
      <c r="K81" s="288"/>
      <c r="L81" s="164"/>
      <c r="M81" s="22"/>
    </row>
    <row r="82" spans="1:13" x14ac:dyDescent="0.2">
      <c r="A82" s="294" t="s">
        <v>13</v>
      </c>
      <c r="B82" s="233"/>
      <c r="C82" s="287"/>
      <c r="D82" s="164"/>
      <c r="E82" s="414"/>
      <c r="F82" s="279"/>
      <c r="G82" s="279"/>
      <c r="H82" s="164"/>
      <c r="I82" s="414"/>
      <c r="J82" s="288"/>
      <c r="K82" s="288"/>
      <c r="L82" s="164"/>
      <c r="M82" s="22"/>
    </row>
    <row r="83" spans="1:13" ht="15.75" x14ac:dyDescent="0.2">
      <c r="A83" s="294" t="s">
        <v>317</v>
      </c>
      <c r="B83" s="279"/>
      <c r="C83" s="279"/>
      <c r="D83" s="164"/>
      <c r="E83" s="414"/>
      <c r="F83" s="279">
        <v>274248</v>
      </c>
      <c r="G83" s="279">
        <v>356633</v>
      </c>
      <c r="H83" s="164">
        <f t="shared" si="1"/>
        <v>30</v>
      </c>
      <c r="I83" s="414">
        <f>IFERROR(100/'Skjema total MA'!F83*G83,0)</f>
        <v>1.3510849276284551</v>
      </c>
      <c r="J83" s="285">
        <f t="shared" si="2"/>
        <v>274248</v>
      </c>
      <c r="K83" s="285">
        <f t="shared" si="2"/>
        <v>356633</v>
      </c>
      <c r="L83" s="164">
        <f t="shared" ref="L83" si="5">IF(J83=0, "    ---- ", IF(ABS(ROUND(100/J83*K83-100,1))&lt;999,ROUND(100/J83*K83-100,1),IF(ROUND(100/J83*K83-100,1)&gt;999,999,-999)))</f>
        <v>30</v>
      </c>
      <c r="M83" s="22">
        <f>IFERROR(100/'Skjema total MA'!I83*K83,0)</f>
        <v>1.3431873294048267</v>
      </c>
    </row>
    <row r="84" spans="1:13" x14ac:dyDescent="0.2">
      <c r="A84" s="294" t="s">
        <v>12</v>
      </c>
      <c r="B84" s="233"/>
      <c r="C84" s="287"/>
      <c r="D84" s="164"/>
      <c r="E84" s="414"/>
      <c r="F84" s="279">
        <v>274248</v>
      </c>
      <c r="G84" s="279">
        <v>0</v>
      </c>
      <c r="H84" s="164">
        <f t="shared" si="1"/>
        <v>-100</v>
      </c>
      <c r="I84" s="414">
        <f>IFERROR(100/'Skjema total MA'!F84*G84,0)</f>
        <v>0</v>
      </c>
      <c r="J84" s="285">
        <f t="shared" si="2"/>
        <v>274248</v>
      </c>
      <c r="K84" s="285">
        <f t="shared" si="2"/>
        <v>0</v>
      </c>
      <c r="L84" s="164">
        <f t="shared" ref="L84" si="6">IF(J84=0, "    ---- ", IF(ABS(ROUND(100/J84*K84-100,1))&lt;999,ROUND(100/J84*K84-100,1),IF(ROUND(100/J84*K84-100,1)&gt;999,999,-999)))</f>
        <v>-100</v>
      </c>
      <c r="M84" s="22">
        <f>IFERROR(100/'Skjema total MA'!I84*K84,0)</f>
        <v>0</v>
      </c>
    </row>
    <row r="85" spans="1:13" x14ac:dyDescent="0.2">
      <c r="A85" s="294" t="s">
        <v>13</v>
      </c>
      <c r="B85" s="233"/>
      <c r="C85" s="287"/>
      <c r="D85" s="164"/>
      <c r="E85" s="414"/>
      <c r="F85" s="279">
        <v>0</v>
      </c>
      <c r="G85" s="279">
        <v>356633</v>
      </c>
      <c r="H85" s="164" t="str">
        <f t="shared" si="1"/>
        <v xml:space="preserve">    ---- </v>
      </c>
      <c r="I85" s="414">
        <f>IFERROR(100/'Skjema total MA'!F85*G85,0)</f>
        <v>1.3683185442691723</v>
      </c>
      <c r="J85" s="285">
        <f t="shared" si="2"/>
        <v>0</v>
      </c>
      <c r="K85" s="285">
        <f t="shared" si="2"/>
        <v>356633</v>
      </c>
      <c r="L85" s="164" t="str">
        <f t="shared" ref="L85" si="7">IF(J85=0, "    ---- ", IF(ABS(ROUND(100/J85*K85-100,1))&lt;999,ROUND(100/J85*K85-100,1),IF(ROUND(100/J85*K85-100,1)&gt;999,999,-999)))</f>
        <v xml:space="preserve">    ---- </v>
      </c>
      <c r="M85" s="22">
        <f>IFERROR(100/'Skjema total MA'!I85*K85,0)</f>
        <v>1.3683185442691723</v>
      </c>
    </row>
    <row r="86" spans="1:13" ht="15.75" x14ac:dyDescent="0.2">
      <c r="A86" s="20" t="s">
        <v>327</v>
      </c>
      <c r="B86" s="232"/>
      <c r="C86" s="143"/>
      <c r="D86" s="164"/>
      <c r="E86" s="26"/>
      <c r="F86" s="232"/>
      <c r="G86" s="143"/>
      <c r="H86" s="164"/>
      <c r="I86" s="26"/>
      <c r="J86" s="285"/>
      <c r="K86" s="285"/>
      <c r="L86" s="253"/>
      <c r="M86" s="26"/>
    </row>
    <row r="87" spans="1:13" ht="15.75" x14ac:dyDescent="0.2">
      <c r="A87" s="13" t="s">
        <v>25</v>
      </c>
      <c r="B87" s="350">
        <f>B88+B89+B96+B97</f>
        <v>1500502</v>
      </c>
      <c r="C87" s="350">
        <f>C88+C89+C96+C97</f>
        <v>1613262</v>
      </c>
      <c r="D87" s="169">
        <f t="shared" si="0"/>
        <v>7.5</v>
      </c>
      <c r="E87" s="11">
        <f>IFERROR(100/'Skjema total MA'!C87*C87,0)</f>
        <v>0.42302268411085814</v>
      </c>
      <c r="F87" s="350">
        <f>F88+F89+F96+F97</f>
        <v>1673718</v>
      </c>
      <c r="G87" s="350">
        <f>G88+G89+G96+G97</f>
        <v>2683785</v>
      </c>
      <c r="H87" s="169">
        <f t="shared" si="1"/>
        <v>60.3</v>
      </c>
      <c r="I87" s="11">
        <f>IFERROR(100/'Skjema total MA'!F87*G87,0)</f>
        <v>1.1995878443576038</v>
      </c>
      <c r="J87" s="307">
        <f t="shared" ref="J87:K111" si="8">SUM(B87,F87)</f>
        <v>3174220</v>
      </c>
      <c r="K87" s="307">
        <f t="shared" si="8"/>
        <v>4297047</v>
      </c>
      <c r="L87" s="425">
        <f t="shared" si="3"/>
        <v>35.4</v>
      </c>
      <c r="M87" s="11">
        <f>IFERROR(100/'Skjema total MA'!I87*K87,0)</f>
        <v>0.71014893869672424</v>
      </c>
    </row>
    <row r="88" spans="1:13" x14ac:dyDescent="0.2">
      <c r="A88" s="20" t="s">
        <v>9</v>
      </c>
      <c r="B88" s="232">
        <v>1500502</v>
      </c>
      <c r="C88" s="143">
        <v>1613262</v>
      </c>
      <c r="D88" s="164">
        <f t="shared" si="0"/>
        <v>7.5</v>
      </c>
      <c r="E88" s="26">
        <f>IFERROR(100/'Skjema total MA'!C88*C88,0)</f>
        <v>0.43211702369493965</v>
      </c>
      <c r="F88" s="232"/>
      <c r="G88" s="143"/>
      <c r="H88" s="164"/>
      <c r="I88" s="26"/>
      <c r="J88" s="285">
        <f t="shared" si="8"/>
        <v>1500502</v>
      </c>
      <c r="K88" s="285">
        <f t="shared" si="8"/>
        <v>1613262</v>
      </c>
      <c r="L88" s="253">
        <f t="shared" si="3"/>
        <v>7.5</v>
      </c>
      <c r="M88" s="26">
        <f>IFERROR(100/'Skjema total MA'!I88*K88,0)</f>
        <v>0.43211702369493965</v>
      </c>
    </row>
    <row r="89" spans="1:13" x14ac:dyDescent="0.2">
      <c r="A89" s="20" t="s">
        <v>10</v>
      </c>
      <c r="B89" s="232"/>
      <c r="C89" s="143"/>
      <c r="D89" s="164"/>
      <c r="E89" s="26"/>
      <c r="F89" s="232">
        <v>1673718</v>
      </c>
      <c r="G89" s="143">
        <v>2683785</v>
      </c>
      <c r="H89" s="164">
        <f t="shared" si="1"/>
        <v>60.3</v>
      </c>
      <c r="I89" s="26">
        <f>IFERROR(100/'Skjema total MA'!F89*G89,0)</f>
        <v>1.2033471872084858</v>
      </c>
      <c r="J89" s="285">
        <f t="shared" si="8"/>
        <v>1673718</v>
      </c>
      <c r="K89" s="285">
        <f t="shared" si="8"/>
        <v>2683785</v>
      </c>
      <c r="L89" s="253">
        <f t="shared" si="3"/>
        <v>60.3</v>
      </c>
      <c r="M89" s="26">
        <f>IFERROR(100/'Skjema total MA'!I89*K89,0)</f>
        <v>1.1899301284873536</v>
      </c>
    </row>
    <row r="90" spans="1:13" ht="15.75" x14ac:dyDescent="0.2">
      <c r="A90" s="294" t="s">
        <v>316</v>
      </c>
      <c r="B90" s="279"/>
      <c r="C90" s="279"/>
      <c r="D90" s="164"/>
      <c r="E90" s="414"/>
      <c r="F90" s="279"/>
      <c r="G90" s="279"/>
      <c r="H90" s="164"/>
      <c r="I90" s="414"/>
      <c r="J90" s="288"/>
      <c r="K90" s="288"/>
      <c r="L90" s="164"/>
      <c r="M90" s="22"/>
    </row>
    <row r="91" spans="1:13" x14ac:dyDescent="0.2">
      <c r="A91" s="294" t="s">
        <v>12</v>
      </c>
      <c r="B91" s="233"/>
      <c r="C91" s="287"/>
      <c r="D91" s="164"/>
      <c r="E91" s="414"/>
      <c r="F91" s="279"/>
      <c r="G91" s="279"/>
      <c r="H91" s="164"/>
      <c r="I91" s="414"/>
      <c r="J91" s="288"/>
      <c r="K91" s="288"/>
      <c r="L91" s="164"/>
      <c r="M91" s="22"/>
    </row>
    <row r="92" spans="1:13" x14ac:dyDescent="0.2">
      <c r="A92" s="294" t="s">
        <v>13</v>
      </c>
      <c r="B92" s="233"/>
      <c r="C92" s="287"/>
      <c r="D92" s="164"/>
      <c r="E92" s="414"/>
      <c r="F92" s="279"/>
      <c r="G92" s="279"/>
      <c r="H92" s="164"/>
      <c r="I92" s="414"/>
      <c r="J92" s="288"/>
      <c r="K92" s="288"/>
      <c r="L92" s="164"/>
      <c r="M92" s="22"/>
    </row>
    <row r="93" spans="1:13" ht="15.75" x14ac:dyDescent="0.2">
      <c r="A93" s="294" t="s">
        <v>317</v>
      </c>
      <c r="B93" s="279"/>
      <c r="C93" s="279"/>
      <c r="D93" s="164"/>
      <c r="E93" s="414"/>
      <c r="F93" s="279">
        <v>1673718</v>
      </c>
      <c r="G93" s="279">
        <v>2683785</v>
      </c>
      <c r="H93" s="164">
        <f t="shared" si="1"/>
        <v>60.3</v>
      </c>
      <c r="I93" s="414">
        <f>IFERROR(100/'Skjema total MA'!F93*G93,0)</f>
        <v>1.2041560719195012</v>
      </c>
      <c r="J93" s="285">
        <f t="shared" ref="J93:K95" si="9">SUM(B93,F93)</f>
        <v>1673718</v>
      </c>
      <c r="K93" s="285">
        <f t="shared" si="9"/>
        <v>2683785</v>
      </c>
      <c r="L93" s="164">
        <f t="shared" ref="L93" si="10">IF(J93=0, "    ---- ", IF(ABS(ROUND(100/J93*K93-100,1))&lt;999,ROUND(100/J93*K93-100,1),IF(ROUND(100/J93*K93-100,1)&gt;999,999,-999)))</f>
        <v>60.3</v>
      </c>
      <c r="M93" s="22">
        <f>IFERROR(100/'Skjema total MA'!I93*K93,0)</f>
        <v>1.1907210700527633</v>
      </c>
    </row>
    <row r="94" spans="1:13" x14ac:dyDescent="0.2">
      <c r="A94" s="294" t="s">
        <v>12</v>
      </c>
      <c r="B94" s="233"/>
      <c r="C94" s="287"/>
      <c r="D94" s="164"/>
      <c r="E94" s="414"/>
      <c r="F94" s="279">
        <v>1673718</v>
      </c>
      <c r="G94" s="279">
        <v>0</v>
      </c>
      <c r="H94" s="164">
        <f t="shared" si="1"/>
        <v>-100</v>
      </c>
      <c r="I94" s="414">
        <f>IFERROR(100/'Skjema total MA'!F94*G94,0)</f>
        <v>0</v>
      </c>
      <c r="J94" s="285">
        <f t="shared" si="9"/>
        <v>1673718</v>
      </c>
      <c r="K94" s="285">
        <f t="shared" si="9"/>
        <v>0</v>
      </c>
      <c r="L94" s="164">
        <f t="shared" ref="L94" si="11">IF(J94=0, "    ---- ", IF(ABS(ROUND(100/J94*K94-100,1))&lt;999,ROUND(100/J94*K94-100,1),IF(ROUND(100/J94*K94-100,1)&gt;999,999,-999)))</f>
        <v>-100</v>
      </c>
      <c r="M94" s="22">
        <f>IFERROR(100/'Skjema total MA'!I94*K94,0)</f>
        <v>0</v>
      </c>
    </row>
    <row r="95" spans="1:13" x14ac:dyDescent="0.2">
      <c r="A95" s="294" t="s">
        <v>13</v>
      </c>
      <c r="B95" s="233"/>
      <c r="C95" s="287"/>
      <c r="D95" s="164"/>
      <c r="E95" s="414"/>
      <c r="F95" s="279">
        <v>0</v>
      </c>
      <c r="G95" s="279">
        <v>2683785</v>
      </c>
      <c r="H95" s="164" t="str">
        <f t="shared" si="1"/>
        <v xml:space="preserve">    ---- </v>
      </c>
      <c r="I95" s="414">
        <f>IFERROR(100/'Skjema total MA'!F95*G95,0)</f>
        <v>1.2222564388726407</v>
      </c>
      <c r="J95" s="285">
        <f t="shared" si="9"/>
        <v>0</v>
      </c>
      <c r="K95" s="285">
        <f t="shared" si="9"/>
        <v>2683785</v>
      </c>
      <c r="L95" s="164" t="str">
        <f t="shared" ref="L95" si="12">IF(J95=0, "    ---- ", IF(ABS(ROUND(100/J95*K95-100,1))&lt;999,ROUND(100/J95*K95-100,1),IF(ROUND(100/J95*K95-100,1)&gt;999,999,-999)))</f>
        <v xml:space="preserve">    ---- </v>
      </c>
      <c r="M95" s="22">
        <f>IFERROR(100/'Skjema total MA'!I95*K95,0)</f>
        <v>1.2222564388726407</v>
      </c>
    </row>
    <row r="96" spans="1:13" x14ac:dyDescent="0.2">
      <c r="A96" s="20" t="s">
        <v>393</v>
      </c>
      <c r="B96" s="232"/>
      <c r="C96" s="143"/>
      <c r="D96" s="164"/>
      <c r="E96" s="26"/>
      <c r="F96" s="232"/>
      <c r="G96" s="143"/>
      <c r="H96" s="164"/>
      <c r="I96" s="26"/>
      <c r="J96" s="285"/>
      <c r="K96" s="285"/>
      <c r="L96" s="253"/>
      <c r="M96" s="26"/>
    </row>
    <row r="97" spans="1:13" x14ac:dyDescent="0.2">
      <c r="A97" s="20" t="s">
        <v>392</v>
      </c>
      <c r="B97" s="232"/>
      <c r="C97" s="143"/>
      <c r="D97" s="164"/>
      <c r="E97" s="26"/>
      <c r="F97" s="232"/>
      <c r="G97" s="143"/>
      <c r="H97" s="164"/>
      <c r="I97" s="26"/>
      <c r="J97" s="285"/>
      <c r="K97" s="285"/>
      <c r="L97" s="253"/>
      <c r="M97" s="26"/>
    </row>
    <row r="98" spans="1:13" ht="15.75" x14ac:dyDescent="0.2">
      <c r="A98" s="20" t="s">
        <v>318</v>
      </c>
      <c r="B98" s="232">
        <v>1500502</v>
      </c>
      <c r="C98" s="232">
        <v>1613262</v>
      </c>
      <c r="D98" s="164">
        <f t="shared" si="0"/>
        <v>7.5</v>
      </c>
      <c r="E98" s="26">
        <f>IFERROR(100/'Skjema total MA'!C98*C98,0)</f>
        <v>0.4338135525318873</v>
      </c>
      <c r="F98" s="290">
        <v>1673718</v>
      </c>
      <c r="G98" s="290">
        <v>2683785</v>
      </c>
      <c r="H98" s="164">
        <f t="shared" si="1"/>
        <v>60.3</v>
      </c>
      <c r="I98" s="26">
        <f>IFERROR(100/'Skjema total MA'!F98*G98,0)</f>
        <v>1.2065676341012914</v>
      </c>
      <c r="J98" s="285">
        <f t="shared" si="8"/>
        <v>3174220</v>
      </c>
      <c r="K98" s="285">
        <f t="shared" si="8"/>
        <v>4297047</v>
      </c>
      <c r="L98" s="253">
        <f t="shared" si="3"/>
        <v>35.4</v>
      </c>
      <c r="M98" s="26">
        <f>IFERROR(100/'Skjema total MA'!I98*K98,0)</f>
        <v>0.72303064803055705</v>
      </c>
    </row>
    <row r="99" spans="1:13" x14ac:dyDescent="0.2">
      <c r="A99" s="20" t="s">
        <v>9</v>
      </c>
      <c r="B99" s="290">
        <v>1500502</v>
      </c>
      <c r="C99" s="291">
        <v>1613262</v>
      </c>
      <c r="D99" s="164">
        <f t="shared" si="0"/>
        <v>7.5</v>
      </c>
      <c r="E99" s="26">
        <f>IFERROR(100/'Skjema total MA'!C99*C99,0)</f>
        <v>0.43676707813841786</v>
      </c>
      <c r="F99" s="232"/>
      <c r="G99" s="143"/>
      <c r="H99" s="164"/>
      <c r="I99" s="26"/>
      <c r="J99" s="285">
        <f t="shared" si="8"/>
        <v>1500502</v>
      </c>
      <c r="K99" s="285">
        <f t="shared" si="8"/>
        <v>1613262</v>
      </c>
      <c r="L99" s="253">
        <f t="shared" si="3"/>
        <v>7.5</v>
      </c>
      <c r="M99" s="26">
        <f>IFERROR(100/'Skjema total MA'!I99*K99,0)</f>
        <v>0.43676707813841786</v>
      </c>
    </row>
    <row r="100" spans="1:13" x14ac:dyDescent="0.2">
      <c r="A100" s="20" t="s">
        <v>10</v>
      </c>
      <c r="B100" s="290"/>
      <c r="C100" s="291"/>
      <c r="D100" s="164"/>
      <c r="E100" s="26"/>
      <c r="F100" s="232">
        <v>1673718</v>
      </c>
      <c r="G100" s="232">
        <v>2683785</v>
      </c>
      <c r="H100" s="164">
        <f t="shared" si="1"/>
        <v>60.3</v>
      </c>
      <c r="I100" s="26">
        <f>IFERROR(100/'Skjema total MA'!F100*G100,0)</f>
        <v>1.2065676341012914</v>
      </c>
      <c r="J100" s="285">
        <f t="shared" si="8"/>
        <v>1673718</v>
      </c>
      <c r="K100" s="285">
        <f t="shared" si="8"/>
        <v>2683785</v>
      </c>
      <c r="L100" s="253">
        <f t="shared" si="3"/>
        <v>60.3</v>
      </c>
      <c r="M100" s="26">
        <f>IFERROR(100/'Skjema total MA'!I100*K100,0)</f>
        <v>1.1930790672146128</v>
      </c>
    </row>
    <row r="101" spans="1:13" ht="15.75" x14ac:dyDescent="0.2">
      <c r="A101" s="294" t="s">
        <v>316</v>
      </c>
      <c r="B101" s="279"/>
      <c r="C101" s="279"/>
      <c r="D101" s="164"/>
      <c r="E101" s="414"/>
      <c r="F101" s="279"/>
      <c r="G101" s="279"/>
      <c r="H101" s="164"/>
      <c r="I101" s="414"/>
      <c r="J101" s="288"/>
      <c r="K101" s="288"/>
      <c r="L101" s="164"/>
      <c r="M101" s="22"/>
    </row>
    <row r="102" spans="1:13" x14ac:dyDescent="0.2">
      <c r="A102" s="294" t="s">
        <v>12</v>
      </c>
      <c r="B102" s="233"/>
      <c r="C102" s="287"/>
      <c r="D102" s="164"/>
      <c r="E102" s="414"/>
      <c r="F102" s="279"/>
      <c r="G102" s="279"/>
      <c r="H102" s="164"/>
      <c r="I102" s="414"/>
      <c r="J102" s="288"/>
      <c r="K102" s="288"/>
      <c r="L102" s="164"/>
      <c r="M102" s="22"/>
    </row>
    <row r="103" spans="1:13" x14ac:dyDescent="0.2">
      <c r="A103" s="294" t="s">
        <v>13</v>
      </c>
      <c r="B103" s="233"/>
      <c r="C103" s="287"/>
      <c r="D103" s="164"/>
      <c r="E103" s="414"/>
      <c r="F103" s="279"/>
      <c r="G103" s="279"/>
      <c r="H103" s="164"/>
      <c r="I103" s="414"/>
      <c r="J103" s="288"/>
      <c r="K103" s="288"/>
      <c r="L103" s="164"/>
      <c r="M103" s="22"/>
    </row>
    <row r="104" spans="1:13" ht="15.75" x14ac:dyDescent="0.2">
      <c r="A104" s="294" t="s">
        <v>317</v>
      </c>
      <c r="B104" s="279"/>
      <c r="C104" s="279"/>
      <c r="D104" s="164"/>
      <c r="E104" s="414"/>
      <c r="F104" s="279">
        <v>1673718</v>
      </c>
      <c r="G104" s="279">
        <v>2683785</v>
      </c>
      <c r="H104" s="164">
        <f t="shared" si="1"/>
        <v>60.3</v>
      </c>
      <c r="I104" s="414">
        <f>IFERROR(100/'Skjema total MA'!F104*G104,0)</f>
        <v>1.2065676341012914</v>
      </c>
      <c r="J104" s="285">
        <f t="shared" ref="J104:K106" si="13">SUM(B104,F104)</f>
        <v>1673718</v>
      </c>
      <c r="K104" s="285">
        <f t="shared" si="13"/>
        <v>2683785</v>
      </c>
      <c r="L104" s="164">
        <f t="shared" ref="L104" si="14">IF(J104=0, "    ---- ", IF(ABS(ROUND(100/J104*K104-100,1))&lt;999,ROUND(100/J104*K104-100,1),IF(ROUND(100/J104*K104-100,1)&gt;999,999,-999)))</f>
        <v>60.3</v>
      </c>
      <c r="M104" s="22">
        <f>IFERROR(100/'Skjema total MA'!I104*K104,0)</f>
        <v>1.1930790672146128</v>
      </c>
    </row>
    <row r="105" spans="1:13" x14ac:dyDescent="0.2">
      <c r="A105" s="294" t="s">
        <v>12</v>
      </c>
      <c r="B105" s="233"/>
      <c r="C105" s="287"/>
      <c r="D105" s="164"/>
      <c r="E105" s="414"/>
      <c r="F105" s="279">
        <v>1673718</v>
      </c>
      <c r="G105" s="279">
        <v>0</v>
      </c>
      <c r="H105" s="164">
        <f t="shared" si="1"/>
        <v>-100</v>
      </c>
      <c r="I105" s="414">
        <f>IFERROR(100/'Skjema total MA'!F105*G105,0)</f>
        <v>0</v>
      </c>
      <c r="J105" s="285">
        <f t="shared" si="13"/>
        <v>1673718</v>
      </c>
      <c r="K105" s="285">
        <f t="shared" si="13"/>
        <v>0</v>
      </c>
      <c r="L105" s="164">
        <f t="shared" ref="L105" si="15">IF(J105=0, "    ---- ", IF(ABS(ROUND(100/J105*K105-100,1))&lt;999,ROUND(100/J105*K105-100,1),IF(ROUND(100/J105*K105-100,1)&gt;999,999,-999)))</f>
        <v>-100</v>
      </c>
      <c r="M105" s="22">
        <f>IFERROR(100/'Skjema total MA'!I105*K105,0)</f>
        <v>0</v>
      </c>
    </row>
    <row r="106" spans="1:13" x14ac:dyDescent="0.2">
      <c r="A106" s="294" t="s">
        <v>13</v>
      </c>
      <c r="B106" s="233"/>
      <c r="C106" s="287"/>
      <c r="D106" s="164"/>
      <c r="E106" s="414"/>
      <c r="F106" s="279">
        <v>0</v>
      </c>
      <c r="G106" s="279">
        <v>2683785</v>
      </c>
      <c r="H106" s="164" t="str">
        <f t="shared" si="1"/>
        <v xml:space="preserve">    ---- </v>
      </c>
      <c r="I106" s="414">
        <f>IFERROR(100/'Skjema total MA'!F106*G106,0)</f>
        <v>1.222595590478297</v>
      </c>
      <c r="J106" s="285">
        <f t="shared" si="13"/>
        <v>0</v>
      </c>
      <c r="K106" s="285">
        <f t="shared" si="13"/>
        <v>2683785</v>
      </c>
      <c r="L106" s="164" t="str">
        <f t="shared" ref="L106" si="16">IF(J106=0, "    ---- ", IF(ABS(ROUND(100/J106*K106-100,1))&lt;999,ROUND(100/J106*K106-100,1),IF(ROUND(100/J106*K106-100,1)&gt;999,999,-999)))</f>
        <v xml:space="preserve">    ---- </v>
      </c>
      <c r="M106" s="22">
        <f>IFERROR(100/'Skjema total MA'!I106*K106,0)</f>
        <v>1.222595590478297</v>
      </c>
    </row>
    <row r="107" spans="1:13" ht="15.75" x14ac:dyDescent="0.2">
      <c r="A107" s="20" t="s">
        <v>327</v>
      </c>
      <c r="B107" s="232"/>
      <c r="C107" s="143"/>
      <c r="D107" s="164"/>
      <c r="E107" s="26"/>
      <c r="F107" s="232"/>
      <c r="G107" s="143"/>
      <c r="H107" s="164"/>
      <c r="I107" s="26"/>
      <c r="J107" s="285"/>
      <c r="K107" s="285"/>
      <c r="L107" s="253"/>
      <c r="M107" s="26"/>
    </row>
    <row r="108" spans="1:13" ht="15.75" x14ac:dyDescent="0.2">
      <c r="A108" s="20" t="s">
        <v>328</v>
      </c>
      <c r="B108" s="232">
        <v>750404</v>
      </c>
      <c r="C108" s="232">
        <v>910466</v>
      </c>
      <c r="D108" s="164">
        <f t="shared" si="0"/>
        <v>21.3</v>
      </c>
      <c r="E108" s="26">
        <f>IFERROR(100/'Skjema total MA'!C108*C108,0)</f>
        <v>0.30223815587688013</v>
      </c>
      <c r="F108" s="232"/>
      <c r="G108" s="232"/>
      <c r="H108" s="164"/>
      <c r="I108" s="26"/>
      <c r="J108" s="285">
        <f t="shared" si="8"/>
        <v>750404</v>
      </c>
      <c r="K108" s="285">
        <f t="shared" si="8"/>
        <v>910466</v>
      </c>
      <c r="L108" s="253">
        <f t="shared" si="3"/>
        <v>21.3</v>
      </c>
      <c r="M108" s="26">
        <f>IFERROR(100/'Skjema total MA'!I108*K108,0)</f>
        <v>0.2951453839625644</v>
      </c>
    </row>
    <row r="109" spans="1:13" ht="15.75" x14ac:dyDescent="0.2">
      <c r="A109" s="20" t="s">
        <v>320</v>
      </c>
      <c r="B109" s="232"/>
      <c r="C109" s="232"/>
      <c r="D109" s="164"/>
      <c r="E109" s="26"/>
      <c r="F109" s="232">
        <v>486917</v>
      </c>
      <c r="G109" s="232">
        <v>1088852</v>
      </c>
      <c r="H109" s="164">
        <f t="shared" si="1"/>
        <v>123.6</v>
      </c>
      <c r="I109" s="26">
        <f>IFERROR(100/'Skjema total MA'!F109*G109,0)</f>
        <v>1.4837289033557584</v>
      </c>
      <c r="J109" s="285">
        <f t="shared" si="8"/>
        <v>486917</v>
      </c>
      <c r="K109" s="285">
        <f t="shared" si="8"/>
        <v>1088852</v>
      </c>
      <c r="L109" s="253">
        <f t="shared" si="3"/>
        <v>123.6</v>
      </c>
      <c r="M109" s="26">
        <f>IFERROR(100/'Skjema total MA'!I109*K109,0)</f>
        <v>1.4680356735252316</v>
      </c>
    </row>
    <row r="110" spans="1:13" ht="15.75" x14ac:dyDescent="0.2">
      <c r="A110" s="20" t="s">
        <v>321</v>
      </c>
      <c r="B110" s="232"/>
      <c r="C110" s="232"/>
      <c r="D110" s="164"/>
      <c r="E110" s="26"/>
      <c r="F110" s="232"/>
      <c r="G110" s="232"/>
      <c r="H110" s="164"/>
      <c r="I110" s="26"/>
      <c r="J110" s="285"/>
      <c r="K110" s="285"/>
      <c r="L110" s="253"/>
      <c r="M110" s="26"/>
    </row>
    <row r="111" spans="1:13" ht="15.75" x14ac:dyDescent="0.2">
      <c r="A111" s="13" t="s">
        <v>24</v>
      </c>
      <c r="B111" s="306">
        <f>SUM(B112:B114)</f>
        <v>5534</v>
      </c>
      <c r="C111" s="157">
        <f>SUM(C112:C114)</f>
        <v>1373</v>
      </c>
      <c r="D111" s="169">
        <f t="shared" si="0"/>
        <v>-75.2</v>
      </c>
      <c r="E111" s="11">
        <f>IFERROR(100/'Skjema total MA'!C111*C111,0)</f>
        <v>0.24928405337994922</v>
      </c>
      <c r="F111" s="306">
        <f>SUM(F112:F114)</f>
        <v>179436</v>
      </c>
      <c r="G111" s="157">
        <f>SUM(G112:G114)</f>
        <v>541695</v>
      </c>
      <c r="H111" s="169">
        <f t="shared" si="1"/>
        <v>201.9</v>
      </c>
      <c r="I111" s="11">
        <f>IFERROR(100/'Skjema total MA'!F111*G111,0)</f>
        <v>5.6440468012075575</v>
      </c>
      <c r="J111" s="307">
        <f t="shared" si="8"/>
        <v>184970</v>
      </c>
      <c r="K111" s="307">
        <f t="shared" si="8"/>
        <v>543068</v>
      </c>
      <c r="L111" s="425">
        <f t="shared" si="3"/>
        <v>193.6</v>
      </c>
      <c r="M111" s="11">
        <f>IFERROR(100/'Skjema total MA'!I111*K111,0)</f>
        <v>5.3512608092091449</v>
      </c>
    </row>
    <row r="112" spans="1:13" x14ac:dyDescent="0.2">
      <c r="A112" s="20" t="s">
        <v>9</v>
      </c>
      <c r="B112" s="232">
        <v>5534</v>
      </c>
      <c r="C112" s="143">
        <v>1373</v>
      </c>
      <c r="D112" s="164">
        <f t="shared" ref="D112:D120" si="17">IF(B112=0, "    ---- ", IF(ABS(ROUND(100/B112*C112-100,1))&lt;999,ROUND(100/B112*C112-100,1),IF(ROUND(100/B112*C112-100,1)&gt;999,999,-999)))</f>
        <v>-75.2</v>
      </c>
      <c r="E112" s="26">
        <f>IFERROR(100/'Skjema total MA'!C112*C112,0)</f>
        <v>0.25245178960144166</v>
      </c>
      <c r="F112" s="232"/>
      <c r="G112" s="143"/>
      <c r="H112" s="164"/>
      <c r="I112" s="26"/>
      <c r="J112" s="285">
        <f t="shared" ref="J112:K125" si="18">SUM(B112,F112)</f>
        <v>5534</v>
      </c>
      <c r="K112" s="285">
        <f t="shared" si="18"/>
        <v>1373</v>
      </c>
      <c r="L112" s="253">
        <f t="shared" ref="L112:L125" si="19">IF(J112=0, "    ---- ", IF(ABS(ROUND(100/J112*K112-100,1))&lt;999,ROUND(100/J112*K112-100,1),IF(ROUND(100/J112*K112-100,1)&gt;999,999,-999)))</f>
        <v>-75.2</v>
      </c>
      <c r="M112" s="26">
        <f>IFERROR(100/'Skjema total MA'!I112*K112,0)</f>
        <v>0.25245178960144166</v>
      </c>
    </row>
    <row r="113" spans="1:14" x14ac:dyDescent="0.2">
      <c r="A113" s="20" t="s">
        <v>10</v>
      </c>
      <c r="B113" s="232"/>
      <c r="C113" s="143"/>
      <c r="D113" s="164"/>
      <c r="E113" s="26"/>
      <c r="F113" s="232">
        <v>179436</v>
      </c>
      <c r="G113" s="143">
        <v>541695</v>
      </c>
      <c r="H113" s="164">
        <f t="shared" ref="H113:H125" si="20">IF(F113=0, "    ---- ", IF(ABS(ROUND(100/F113*G113-100,1))&lt;999,ROUND(100/F113*G113-100,1),IF(ROUND(100/F113*G113-100,1)&gt;999,999,-999)))</f>
        <v>201.9</v>
      </c>
      <c r="I113" s="26">
        <f>IFERROR(100/'Skjema total MA'!F113*G113,0)</f>
        <v>5.6447543496614969</v>
      </c>
      <c r="J113" s="285">
        <f t="shared" si="18"/>
        <v>179436</v>
      </c>
      <c r="K113" s="285">
        <f t="shared" si="18"/>
        <v>541695</v>
      </c>
      <c r="L113" s="253">
        <f t="shared" si="19"/>
        <v>201.9</v>
      </c>
      <c r="M113" s="26">
        <f>IFERROR(100/'Skjema total MA'!I113*K113,0)</f>
        <v>5.6430961426055912</v>
      </c>
    </row>
    <row r="114" spans="1:14" x14ac:dyDescent="0.2">
      <c r="A114" s="20" t="s">
        <v>29</v>
      </c>
      <c r="B114" s="232"/>
      <c r="C114" s="143"/>
      <c r="D114" s="164"/>
      <c r="E114" s="26"/>
      <c r="F114" s="232"/>
      <c r="G114" s="143"/>
      <c r="H114" s="164"/>
      <c r="I114" s="26"/>
      <c r="J114" s="285"/>
      <c r="K114" s="285"/>
      <c r="L114" s="253"/>
      <c r="M114" s="26"/>
    </row>
    <row r="115" spans="1:14" x14ac:dyDescent="0.2">
      <c r="A115" s="294" t="s">
        <v>15</v>
      </c>
      <c r="B115" s="279"/>
      <c r="C115" s="279"/>
      <c r="D115" s="164"/>
      <c r="E115" s="414"/>
      <c r="F115" s="279">
        <v>179436</v>
      </c>
      <c r="G115" s="279">
        <v>541695</v>
      </c>
      <c r="H115" s="164">
        <f t="shared" si="20"/>
        <v>201.9</v>
      </c>
      <c r="I115" s="414">
        <f>IFERROR(100/'Skjema total MA'!F115*G115,0)</f>
        <v>100</v>
      </c>
      <c r="J115" s="285">
        <f t="shared" ref="J115:K115" si="21">SUM(B115,F115)</f>
        <v>179436</v>
      </c>
      <c r="K115" s="285">
        <f t="shared" si="21"/>
        <v>541695</v>
      </c>
      <c r="L115" s="164">
        <f t="shared" ref="L115" si="22">IF(J115=0, "    ---- ", IF(ABS(ROUND(100/J115*K115-100,1))&lt;999,ROUND(100/J115*K115-100,1),IF(ROUND(100/J115*K115-100,1)&gt;999,999,-999)))</f>
        <v>201.9</v>
      </c>
      <c r="M115" s="22">
        <f>IFERROR(100/'Skjema total MA'!I115*K115,0)</f>
        <v>97.772589004425413</v>
      </c>
    </row>
    <row r="116" spans="1:14" ht="15.75" x14ac:dyDescent="0.2">
      <c r="A116" s="20" t="s">
        <v>329</v>
      </c>
      <c r="B116" s="232"/>
      <c r="C116" s="232"/>
      <c r="D116" s="164"/>
      <c r="E116" s="26"/>
      <c r="F116" s="232"/>
      <c r="G116" s="232"/>
      <c r="H116" s="164"/>
      <c r="I116" s="26"/>
      <c r="J116" s="285"/>
      <c r="K116" s="43"/>
      <c r="L116" s="253"/>
      <c r="M116" s="26"/>
    </row>
    <row r="117" spans="1:14" ht="15.75" x14ac:dyDescent="0.2">
      <c r="A117" s="20" t="s">
        <v>322</v>
      </c>
      <c r="B117" s="232"/>
      <c r="C117" s="232"/>
      <c r="D117" s="164"/>
      <c r="E117" s="26"/>
      <c r="F117" s="232">
        <v>99338</v>
      </c>
      <c r="G117" s="232">
        <v>423413</v>
      </c>
      <c r="H117" s="164">
        <f t="shared" si="20"/>
        <v>326.2</v>
      </c>
      <c r="I117" s="26">
        <f>IFERROR(100/'Skjema total MA'!F117*G117,0)</f>
        <v>21.902269251487144</v>
      </c>
      <c r="J117" s="285">
        <f t="shared" si="18"/>
        <v>99338</v>
      </c>
      <c r="K117" s="43">
        <f t="shared" si="18"/>
        <v>423413</v>
      </c>
      <c r="L117" s="253">
        <f t="shared" si="19"/>
        <v>326.2</v>
      </c>
      <c r="M117" s="26">
        <f>IFERROR(100/'Skjema total MA'!I117*K117,0)</f>
        <v>21.8918010592933</v>
      </c>
    </row>
    <row r="118" spans="1:14" ht="15.75" x14ac:dyDescent="0.2">
      <c r="A118" s="20" t="s">
        <v>321</v>
      </c>
      <c r="B118" s="232"/>
      <c r="C118" s="232"/>
      <c r="D118" s="164"/>
      <c r="E118" s="26"/>
      <c r="F118" s="232"/>
      <c r="G118" s="232"/>
      <c r="H118" s="164"/>
      <c r="I118" s="26"/>
      <c r="J118" s="285"/>
      <c r="K118" s="43"/>
      <c r="L118" s="253"/>
      <c r="M118" s="26"/>
    </row>
    <row r="119" spans="1:14" ht="15.75" x14ac:dyDescent="0.2">
      <c r="A119" s="13" t="s">
        <v>23</v>
      </c>
      <c r="B119" s="306">
        <f>SUM(B120:B122)</f>
        <v>4393</v>
      </c>
      <c r="C119" s="157">
        <f>SUM(C120:C122)</f>
        <v>14886</v>
      </c>
      <c r="D119" s="169">
        <f t="shared" si="17"/>
        <v>238.9</v>
      </c>
      <c r="E119" s="11">
        <f>IFERROR(100/'Skjema total MA'!C119*C119,0)</f>
        <v>3.3162771935986628</v>
      </c>
      <c r="F119" s="306">
        <f>SUM(F120:F122)</f>
        <v>43801</v>
      </c>
      <c r="G119" s="157">
        <f>SUM(G120:G122)</f>
        <v>110133</v>
      </c>
      <c r="H119" s="169">
        <f t="shared" si="20"/>
        <v>151.4</v>
      </c>
      <c r="I119" s="11">
        <f>IFERROR(100/'Skjema total MA'!F119*G119,0)</f>
        <v>1.1292621434806986</v>
      </c>
      <c r="J119" s="307">
        <f t="shared" si="18"/>
        <v>48194</v>
      </c>
      <c r="K119" s="234">
        <f t="shared" si="18"/>
        <v>125019</v>
      </c>
      <c r="L119" s="425">
        <f t="shared" si="19"/>
        <v>159.4</v>
      </c>
      <c r="M119" s="11">
        <f>IFERROR(100/'Skjema total MA'!I119*K119,0)</f>
        <v>1.2254928617185572</v>
      </c>
    </row>
    <row r="120" spans="1:14" x14ac:dyDescent="0.2">
      <c r="A120" s="20" t="s">
        <v>9</v>
      </c>
      <c r="B120" s="232">
        <v>4393</v>
      </c>
      <c r="C120" s="143">
        <v>14886</v>
      </c>
      <c r="D120" s="164">
        <f t="shared" si="17"/>
        <v>238.9</v>
      </c>
      <c r="E120" s="26">
        <f>IFERROR(100/'Skjema total MA'!C120*C120,0)</f>
        <v>3.6203878685280086</v>
      </c>
      <c r="F120" s="232">
        <v>0</v>
      </c>
      <c r="G120" s="143">
        <v>0</v>
      </c>
      <c r="H120" s="164" t="str">
        <f t="shared" si="20"/>
        <v xml:space="preserve">    ---- </v>
      </c>
      <c r="I120" s="26">
        <f>IFERROR(100/'Skjema total MA'!F120*G120,0)</f>
        <v>0</v>
      </c>
      <c r="J120" s="285">
        <f t="shared" si="18"/>
        <v>4393</v>
      </c>
      <c r="K120" s="43">
        <f t="shared" si="18"/>
        <v>14886</v>
      </c>
      <c r="L120" s="253">
        <f t="shared" si="19"/>
        <v>238.9</v>
      </c>
      <c r="M120" s="26">
        <f>IFERROR(100/'Skjema total MA'!I120*K120,0)</f>
        <v>3.6203878685280086</v>
      </c>
    </row>
    <row r="121" spans="1:14" x14ac:dyDescent="0.2">
      <c r="A121" s="20" t="s">
        <v>10</v>
      </c>
      <c r="B121" s="232"/>
      <c r="C121" s="143"/>
      <c r="D121" s="164"/>
      <c r="E121" s="26"/>
      <c r="F121" s="232">
        <v>43801</v>
      </c>
      <c r="G121" s="143">
        <v>110133</v>
      </c>
      <c r="H121" s="164">
        <f t="shared" si="20"/>
        <v>151.4</v>
      </c>
      <c r="I121" s="26">
        <f>IFERROR(100/'Skjema total MA'!F121*G121,0)</f>
        <v>1.1292621434806986</v>
      </c>
      <c r="J121" s="285">
        <f t="shared" si="18"/>
        <v>43801</v>
      </c>
      <c r="K121" s="43">
        <f t="shared" si="18"/>
        <v>110133</v>
      </c>
      <c r="L121" s="253">
        <f t="shared" si="19"/>
        <v>151.4</v>
      </c>
      <c r="M121" s="26">
        <f>IFERROR(100/'Skjema total MA'!I121*K121,0)</f>
        <v>1.124951938139497</v>
      </c>
    </row>
    <row r="122" spans="1:14" x14ac:dyDescent="0.2">
      <c r="A122" s="20" t="s">
        <v>29</v>
      </c>
      <c r="B122" s="232"/>
      <c r="C122" s="143"/>
      <c r="D122" s="164"/>
      <c r="E122" s="26"/>
      <c r="F122" s="232"/>
      <c r="G122" s="143"/>
      <c r="H122" s="164"/>
      <c r="I122" s="26"/>
      <c r="J122" s="285"/>
      <c r="K122" s="43"/>
      <c r="L122" s="253"/>
      <c r="M122" s="26"/>
    </row>
    <row r="123" spans="1:14" x14ac:dyDescent="0.2">
      <c r="A123" s="294" t="s">
        <v>14</v>
      </c>
      <c r="B123" s="279"/>
      <c r="C123" s="279"/>
      <c r="D123" s="164"/>
      <c r="E123" s="414"/>
      <c r="F123" s="279"/>
      <c r="G123" s="279"/>
      <c r="H123" s="164"/>
      <c r="I123" s="414"/>
      <c r="J123" s="288"/>
      <c r="K123" s="288"/>
      <c r="L123" s="164"/>
      <c r="M123" s="22"/>
    </row>
    <row r="124" spans="1:14" ht="15.75" x14ac:dyDescent="0.2">
      <c r="A124" s="20" t="s">
        <v>319</v>
      </c>
      <c r="B124" s="232"/>
      <c r="C124" s="232"/>
      <c r="D124" s="164"/>
      <c r="E124" s="26"/>
      <c r="F124" s="232"/>
      <c r="G124" s="232"/>
      <c r="H124" s="164"/>
      <c r="I124" s="26"/>
      <c r="J124" s="285"/>
      <c r="K124" s="43"/>
      <c r="L124" s="253"/>
      <c r="M124" s="26"/>
    </row>
    <row r="125" spans="1:14" ht="15.75" x14ac:dyDescent="0.2">
      <c r="A125" s="20" t="s">
        <v>320</v>
      </c>
      <c r="B125" s="232"/>
      <c r="C125" s="232"/>
      <c r="D125" s="164"/>
      <c r="E125" s="26"/>
      <c r="F125" s="232">
        <v>8731</v>
      </c>
      <c r="G125" s="232">
        <v>12303</v>
      </c>
      <c r="H125" s="164">
        <f t="shared" si="20"/>
        <v>40.9</v>
      </c>
      <c r="I125" s="26">
        <f>IFERROR(100/'Skjema total MA'!F125*G125,0)</f>
        <v>0.67027754051943822</v>
      </c>
      <c r="J125" s="285">
        <f t="shared" si="18"/>
        <v>8731</v>
      </c>
      <c r="K125" s="43">
        <f t="shared" si="18"/>
        <v>12303</v>
      </c>
      <c r="L125" s="253">
        <f t="shared" si="19"/>
        <v>40.9</v>
      </c>
      <c r="M125" s="26">
        <f>IFERROR(100/'Skjema total MA'!I125*K125,0)</f>
        <v>0.66853131435323188</v>
      </c>
    </row>
    <row r="126" spans="1:14" ht="15.75" x14ac:dyDescent="0.2">
      <c r="A126" s="10" t="s">
        <v>321</v>
      </c>
      <c r="B126" s="44"/>
      <c r="C126" s="44"/>
      <c r="D126" s="165"/>
      <c r="E126" s="415"/>
      <c r="F126" s="44"/>
      <c r="G126" s="44"/>
      <c r="H126" s="165"/>
      <c r="I126" s="21"/>
      <c r="J126" s="286"/>
      <c r="K126" s="44"/>
      <c r="L126" s="254"/>
      <c r="M126" s="21"/>
    </row>
    <row r="127" spans="1:14" x14ac:dyDescent="0.2">
      <c r="A127" s="153"/>
      <c r="L127" s="25"/>
      <c r="M127" s="25"/>
      <c r="N127" s="25"/>
    </row>
    <row r="128" spans="1:14" x14ac:dyDescent="0.2">
      <c r="L128" s="25"/>
      <c r="M128" s="25"/>
      <c r="N128" s="25"/>
    </row>
    <row r="129" spans="1:15" ht="15.75" x14ac:dyDescent="0.25">
      <c r="A129" s="163" t="s">
        <v>30</v>
      </c>
    </row>
    <row r="130" spans="1:15" ht="15.75" x14ac:dyDescent="0.25">
      <c r="B130" s="963"/>
      <c r="C130" s="963"/>
      <c r="D130" s="963"/>
      <c r="E130" s="297"/>
      <c r="F130" s="963"/>
      <c r="G130" s="963"/>
      <c r="H130" s="963"/>
      <c r="I130" s="297"/>
      <c r="J130" s="963"/>
      <c r="K130" s="963"/>
      <c r="L130" s="963"/>
      <c r="M130" s="297"/>
    </row>
    <row r="131" spans="1:15" s="3" customFormat="1" x14ac:dyDescent="0.2">
      <c r="A131" s="142"/>
      <c r="B131" s="960" t="s">
        <v>0</v>
      </c>
      <c r="C131" s="961"/>
      <c r="D131" s="961"/>
      <c r="E131" s="299"/>
      <c r="F131" s="960" t="s">
        <v>1</v>
      </c>
      <c r="G131" s="961"/>
      <c r="H131" s="961"/>
      <c r="I131" s="302"/>
      <c r="J131" s="960" t="s">
        <v>2</v>
      </c>
      <c r="K131" s="961"/>
      <c r="L131" s="961"/>
      <c r="M131" s="302"/>
      <c r="N131" s="146"/>
      <c r="O131" s="146"/>
    </row>
    <row r="132" spans="1:15" s="3" customFormat="1" x14ac:dyDescent="0.2">
      <c r="A132" s="139"/>
      <c r="B132" s="150" t="s">
        <v>504</v>
      </c>
      <c r="C132" s="150" t="s">
        <v>505</v>
      </c>
      <c r="D132" s="243" t="s">
        <v>3</v>
      </c>
      <c r="E132" s="303" t="s">
        <v>32</v>
      </c>
      <c r="F132" s="150" t="s">
        <v>504</v>
      </c>
      <c r="G132" s="150" t="s">
        <v>505</v>
      </c>
      <c r="H132" s="204" t="s">
        <v>3</v>
      </c>
      <c r="I132" s="160" t="s">
        <v>32</v>
      </c>
      <c r="J132" s="244" t="s">
        <v>504</v>
      </c>
      <c r="K132" s="244" t="s">
        <v>505</v>
      </c>
      <c r="L132" s="245" t="s">
        <v>3</v>
      </c>
      <c r="M132" s="160" t="s">
        <v>32</v>
      </c>
      <c r="N132" s="146"/>
      <c r="O132" s="146"/>
    </row>
    <row r="133" spans="1:15" s="3" customFormat="1" x14ac:dyDescent="0.2">
      <c r="A133" s="934"/>
      <c r="B133" s="154"/>
      <c r="C133" s="154"/>
      <c r="D133" s="245" t="s">
        <v>4</v>
      </c>
      <c r="E133" s="154" t="s">
        <v>33</v>
      </c>
      <c r="F133" s="159"/>
      <c r="G133" s="159"/>
      <c r="H133" s="204" t="s">
        <v>4</v>
      </c>
      <c r="I133" s="154" t="s">
        <v>33</v>
      </c>
      <c r="J133" s="154"/>
      <c r="K133" s="154"/>
      <c r="L133" s="148" t="s">
        <v>4</v>
      </c>
      <c r="M133" s="154" t="s">
        <v>33</v>
      </c>
      <c r="N133" s="146"/>
      <c r="O133" s="146"/>
    </row>
    <row r="134" spans="1:15" s="3" customFormat="1" ht="15.75" x14ac:dyDescent="0.2">
      <c r="A134" s="14" t="s">
        <v>323</v>
      </c>
      <c r="B134" s="234"/>
      <c r="C134" s="307"/>
      <c r="D134" s="348"/>
      <c r="E134" s="11"/>
      <c r="F134" s="314"/>
      <c r="G134" s="315"/>
      <c r="H134" s="428"/>
      <c r="I134" s="23"/>
      <c r="J134" s="316"/>
      <c r="K134" s="316"/>
      <c r="L134" s="424"/>
      <c r="M134" s="11"/>
      <c r="N134" s="146"/>
      <c r="O134" s="146"/>
    </row>
    <row r="135" spans="1:15" s="3" customFormat="1" ht="15.75" x14ac:dyDescent="0.2">
      <c r="A135" s="13" t="s">
        <v>324</v>
      </c>
      <c r="B135" s="234"/>
      <c r="C135" s="307"/>
      <c r="D135" s="169"/>
      <c r="E135" s="11"/>
      <c r="F135" s="234"/>
      <c r="G135" s="307"/>
      <c r="H135" s="429"/>
      <c r="I135" s="23"/>
      <c r="J135" s="306"/>
      <c r="K135" s="306"/>
      <c r="L135" s="425"/>
      <c r="M135" s="11"/>
      <c r="N135" s="146"/>
      <c r="O135" s="146"/>
    </row>
    <row r="136" spans="1:15" s="3" customFormat="1" ht="15.75" x14ac:dyDescent="0.2">
      <c r="A136" s="13" t="s">
        <v>325</v>
      </c>
      <c r="B136" s="234"/>
      <c r="C136" s="307"/>
      <c r="D136" s="169"/>
      <c r="E136" s="11"/>
      <c r="F136" s="234"/>
      <c r="G136" s="307"/>
      <c r="H136" s="429"/>
      <c r="I136" s="23"/>
      <c r="J136" s="306"/>
      <c r="K136" s="306"/>
      <c r="L136" s="425"/>
      <c r="M136" s="11"/>
      <c r="N136" s="146"/>
      <c r="O136" s="146"/>
    </row>
    <row r="137" spans="1:15" s="3" customFormat="1" ht="15.75" x14ac:dyDescent="0.2">
      <c r="A137" s="40" t="s">
        <v>326</v>
      </c>
      <c r="B137" s="274"/>
      <c r="C137" s="313"/>
      <c r="D137" s="167"/>
      <c r="E137" s="9"/>
      <c r="F137" s="274"/>
      <c r="G137" s="313"/>
      <c r="H137" s="430"/>
      <c r="I137" s="35"/>
      <c r="J137" s="312"/>
      <c r="K137" s="312"/>
      <c r="L137" s="426"/>
      <c r="M137" s="35"/>
      <c r="N137" s="146"/>
      <c r="O137" s="146"/>
    </row>
    <row r="138" spans="1:15" s="3" customFormat="1" x14ac:dyDescent="0.2">
      <c r="A138" s="166"/>
      <c r="B138" s="32"/>
      <c r="C138" s="32"/>
      <c r="D138" s="157"/>
      <c r="E138" s="157"/>
      <c r="F138" s="32"/>
      <c r="G138" s="32"/>
      <c r="H138" s="157"/>
      <c r="I138" s="157"/>
      <c r="J138" s="32"/>
      <c r="K138" s="32"/>
      <c r="L138" s="157"/>
      <c r="M138" s="157"/>
      <c r="N138" s="146"/>
      <c r="O138" s="146"/>
    </row>
    <row r="139" spans="1:15" x14ac:dyDescent="0.2">
      <c r="A139" s="166"/>
      <c r="B139" s="32"/>
      <c r="C139" s="32"/>
      <c r="D139" s="157"/>
      <c r="E139" s="157"/>
      <c r="F139" s="32"/>
      <c r="G139" s="32"/>
      <c r="H139" s="157"/>
      <c r="I139" s="157"/>
      <c r="J139" s="32"/>
      <c r="K139" s="32"/>
      <c r="L139" s="157"/>
      <c r="M139" s="157"/>
      <c r="N139" s="146"/>
    </row>
    <row r="140" spans="1:15" x14ac:dyDescent="0.2">
      <c r="A140" s="166"/>
      <c r="B140" s="32"/>
      <c r="C140" s="32"/>
      <c r="D140" s="157"/>
      <c r="E140" s="157"/>
      <c r="F140" s="32"/>
      <c r="G140" s="32"/>
      <c r="H140" s="157"/>
      <c r="I140" s="157"/>
      <c r="J140" s="32"/>
      <c r="K140" s="32"/>
      <c r="L140" s="157"/>
      <c r="M140" s="157"/>
      <c r="N140" s="146"/>
    </row>
    <row r="141" spans="1:15" x14ac:dyDescent="0.2">
      <c r="A141" s="144"/>
      <c r="B141" s="144"/>
      <c r="C141" s="144"/>
      <c r="D141" s="144"/>
      <c r="E141" s="144"/>
      <c r="F141" s="144"/>
      <c r="G141" s="144"/>
      <c r="H141" s="144"/>
      <c r="I141" s="144"/>
      <c r="J141" s="144"/>
      <c r="K141" s="144"/>
      <c r="L141" s="144"/>
      <c r="M141" s="144"/>
      <c r="N141" s="144"/>
    </row>
    <row r="142" spans="1:15" ht="15.75" x14ac:dyDescent="0.25">
      <c r="B142" s="140"/>
      <c r="C142" s="140"/>
      <c r="D142" s="140"/>
      <c r="E142" s="140"/>
      <c r="F142" s="140"/>
      <c r="G142" s="140"/>
      <c r="H142" s="140"/>
      <c r="I142" s="140"/>
      <c r="J142" s="140"/>
      <c r="K142" s="140"/>
      <c r="L142" s="140"/>
      <c r="M142" s="140"/>
      <c r="N142" s="140"/>
    </row>
    <row r="143" spans="1:15" ht="15.75" x14ac:dyDescent="0.25">
      <c r="B143" s="155"/>
      <c r="C143" s="155"/>
      <c r="D143" s="155"/>
      <c r="E143" s="155"/>
      <c r="F143" s="155"/>
      <c r="G143" s="155"/>
      <c r="H143" s="155"/>
      <c r="I143" s="155"/>
      <c r="J143" s="155"/>
      <c r="K143" s="155"/>
      <c r="L143" s="155"/>
      <c r="M143" s="155"/>
      <c r="N143" s="155"/>
      <c r="O143" s="152"/>
    </row>
    <row r="144" spans="1:15" ht="15.75" x14ac:dyDescent="0.25">
      <c r="B144" s="155"/>
      <c r="C144" s="155"/>
      <c r="D144" s="155"/>
      <c r="E144" s="155"/>
      <c r="F144" s="155"/>
      <c r="G144" s="155"/>
      <c r="H144" s="155"/>
      <c r="I144" s="155"/>
      <c r="J144" s="155"/>
      <c r="K144" s="155"/>
      <c r="L144" s="155"/>
      <c r="M144" s="155"/>
      <c r="N144" s="155"/>
      <c r="O144" s="152"/>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052" priority="132">
      <formula>kvartal &lt; 4</formula>
    </cfRule>
  </conditionalFormatting>
  <conditionalFormatting sqref="B30">
    <cfRule type="expression" dxfId="1051" priority="130">
      <formula>kvartal &lt; 4</formula>
    </cfRule>
  </conditionalFormatting>
  <conditionalFormatting sqref="B31">
    <cfRule type="expression" dxfId="1050" priority="129">
      <formula>kvartal &lt; 4</formula>
    </cfRule>
  </conditionalFormatting>
  <conditionalFormatting sqref="B32:B33">
    <cfRule type="expression" dxfId="1049" priority="128">
      <formula>kvartal &lt; 4</formula>
    </cfRule>
  </conditionalFormatting>
  <conditionalFormatting sqref="C30">
    <cfRule type="expression" dxfId="1048" priority="127">
      <formula>kvartal &lt; 4</formula>
    </cfRule>
  </conditionalFormatting>
  <conditionalFormatting sqref="C31">
    <cfRule type="expression" dxfId="1047" priority="126">
      <formula>kvartal &lt; 4</formula>
    </cfRule>
  </conditionalFormatting>
  <conditionalFormatting sqref="C32:C33">
    <cfRule type="expression" dxfId="1046" priority="125">
      <formula>kvartal &lt; 4</formula>
    </cfRule>
  </conditionalFormatting>
  <conditionalFormatting sqref="B23:C26">
    <cfRule type="expression" dxfId="1045" priority="124">
      <formula>kvartal &lt; 4</formula>
    </cfRule>
  </conditionalFormatting>
  <conditionalFormatting sqref="F23:G26">
    <cfRule type="expression" dxfId="1044" priority="120">
      <formula>kvartal &lt; 4</formula>
    </cfRule>
  </conditionalFormatting>
  <conditionalFormatting sqref="F30">
    <cfRule type="expression" dxfId="1043" priority="113">
      <formula>kvartal &lt; 4</formula>
    </cfRule>
  </conditionalFormatting>
  <conditionalFormatting sqref="F31">
    <cfRule type="expression" dxfId="1042" priority="112">
      <formula>kvartal &lt; 4</formula>
    </cfRule>
  </conditionalFormatting>
  <conditionalFormatting sqref="F32:F33">
    <cfRule type="expression" dxfId="1041" priority="111">
      <formula>kvartal &lt; 4</formula>
    </cfRule>
  </conditionalFormatting>
  <conditionalFormatting sqref="G30">
    <cfRule type="expression" dxfId="1040" priority="110">
      <formula>kvartal &lt; 4</formula>
    </cfRule>
  </conditionalFormatting>
  <conditionalFormatting sqref="G31">
    <cfRule type="expression" dxfId="1039" priority="109">
      <formula>kvartal &lt; 4</formula>
    </cfRule>
  </conditionalFormatting>
  <conditionalFormatting sqref="G32:G33">
    <cfRule type="expression" dxfId="1038" priority="108">
      <formula>kvartal &lt; 4</formula>
    </cfRule>
  </conditionalFormatting>
  <conditionalFormatting sqref="B27">
    <cfRule type="expression" dxfId="1037" priority="107">
      <formula>kvartal &lt; 4</formula>
    </cfRule>
  </conditionalFormatting>
  <conditionalFormatting sqref="C27">
    <cfRule type="expression" dxfId="1036" priority="106">
      <formula>kvartal &lt; 4</formula>
    </cfRule>
  </conditionalFormatting>
  <conditionalFormatting sqref="F27">
    <cfRule type="expression" dxfId="1035" priority="105">
      <formula>kvartal &lt; 4</formula>
    </cfRule>
  </conditionalFormatting>
  <conditionalFormatting sqref="G27">
    <cfRule type="expression" dxfId="1034" priority="104">
      <formula>kvartal &lt; 4</formula>
    </cfRule>
  </conditionalFormatting>
  <conditionalFormatting sqref="J23:K27">
    <cfRule type="expression" dxfId="1033" priority="103">
      <formula>kvartal &lt; 4</formula>
    </cfRule>
  </conditionalFormatting>
  <conditionalFormatting sqref="J30:K33">
    <cfRule type="expression" dxfId="1032" priority="101">
      <formula>kvartal &lt; 4</formula>
    </cfRule>
  </conditionalFormatting>
  <conditionalFormatting sqref="B69">
    <cfRule type="expression" dxfId="1031" priority="100">
      <formula>kvartal &lt; 4</formula>
    </cfRule>
  </conditionalFormatting>
  <conditionalFormatting sqref="C69">
    <cfRule type="expression" dxfId="1030" priority="99">
      <formula>kvartal &lt; 4</formula>
    </cfRule>
  </conditionalFormatting>
  <conditionalFormatting sqref="B72">
    <cfRule type="expression" dxfId="1029" priority="98">
      <formula>kvartal &lt; 4</formula>
    </cfRule>
  </conditionalFormatting>
  <conditionalFormatting sqref="C72">
    <cfRule type="expression" dxfId="1028" priority="97">
      <formula>kvartal &lt; 4</formula>
    </cfRule>
  </conditionalFormatting>
  <conditionalFormatting sqref="B80">
    <cfRule type="expression" dxfId="1027" priority="96">
      <formula>kvartal &lt; 4</formula>
    </cfRule>
  </conditionalFormatting>
  <conditionalFormatting sqref="C80">
    <cfRule type="expression" dxfId="1026" priority="95">
      <formula>kvartal &lt; 4</formula>
    </cfRule>
  </conditionalFormatting>
  <conditionalFormatting sqref="B83">
    <cfRule type="expression" dxfId="1025" priority="94">
      <formula>kvartal &lt; 4</formula>
    </cfRule>
  </conditionalFormatting>
  <conditionalFormatting sqref="C83">
    <cfRule type="expression" dxfId="1024" priority="93">
      <formula>kvartal &lt; 4</formula>
    </cfRule>
  </conditionalFormatting>
  <conditionalFormatting sqref="B90">
    <cfRule type="expression" dxfId="1023" priority="84">
      <formula>kvartal &lt; 4</formula>
    </cfRule>
  </conditionalFormatting>
  <conditionalFormatting sqref="C90">
    <cfRule type="expression" dxfId="1022" priority="83">
      <formula>kvartal &lt; 4</formula>
    </cfRule>
  </conditionalFormatting>
  <conditionalFormatting sqref="B93">
    <cfRule type="expression" dxfId="1021" priority="82">
      <formula>kvartal &lt; 4</formula>
    </cfRule>
  </conditionalFormatting>
  <conditionalFormatting sqref="C93">
    <cfRule type="expression" dxfId="1020" priority="81">
      <formula>kvartal &lt; 4</formula>
    </cfRule>
  </conditionalFormatting>
  <conditionalFormatting sqref="B101">
    <cfRule type="expression" dxfId="1019" priority="80">
      <formula>kvartal &lt; 4</formula>
    </cfRule>
  </conditionalFormatting>
  <conditionalFormatting sqref="C101">
    <cfRule type="expression" dxfId="1018" priority="79">
      <formula>kvartal &lt; 4</formula>
    </cfRule>
  </conditionalFormatting>
  <conditionalFormatting sqref="B104">
    <cfRule type="expression" dxfId="1017" priority="78">
      <formula>kvartal &lt; 4</formula>
    </cfRule>
  </conditionalFormatting>
  <conditionalFormatting sqref="C104">
    <cfRule type="expression" dxfId="1016" priority="77">
      <formula>kvartal &lt; 4</formula>
    </cfRule>
  </conditionalFormatting>
  <conditionalFormatting sqref="B115">
    <cfRule type="expression" dxfId="1015" priority="76">
      <formula>kvartal &lt; 4</formula>
    </cfRule>
  </conditionalFormatting>
  <conditionalFormatting sqref="C115">
    <cfRule type="expression" dxfId="1014" priority="75">
      <formula>kvartal &lt; 4</formula>
    </cfRule>
  </conditionalFormatting>
  <conditionalFormatting sqref="B123">
    <cfRule type="expression" dxfId="1013" priority="74">
      <formula>kvartal &lt; 4</formula>
    </cfRule>
  </conditionalFormatting>
  <conditionalFormatting sqref="C123">
    <cfRule type="expression" dxfId="1012" priority="73">
      <formula>kvartal &lt; 4</formula>
    </cfRule>
  </conditionalFormatting>
  <conditionalFormatting sqref="F70">
    <cfRule type="expression" dxfId="1011" priority="72">
      <formula>kvartal &lt; 4</formula>
    </cfRule>
  </conditionalFormatting>
  <conditionalFormatting sqref="G70">
    <cfRule type="expression" dxfId="1010" priority="71">
      <formula>kvartal &lt; 4</formula>
    </cfRule>
  </conditionalFormatting>
  <conditionalFormatting sqref="F71:G71">
    <cfRule type="expression" dxfId="1009" priority="70">
      <formula>kvartal &lt; 4</formula>
    </cfRule>
  </conditionalFormatting>
  <conditionalFormatting sqref="F73:G74">
    <cfRule type="expression" dxfId="1008" priority="69">
      <formula>kvartal &lt; 4</formula>
    </cfRule>
  </conditionalFormatting>
  <conditionalFormatting sqref="F81:G82">
    <cfRule type="expression" dxfId="1007" priority="68">
      <formula>kvartal &lt; 4</formula>
    </cfRule>
  </conditionalFormatting>
  <conditionalFormatting sqref="F84:G85">
    <cfRule type="expression" dxfId="1006" priority="67">
      <formula>kvartal &lt; 4</formula>
    </cfRule>
  </conditionalFormatting>
  <conditionalFormatting sqref="F91:G92">
    <cfRule type="expression" dxfId="1005" priority="62">
      <formula>kvartal &lt; 4</formula>
    </cfRule>
  </conditionalFormatting>
  <conditionalFormatting sqref="F94:G95">
    <cfRule type="expression" dxfId="1004" priority="61">
      <formula>kvartal &lt; 4</formula>
    </cfRule>
  </conditionalFormatting>
  <conditionalFormatting sqref="F102:G103">
    <cfRule type="expression" dxfId="1003" priority="60">
      <formula>kvartal &lt; 4</formula>
    </cfRule>
  </conditionalFormatting>
  <conditionalFormatting sqref="F105:G106">
    <cfRule type="expression" dxfId="1002" priority="59">
      <formula>kvartal &lt; 4</formula>
    </cfRule>
  </conditionalFormatting>
  <conditionalFormatting sqref="F115">
    <cfRule type="expression" dxfId="1001" priority="58">
      <formula>kvartal &lt; 4</formula>
    </cfRule>
  </conditionalFormatting>
  <conditionalFormatting sqref="G115">
    <cfRule type="expression" dxfId="1000" priority="57">
      <formula>kvartal &lt; 4</formula>
    </cfRule>
  </conditionalFormatting>
  <conditionalFormatting sqref="F123:G123">
    <cfRule type="expression" dxfId="999" priority="56">
      <formula>kvartal &lt; 4</formula>
    </cfRule>
  </conditionalFormatting>
  <conditionalFormatting sqref="F69:G69">
    <cfRule type="expression" dxfId="998" priority="55">
      <formula>kvartal &lt; 4</formula>
    </cfRule>
  </conditionalFormatting>
  <conditionalFormatting sqref="F72:G72">
    <cfRule type="expression" dxfId="997" priority="54">
      <formula>kvartal &lt; 4</formula>
    </cfRule>
  </conditionalFormatting>
  <conditionalFormatting sqref="F80:G80">
    <cfRule type="expression" dxfId="996" priority="53">
      <formula>kvartal &lt; 4</formula>
    </cfRule>
  </conditionalFormatting>
  <conditionalFormatting sqref="F83:G83">
    <cfRule type="expression" dxfId="995" priority="52">
      <formula>kvartal &lt; 4</formula>
    </cfRule>
  </conditionalFormatting>
  <conditionalFormatting sqref="F90:G90">
    <cfRule type="expression" dxfId="994" priority="46">
      <formula>kvartal &lt; 4</formula>
    </cfRule>
  </conditionalFormatting>
  <conditionalFormatting sqref="F93">
    <cfRule type="expression" dxfId="993" priority="45">
      <formula>kvartal &lt; 4</formula>
    </cfRule>
  </conditionalFormatting>
  <conditionalFormatting sqref="G93">
    <cfRule type="expression" dxfId="992" priority="44">
      <formula>kvartal &lt; 4</formula>
    </cfRule>
  </conditionalFormatting>
  <conditionalFormatting sqref="F101">
    <cfRule type="expression" dxfId="991" priority="43">
      <formula>kvartal &lt; 4</formula>
    </cfRule>
  </conditionalFormatting>
  <conditionalFormatting sqref="G101">
    <cfRule type="expression" dxfId="990" priority="42">
      <formula>kvartal &lt; 4</formula>
    </cfRule>
  </conditionalFormatting>
  <conditionalFormatting sqref="G104">
    <cfRule type="expression" dxfId="989" priority="41">
      <formula>kvartal &lt; 4</formula>
    </cfRule>
  </conditionalFormatting>
  <conditionalFormatting sqref="F104">
    <cfRule type="expression" dxfId="988" priority="40">
      <formula>kvartal &lt; 4</formula>
    </cfRule>
  </conditionalFormatting>
  <conditionalFormatting sqref="J69:K71">
    <cfRule type="expression" dxfId="987" priority="39">
      <formula>kvartal &lt; 4</formula>
    </cfRule>
  </conditionalFormatting>
  <conditionalFormatting sqref="J80:K82">
    <cfRule type="expression" dxfId="986" priority="37">
      <formula>kvartal &lt; 4</formula>
    </cfRule>
  </conditionalFormatting>
  <conditionalFormatting sqref="J90:K92">
    <cfRule type="expression" dxfId="985" priority="34">
      <formula>kvartal &lt; 4</formula>
    </cfRule>
  </conditionalFormatting>
  <conditionalFormatting sqref="J101:K103">
    <cfRule type="expression" dxfId="984" priority="33">
      <formula>kvartal &lt; 4</formula>
    </cfRule>
  </conditionalFormatting>
  <conditionalFormatting sqref="J123:K123">
    <cfRule type="expression" dxfId="983" priority="31">
      <formula>kvartal &lt; 4</formula>
    </cfRule>
  </conditionalFormatting>
  <conditionalFormatting sqref="A23:A26">
    <cfRule type="expression" dxfId="982" priority="15">
      <formula>kvartal &lt; 4</formula>
    </cfRule>
  </conditionalFormatting>
  <conditionalFormatting sqref="A30:A33">
    <cfRule type="expression" dxfId="981" priority="13">
      <formula>kvartal &lt; 4</formula>
    </cfRule>
  </conditionalFormatting>
  <conditionalFormatting sqref="A50:A52">
    <cfRule type="expression" dxfId="980" priority="12">
      <formula>kvartal &lt; 4</formula>
    </cfRule>
  </conditionalFormatting>
  <conditionalFormatting sqref="A69:A74">
    <cfRule type="expression" dxfId="979" priority="10">
      <formula>kvartal &lt; 4</formula>
    </cfRule>
  </conditionalFormatting>
  <conditionalFormatting sqref="A80:A85">
    <cfRule type="expression" dxfId="978" priority="9">
      <formula>kvartal &lt; 4</formula>
    </cfRule>
  </conditionalFormatting>
  <conditionalFormatting sqref="A90:A95">
    <cfRule type="expression" dxfId="977" priority="6">
      <formula>kvartal &lt; 4</formula>
    </cfRule>
  </conditionalFormatting>
  <conditionalFormatting sqref="A101:A106">
    <cfRule type="expression" dxfId="976" priority="5">
      <formula>kvartal &lt; 4</formula>
    </cfRule>
  </conditionalFormatting>
  <conditionalFormatting sqref="A115">
    <cfRule type="expression" dxfId="975" priority="4">
      <formula>kvartal &lt; 4</formula>
    </cfRule>
  </conditionalFormatting>
  <conditionalFormatting sqref="A123">
    <cfRule type="expression" dxfId="974" priority="3">
      <formula>kvartal &lt; 4</formula>
    </cfRule>
  </conditionalFormatting>
  <conditionalFormatting sqref="A27">
    <cfRule type="expression" dxfId="973" priority="2">
      <formula>kvartal &lt; 4</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N58"/>
  <sheetViews>
    <sheetView showGridLines="0" topLeftCell="A2" zoomScale="70" zoomScaleNormal="70" workbookViewId="0">
      <selection activeCell="C1" sqref="C1"/>
    </sheetView>
  </sheetViews>
  <sheetFormatPr baseColWidth="10" defaultColWidth="11.42578125" defaultRowHeight="25.5" x14ac:dyDescent="0.35"/>
  <cols>
    <col min="1" max="1" width="11.42578125" style="66"/>
    <col min="2" max="2" width="25" style="66" customWidth="1"/>
    <col min="3" max="3" width="141.7109375" style="66" customWidth="1"/>
    <col min="4" max="16384" width="11.42578125" style="66"/>
  </cols>
  <sheetData>
    <row r="1" spans="1:14" ht="20.100000000000001" customHeight="1" x14ac:dyDescent="0.35">
      <c r="C1" s="67"/>
      <c r="D1" s="68"/>
      <c r="E1" s="68"/>
      <c r="F1" s="68"/>
      <c r="G1" s="68"/>
      <c r="H1" s="68"/>
      <c r="I1" s="68"/>
      <c r="J1" s="68"/>
      <c r="K1" s="68"/>
      <c r="L1" s="68"/>
      <c r="M1" s="68"/>
      <c r="N1" s="68"/>
    </row>
    <row r="2" spans="1:14" ht="20.100000000000001" customHeight="1" x14ac:dyDescent="0.35">
      <c r="C2" s="273" t="s">
        <v>34</v>
      </c>
      <c r="D2" s="68"/>
      <c r="E2" s="68"/>
      <c r="F2" s="68"/>
      <c r="G2" s="68"/>
      <c r="H2" s="68"/>
      <c r="I2" s="68"/>
      <c r="J2" s="68"/>
      <c r="K2" s="68"/>
      <c r="L2" s="68"/>
      <c r="M2" s="68"/>
      <c r="N2" s="68"/>
    </row>
    <row r="3" spans="1:14" ht="20.100000000000001" customHeight="1" x14ac:dyDescent="0.35">
      <c r="C3" s="69"/>
      <c r="D3" s="68"/>
      <c r="E3" s="68"/>
      <c r="F3" s="68"/>
      <c r="G3" s="68"/>
      <c r="H3" s="68"/>
      <c r="I3" s="68"/>
      <c r="J3" s="68"/>
      <c r="K3" s="68"/>
      <c r="L3" s="68"/>
      <c r="M3" s="68"/>
      <c r="N3" s="68"/>
    </row>
    <row r="4" spans="1:14" ht="20.100000000000001" customHeight="1" x14ac:dyDescent="0.35">
      <c r="C4" s="69"/>
      <c r="D4" s="68"/>
      <c r="E4" s="68"/>
      <c r="F4" s="68"/>
      <c r="G4" s="68"/>
      <c r="H4" s="68"/>
      <c r="I4" s="68"/>
      <c r="J4" s="68"/>
      <c r="K4" s="68"/>
      <c r="L4" s="68"/>
      <c r="M4" s="68"/>
      <c r="N4" s="68"/>
    </row>
    <row r="5" spans="1:14" ht="20.100000000000001" customHeight="1" x14ac:dyDescent="0.35">
      <c r="A5" s="69"/>
      <c r="B5" s="69"/>
      <c r="C5" s="69"/>
      <c r="D5" s="68"/>
      <c r="E5" s="68"/>
      <c r="F5" s="68"/>
      <c r="G5" s="68"/>
      <c r="H5" s="68"/>
      <c r="I5" s="68"/>
      <c r="J5" s="68"/>
      <c r="K5" s="68"/>
      <c r="L5" s="68"/>
      <c r="M5" s="68"/>
      <c r="N5" s="68"/>
    </row>
    <row r="6" spans="1:14" ht="20.100000000000001" customHeight="1" x14ac:dyDescent="0.35">
      <c r="A6" s="70" t="s">
        <v>35</v>
      </c>
      <c r="B6" s="70"/>
      <c r="C6" s="69"/>
      <c r="D6" s="68"/>
      <c r="E6" s="68"/>
      <c r="F6" s="68"/>
      <c r="G6" s="68"/>
      <c r="H6" s="68"/>
      <c r="I6" s="68"/>
      <c r="J6" s="68"/>
      <c r="K6" s="68"/>
      <c r="L6" s="68"/>
      <c r="M6" s="68"/>
      <c r="N6" s="68"/>
    </row>
    <row r="7" spans="1:14" ht="20.100000000000001" customHeight="1" x14ac:dyDescent="0.35">
      <c r="A7" s="69"/>
      <c r="B7" s="69" t="s">
        <v>36</v>
      </c>
      <c r="C7" s="69" t="s">
        <v>37</v>
      </c>
      <c r="D7" s="68"/>
      <c r="E7" s="68"/>
      <c r="F7" s="68"/>
      <c r="G7" s="68"/>
      <c r="H7" s="68"/>
      <c r="I7" s="68"/>
      <c r="J7" s="68"/>
      <c r="K7" s="68"/>
      <c r="L7" s="68"/>
      <c r="M7" s="68"/>
      <c r="N7" s="68"/>
    </row>
    <row r="8" spans="1:14" ht="20.100000000000001" customHeight="1" x14ac:dyDescent="0.35">
      <c r="A8" s="69"/>
      <c r="B8" s="69" t="s">
        <v>38</v>
      </c>
      <c r="C8" s="69" t="s">
        <v>39</v>
      </c>
      <c r="D8" s="68"/>
      <c r="E8" s="68"/>
      <c r="F8" s="68"/>
      <c r="G8" s="68"/>
      <c r="H8" s="68"/>
      <c r="I8" s="68"/>
      <c r="J8" s="68"/>
      <c r="K8" s="68"/>
      <c r="L8" s="68"/>
      <c r="M8" s="68"/>
      <c r="N8" s="68"/>
    </row>
    <row r="9" spans="1:14" ht="20.100000000000001" customHeight="1" x14ac:dyDescent="0.35">
      <c r="A9" s="69"/>
      <c r="B9" s="69" t="s">
        <v>40</v>
      </c>
      <c r="C9" s="69" t="s">
        <v>43</v>
      </c>
      <c r="D9" s="68"/>
      <c r="E9" s="68"/>
      <c r="F9" s="68"/>
      <c r="G9" s="68"/>
      <c r="H9" s="68"/>
      <c r="I9" s="68"/>
      <c r="J9" s="68"/>
      <c r="K9" s="68"/>
      <c r="L9" s="68"/>
      <c r="M9" s="68"/>
      <c r="N9" s="68"/>
    </row>
    <row r="10" spans="1:14" ht="20.100000000000001" customHeight="1" x14ac:dyDescent="0.35">
      <c r="A10" s="69"/>
      <c r="B10" s="69" t="s">
        <v>41</v>
      </c>
      <c r="C10" s="69" t="s">
        <v>45</v>
      </c>
      <c r="D10" s="68"/>
      <c r="E10" s="68"/>
      <c r="F10" s="68"/>
      <c r="G10" s="68"/>
      <c r="H10" s="68"/>
      <c r="I10" s="68"/>
      <c r="J10" s="68"/>
      <c r="K10" s="68"/>
      <c r="L10" s="68"/>
      <c r="M10" s="68"/>
      <c r="N10" s="68"/>
    </row>
    <row r="11" spans="1:14" ht="20.100000000000001" customHeight="1" x14ac:dyDescent="0.35">
      <c r="A11" s="69"/>
      <c r="B11" s="69" t="s">
        <v>42</v>
      </c>
      <c r="C11" s="69" t="s">
        <v>46</v>
      </c>
      <c r="D11" s="68"/>
      <c r="E11" s="68"/>
      <c r="F11" s="68"/>
      <c r="G11" s="68"/>
      <c r="H11" s="68"/>
      <c r="I11" s="68"/>
      <c r="J11" s="68"/>
      <c r="K11" s="68"/>
      <c r="L11" s="68"/>
      <c r="M11" s="68"/>
      <c r="N11" s="68"/>
    </row>
    <row r="12" spans="1:14" ht="20.100000000000001" customHeight="1" x14ac:dyDescent="0.35">
      <c r="A12" s="69"/>
      <c r="B12" s="69" t="s">
        <v>44</v>
      </c>
      <c r="C12" s="69" t="s">
        <v>47</v>
      </c>
      <c r="D12" s="68"/>
      <c r="E12" s="68"/>
      <c r="F12" s="68"/>
      <c r="G12" s="68"/>
      <c r="H12" s="68"/>
      <c r="I12" s="68"/>
      <c r="J12" s="68"/>
      <c r="K12" s="68"/>
      <c r="L12" s="68"/>
      <c r="M12" s="68"/>
      <c r="N12" s="68"/>
    </row>
    <row r="13" spans="1:14" ht="18.75" customHeight="1" x14ac:dyDescent="0.35">
      <c r="A13" s="69"/>
      <c r="B13" s="69"/>
      <c r="C13" s="69"/>
      <c r="D13" s="68"/>
      <c r="E13" s="68"/>
      <c r="F13" s="68"/>
      <c r="G13" s="68"/>
      <c r="H13" s="68"/>
      <c r="I13" s="68"/>
      <c r="J13" s="68"/>
      <c r="K13" s="68"/>
      <c r="L13" s="68"/>
      <c r="M13" s="68"/>
      <c r="N13" s="68"/>
    </row>
    <row r="14" spans="1:14" ht="20.100000000000001" customHeight="1" x14ac:dyDescent="0.35">
      <c r="A14" s="272" t="s">
        <v>48</v>
      </c>
      <c r="B14" s="70"/>
      <c r="C14" s="69"/>
      <c r="D14" s="68"/>
      <c r="E14" s="68"/>
      <c r="F14" s="68"/>
      <c r="G14" s="68"/>
      <c r="H14" s="68"/>
      <c r="I14" s="68"/>
      <c r="J14" s="68"/>
      <c r="K14" s="68"/>
      <c r="L14" s="68"/>
      <c r="M14" s="68"/>
      <c r="N14" s="68"/>
    </row>
    <row r="15" spans="1:14" ht="20.100000000000001" customHeight="1" x14ac:dyDescent="0.35">
      <c r="A15" s="69"/>
      <c r="B15" s="69" t="s">
        <v>49</v>
      </c>
      <c r="C15" s="69"/>
      <c r="D15" s="68"/>
      <c r="E15" s="68"/>
      <c r="F15" s="68"/>
      <c r="G15" s="68"/>
      <c r="H15" s="68"/>
      <c r="I15" s="68"/>
      <c r="J15" s="68"/>
      <c r="K15" s="68"/>
      <c r="L15" s="68"/>
      <c r="M15" s="68"/>
      <c r="N15" s="68"/>
    </row>
    <row r="16" spans="1:14" ht="20.100000000000001" customHeight="1" x14ac:dyDescent="0.35">
      <c r="A16" s="69"/>
      <c r="B16" s="70" t="s">
        <v>50</v>
      </c>
      <c r="C16" s="69" t="s">
        <v>51</v>
      </c>
      <c r="D16" s="68"/>
      <c r="E16" s="68"/>
      <c r="F16" s="68"/>
      <c r="G16" s="68"/>
      <c r="H16" s="68"/>
      <c r="I16" s="68"/>
      <c r="J16" s="68"/>
      <c r="K16" s="68"/>
      <c r="L16" s="68"/>
      <c r="M16" s="68"/>
      <c r="N16" s="68"/>
    </row>
    <row r="17" spans="1:14" ht="20.100000000000001" customHeight="1" x14ac:dyDescent="0.35">
      <c r="A17" s="69"/>
      <c r="B17" s="70" t="s">
        <v>52</v>
      </c>
      <c r="C17" s="69" t="s">
        <v>53</v>
      </c>
      <c r="D17" s="68"/>
      <c r="E17" s="68"/>
      <c r="F17" s="68"/>
      <c r="G17" s="68"/>
      <c r="H17" s="68"/>
      <c r="I17" s="68"/>
      <c r="J17" s="68"/>
      <c r="K17" s="68"/>
      <c r="L17" s="68"/>
      <c r="M17" s="68"/>
      <c r="N17" s="68"/>
    </row>
    <row r="18" spans="1:14" ht="20.100000000000001" customHeight="1" x14ac:dyDescent="0.35">
      <c r="A18" s="69"/>
      <c r="B18" s="70" t="s">
        <v>386</v>
      </c>
      <c r="C18" s="69" t="s">
        <v>387</v>
      </c>
      <c r="D18" s="68"/>
      <c r="E18" s="68"/>
      <c r="F18" s="68"/>
      <c r="G18" s="68"/>
      <c r="H18" s="68"/>
      <c r="I18" s="68"/>
      <c r="J18" s="68"/>
      <c r="K18" s="68"/>
      <c r="L18" s="68"/>
      <c r="M18" s="68"/>
      <c r="N18" s="68"/>
    </row>
    <row r="19" spans="1:14" ht="20.100000000000001" customHeight="1" x14ac:dyDescent="0.35">
      <c r="A19" s="69"/>
      <c r="B19" s="69" t="s">
        <v>388</v>
      </c>
      <c r="C19" s="69" t="s">
        <v>292</v>
      </c>
      <c r="D19" s="68"/>
      <c r="E19" s="68"/>
      <c r="F19" s="68"/>
      <c r="G19" s="68"/>
      <c r="H19" s="68"/>
      <c r="I19" s="68"/>
      <c r="J19" s="68"/>
      <c r="K19" s="68"/>
      <c r="L19" s="68"/>
      <c r="M19" s="68"/>
      <c r="N19" s="68"/>
    </row>
    <row r="20" spans="1:14" s="346" customFormat="1" ht="20.100000000000001" customHeight="1" x14ac:dyDescent="0.35">
      <c r="A20" s="344"/>
      <c r="B20" s="344" t="s">
        <v>390</v>
      </c>
      <c r="C20" s="344" t="s">
        <v>389</v>
      </c>
      <c r="D20" s="345"/>
      <c r="E20" s="345"/>
      <c r="F20" s="345"/>
      <c r="G20" s="345"/>
      <c r="H20" s="345"/>
      <c r="I20" s="345"/>
      <c r="J20" s="345"/>
      <c r="K20" s="345"/>
      <c r="L20" s="345"/>
      <c r="M20" s="345"/>
      <c r="N20" s="345"/>
    </row>
    <row r="21" spans="1:14" ht="20.100000000000001" customHeight="1" x14ac:dyDescent="0.35">
      <c r="A21" s="69"/>
      <c r="B21" s="69"/>
      <c r="C21" s="69"/>
    </row>
    <row r="22" spans="1:14" ht="18.75" customHeight="1" x14ac:dyDescent="0.35">
      <c r="A22" s="69"/>
      <c r="B22" s="344" t="s">
        <v>276</v>
      </c>
      <c r="C22" s="344"/>
    </row>
    <row r="23" spans="1:14" ht="20.100000000000001" customHeight="1" x14ac:dyDescent="0.35">
      <c r="A23" s="69"/>
      <c r="B23" s="347" t="s">
        <v>277</v>
      </c>
      <c r="C23" s="344" t="s">
        <v>278</v>
      </c>
    </row>
    <row r="24" spans="1:14" ht="20.100000000000001" customHeight="1" x14ac:dyDescent="0.35">
      <c r="A24" s="69"/>
      <c r="B24" s="347" t="s">
        <v>279</v>
      </c>
      <c r="C24" s="344" t="s">
        <v>280</v>
      </c>
    </row>
    <row r="25" spans="1:14" ht="20.100000000000001" customHeight="1" x14ac:dyDescent="0.35">
      <c r="A25" s="69"/>
      <c r="B25" s="347" t="s">
        <v>281</v>
      </c>
      <c r="C25" s="344" t="s">
        <v>282</v>
      </c>
    </row>
    <row r="26" spans="1:14" ht="20.100000000000001" customHeight="1" x14ac:dyDescent="0.35">
      <c r="A26" s="69"/>
      <c r="B26" s="347" t="s">
        <v>283</v>
      </c>
      <c r="C26" s="344" t="s">
        <v>284</v>
      </c>
    </row>
    <row r="27" spans="1:14" ht="20.100000000000001" customHeight="1" x14ac:dyDescent="0.35">
      <c r="A27" s="69"/>
      <c r="B27" s="347" t="s">
        <v>190</v>
      </c>
      <c r="C27" s="344" t="s">
        <v>285</v>
      </c>
    </row>
    <row r="28" spans="1:14" s="346" customFormat="1" ht="20.100000000000001" customHeight="1" x14ac:dyDescent="0.35">
      <c r="A28" s="344"/>
      <c r="B28" s="347" t="s">
        <v>286</v>
      </c>
      <c r="C28" s="344" t="s">
        <v>287</v>
      </c>
    </row>
    <row r="29" spans="1:14" s="346" customFormat="1" ht="20.100000000000001" customHeight="1" x14ac:dyDescent="0.35">
      <c r="A29" s="344"/>
      <c r="B29" s="347" t="s">
        <v>288</v>
      </c>
      <c r="C29" s="344" t="s">
        <v>289</v>
      </c>
    </row>
    <row r="30" spans="1:14" s="346" customFormat="1" ht="18.75" customHeight="1" x14ac:dyDescent="0.35">
      <c r="A30" s="344"/>
      <c r="B30" s="347" t="s">
        <v>290</v>
      </c>
      <c r="C30" s="344" t="s">
        <v>291</v>
      </c>
    </row>
    <row r="31" spans="1:14" ht="18.75" customHeight="1" x14ac:dyDescent="0.35">
      <c r="A31" s="69"/>
      <c r="B31" s="347"/>
      <c r="C31" s="344"/>
    </row>
    <row r="32" spans="1:14" ht="20.100000000000001" customHeight="1" x14ac:dyDescent="0.35">
      <c r="A32" s="69"/>
      <c r="B32" s="69"/>
      <c r="C32" s="69"/>
    </row>
    <row r="33" spans="1:14" x14ac:dyDescent="0.35">
      <c r="A33" s="70" t="s">
        <v>54</v>
      </c>
      <c r="B33" s="69"/>
      <c r="C33" s="69"/>
    </row>
    <row r="34" spans="1:14" ht="26.25" hidden="1" customHeight="1" x14ac:dyDescent="0.4">
      <c r="C34" s="71"/>
    </row>
    <row r="35" spans="1:14" ht="26.25" hidden="1" customHeight="1" x14ac:dyDescent="0.4">
      <c r="C35" s="71"/>
    </row>
    <row r="36" spans="1:14" ht="18.75" customHeight="1" x14ac:dyDescent="0.4">
      <c r="C36" s="342"/>
      <c r="D36" s="343"/>
    </row>
    <row r="37" spans="1:14" ht="26.25" x14ac:dyDescent="0.4">
      <c r="C37" s="71"/>
    </row>
    <row r="38" spans="1:14" ht="26.25" x14ac:dyDescent="0.4">
      <c r="C38" s="71"/>
    </row>
    <row r="39" spans="1:14" ht="26.25" x14ac:dyDescent="0.4">
      <c r="C39" s="342"/>
      <c r="D39" s="346"/>
      <c r="E39" s="346"/>
      <c r="F39" s="346"/>
      <c r="G39" s="346"/>
      <c r="H39" s="346"/>
      <c r="I39" s="346"/>
      <c r="J39" s="346"/>
      <c r="K39" s="346"/>
      <c r="L39" s="346"/>
      <c r="M39" s="346"/>
      <c r="N39" s="346"/>
    </row>
    <row r="40" spans="1:14" ht="26.25" x14ac:dyDescent="0.4">
      <c r="C40" s="71"/>
    </row>
    <row r="41" spans="1:14" ht="26.25" x14ac:dyDescent="0.4">
      <c r="C41" s="71"/>
    </row>
    <row r="42" spans="1:14" ht="26.25" x14ac:dyDescent="0.4">
      <c r="C42" s="71"/>
    </row>
    <row r="43" spans="1:14" ht="26.25" x14ac:dyDescent="0.4">
      <c r="C43" s="71"/>
    </row>
    <row r="44" spans="1:14" ht="26.25" x14ac:dyDescent="0.4">
      <c r="C44" s="71"/>
    </row>
    <row r="45" spans="1:14" ht="26.25" x14ac:dyDescent="0.4">
      <c r="C45" s="71"/>
    </row>
    <row r="46" spans="1:14" ht="26.25" x14ac:dyDescent="0.4">
      <c r="C46" s="71"/>
    </row>
    <row r="47" spans="1:14" ht="26.25" x14ac:dyDescent="0.4">
      <c r="C47" s="71"/>
    </row>
    <row r="48" spans="1:14" ht="26.25" x14ac:dyDescent="0.4">
      <c r="C48" s="71"/>
    </row>
    <row r="49" spans="3:3" ht="26.25" x14ac:dyDescent="0.4">
      <c r="C49" s="71"/>
    </row>
    <row r="50" spans="3:3" ht="26.25" x14ac:dyDescent="0.4">
      <c r="C50" s="71"/>
    </row>
    <row r="51" spans="3:3" ht="26.25" x14ac:dyDescent="0.4">
      <c r="C51" s="71"/>
    </row>
    <row r="52" spans="3:3" ht="26.25" x14ac:dyDescent="0.4">
      <c r="C52" s="71"/>
    </row>
    <row r="53" spans="3:3" ht="26.25" x14ac:dyDescent="0.4">
      <c r="C53" s="71"/>
    </row>
    <row r="54" spans="3:3" ht="26.25" x14ac:dyDescent="0.4">
      <c r="C54" s="71"/>
    </row>
    <row r="55" spans="3:3" ht="26.25" x14ac:dyDescent="0.4">
      <c r="C55" s="71"/>
    </row>
    <row r="56" spans="3:3" ht="26.25" x14ac:dyDescent="0.4">
      <c r="C56" s="71"/>
    </row>
    <row r="57" spans="3:3" ht="26.25" x14ac:dyDescent="0.4">
      <c r="C57" s="71"/>
    </row>
    <row r="58" spans="3:3" ht="26.25" x14ac:dyDescent="0.4">
      <c r="C58" s="71"/>
    </row>
  </sheetData>
  <hyperlinks>
    <hyperlink ref="A6" location="Figurer!A1" display="FIGURER"/>
    <hyperlink ref="A14" location="'Tabel 1.1'!A1" display="TABELLER"/>
    <hyperlink ref="B16" location="'Tabell 1.1'!A1" display="Tabell 1.1"/>
    <hyperlink ref="B17" location="'Tabell 1.2'!A1" display="Tabell 1.2"/>
    <hyperlink ref="A33" location="'Noter og kommentarer'!A1" display="NOTER OG KOMMENTARER"/>
    <hyperlink ref="B23" location="'Tabell 4'!A1" display="Tabell 4"/>
    <hyperlink ref="B27" location="'Tabell 6'!A1" display="Tabell 6"/>
    <hyperlink ref="B30" location="'Tabell 8'!A1" display="Tabell 8"/>
    <hyperlink ref="B24" location="'Tabell 5.1'!A1" display="Tabell 5.1"/>
    <hyperlink ref="B25" location="'Tabell 5.2'!A1" display="Tabell 5.2"/>
    <hyperlink ref="B26" location="'Tabell 5.3'!A1" display="Tabell 5.3"/>
    <hyperlink ref="B28" location="'Tabell 7a'!A1" display="Tabell 7a"/>
    <hyperlink ref="B29" location="'Tabell 7b'!A1" display="Tabell 7b"/>
  </hyperlink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2"/>
  <dimension ref="A1:O144"/>
  <sheetViews>
    <sheetView showGridLines="0" zoomScale="90" zoomScaleNormal="90" workbookViewId="0"/>
  </sheetViews>
  <sheetFormatPr baseColWidth="10" defaultColWidth="11.42578125" defaultRowHeight="12.75" x14ac:dyDescent="0.2"/>
  <cols>
    <col min="1" max="1" width="41.5703125" style="147" customWidth="1"/>
    <col min="2" max="2" width="10.85546875" style="147" customWidth="1"/>
    <col min="3" max="3" width="11" style="147" customWidth="1"/>
    <col min="4" max="5" width="8.7109375" style="147" customWidth="1"/>
    <col min="6" max="7" width="10.85546875" style="147" customWidth="1"/>
    <col min="8" max="9" width="8.7109375" style="147" customWidth="1"/>
    <col min="10" max="11" width="10.85546875" style="147" customWidth="1"/>
    <col min="12" max="13" width="8.7109375" style="147" customWidth="1"/>
    <col min="14" max="14" width="11.42578125" style="147"/>
    <col min="15" max="15" width="3" style="146" bestFit="1" customWidth="1"/>
    <col min="16" max="16384" width="11.42578125" style="1"/>
  </cols>
  <sheetData>
    <row r="1" spans="1:15" x14ac:dyDescent="0.2">
      <c r="A1" s="170" t="s">
        <v>152</v>
      </c>
      <c r="B1" s="932"/>
      <c r="C1" s="247" t="s">
        <v>151</v>
      </c>
      <c r="D1" s="25"/>
      <c r="E1" s="25"/>
      <c r="F1" s="25"/>
      <c r="G1" s="25"/>
      <c r="H1" s="25"/>
      <c r="I1" s="25"/>
      <c r="J1" s="25"/>
      <c r="K1" s="25"/>
      <c r="L1" s="25"/>
      <c r="M1" s="25"/>
      <c r="O1" s="423"/>
    </row>
    <row r="2" spans="1:15" ht="15.75" x14ac:dyDescent="0.25">
      <c r="A2" s="163" t="s">
        <v>31</v>
      </c>
      <c r="B2" s="965"/>
      <c r="C2" s="965"/>
      <c r="D2" s="965"/>
      <c r="E2" s="297"/>
      <c r="F2" s="965"/>
      <c r="G2" s="965"/>
      <c r="H2" s="965"/>
      <c r="I2" s="297"/>
      <c r="J2" s="965"/>
      <c r="K2" s="965"/>
      <c r="L2" s="965"/>
      <c r="M2" s="297"/>
    </row>
    <row r="3" spans="1:15" ht="15.75" x14ac:dyDescent="0.25">
      <c r="A3" s="161"/>
      <c r="B3" s="297"/>
      <c r="C3" s="297"/>
      <c r="D3" s="297"/>
      <c r="E3" s="297"/>
      <c r="F3" s="297"/>
      <c r="G3" s="297"/>
      <c r="H3" s="297"/>
      <c r="I3" s="297"/>
      <c r="J3" s="297"/>
      <c r="K3" s="297"/>
      <c r="L3" s="297"/>
      <c r="M3" s="297"/>
    </row>
    <row r="4" spans="1:15" x14ac:dyDescent="0.2">
      <c r="A4" s="142"/>
      <c r="B4" s="960" t="s">
        <v>0</v>
      </c>
      <c r="C4" s="961"/>
      <c r="D4" s="961"/>
      <c r="E4" s="299"/>
      <c r="F4" s="960" t="s">
        <v>1</v>
      </c>
      <c r="G4" s="961"/>
      <c r="H4" s="961"/>
      <c r="I4" s="302"/>
      <c r="J4" s="960" t="s">
        <v>2</v>
      </c>
      <c r="K4" s="961"/>
      <c r="L4" s="961"/>
      <c r="M4" s="302"/>
    </row>
    <row r="5" spans="1:15" x14ac:dyDescent="0.2">
      <c r="A5" s="156"/>
      <c r="B5" s="150" t="s">
        <v>504</v>
      </c>
      <c r="C5" s="150" t="s">
        <v>505</v>
      </c>
      <c r="D5" s="243" t="s">
        <v>3</v>
      </c>
      <c r="E5" s="303" t="s">
        <v>32</v>
      </c>
      <c r="F5" s="150" t="s">
        <v>504</v>
      </c>
      <c r="G5" s="150" t="s">
        <v>505</v>
      </c>
      <c r="H5" s="243" t="s">
        <v>3</v>
      </c>
      <c r="I5" s="160" t="s">
        <v>32</v>
      </c>
      <c r="J5" s="150" t="s">
        <v>504</v>
      </c>
      <c r="K5" s="150" t="s">
        <v>505</v>
      </c>
      <c r="L5" s="243" t="s">
        <v>3</v>
      </c>
      <c r="M5" s="160" t="s">
        <v>32</v>
      </c>
      <c r="O5" s="931"/>
    </row>
    <row r="6" spans="1:15" x14ac:dyDescent="0.2">
      <c r="A6" s="933"/>
      <c r="B6" s="154"/>
      <c r="C6" s="154"/>
      <c r="D6" s="245" t="s">
        <v>4</v>
      </c>
      <c r="E6" s="154" t="s">
        <v>33</v>
      </c>
      <c r="F6" s="159"/>
      <c r="G6" s="159"/>
      <c r="H6" s="243" t="s">
        <v>4</v>
      </c>
      <c r="I6" s="154" t="s">
        <v>33</v>
      </c>
      <c r="J6" s="159"/>
      <c r="K6" s="159"/>
      <c r="L6" s="243" t="s">
        <v>4</v>
      </c>
      <c r="M6" s="154" t="s">
        <v>33</v>
      </c>
    </row>
    <row r="7" spans="1:15" ht="15.75" x14ac:dyDescent="0.2">
      <c r="A7" s="14" t="s">
        <v>26</v>
      </c>
      <c r="B7" s="304">
        <v>1577</v>
      </c>
      <c r="C7" s="305">
        <v>2771</v>
      </c>
      <c r="D7" s="348">
        <f>IF(B7=0, "    ---- ", IF(ABS(ROUND(100/B7*C7-100,1))&lt;999,ROUND(100/B7*C7-100,1),IF(ROUND(100/B7*C7-100,1)&gt;999,999,-999)))</f>
        <v>75.7</v>
      </c>
      <c r="E7" s="11">
        <f>IFERROR(100/'Skjema total MA'!C7*C7,0)</f>
        <v>5.9415438363561009E-2</v>
      </c>
      <c r="F7" s="304"/>
      <c r="G7" s="305"/>
      <c r="H7" s="348"/>
      <c r="I7" s="158"/>
      <c r="J7" s="306">
        <v>1577</v>
      </c>
      <c r="K7" s="307">
        <v>2771</v>
      </c>
      <c r="L7" s="424">
        <f>IF(J7=0, "    ---- ", IF(ABS(ROUND(100/J7*K7-100,1))&lt;999,ROUND(100/J7*K7-100,1),IF(ROUND(100/J7*K7-100,1)&gt;999,999,-999)))</f>
        <v>75.7</v>
      </c>
      <c r="M7" s="11">
        <f>IFERROR(100/'Skjema total MA'!I7*K7,0)</f>
        <v>2.05695499232737E-2</v>
      </c>
    </row>
    <row r="8" spans="1:15" ht="15.75" x14ac:dyDescent="0.2">
      <c r="A8" s="20" t="s">
        <v>28</v>
      </c>
      <c r="B8" s="279">
        <v>42</v>
      </c>
      <c r="C8" s="280">
        <v>2582</v>
      </c>
      <c r="D8" s="164">
        <f>IF(AND(_xlfn.NUMBERVALUE(B8)=0,_xlfn.NUMBERVALUE(C8)=0),,IF(B8=0, "    ---- ", IF(ABS(ROUND(100/B8*C8-100,1))&lt;999,IF(ROUND(100/B8*C8-100,1)=0,"    ---- ",ROUND(100/B8*C8-100,1)),IF(ROUND(100/B8*C8-100,1)&gt;999,999,-999))))</f>
        <v>999</v>
      </c>
      <c r="E8" s="26">
        <f>IFERROR(100/'Skjema total MA'!C8*C8,0)</f>
        <v>0.10374302928096309</v>
      </c>
      <c r="F8" s="283"/>
      <c r="G8" s="284"/>
      <c r="H8" s="164"/>
      <c r="I8" s="174"/>
      <c r="J8" s="232">
        <v>42</v>
      </c>
      <c r="K8" s="285">
        <v>2582</v>
      </c>
      <c r="L8" s="164">
        <f>IF(AND(_xlfn.NUMBERVALUE(J8)=0,_xlfn.NUMBERVALUE(K8)=0),,IF(J8=0, "    ---- ", IF(ABS(ROUND(100/J8*K8-100,1))&lt;999,IF(ROUND(100/J8*K8-100,1)=0,"    ---- ",ROUND(100/J8*K8-100,1)),IF(ROUND(100/J8*K8-100,1)&gt;999,999,-999))))</f>
        <v>999</v>
      </c>
      <c r="M8" s="26">
        <f>IFERROR(100/'Skjema total MA'!I8*K8,0)</f>
        <v>0.10374302928096309</v>
      </c>
    </row>
    <row r="9" spans="1:15" ht="15.75" x14ac:dyDescent="0.2">
      <c r="A9" s="20" t="s">
        <v>27</v>
      </c>
      <c r="B9" s="279">
        <v>1535</v>
      </c>
      <c r="C9" s="280">
        <v>189</v>
      </c>
      <c r="D9" s="164">
        <f t="shared" ref="D9:D10" si="0">IF(B9=0, "    ---- ", IF(ABS(ROUND(100/B9*C9-100,1))&lt;999,ROUND(100/B9*C9-100,1),IF(ROUND(100/B9*C9-100,1)&gt;999,999,-999)))</f>
        <v>-87.7</v>
      </c>
      <c r="E9" s="26">
        <f>IFERROR(100/'Skjema total MA'!C9*C9,0)</f>
        <v>1.7467299567840693E-2</v>
      </c>
      <c r="F9" s="283"/>
      <c r="G9" s="284"/>
      <c r="H9" s="164"/>
      <c r="I9" s="174"/>
      <c r="J9" s="232">
        <v>1535</v>
      </c>
      <c r="K9" s="285">
        <v>189</v>
      </c>
      <c r="L9" s="164">
        <f>IF(AND(_xlfn.NUMBERVALUE(J9)=0,_xlfn.NUMBERVALUE(K9)=0),,IF(J9=0, "    ---- ", IF(ABS(ROUND(100/J9*K9-100,1))&lt;999,IF(ROUND(100/J9*K9-100,1)=0,"    ---- ",ROUND(100/J9*K9-100,1)),IF(ROUND(100/J9*K9-100,1)&gt;999,999,-999))))</f>
        <v>-87.7</v>
      </c>
      <c r="M9" s="26">
        <f>IFERROR(100/'Skjema total MA'!I9*K9,0)</f>
        <v>1.7467299567840693E-2</v>
      </c>
    </row>
    <row r="10" spans="1:15" ht="15.75" x14ac:dyDescent="0.2">
      <c r="A10" s="13" t="s">
        <v>25</v>
      </c>
      <c r="B10" s="308">
        <v>3590</v>
      </c>
      <c r="C10" s="309">
        <v>9767</v>
      </c>
      <c r="D10" s="169">
        <f t="shared" si="0"/>
        <v>172.1</v>
      </c>
      <c r="E10" s="11">
        <f>IFERROR(100/'Skjema total MA'!C10*C10,0)</f>
        <v>4.0631332971423594E-2</v>
      </c>
      <c r="F10" s="308"/>
      <c r="G10" s="309"/>
      <c r="H10" s="169"/>
      <c r="I10" s="158"/>
      <c r="J10" s="306">
        <v>3590</v>
      </c>
      <c r="K10" s="307">
        <v>9767</v>
      </c>
      <c r="L10" s="425">
        <f t="shared" ref="L10" si="1">IF(J10=0, "    ---- ", IF(ABS(ROUND(100/J10*K10-100,1))&lt;999,ROUND(100/J10*K10-100,1),IF(ROUND(100/J10*K10-100,1)&gt;999,999,-999)))</f>
        <v>172.1</v>
      </c>
      <c r="M10" s="11">
        <f>IFERROR(100/'Skjema total MA'!I10*K10,0)</f>
        <v>1.4727452646966618E-2</v>
      </c>
    </row>
    <row r="11" spans="1:15" s="42" customFormat="1" ht="15.75" x14ac:dyDescent="0.2">
      <c r="A11" s="13" t="s">
        <v>24</v>
      </c>
      <c r="B11" s="308"/>
      <c r="C11" s="309"/>
      <c r="D11" s="169"/>
      <c r="E11" s="11"/>
      <c r="F11" s="308"/>
      <c r="G11" s="309"/>
      <c r="H11" s="169"/>
      <c r="I11" s="158"/>
      <c r="J11" s="306"/>
      <c r="K11" s="307"/>
      <c r="L11" s="425"/>
      <c r="M11" s="11"/>
      <c r="N11" s="141"/>
      <c r="O11" s="146"/>
    </row>
    <row r="12" spans="1:15" s="42" customFormat="1" ht="15.75" x14ac:dyDescent="0.2">
      <c r="A12" s="40" t="s">
        <v>23</v>
      </c>
      <c r="B12" s="310"/>
      <c r="C12" s="311"/>
      <c r="D12" s="167"/>
      <c r="E12" s="35"/>
      <c r="F12" s="310"/>
      <c r="G12" s="311"/>
      <c r="H12" s="167"/>
      <c r="I12" s="167"/>
      <c r="J12" s="312"/>
      <c r="K12" s="313"/>
      <c r="L12" s="426"/>
      <c r="M12" s="35"/>
      <c r="N12" s="141"/>
      <c r="O12" s="146"/>
    </row>
    <row r="13" spans="1:15" s="42" customFormat="1" x14ac:dyDescent="0.2">
      <c r="A13" s="166"/>
      <c r="B13" s="143"/>
      <c r="C13" s="32"/>
      <c r="D13" s="157"/>
      <c r="E13" s="157"/>
      <c r="F13" s="143"/>
      <c r="G13" s="32"/>
      <c r="H13" s="157"/>
      <c r="I13" s="157"/>
      <c r="J13" s="47"/>
      <c r="K13" s="47"/>
      <c r="L13" s="157"/>
      <c r="M13" s="157"/>
      <c r="N13" s="141"/>
      <c r="O13" s="423"/>
    </row>
    <row r="14" spans="1:15" x14ac:dyDescent="0.2">
      <c r="A14" s="151" t="s">
        <v>296</v>
      </c>
      <c r="B14" s="25"/>
    </row>
    <row r="15" spans="1:15" x14ac:dyDescent="0.2">
      <c r="F15" s="144"/>
      <c r="G15" s="144"/>
      <c r="H15" s="144"/>
      <c r="I15" s="144"/>
      <c r="J15" s="144"/>
      <c r="K15" s="144"/>
      <c r="L15" s="144"/>
      <c r="M15" s="144"/>
    </row>
    <row r="16" spans="1:15" s="3" customFormat="1" ht="15.75" x14ac:dyDescent="0.25">
      <c r="A16" s="162"/>
      <c r="B16" s="146"/>
      <c r="C16" s="152"/>
      <c r="D16" s="152"/>
      <c r="E16" s="152"/>
      <c r="F16" s="152"/>
      <c r="G16" s="152"/>
      <c r="H16" s="152"/>
      <c r="I16" s="152"/>
      <c r="J16" s="152"/>
      <c r="K16" s="152"/>
      <c r="L16" s="152"/>
      <c r="M16" s="152"/>
      <c r="N16" s="146"/>
      <c r="O16" s="146"/>
    </row>
    <row r="17" spans="1:15" ht="15.75" x14ac:dyDescent="0.25">
      <c r="A17" s="145" t="s">
        <v>293</v>
      </c>
      <c r="B17" s="155"/>
      <c r="C17" s="155"/>
      <c r="D17" s="149"/>
      <c r="E17" s="149"/>
      <c r="F17" s="155"/>
      <c r="G17" s="155"/>
      <c r="H17" s="155"/>
      <c r="I17" s="155"/>
      <c r="J17" s="155"/>
      <c r="K17" s="155"/>
      <c r="L17" s="155"/>
      <c r="M17" s="155"/>
    </row>
    <row r="18" spans="1:15" ht="15.75" x14ac:dyDescent="0.25">
      <c r="B18" s="963"/>
      <c r="C18" s="963"/>
      <c r="D18" s="963"/>
      <c r="E18" s="297"/>
      <c r="F18" s="963"/>
      <c r="G18" s="963"/>
      <c r="H18" s="963"/>
      <c r="I18" s="297"/>
      <c r="J18" s="963"/>
      <c r="K18" s="963"/>
      <c r="L18" s="963"/>
      <c r="M18" s="297"/>
    </row>
    <row r="19" spans="1:15" x14ac:dyDescent="0.2">
      <c r="A19" s="142"/>
      <c r="B19" s="960" t="s">
        <v>0</v>
      </c>
      <c r="C19" s="961"/>
      <c r="D19" s="961"/>
      <c r="E19" s="299"/>
      <c r="F19" s="960" t="s">
        <v>1</v>
      </c>
      <c r="G19" s="961"/>
      <c r="H19" s="961"/>
      <c r="I19" s="302"/>
      <c r="J19" s="960" t="s">
        <v>2</v>
      </c>
      <c r="K19" s="961"/>
      <c r="L19" s="961"/>
      <c r="M19" s="302"/>
    </row>
    <row r="20" spans="1:15" x14ac:dyDescent="0.2">
      <c r="A20" s="139" t="s">
        <v>5</v>
      </c>
      <c r="B20" s="240" t="s">
        <v>504</v>
      </c>
      <c r="C20" s="240" t="s">
        <v>505</v>
      </c>
      <c r="D20" s="160" t="s">
        <v>3</v>
      </c>
      <c r="E20" s="303" t="s">
        <v>32</v>
      </c>
      <c r="F20" s="240" t="s">
        <v>504</v>
      </c>
      <c r="G20" s="240" t="s">
        <v>505</v>
      </c>
      <c r="H20" s="160" t="s">
        <v>3</v>
      </c>
      <c r="I20" s="160" t="s">
        <v>32</v>
      </c>
      <c r="J20" s="240" t="s">
        <v>504</v>
      </c>
      <c r="K20" s="240" t="s">
        <v>505</v>
      </c>
      <c r="L20" s="160" t="s">
        <v>3</v>
      </c>
      <c r="M20" s="160" t="s">
        <v>32</v>
      </c>
    </row>
    <row r="21" spans="1:15" x14ac:dyDescent="0.2">
      <c r="A21" s="934"/>
      <c r="B21" s="154"/>
      <c r="C21" s="154"/>
      <c r="D21" s="245" t="s">
        <v>4</v>
      </c>
      <c r="E21" s="154" t="s">
        <v>33</v>
      </c>
      <c r="F21" s="159"/>
      <c r="G21" s="159"/>
      <c r="H21" s="243" t="s">
        <v>4</v>
      </c>
      <c r="I21" s="154" t="s">
        <v>33</v>
      </c>
      <c r="J21" s="159"/>
      <c r="K21" s="159"/>
      <c r="L21" s="154" t="s">
        <v>4</v>
      </c>
      <c r="M21" s="154" t="s">
        <v>33</v>
      </c>
    </row>
    <row r="22" spans="1:15" ht="15.75" x14ac:dyDescent="0.2">
      <c r="A22" s="14" t="s">
        <v>26</v>
      </c>
      <c r="B22" s="314">
        <f>B23+B24+B25+B26</f>
        <v>0</v>
      </c>
      <c r="C22" s="314">
        <v>4908</v>
      </c>
      <c r="D22" s="253" t="str">
        <f t="shared" ref="D22" si="2">IF(B22=0, "    ---- ", IF(ABS(ROUND(100/B22*C22-100,1))&lt;999,ROUND(100/B22*C22-100,1),IF(ROUND(100/B22*C22-100,1)&gt;999,999,-999)))</f>
        <v xml:space="preserve">    ---- </v>
      </c>
      <c r="E22" s="22">
        <f>IFERROR(100/'Skjema total MA'!A22*C22,0)</f>
        <v>0</v>
      </c>
      <c r="F22" s="314"/>
      <c r="G22" s="314"/>
      <c r="H22" s="348"/>
      <c r="I22" s="11"/>
      <c r="J22" s="314"/>
      <c r="K22" s="314">
        <f>C22+G22</f>
        <v>4908</v>
      </c>
      <c r="L22" s="253" t="str">
        <f t="shared" ref="L22" si="3">IF(J22=0, "    ---- ", IF(ABS(ROUND(100/J22*K22-100,1))&lt;999,ROUND(100/J22*K22-100,1),IF(ROUND(100/J22*K22-100,1)&gt;999,999,-999)))</f>
        <v xml:space="preserve">    ---- </v>
      </c>
      <c r="M22" s="22">
        <f>IFERROR(100/'Skjema total MA'!I22*K22,0)</f>
        <v>0.17580469540392207</v>
      </c>
    </row>
    <row r="23" spans="1:15" ht="15.75" x14ac:dyDescent="0.2">
      <c r="A23" s="294" t="s">
        <v>305</v>
      </c>
      <c r="B23" s="288"/>
      <c r="C23" s="288"/>
      <c r="D23" s="164"/>
      <c r="E23" s="414"/>
      <c r="F23" s="288"/>
      <c r="G23" s="288"/>
      <c r="H23" s="164"/>
      <c r="I23" s="414"/>
      <c r="J23" s="288"/>
      <c r="K23" s="288"/>
      <c r="L23" s="164"/>
      <c r="M23" s="22"/>
    </row>
    <row r="24" spans="1:15" ht="15.75" x14ac:dyDescent="0.2">
      <c r="A24" s="294" t="s">
        <v>306</v>
      </c>
      <c r="B24" s="288"/>
      <c r="C24" s="288"/>
      <c r="D24" s="164"/>
      <c r="E24" s="414"/>
      <c r="F24" s="288"/>
      <c r="G24" s="288"/>
      <c r="H24" s="164"/>
      <c r="I24" s="414"/>
      <c r="J24" s="288"/>
      <c r="K24" s="288"/>
      <c r="L24" s="164"/>
      <c r="M24" s="22"/>
    </row>
    <row r="25" spans="1:15" ht="15.75" x14ac:dyDescent="0.2">
      <c r="A25" s="294" t="s">
        <v>406</v>
      </c>
      <c r="B25" s="288"/>
      <c r="C25" s="288"/>
      <c r="D25" s="164"/>
      <c r="E25" s="414"/>
      <c r="F25" s="288"/>
      <c r="G25" s="288"/>
      <c r="H25" s="164"/>
      <c r="I25" s="414"/>
      <c r="J25" s="288"/>
      <c r="K25" s="288"/>
      <c r="L25" s="164"/>
      <c r="M25" s="22"/>
    </row>
    <row r="26" spans="1:15" ht="15.75" x14ac:dyDescent="0.2">
      <c r="A26" s="294" t="s">
        <v>307</v>
      </c>
      <c r="B26" s="288"/>
      <c r="C26" s="288"/>
      <c r="D26" s="164"/>
      <c r="E26" s="414"/>
      <c r="F26" s="288"/>
      <c r="G26" s="288"/>
      <c r="H26" s="164"/>
      <c r="I26" s="414"/>
      <c r="J26" s="288"/>
      <c r="K26" s="288"/>
      <c r="L26" s="164"/>
      <c r="M26" s="22"/>
    </row>
    <row r="27" spans="1:15" x14ac:dyDescent="0.2">
      <c r="A27" s="294" t="s">
        <v>11</v>
      </c>
      <c r="B27" s="288"/>
      <c r="C27" s="288"/>
      <c r="D27" s="164"/>
      <c r="E27" s="414"/>
      <c r="F27" s="288"/>
      <c r="G27" s="288"/>
      <c r="H27" s="164"/>
      <c r="I27" s="414"/>
      <c r="J27" s="288"/>
      <c r="K27" s="288"/>
      <c r="L27" s="164"/>
      <c r="M27" s="22"/>
    </row>
    <row r="28" spans="1:15" ht="15.75" x14ac:dyDescent="0.2">
      <c r="A28" s="48" t="s">
        <v>297</v>
      </c>
      <c r="B28" s="43">
        <v>0</v>
      </c>
      <c r="C28" s="285">
        <v>4908</v>
      </c>
      <c r="D28" s="164" t="str">
        <f t="shared" ref="D28" si="4">IF(B28=0, "    ---- ", IF(ABS(ROUND(100/B28*C28-100,1))&lt;999,ROUND(100/B28*C28-100,1),IF(ROUND(100/B28*C28-100,1)&gt;999,999,-999)))</f>
        <v xml:space="preserve">    ---- </v>
      </c>
      <c r="E28" s="26">
        <f>IFERROR(100/'Skjema total MA'!C28*C28,0)</f>
        <v>0.30376480024792724</v>
      </c>
      <c r="F28" s="232"/>
      <c r="G28" s="285"/>
      <c r="H28" s="164" t="str">
        <f t="shared" ref="H28" si="5">IF(F28=0, "    ---- ", IF(ABS(ROUND(100/F28*G28-100,1))&lt;999,ROUND(100/F28*G28-100,1),IF(ROUND(100/F28*G28-100,1)&gt;999,999,-999)))</f>
        <v xml:space="preserve">    ---- </v>
      </c>
      <c r="I28" s="26">
        <f>IFERROR(100/'Skjema total MA'!F28*G28,0)</f>
        <v>0</v>
      </c>
      <c r="J28" s="43">
        <f t="shared" ref="J28:K28" si="6">SUM(B28,F28)</f>
        <v>0</v>
      </c>
      <c r="K28" s="43">
        <f t="shared" si="6"/>
        <v>4908</v>
      </c>
      <c r="L28" s="253" t="str">
        <f t="shared" ref="L28" si="7">IF(J28=0, "    ---- ", IF(ABS(ROUND(100/J28*K28-100,1))&lt;999,ROUND(100/J28*K28-100,1),IF(ROUND(100/J28*K28-100,1)&gt;999,999,-999)))</f>
        <v xml:space="preserve">    ---- </v>
      </c>
      <c r="M28" s="22">
        <f>IFERROR(100/'Skjema total MA'!I28*K28,0)</f>
        <v>0.30376480024792724</v>
      </c>
    </row>
    <row r="29" spans="1:15" s="3" customFormat="1" ht="15.75" x14ac:dyDescent="0.2">
      <c r="A29" s="13" t="s">
        <v>25</v>
      </c>
      <c r="B29" s="234"/>
      <c r="C29" s="234"/>
      <c r="D29" s="169"/>
      <c r="E29" s="11"/>
      <c r="F29" s="234"/>
      <c r="G29" s="234"/>
      <c r="H29" s="169"/>
      <c r="I29" s="11"/>
      <c r="J29" s="234"/>
      <c r="K29" s="234"/>
      <c r="L29" s="425"/>
      <c r="M29" s="23"/>
      <c r="N29" s="146"/>
      <c r="O29" s="146"/>
    </row>
    <row r="30" spans="1:15" s="3" customFormat="1" ht="15.75" x14ac:dyDescent="0.2">
      <c r="A30" s="294" t="s">
        <v>305</v>
      </c>
      <c r="B30" s="288"/>
      <c r="C30" s="288"/>
      <c r="D30" s="164"/>
      <c r="E30" s="414"/>
      <c r="F30" s="288"/>
      <c r="G30" s="288"/>
      <c r="H30" s="164"/>
      <c r="I30" s="414"/>
      <c r="J30" s="288"/>
      <c r="K30" s="288"/>
      <c r="L30" s="164"/>
      <c r="M30" s="22"/>
      <c r="N30" s="146"/>
      <c r="O30" s="146"/>
    </row>
    <row r="31" spans="1:15" s="3" customFormat="1" ht="15.75" x14ac:dyDescent="0.2">
      <c r="A31" s="294" t="s">
        <v>306</v>
      </c>
      <c r="B31" s="288"/>
      <c r="C31" s="288"/>
      <c r="D31" s="164"/>
      <c r="E31" s="414"/>
      <c r="F31" s="288"/>
      <c r="G31" s="288"/>
      <c r="H31" s="164"/>
      <c r="I31" s="414"/>
      <c r="J31" s="288"/>
      <c r="K31" s="288"/>
      <c r="L31" s="164"/>
      <c r="M31" s="22"/>
      <c r="N31" s="146"/>
      <c r="O31" s="146"/>
    </row>
    <row r="32" spans="1:15" ht="15.75" x14ac:dyDescent="0.2">
      <c r="A32" s="294" t="s">
        <v>406</v>
      </c>
      <c r="B32" s="288"/>
      <c r="C32" s="288"/>
      <c r="D32" s="164"/>
      <c r="E32" s="414"/>
      <c r="F32" s="288"/>
      <c r="G32" s="288"/>
      <c r="H32" s="164"/>
      <c r="I32" s="414"/>
      <c r="J32" s="288"/>
      <c r="K32" s="288"/>
      <c r="L32" s="164"/>
      <c r="M32" s="22"/>
    </row>
    <row r="33" spans="1:15" ht="15.75" x14ac:dyDescent="0.2">
      <c r="A33" s="294" t="s">
        <v>307</v>
      </c>
      <c r="B33" s="288"/>
      <c r="C33" s="288"/>
      <c r="D33" s="164"/>
      <c r="E33" s="414"/>
      <c r="F33" s="288"/>
      <c r="G33" s="288"/>
      <c r="H33" s="164"/>
      <c r="I33" s="414"/>
      <c r="J33" s="288"/>
      <c r="K33" s="288"/>
      <c r="L33" s="164"/>
      <c r="M33" s="22"/>
    </row>
    <row r="34" spans="1:15" ht="15.75" x14ac:dyDescent="0.2">
      <c r="A34" s="13" t="s">
        <v>24</v>
      </c>
      <c r="B34" s="234"/>
      <c r="C34" s="307"/>
      <c r="D34" s="169"/>
      <c r="E34" s="11"/>
      <c r="F34" s="306"/>
      <c r="G34" s="307"/>
      <c r="H34" s="169"/>
      <c r="I34" s="11"/>
      <c r="J34" s="234"/>
      <c r="K34" s="234"/>
      <c r="L34" s="425"/>
      <c r="M34" s="23"/>
    </row>
    <row r="35" spans="1:15" ht="15.75" x14ac:dyDescent="0.2">
      <c r="A35" s="13" t="s">
        <v>23</v>
      </c>
      <c r="B35" s="234"/>
      <c r="C35" s="307"/>
      <c r="D35" s="169"/>
      <c r="E35" s="11"/>
      <c r="F35" s="306"/>
      <c r="G35" s="307"/>
      <c r="H35" s="169"/>
      <c r="I35" s="11"/>
      <c r="J35" s="234"/>
      <c r="K35" s="234"/>
      <c r="L35" s="425"/>
      <c r="M35" s="23"/>
    </row>
    <row r="36" spans="1:15" ht="15.75" x14ac:dyDescent="0.2">
      <c r="A36" s="12" t="s">
        <v>308</v>
      </c>
      <c r="B36" s="234"/>
      <c r="C36" s="307"/>
      <c r="D36" s="169"/>
      <c r="E36" s="11"/>
      <c r="F36" s="317"/>
      <c r="G36" s="318"/>
      <c r="H36" s="169"/>
      <c r="I36" s="431"/>
      <c r="J36" s="234"/>
      <c r="K36" s="234"/>
      <c r="L36" s="425"/>
      <c r="M36" s="23"/>
    </row>
    <row r="37" spans="1:15" ht="15.75" x14ac:dyDescent="0.2">
      <c r="A37" s="12" t="s">
        <v>309</v>
      </c>
      <c r="B37" s="234"/>
      <c r="C37" s="307"/>
      <c r="D37" s="169"/>
      <c r="E37" s="11"/>
      <c r="F37" s="317"/>
      <c r="G37" s="319"/>
      <c r="H37" s="169"/>
      <c r="I37" s="431"/>
      <c r="J37" s="234"/>
      <c r="K37" s="234"/>
      <c r="L37" s="425"/>
      <c r="M37" s="23"/>
    </row>
    <row r="38" spans="1:15" ht="15.75" x14ac:dyDescent="0.2">
      <c r="A38" s="12" t="s">
        <v>310</v>
      </c>
      <c r="B38" s="234"/>
      <c r="C38" s="307"/>
      <c r="D38" s="169"/>
      <c r="E38" s="11"/>
      <c r="F38" s="317"/>
      <c r="G38" s="318"/>
      <c r="H38" s="169"/>
      <c r="I38" s="431"/>
      <c r="J38" s="234"/>
      <c r="K38" s="234"/>
      <c r="L38" s="425"/>
      <c r="M38" s="23"/>
    </row>
    <row r="39" spans="1:15" ht="15.75" x14ac:dyDescent="0.2">
      <c r="A39" s="18" t="s">
        <v>311</v>
      </c>
      <c r="B39" s="274"/>
      <c r="C39" s="313"/>
      <c r="D39" s="167"/>
      <c r="E39" s="11"/>
      <c r="F39" s="320"/>
      <c r="G39" s="321"/>
      <c r="H39" s="167"/>
      <c r="I39" s="35"/>
      <c r="J39" s="234"/>
      <c r="K39" s="234"/>
      <c r="L39" s="426"/>
      <c r="M39" s="35"/>
    </row>
    <row r="40" spans="1:15" ht="15.75" x14ac:dyDescent="0.25">
      <c r="A40" s="46"/>
      <c r="B40" s="252"/>
      <c r="C40" s="252"/>
      <c r="D40" s="964"/>
      <c r="E40" s="964"/>
      <c r="F40" s="964"/>
      <c r="G40" s="964"/>
      <c r="H40" s="964"/>
      <c r="I40" s="964"/>
      <c r="J40" s="964"/>
      <c r="K40" s="964"/>
      <c r="L40" s="964"/>
      <c r="M40" s="300"/>
    </row>
    <row r="41" spans="1:15" x14ac:dyDescent="0.2">
      <c r="A41" s="153"/>
    </row>
    <row r="42" spans="1:15" ht="15.75" x14ac:dyDescent="0.25">
      <c r="A42" s="145" t="s">
        <v>294</v>
      </c>
      <c r="B42" s="965"/>
      <c r="C42" s="965"/>
      <c r="D42" s="965"/>
      <c r="E42" s="297"/>
      <c r="F42" s="966"/>
      <c r="G42" s="966"/>
      <c r="H42" s="966"/>
      <c r="I42" s="300"/>
      <c r="J42" s="966"/>
      <c r="K42" s="966"/>
      <c r="L42" s="966"/>
      <c r="M42" s="300"/>
    </row>
    <row r="43" spans="1:15" ht="15.75" x14ac:dyDescent="0.25">
      <c r="A43" s="161"/>
      <c r="B43" s="301"/>
      <c r="C43" s="301"/>
      <c r="D43" s="301"/>
      <c r="E43" s="301"/>
      <c r="F43" s="300"/>
      <c r="G43" s="300"/>
      <c r="H43" s="300"/>
      <c r="I43" s="300"/>
      <c r="J43" s="300"/>
      <c r="K43" s="300"/>
      <c r="L43" s="300"/>
      <c r="M43" s="300"/>
    </row>
    <row r="44" spans="1:15" ht="15.75" x14ac:dyDescent="0.25">
      <c r="A44" s="246"/>
      <c r="B44" s="960" t="s">
        <v>0</v>
      </c>
      <c r="C44" s="961"/>
      <c r="D44" s="961"/>
      <c r="E44" s="241"/>
      <c r="F44" s="300"/>
      <c r="G44" s="300"/>
      <c r="H44" s="300"/>
      <c r="I44" s="300"/>
      <c r="J44" s="300"/>
      <c r="K44" s="300"/>
      <c r="L44" s="300"/>
      <c r="M44" s="300"/>
    </row>
    <row r="45" spans="1:15" s="3" customFormat="1" x14ac:dyDescent="0.2">
      <c r="A45" s="139"/>
      <c r="B45" s="171" t="s">
        <v>504</v>
      </c>
      <c r="C45" s="171" t="s">
        <v>505</v>
      </c>
      <c r="D45" s="160" t="s">
        <v>3</v>
      </c>
      <c r="E45" s="160" t="s">
        <v>32</v>
      </c>
      <c r="F45" s="173"/>
      <c r="G45" s="173"/>
      <c r="H45" s="172"/>
      <c r="I45" s="172"/>
      <c r="J45" s="173"/>
      <c r="K45" s="173"/>
      <c r="L45" s="172"/>
      <c r="M45" s="172"/>
      <c r="N45" s="146"/>
      <c r="O45" s="146"/>
    </row>
    <row r="46" spans="1:15" s="3" customFormat="1" x14ac:dyDescent="0.2">
      <c r="A46" s="934"/>
      <c r="B46" s="242"/>
      <c r="C46" s="242"/>
      <c r="D46" s="243" t="s">
        <v>4</v>
      </c>
      <c r="E46" s="154" t="s">
        <v>33</v>
      </c>
      <c r="F46" s="172"/>
      <c r="G46" s="172"/>
      <c r="H46" s="172"/>
      <c r="I46" s="172"/>
      <c r="J46" s="172"/>
      <c r="K46" s="172"/>
      <c r="L46" s="172"/>
      <c r="M46" s="172"/>
      <c r="N46" s="146"/>
      <c r="O46" s="146"/>
    </row>
    <row r="47" spans="1:15" s="3" customFormat="1" ht="15.75" x14ac:dyDescent="0.2">
      <c r="A47" s="14" t="s">
        <v>26</v>
      </c>
      <c r="B47" s="308">
        <f>SUM(B48:B49)</f>
        <v>133767</v>
      </c>
      <c r="C47" s="309">
        <f>SUM(C48:C49)</f>
        <v>135061</v>
      </c>
      <c r="D47" s="424">
        <f t="shared" ref="D47:D48" si="8">IF(B47=0, "    ---- ", IF(ABS(ROUND(100/B47*C47-100,1))&lt;999,ROUND(100/B47*C47-100,1),IF(ROUND(100/B47*C47-100,1)&gt;999,999,-999)))</f>
        <v>1</v>
      </c>
      <c r="E47" s="11">
        <f>IFERROR(100/'Skjema total MA'!C47*C47,0)</f>
        <v>3.5462259723110177</v>
      </c>
      <c r="F47" s="143"/>
      <c r="G47" s="32"/>
      <c r="H47" s="157"/>
      <c r="I47" s="157"/>
      <c r="J47" s="36"/>
      <c r="K47" s="36"/>
      <c r="L47" s="157"/>
      <c r="M47" s="157"/>
      <c r="N47" s="146"/>
      <c r="O47" s="146"/>
    </row>
    <row r="48" spans="1:15" s="3" customFormat="1" ht="15.75" x14ac:dyDescent="0.2">
      <c r="A48" s="37" t="s">
        <v>312</v>
      </c>
      <c r="B48" s="279">
        <v>133767</v>
      </c>
      <c r="C48" s="280">
        <v>135061</v>
      </c>
      <c r="D48" s="253">
        <f t="shared" si="8"/>
        <v>1</v>
      </c>
      <c r="E48" s="26">
        <f>IFERROR(100/'Skjema total MA'!C48*C48,0)</f>
        <v>6.591048306384315</v>
      </c>
      <c r="F48" s="143"/>
      <c r="G48" s="32"/>
      <c r="H48" s="143"/>
      <c r="I48" s="143"/>
      <c r="J48" s="32"/>
      <c r="K48" s="32"/>
      <c r="L48" s="157"/>
      <c r="M48" s="157"/>
      <c r="N48" s="146"/>
      <c r="O48" s="146"/>
    </row>
    <row r="49" spans="1:15" s="3" customFormat="1" ht="15.75" x14ac:dyDescent="0.2">
      <c r="A49" s="37" t="s">
        <v>313</v>
      </c>
      <c r="B49" s="43"/>
      <c r="C49" s="285"/>
      <c r="D49" s="253"/>
      <c r="E49" s="26"/>
      <c r="F49" s="143"/>
      <c r="G49" s="32"/>
      <c r="H49" s="143"/>
      <c r="I49" s="143"/>
      <c r="J49" s="36"/>
      <c r="K49" s="36"/>
      <c r="L49" s="157"/>
      <c r="M49" s="157"/>
      <c r="N49" s="146"/>
      <c r="O49" s="146"/>
    </row>
    <row r="50" spans="1:15" s="3" customFormat="1" x14ac:dyDescent="0.2">
      <c r="A50" s="294" t="s">
        <v>6</v>
      </c>
      <c r="B50" s="288"/>
      <c r="C50" s="289"/>
      <c r="D50" s="253"/>
      <c r="E50" s="22"/>
      <c r="F50" s="143"/>
      <c r="G50" s="32"/>
      <c r="H50" s="143"/>
      <c r="I50" s="143"/>
      <c r="J50" s="32"/>
      <c r="K50" s="32"/>
      <c r="L50" s="157"/>
      <c r="M50" s="157"/>
      <c r="N50" s="146"/>
      <c r="O50" s="146"/>
    </row>
    <row r="51" spans="1:15" s="3" customFormat="1" x14ac:dyDescent="0.2">
      <c r="A51" s="294" t="s">
        <v>7</v>
      </c>
      <c r="B51" s="288"/>
      <c r="C51" s="289"/>
      <c r="D51" s="253"/>
      <c r="E51" s="22"/>
      <c r="F51" s="143"/>
      <c r="G51" s="32"/>
      <c r="H51" s="143"/>
      <c r="I51" s="143"/>
      <c r="J51" s="32"/>
      <c r="K51" s="32"/>
      <c r="L51" s="157"/>
      <c r="M51" s="157"/>
      <c r="N51" s="146"/>
      <c r="O51" s="146"/>
    </row>
    <row r="52" spans="1:15" s="3" customFormat="1" x14ac:dyDescent="0.2">
      <c r="A52" s="294" t="s">
        <v>8</v>
      </c>
      <c r="B52" s="288"/>
      <c r="C52" s="289"/>
      <c r="D52" s="253"/>
      <c r="E52" s="22"/>
      <c r="F52" s="143"/>
      <c r="G52" s="32"/>
      <c r="H52" s="143"/>
      <c r="I52" s="143"/>
      <c r="J52" s="32"/>
      <c r="K52" s="32"/>
      <c r="L52" s="157"/>
      <c r="M52" s="157"/>
      <c r="N52" s="146"/>
      <c r="O52" s="146"/>
    </row>
    <row r="53" spans="1:15" s="3" customFormat="1" ht="15.75" x14ac:dyDescent="0.2">
      <c r="A53" s="38" t="s">
        <v>314</v>
      </c>
      <c r="B53" s="308"/>
      <c r="C53" s="309"/>
      <c r="D53" s="425"/>
      <c r="E53" s="11"/>
      <c r="F53" s="143"/>
      <c r="G53" s="32"/>
      <c r="H53" s="143"/>
      <c r="I53" s="143"/>
      <c r="J53" s="32"/>
      <c r="K53" s="32"/>
      <c r="L53" s="157"/>
      <c r="M53" s="157"/>
      <c r="N53" s="146"/>
      <c r="O53" s="146"/>
    </row>
    <row r="54" spans="1:15" s="3" customFormat="1" ht="15.75" x14ac:dyDescent="0.2">
      <c r="A54" s="37" t="s">
        <v>312</v>
      </c>
      <c r="B54" s="279"/>
      <c r="C54" s="280"/>
      <c r="D54" s="253"/>
      <c r="E54" s="26"/>
      <c r="F54" s="143"/>
      <c r="G54" s="32"/>
      <c r="H54" s="143"/>
      <c r="I54" s="143"/>
      <c r="J54" s="32"/>
      <c r="K54" s="32"/>
      <c r="L54" s="157"/>
      <c r="M54" s="157"/>
      <c r="N54" s="146"/>
      <c r="O54" s="146"/>
    </row>
    <row r="55" spans="1:15" s="3" customFormat="1" ht="15.75" x14ac:dyDescent="0.2">
      <c r="A55" s="37" t="s">
        <v>313</v>
      </c>
      <c r="B55" s="279"/>
      <c r="C55" s="280"/>
      <c r="D55" s="253"/>
      <c r="E55" s="26"/>
      <c r="F55" s="143"/>
      <c r="G55" s="32"/>
      <c r="H55" s="143"/>
      <c r="I55" s="143"/>
      <c r="J55" s="32"/>
      <c r="K55" s="32"/>
      <c r="L55" s="157"/>
      <c r="M55" s="157"/>
      <c r="N55" s="146"/>
      <c r="O55" s="146"/>
    </row>
    <row r="56" spans="1:15" s="3" customFormat="1" ht="15.75" x14ac:dyDescent="0.2">
      <c r="A56" s="38" t="s">
        <v>315</v>
      </c>
      <c r="B56" s="308"/>
      <c r="C56" s="309"/>
      <c r="D56" s="425"/>
      <c r="E56" s="11"/>
      <c r="F56" s="143"/>
      <c r="G56" s="32"/>
      <c r="H56" s="143"/>
      <c r="I56" s="143"/>
      <c r="J56" s="32"/>
      <c r="K56" s="32"/>
      <c r="L56" s="157"/>
      <c r="M56" s="157"/>
      <c r="N56" s="146"/>
      <c r="O56" s="146"/>
    </row>
    <row r="57" spans="1:15" s="3" customFormat="1" ht="15.75" x14ac:dyDescent="0.2">
      <c r="A57" s="37" t="s">
        <v>312</v>
      </c>
      <c r="B57" s="279"/>
      <c r="C57" s="280"/>
      <c r="D57" s="253"/>
      <c r="E57" s="26"/>
      <c r="F57" s="143"/>
      <c r="G57" s="32"/>
      <c r="H57" s="143"/>
      <c r="I57" s="143"/>
      <c r="J57" s="32"/>
      <c r="K57" s="32"/>
      <c r="L57" s="157"/>
      <c r="M57" s="157"/>
      <c r="N57" s="146"/>
      <c r="O57" s="146"/>
    </row>
    <row r="58" spans="1:15" s="3" customFormat="1" ht="15.75" x14ac:dyDescent="0.2">
      <c r="A58" s="45" t="s">
        <v>313</v>
      </c>
      <c r="B58" s="281"/>
      <c r="C58" s="282"/>
      <c r="D58" s="254"/>
      <c r="E58" s="21"/>
      <c r="F58" s="143"/>
      <c r="G58" s="32"/>
      <c r="H58" s="143"/>
      <c r="I58" s="143"/>
      <c r="J58" s="32"/>
      <c r="K58" s="32"/>
      <c r="L58" s="157"/>
      <c r="M58" s="157"/>
      <c r="N58" s="146"/>
      <c r="O58" s="146"/>
    </row>
    <row r="59" spans="1:15" s="3" customFormat="1" ht="15.75" x14ac:dyDescent="0.25">
      <c r="A59" s="162"/>
      <c r="B59" s="152"/>
      <c r="C59" s="152"/>
      <c r="D59" s="152"/>
      <c r="E59" s="152"/>
      <c r="F59" s="140"/>
      <c r="G59" s="140"/>
      <c r="H59" s="140"/>
      <c r="I59" s="140"/>
      <c r="J59" s="140"/>
      <c r="K59" s="140"/>
      <c r="L59" s="140"/>
      <c r="M59" s="140"/>
      <c r="N59" s="146"/>
      <c r="O59" s="146"/>
    </row>
    <row r="60" spans="1:15" x14ac:dyDescent="0.2">
      <c r="A60" s="153"/>
    </row>
    <row r="61" spans="1:15" ht="15.75" x14ac:dyDescent="0.25">
      <c r="A61" s="145" t="s">
        <v>295</v>
      </c>
      <c r="C61" s="25"/>
      <c r="D61" s="25"/>
      <c r="E61" s="25"/>
      <c r="F61" s="25"/>
      <c r="G61" s="25"/>
      <c r="H61" s="25"/>
      <c r="I61" s="25"/>
      <c r="J61" s="25"/>
      <c r="K61" s="25"/>
      <c r="L61" s="25"/>
      <c r="M61" s="25"/>
    </row>
    <row r="62" spans="1:15" ht="15.75" x14ac:dyDescent="0.25">
      <c r="B62" s="963"/>
      <c r="C62" s="963"/>
      <c r="D62" s="963"/>
      <c r="E62" s="297"/>
      <c r="F62" s="963"/>
      <c r="G62" s="963"/>
      <c r="H62" s="963"/>
      <c r="I62" s="297"/>
      <c r="J62" s="963"/>
      <c r="K62" s="963"/>
      <c r="L62" s="963"/>
      <c r="M62" s="297"/>
    </row>
    <row r="63" spans="1:15" x14ac:dyDescent="0.2">
      <c r="A63" s="142"/>
      <c r="B63" s="960" t="s">
        <v>0</v>
      </c>
      <c r="C63" s="961"/>
      <c r="D63" s="962"/>
      <c r="E63" s="298"/>
      <c r="F63" s="961" t="s">
        <v>1</v>
      </c>
      <c r="G63" s="961"/>
      <c r="H63" s="961"/>
      <c r="I63" s="302"/>
      <c r="J63" s="960" t="s">
        <v>2</v>
      </c>
      <c r="K63" s="961"/>
      <c r="L63" s="961"/>
      <c r="M63" s="302"/>
    </row>
    <row r="64" spans="1:15" x14ac:dyDescent="0.2">
      <c r="A64" s="139"/>
      <c r="B64" s="150" t="s">
        <v>504</v>
      </c>
      <c r="C64" s="150" t="s">
        <v>505</v>
      </c>
      <c r="D64" s="243" t="s">
        <v>3</v>
      </c>
      <c r="E64" s="303" t="s">
        <v>32</v>
      </c>
      <c r="F64" s="150" t="s">
        <v>504</v>
      </c>
      <c r="G64" s="150" t="s">
        <v>505</v>
      </c>
      <c r="H64" s="243" t="s">
        <v>3</v>
      </c>
      <c r="I64" s="303" t="s">
        <v>32</v>
      </c>
      <c r="J64" s="150" t="s">
        <v>504</v>
      </c>
      <c r="K64" s="150" t="s">
        <v>505</v>
      </c>
      <c r="L64" s="243" t="s">
        <v>3</v>
      </c>
      <c r="M64" s="160" t="s">
        <v>32</v>
      </c>
    </row>
    <row r="65" spans="1:15" x14ac:dyDescent="0.2">
      <c r="A65" s="934"/>
      <c r="B65" s="154"/>
      <c r="C65" s="154"/>
      <c r="D65" s="245" t="s">
        <v>4</v>
      </c>
      <c r="E65" s="154" t="s">
        <v>33</v>
      </c>
      <c r="F65" s="159"/>
      <c r="G65" s="159"/>
      <c r="H65" s="243" t="s">
        <v>4</v>
      </c>
      <c r="I65" s="154" t="s">
        <v>33</v>
      </c>
      <c r="J65" s="159"/>
      <c r="K65" s="204"/>
      <c r="L65" s="154" t="s">
        <v>4</v>
      </c>
      <c r="M65" s="154" t="s">
        <v>33</v>
      </c>
    </row>
    <row r="66" spans="1:15" ht="15.75" x14ac:dyDescent="0.2">
      <c r="A66" s="14" t="s">
        <v>26</v>
      </c>
      <c r="B66" s="350"/>
      <c r="C66" s="350"/>
      <c r="D66" s="348"/>
      <c r="E66" s="11"/>
      <c r="F66" s="350"/>
      <c r="G66" s="350"/>
      <c r="H66" s="348"/>
      <c r="I66" s="11"/>
      <c r="J66" s="307"/>
      <c r="K66" s="314"/>
      <c r="L66" s="425"/>
      <c r="M66" s="11"/>
    </row>
    <row r="67" spans="1:15" x14ac:dyDescent="0.2">
      <c r="A67" s="416" t="s">
        <v>9</v>
      </c>
      <c r="B67" s="43"/>
      <c r="C67" s="143"/>
      <c r="D67" s="164"/>
      <c r="E67" s="26"/>
      <c r="F67" s="232"/>
      <c r="G67" s="143"/>
      <c r="H67" s="164"/>
      <c r="I67" s="26"/>
      <c r="J67" s="285"/>
      <c r="K67" s="43"/>
      <c r="L67" s="253"/>
      <c r="M67" s="26"/>
    </row>
    <row r="68" spans="1:15" x14ac:dyDescent="0.2">
      <c r="A68" s="20" t="s">
        <v>10</v>
      </c>
      <c r="B68" s="290"/>
      <c r="C68" s="291"/>
      <c r="D68" s="164"/>
      <c r="E68" s="26"/>
      <c r="F68" s="290"/>
      <c r="G68" s="291"/>
      <c r="H68" s="164"/>
      <c r="I68" s="26"/>
      <c r="J68" s="285"/>
      <c r="K68" s="43"/>
      <c r="L68" s="253"/>
      <c r="M68" s="26"/>
    </row>
    <row r="69" spans="1:15" ht="15.75" x14ac:dyDescent="0.2">
      <c r="A69" s="294" t="s">
        <v>316</v>
      </c>
      <c r="B69" s="279"/>
      <c r="C69" s="279"/>
      <c r="D69" s="164"/>
      <c r="E69" s="414"/>
      <c r="F69" s="279"/>
      <c r="G69" s="279"/>
      <c r="H69" s="164"/>
      <c r="I69" s="414"/>
      <c r="J69" s="288"/>
      <c r="K69" s="288"/>
      <c r="L69" s="164"/>
      <c r="M69" s="22"/>
    </row>
    <row r="70" spans="1:15" x14ac:dyDescent="0.2">
      <c r="A70" s="294" t="s">
        <v>12</v>
      </c>
      <c r="B70" s="292"/>
      <c r="C70" s="293"/>
      <c r="D70" s="164"/>
      <c r="E70" s="414"/>
      <c r="F70" s="279"/>
      <c r="G70" s="279"/>
      <c r="H70" s="164"/>
      <c r="I70" s="414"/>
      <c r="J70" s="288"/>
      <c r="K70" s="288"/>
      <c r="L70" s="164"/>
      <c r="M70" s="22"/>
    </row>
    <row r="71" spans="1:15" x14ac:dyDescent="0.2">
      <c r="A71" s="294" t="s">
        <v>13</v>
      </c>
      <c r="B71" s="233"/>
      <c r="C71" s="287"/>
      <c r="D71" s="164"/>
      <c r="E71" s="414"/>
      <c r="F71" s="279"/>
      <c r="G71" s="279"/>
      <c r="H71" s="164"/>
      <c r="I71" s="414"/>
      <c r="J71" s="288"/>
      <c r="K71" s="288"/>
      <c r="L71" s="164"/>
      <c r="M71" s="22"/>
    </row>
    <row r="72" spans="1:15" ht="15.75" x14ac:dyDescent="0.2">
      <c r="A72" s="294" t="s">
        <v>317</v>
      </c>
      <c r="B72" s="279"/>
      <c r="C72" s="279"/>
      <c r="D72" s="164"/>
      <c r="E72" s="414"/>
      <c r="F72" s="279"/>
      <c r="G72" s="279"/>
      <c r="H72" s="164"/>
      <c r="I72" s="414"/>
      <c r="J72" s="288"/>
      <c r="K72" s="288"/>
      <c r="L72" s="164"/>
      <c r="M72" s="22"/>
    </row>
    <row r="73" spans="1:15" x14ac:dyDescent="0.2">
      <c r="A73" s="294" t="s">
        <v>12</v>
      </c>
      <c r="B73" s="233"/>
      <c r="C73" s="287"/>
      <c r="D73" s="164"/>
      <c r="E73" s="414"/>
      <c r="F73" s="279"/>
      <c r="G73" s="279"/>
      <c r="H73" s="164"/>
      <c r="I73" s="414"/>
      <c r="J73" s="288"/>
      <c r="K73" s="288"/>
      <c r="L73" s="164"/>
      <c r="M73" s="22"/>
    </row>
    <row r="74" spans="1:15" s="3" customFormat="1" x14ac:dyDescent="0.2">
      <c r="A74" s="294" t="s">
        <v>13</v>
      </c>
      <c r="B74" s="233"/>
      <c r="C74" s="287"/>
      <c r="D74" s="164"/>
      <c r="E74" s="414"/>
      <c r="F74" s="279"/>
      <c r="G74" s="279"/>
      <c r="H74" s="164"/>
      <c r="I74" s="414"/>
      <c r="J74" s="288"/>
      <c r="K74" s="288"/>
      <c r="L74" s="164"/>
      <c r="M74" s="22"/>
      <c r="N74" s="146"/>
      <c r="O74" s="146"/>
    </row>
    <row r="75" spans="1:15" s="3" customFormat="1" x14ac:dyDescent="0.2">
      <c r="A75" s="20" t="s">
        <v>395</v>
      </c>
      <c r="B75" s="232"/>
      <c r="C75" s="143"/>
      <c r="D75" s="164"/>
      <c r="E75" s="26"/>
      <c r="F75" s="232"/>
      <c r="G75" s="143"/>
      <c r="H75" s="164"/>
      <c r="I75" s="26"/>
      <c r="J75" s="285"/>
      <c r="K75" s="43"/>
      <c r="L75" s="253"/>
      <c r="M75" s="26"/>
      <c r="N75" s="146"/>
      <c r="O75" s="146"/>
    </row>
    <row r="76" spans="1:15" s="3" customFormat="1" x14ac:dyDescent="0.2">
      <c r="A76" s="20" t="s">
        <v>394</v>
      </c>
      <c r="B76" s="232"/>
      <c r="C76" s="143"/>
      <c r="D76" s="164"/>
      <c r="E76" s="26"/>
      <c r="F76" s="232"/>
      <c r="G76" s="143"/>
      <c r="H76" s="164"/>
      <c r="I76" s="26"/>
      <c r="J76" s="285"/>
      <c r="K76" s="43"/>
      <c r="L76" s="253"/>
      <c r="M76" s="26"/>
      <c r="N76" s="146"/>
      <c r="O76" s="146"/>
    </row>
    <row r="77" spans="1:15" ht="15.75" x14ac:dyDescent="0.2">
      <c r="A77" s="20" t="s">
        <v>318</v>
      </c>
      <c r="B77" s="232"/>
      <c r="C77" s="232"/>
      <c r="D77" s="164"/>
      <c r="E77" s="26"/>
      <c r="F77" s="232"/>
      <c r="G77" s="143"/>
      <c r="H77" s="164"/>
      <c r="I77" s="26"/>
      <c r="J77" s="285"/>
      <c r="K77" s="43"/>
      <c r="L77" s="253"/>
      <c r="M77" s="26"/>
    </row>
    <row r="78" spans="1:15" x14ac:dyDescent="0.2">
      <c r="A78" s="20" t="s">
        <v>9</v>
      </c>
      <c r="B78" s="232"/>
      <c r="C78" s="143"/>
      <c r="D78" s="164"/>
      <c r="E78" s="26"/>
      <c r="F78" s="232"/>
      <c r="G78" s="143"/>
      <c r="H78" s="164"/>
      <c r="I78" s="26"/>
      <c r="J78" s="285"/>
      <c r="K78" s="43"/>
      <c r="L78" s="253"/>
      <c r="M78" s="26"/>
    </row>
    <row r="79" spans="1:15" x14ac:dyDescent="0.2">
      <c r="A79" s="20" t="s">
        <v>10</v>
      </c>
      <c r="B79" s="290"/>
      <c r="C79" s="291"/>
      <c r="D79" s="164"/>
      <c r="E79" s="26"/>
      <c r="F79" s="290"/>
      <c r="G79" s="291"/>
      <c r="H79" s="164"/>
      <c r="I79" s="26"/>
      <c r="J79" s="285"/>
      <c r="K79" s="43"/>
      <c r="L79" s="253"/>
      <c r="M79" s="26"/>
    </row>
    <row r="80" spans="1:15" ht="15.75" x14ac:dyDescent="0.2">
      <c r="A80" s="294" t="s">
        <v>316</v>
      </c>
      <c r="B80" s="279"/>
      <c r="C80" s="279"/>
      <c r="D80" s="164"/>
      <c r="E80" s="414"/>
      <c r="F80" s="279"/>
      <c r="G80" s="279"/>
      <c r="H80" s="164"/>
      <c r="I80" s="414"/>
      <c r="J80" s="288"/>
      <c r="K80" s="288"/>
      <c r="L80" s="164"/>
      <c r="M80" s="22"/>
    </row>
    <row r="81" spans="1:13" x14ac:dyDescent="0.2">
      <c r="A81" s="294" t="s">
        <v>12</v>
      </c>
      <c r="B81" s="233"/>
      <c r="C81" s="287"/>
      <c r="D81" s="164"/>
      <c r="E81" s="414"/>
      <c r="F81" s="279"/>
      <c r="G81" s="279"/>
      <c r="H81" s="164"/>
      <c r="I81" s="414"/>
      <c r="J81" s="288"/>
      <c r="K81" s="288"/>
      <c r="L81" s="164"/>
      <c r="M81" s="22"/>
    </row>
    <row r="82" spans="1:13" x14ac:dyDescent="0.2">
      <c r="A82" s="294" t="s">
        <v>13</v>
      </c>
      <c r="B82" s="233"/>
      <c r="C82" s="287"/>
      <c r="D82" s="164"/>
      <c r="E82" s="414"/>
      <c r="F82" s="279"/>
      <c r="G82" s="279"/>
      <c r="H82" s="164"/>
      <c r="I82" s="414"/>
      <c r="J82" s="288"/>
      <c r="K82" s="288"/>
      <c r="L82" s="164"/>
      <c r="M82" s="22"/>
    </row>
    <row r="83" spans="1:13" ht="15.75" x14ac:dyDescent="0.2">
      <c r="A83" s="294" t="s">
        <v>317</v>
      </c>
      <c r="B83" s="279"/>
      <c r="C83" s="279"/>
      <c r="D83" s="164"/>
      <c r="E83" s="414"/>
      <c r="F83" s="279"/>
      <c r="G83" s="279"/>
      <c r="H83" s="164"/>
      <c r="I83" s="414"/>
      <c r="J83" s="288"/>
      <c r="K83" s="288"/>
      <c r="L83" s="164"/>
      <c r="M83" s="22"/>
    </row>
    <row r="84" spans="1:13" x14ac:dyDescent="0.2">
      <c r="A84" s="294" t="s">
        <v>12</v>
      </c>
      <c r="B84" s="233"/>
      <c r="C84" s="287"/>
      <c r="D84" s="164"/>
      <c r="E84" s="414"/>
      <c r="F84" s="279"/>
      <c r="G84" s="279"/>
      <c r="H84" s="164"/>
      <c r="I84" s="414"/>
      <c r="J84" s="288"/>
      <c r="K84" s="288"/>
      <c r="L84" s="164"/>
      <c r="M84" s="22"/>
    </row>
    <row r="85" spans="1:13" x14ac:dyDescent="0.2">
      <c r="A85" s="294" t="s">
        <v>13</v>
      </c>
      <c r="B85" s="233"/>
      <c r="C85" s="287"/>
      <c r="D85" s="164"/>
      <c r="E85" s="414"/>
      <c r="F85" s="279"/>
      <c r="G85" s="279"/>
      <c r="H85" s="164"/>
      <c r="I85" s="414"/>
      <c r="J85" s="288"/>
      <c r="K85" s="288"/>
      <c r="L85" s="164"/>
      <c r="M85" s="22"/>
    </row>
    <row r="86" spans="1:13" ht="15.75" x14ac:dyDescent="0.2">
      <c r="A86" s="20" t="s">
        <v>327</v>
      </c>
      <c r="B86" s="232"/>
      <c r="C86" s="143"/>
      <c r="D86" s="164"/>
      <c r="E86" s="26"/>
      <c r="F86" s="232"/>
      <c r="G86" s="143"/>
      <c r="H86" s="164"/>
      <c r="I86" s="26"/>
      <c r="J86" s="285"/>
      <c r="K86" s="43"/>
      <c r="L86" s="253"/>
      <c r="M86" s="26"/>
    </row>
    <row r="87" spans="1:13" ht="15.75" x14ac:dyDescent="0.2">
      <c r="A87" s="13" t="s">
        <v>25</v>
      </c>
      <c r="B87" s="350"/>
      <c r="C87" s="350"/>
      <c r="D87" s="169"/>
      <c r="E87" s="11"/>
      <c r="F87" s="350"/>
      <c r="G87" s="350"/>
      <c r="H87" s="169"/>
      <c r="I87" s="11"/>
      <c r="J87" s="307"/>
      <c r="K87" s="234"/>
      <c r="L87" s="425"/>
      <c r="M87" s="11"/>
    </row>
    <row r="88" spans="1:13" x14ac:dyDescent="0.2">
      <c r="A88" s="20" t="s">
        <v>9</v>
      </c>
      <c r="B88" s="232"/>
      <c r="C88" s="143"/>
      <c r="D88" s="164"/>
      <c r="E88" s="26"/>
      <c r="F88" s="232"/>
      <c r="G88" s="143"/>
      <c r="H88" s="164"/>
      <c r="I88" s="26"/>
      <c r="J88" s="285"/>
      <c r="K88" s="43"/>
      <c r="L88" s="253"/>
      <c r="M88" s="26"/>
    </row>
    <row r="89" spans="1:13" x14ac:dyDescent="0.2">
      <c r="A89" s="20" t="s">
        <v>10</v>
      </c>
      <c r="B89" s="232"/>
      <c r="C89" s="143"/>
      <c r="D89" s="164"/>
      <c r="E89" s="26"/>
      <c r="F89" s="232"/>
      <c r="G89" s="143"/>
      <c r="H89" s="164"/>
      <c r="I89" s="26"/>
      <c r="J89" s="285"/>
      <c r="K89" s="43"/>
      <c r="L89" s="253"/>
      <c r="M89" s="26"/>
    </row>
    <row r="90" spans="1:13" ht="15.75" x14ac:dyDescent="0.2">
      <c r="A90" s="294" t="s">
        <v>316</v>
      </c>
      <c r="B90" s="279"/>
      <c r="C90" s="279"/>
      <c r="D90" s="164"/>
      <c r="E90" s="414"/>
      <c r="F90" s="279"/>
      <c r="G90" s="279"/>
      <c r="H90" s="164"/>
      <c r="I90" s="414"/>
      <c r="J90" s="288"/>
      <c r="K90" s="288"/>
      <c r="L90" s="164"/>
      <c r="M90" s="22"/>
    </row>
    <row r="91" spans="1:13" x14ac:dyDescent="0.2">
      <c r="A91" s="294" t="s">
        <v>12</v>
      </c>
      <c r="B91" s="233"/>
      <c r="C91" s="287"/>
      <c r="D91" s="164"/>
      <c r="E91" s="414"/>
      <c r="F91" s="279"/>
      <c r="G91" s="279"/>
      <c r="H91" s="164"/>
      <c r="I91" s="414"/>
      <c r="J91" s="288"/>
      <c r="K91" s="288"/>
      <c r="L91" s="164"/>
      <c r="M91" s="22"/>
    </row>
    <row r="92" spans="1:13" x14ac:dyDescent="0.2">
      <c r="A92" s="294" t="s">
        <v>13</v>
      </c>
      <c r="B92" s="233"/>
      <c r="C92" s="287"/>
      <c r="D92" s="164"/>
      <c r="E92" s="414"/>
      <c r="F92" s="279"/>
      <c r="G92" s="279"/>
      <c r="H92" s="164"/>
      <c r="I92" s="414"/>
      <c r="J92" s="288"/>
      <c r="K92" s="288"/>
      <c r="L92" s="164"/>
      <c r="M92" s="22"/>
    </row>
    <row r="93" spans="1:13" ht="15.75" x14ac:dyDescent="0.2">
      <c r="A93" s="294" t="s">
        <v>317</v>
      </c>
      <c r="B93" s="279"/>
      <c r="C93" s="279"/>
      <c r="D93" s="164"/>
      <c r="E93" s="414"/>
      <c r="F93" s="279"/>
      <c r="G93" s="279"/>
      <c r="H93" s="164"/>
      <c r="I93" s="414"/>
      <c r="J93" s="288"/>
      <c r="K93" s="288"/>
      <c r="L93" s="164"/>
      <c r="M93" s="22"/>
    </row>
    <row r="94" spans="1:13" x14ac:dyDescent="0.2">
      <c r="A94" s="294" t="s">
        <v>12</v>
      </c>
      <c r="B94" s="233"/>
      <c r="C94" s="287"/>
      <c r="D94" s="164"/>
      <c r="E94" s="414"/>
      <c r="F94" s="279"/>
      <c r="G94" s="279"/>
      <c r="H94" s="164"/>
      <c r="I94" s="414"/>
      <c r="J94" s="288"/>
      <c r="K94" s="288"/>
      <c r="L94" s="164"/>
      <c r="M94" s="22"/>
    </row>
    <row r="95" spans="1:13" x14ac:dyDescent="0.2">
      <c r="A95" s="294" t="s">
        <v>13</v>
      </c>
      <c r="B95" s="233"/>
      <c r="C95" s="287"/>
      <c r="D95" s="164"/>
      <c r="E95" s="414"/>
      <c r="F95" s="279"/>
      <c r="G95" s="279"/>
      <c r="H95" s="164"/>
      <c r="I95" s="414"/>
      <c r="J95" s="288"/>
      <c r="K95" s="288"/>
      <c r="L95" s="164"/>
      <c r="M95" s="22"/>
    </row>
    <row r="96" spans="1:13" x14ac:dyDescent="0.2">
      <c r="A96" s="20" t="s">
        <v>393</v>
      </c>
      <c r="B96" s="232"/>
      <c r="C96" s="143"/>
      <c r="D96" s="164"/>
      <c r="E96" s="26"/>
      <c r="F96" s="232"/>
      <c r="G96" s="143"/>
      <c r="H96" s="164"/>
      <c r="I96" s="26"/>
      <c r="J96" s="285"/>
      <c r="K96" s="43"/>
      <c r="L96" s="253"/>
      <c r="M96" s="26"/>
    </row>
    <row r="97" spans="1:13" x14ac:dyDescent="0.2">
      <c r="A97" s="20" t="s">
        <v>392</v>
      </c>
      <c r="B97" s="232"/>
      <c r="C97" s="143"/>
      <c r="D97" s="164"/>
      <c r="E97" s="26"/>
      <c r="F97" s="232"/>
      <c r="G97" s="143"/>
      <c r="H97" s="164"/>
      <c r="I97" s="26"/>
      <c r="J97" s="285"/>
      <c r="K97" s="43"/>
      <c r="L97" s="253"/>
      <c r="M97" s="26"/>
    </row>
    <row r="98" spans="1:13" ht="15.75" x14ac:dyDescent="0.2">
      <c r="A98" s="20" t="s">
        <v>318</v>
      </c>
      <c r="B98" s="232"/>
      <c r="C98" s="232"/>
      <c r="D98" s="164"/>
      <c r="E98" s="26"/>
      <c r="F98" s="290"/>
      <c r="G98" s="290"/>
      <c r="H98" s="164"/>
      <c r="I98" s="26"/>
      <c r="J98" s="285"/>
      <c r="K98" s="43"/>
      <c r="L98" s="253"/>
      <c r="M98" s="26"/>
    </row>
    <row r="99" spans="1:13" x14ac:dyDescent="0.2">
      <c r="A99" s="20" t="s">
        <v>9</v>
      </c>
      <c r="B99" s="290"/>
      <c r="C99" s="291"/>
      <c r="D99" s="164"/>
      <c r="E99" s="26"/>
      <c r="F99" s="232"/>
      <c r="G99" s="143"/>
      <c r="H99" s="164"/>
      <c r="I99" s="26"/>
      <c r="J99" s="285"/>
      <c r="K99" s="43"/>
      <c r="L99" s="253"/>
      <c r="M99" s="26"/>
    </row>
    <row r="100" spans="1:13" x14ac:dyDescent="0.2">
      <c r="A100" s="20" t="s">
        <v>10</v>
      </c>
      <c r="B100" s="290"/>
      <c r="C100" s="291"/>
      <c r="D100" s="164"/>
      <c r="E100" s="26"/>
      <c r="F100" s="232"/>
      <c r="G100" s="232"/>
      <c r="H100" s="164"/>
      <c r="I100" s="26"/>
      <c r="J100" s="285"/>
      <c r="K100" s="43"/>
      <c r="L100" s="253"/>
      <c r="M100" s="26"/>
    </row>
    <row r="101" spans="1:13" ht="15.75" x14ac:dyDescent="0.2">
      <c r="A101" s="294" t="s">
        <v>316</v>
      </c>
      <c r="B101" s="279"/>
      <c r="C101" s="279"/>
      <c r="D101" s="164"/>
      <c r="E101" s="414"/>
      <c r="F101" s="279"/>
      <c r="G101" s="279"/>
      <c r="H101" s="164"/>
      <c r="I101" s="414"/>
      <c r="J101" s="288"/>
      <c r="K101" s="288"/>
      <c r="L101" s="164"/>
      <c r="M101" s="22"/>
    </row>
    <row r="102" spans="1:13" x14ac:dyDescent="0.2">
      <c r="A102" s="294" t="s">
        <v>12</v>
      </c>
      <c r="B102" s="233"/>
      <c r="C102" s="287"/>
      <c r="D102" s="164"/>
      <c r="E102" s="414"/>
      <c r="F102" s="279"/>
      <c r="G102" s="279"/>
      <c r="H102" s="164"/>
      <c r="I102" s="414"/>
      <c r="J102" s="288"/>
      <c r="K102" s="288"/>
      <c r="L102" s="164"/>
      <c r="M102" s="22"/>
    </row>
    <row r="103" spans="1:13" x14ac:dyDescent="0.2">
      <c r="A103" s="294" t="s">
        <v>13</v>
      </c>
      <c r="B103" s="233"/>
      <c r="C103" s="287"/>
      <c r="D103" s="164"/>
      <c r="E103" s="414"/>
      <c r="F103" s="279"/>
      <c r="G103" s="279"/>
      <c r="H103" s="164"/>
      <c r="I103" s="414"/>
      <c r="J103" s="288"/>
      <c r="K103" s="288"/>
      <c r="L103" s="164"/>
      <c r="M103" s="22"/>
    </row>
    <row r="104" spans="1:13" ht="15.75" x14ac:dyDescent="0.2">
      <c r="A104" s="294" t="s">
        <v>317</v>
      </c>
      <c r="B104" s="279"/>
      <c r="C104" s="279"/>
      <c r="D104" s="164"/>
      <c r="E104" s="414"/>
      <c r="F104" s="279"/>
      <c r="G104" s="279"/>
      <c r="H104" s="164"/>
      <c r="I104" s="414"/>
      <c r="J104" s="288"/>
      <c r="K104" s="288"/>
      <c r="L104" s="164"/>
      <c r="M104" s="22"/>
    </row>
    <row r="105" spans="1:13" x14ac:dyDescent="0.2">
      <c r="A105" s="294" t="s">
        <v>12</v>
      </c>
      <c r="B105" s="233"/>
      <c r="C105" s="287"/>
      <c r="D105" s="164"/>
      <c r="E105" s="414"/>
      <c r="F105" s="279"/>
      <c r="G105" s="279"/>
      <c r="H105" s="164"/>
      <c r="I105" s="414"/>
      <c r="J105" s="288"/>
      <c r="K105" s="288"/>
      <c r="L105" s="164"/>
      <c r="M105" s="22"/>
    </row>
    <row r="106" spans="1:13" x14ac:dyDescent="0.2">
      <c r="A106" s="294" t="s">
        <v>13</v>
      </c>
      <c r="B106" s="233"/>
      <c r="C106" s="287"/>
      <c r="D106" s="164"/>
      <c r="E106" s="414"/>
      <c r="F106" s="279"/>
      <c r="G106" s="279"/>
      <c r="H106" s="164"/>
      <c r="I106" s="414"/>
      <c r="J106" s="288"/>
      <c r="K106" s="288"/>
      <c r="L106" s="164"/>
      <c r="M106" s="22"/>
    </row>
    <row r="107" spans="1:13" ht="15.75" x14ac:dyDescent="0.2">
      <c r="A107" s="20" t="s">
        <v>327</v>
      </c>
      <c r="B107" s="232"/>
      <c r="C107" s="143"/>
      <c r="D107" s="164"/>
      <c r="E107" s="26"/>
      <c r="F107" s="232"/>
      <c r="G107" s="143"/>
      <c r="H107" s="164"/>
      <c r="I107" s="26"/>
      <c r="J107" s="285"/>
      <c r="K107" s="43"/>
      <c r="L107" s="253"/>
      <c r="M107" s="26"/>
    </row>
    <row r="108" spans="1:13" ht="15.75" x14ac:dyDescent="0.2">
      <c r="A108" s="20" t="s">
        <v>328</v>
      </c>
      <c r="B108" s="232"/>
      <c r="C108" s="232"/>
      <c r="D108" s="164"/>
      <c r="E108" s="26"/>
      <c r="F108" s="232"/>
      <c r="G108" s="232"/>
      <c r="H108" s="164"/>
      <c r="I108" s="26"/>
      <c r="J108" s="285"/>
      <c r="K108" s="43"/>
      <c r="L108" s="253"/>
      <c r="M108" s="26"/>
    </row>
    <row r="109" spans="1:13" ht="15.75" x14ac:dyDescent="0.2">
      <c r="A109" s="20" t="s">
        <v>320</v>
      </c>
      <c r="B109" s="232"/>
      <c r="C109" s="232"/>
      <c r="D109" s="164"/>
      <c r="E109" s="26"/>
      <c r="F109" s="232"/>
      <c r="G109" s="232"/>
      <c r="H109" s="164"/>
      <c r="I109" s="26"/>
      <c r="J109" s="285"/>
      <c r="K109" s="43"/>
      <c r="L109" s="253"/>
      <c r="M109" s="26"/>
    </row>
    <row r="110" spans="1:13" ht="15.75" x14ac:dyDescent="0.2">
      <c r="A110" s="20" t="s">
        <v>321</v>
      </c>
      <c r="B110" s="232"/>
      <c r="C110" s="232"/>
      <c r="D110" s="164"/>
      <c r="E110" s="26"/>
      <c r="F110" s="232"/>
      <c r="G110" s="232"/>
      <c r="H110" s="164"/>
      <c r="I110" s="26"/>
      <c r="J110" s="285"/>
      <c r="K110" s="43"/>
      <c r="L110" s="253"/>
      <c r="M110" s="26"/>
    </row>
    <row r="111" spans="1:13" ht="15.75" x14ac:dyDescent="0.2">
      <c r="A111" s="13" t="s">
        <v>24</v>
      </c>
      <c r="B111" s="306"/>
      <c r="C111" s="157"/>
      <c r="D111" s="169"/>
      <c r="E111" s="11"/>
      <c r="F111" s="306"/>
      <c r="G111" s="157"/>
      <c r="H111" s="169"/>
      <c r="I111" s="11"/>
      <c r="J111" s="307"/>
      <c r="K111" s="234"/>
      <c r="L111" s="425"/>
      <c r="M111" s="11"/>
    </row>
    <row r="112" spans="1:13" x14ac:dyDescent="0.2">
      <c r="A112" s="20" t="s">
        <v>9</v>
      </c>
      <c r="B112" s="232"/>
      <c r="C112" s="143"/>
      <c r="D112" s="164"/>
      <c r="E112" s="26"/>
      <c r="F112" s="232"/>
      <c r="G112" s="143"/>
      <c r="H112" s="164"/>
      <c r="I112" s="26"/>
      <c r="J112" s="285"/>
      <c r="K112" s="43"/>
      <c r="L112" s="253"/>
      <c r="M112" s="26"/>
    </row>
    <row r="113" spans="1:14" x14ac:dyDescent="0.2">
      <c r="A113" s="20" t="s">
        <v>10</v>
      </c>
      <c r="B113" s="232"/>
      <c r="C113" s="143"/>
      <c r="D113" s="164"/>
      <c r="E113" s="26"/>
      <c r="F113" s="232"/>
      <c r="G113" s="143"/>
      <c r="H113" s="164"/>
      <c r="I113" s="26"/>
      <c r="J113" s="285"/>
      <c r="K113" s="43"/>
      <c r="L113" s="253"/>
      <c r="M113" s="26"/>
    </row>
    <row r="114" spans="1:14" x14ac:dyDescent="0.2">
      <c r="A114" s="20" t="s">
        <v>29</v>
      </c>
      <c r="B114" s="232"/>
      <c r="C114" s="143"/>
      <c r="D114" s="164"/>
      <c r="E114" s="26"/>
      <c r="F114" s="232"/>
      <c r="G114" s="143"/>
      <c r="H114" s="164"/>
      <c r="I114" s="26"/>
      <c r="J114" s="285"/>
      <c r="K114" s="43"/>
      <c r="L114" s="253"/>
      <c r="M114" s="26"/>
    </row>
    <row r="115" spans="1:14" x14ac:dyDescent="0.2">
      <c r="A115" s="294" t="s">
        <v>15</v>
      </c>
      <c r="B115" s="279"/>
      <c r="C115" s="279"/>
      <c r="D115" s="164"/>
      <c r="E115" s="414"/>
      <c r="F115" s="279"/>
      <c r="G115" s="279"/>
      <c r="H115" s="164"/>
      <c r="I115" s="414"/>
      <c r="J115" s="288"/>
      <c r="K115" s="288"/>
      <c r="L115" s="164"/>
      <c r="M115" s="22"/>
    </row>
    <row r="116" spans="1:14" ht="15.75" x14ac:dyDescent="0.2">
      <c r="A116" s="20" t="s">
        <v>329</v>
      </c>
      <c r="B116" s="232"/>
      <c r="C116" s="232"/>
      <c r="D116" s="164"/>
      <c r="E116" s="26"/>
      <c r="F116" s="232"/>
      <c r="G116" s="232"/>
      <c r="H116" s="164"/>
      <c r="I116" s="26"/>
      <c r="J116" s="285"/>
      <c r="K116" s="43"/>
      <c r="L116" s="253"/>
      <c r="M116" s="26"/>
    </row>
    <row r="117" spans="1:14" ht="15.75" x14ac:dyDescent="0.2">
      <c r="A117" s="20" t="s">
        <v>322</v>
      </c>
      <c r="B117" s="232"/>
      <c r="C117" s="232"/>
      <c r="D117" s="164"/>
      <c r="E117" s="26"/>
      <c r="F117" s="232"/>
      <c r="G117" s="232"/>
      <c r="H117" s="164"/>
      <c r="I117" s="26"/>
      <c r="J117" s="285"/>
      <c r="K117" s="43"/>
      <c r="L117" s="253"/>
      <c r="M117" s="26"/>
    </row>
    <row r="118" spans="1:14" ht="15.75" x14ac:dyDescent="0.2">
      <c r="A118" s="20" t="s">
        <v>321</v>
      </c>
      <c r="B118" s="232"/>
      <c r="C118" s="232"/>
      <c r="D118" s="164"/>
      <c r="E118" s="26"/>
      <c r="F118" s="232"/>
      <c r="G118" s="232"/>
      <c r="H118" s="164"/>
      <c r="I118" s="26"/>
      <c r="J118" s="285"/>
      <c r="K118" s="43"/>
      <c r="L118" s="253"/>
      <c r="M118" s="26"/>
    </row>
    <row r="119" spans="1:14" ht="15.75" x14ac:dyDescent="0.2">
      <c r="A119" s="13" t="s">
        <v>23</v>
      </c>
      <c r="B119" s="306"/>
      <c r="C119" s="157"/>
      <c r="D119" s="169"/>
      <c r="E119" s="11"/>
      <c r="F119" s="306"/>
      <c r="G119" s="157"/>
      <c r="H119" s="169"/>
      <c r="I119" s="11"/>
      <c r="J119" s="307"/>
      <c r="K119" s="234"/>
      <c r="L119" s="425"/>
      <c r="M119" s="11"/>
    </row>
    <row r="120" spans="1:14" x14ac:dyDescent="0.2">
      <c r="A120" s="20" t="s">
        <v>9</v>
      </c>
      <c r="B120" s="232"/>
      <c r="C120" s="143"/>
      <c r="D120" s="164"/>
      <c r="E120" s="26"/>
      <c r="F120" s="232"/>
      <c r="G120" s="143"/>
      <c r="H120" s="164"/>
      <c r="I120" s="26"/>
      <c r="J120" s="285"/>
      <c r="K120" s="43"/>
      <c r="L120" s="253"/>
      <c r="M120" s="26"/>
    </row>
    <row r="121" spans="1:14" x14ac:dyDescent="0.2">
      <c r="A121" s="20" t="s">
        <v>10</v>
      </c>
      <c r="B121" s="232"/>
      <c r="C121" s="143"/>
      <c r="D121" s="164"/>
      <c r="E121" s="26"/>
      <c r="F121" s="232"/>
      <c r="G121" s="143"/>
      <c r="H121" s="164"/>
      <c r="I121" s="26"/>
      <c r="J121" s="285"/>
      <c r="K121" s="43"/>
      <c r="L121" s="253"/>
      <c r="M121" s="26"/>
    </row>
    <row r="122" spans="1:14" x14ac:dyDescent="0.2">
      <c r="A122" s="20" t="s">
        <v>29</v>
      </c>
      <c r="B122" s="232"/>
      <c r="C122" s="143"/>
      <c r="D122" s="164"/>
      <c r="E122" s="26"/>
      <c r="F122" s="232"/>
      <c r="G122" s="143"/>
      <c r="H122" s="164"/>
      <c r="I122" s="26"/>
      <c r="J122" s="285"/>
      <c r="K122" s="43"/>
      <c r="L122" s="253"/>
      <c r="M122" s="26"/>
    </row>
    <row r="123" spans="1:14" x14ac:dyDescent="0.2">
      <c r="A123" s="294" t="s">
        <v>14</v>
      </c>
      <c r="B123" s="279"/>
      <c r="C123" s="279"/>
      <c r="D123" s="164"/>
      <c r="E123" s="414"/>
      <c r="F123" s="279"/>
      <c r="G123" s="279"/>
      <c r="H123" s="164"/>
      <c r="I123" s="414"/>
      <c r="J123" s="288"/>
      <c r="K123" s="288"/>
      <c r="L123" s="164"/>
      <c r="M123" s="22"/>
    </row>
    <row r="124" spans="1:14" ht="15.75" x14ac:dyDescent="0.2">
      <c r="A124" s="20" t="s">
        <v>319</v>
      </c>
      <c r="B124" s="232"/>
      <c r="C124" s="232"/>
      <c r="D124" s="164"/>
      <c r="E124" s="26"/>
      <c r="F124" s="232"/>
      <c r="G124" s="232"/>
      <c r="H124" s="164"/>
      <c r="I124" s="26"/>
      <c r="J124" s="285"/>
      <c r="K124" s="43"/>
      <c r="L124" s="253"/>
      <c r="M124" s="26"/>
    </row>
    <row r="125" spans="1:14" ht="15.75" x14ac:dyDescent="0.2">
      <c r="A125" s="20" t="s">
        <v>320</v>
      </c>
      <c r="B125" s="232"/>
      <c r="C125" s="232"/>
      <c r="D125" s="164"/>
      <c r="E125" s="26"/>
      <c r="F125" s="232"/>
      <c r="G125" s="232"/>
      <c r="H125" s="164"/>
      <c r="I125" s="26"/>
      <c r="J125" s="285"/>
      <c r="K125" s="43"/>
      <c r="L125" s="253"/>
      <c r="M125" s="26"/>
    </row>
    <row r="126" spans="1:14" ht="15.75" x14ac:dyDescent="0.2">
      <c r="A126" s="10" t="s">
        <v>321</v>
      </c>
      <c r="B126" s="44"/>
      <c r="C126" s="44"/>
      <c r="D126" s="165"/>
      <c r="E126" s="415"/>
      <c r="F126" s="44"/>
      <c r="G126" s="44"/>
      <c r="H126" s="165"/>
      <c r="I126" s="21"/>
      <c r="J126" s="286"/>
      <c r="K126" s="44"/>
      <c r="L126" s="254"/>
      <c r="M126" s="21"/>
    </row>
    <row r="127" spans="1:14" x14ac:dyDescent="0.2">
      <c r="A127" s="153"/>
      <c r="L127" s="25"/>
      <c r="M127" s="25"/>
      <c r="N127" s="25"/>
    </row>
    <row r="128" spans="1:14" x14ac:dyDescent="0.2">
      <c r="L128" s="25"/>
      <c r="M128" s="25"/>
      <c r="N128" s="25"/>
    </row>
    <row r="129" spans="1:15" ht="15.75" x14ac:dyDescent="0.25">
      <c r="A129" s="163" t="s">
        <v>30</v>
      </c>
    </row>
    <row r="130" spans="1:15" ht="15.75" x14ac:dyDescent="0.25">
      <c r="B130" s="963"/>
      <c r="C130" s="963"/>
      <c r="D130" s="963"/>
      <c r="E130" s="297"/>
      <c r="F130" s="963"/>
      <c r="G130" s="963"/>
      <c r="H130" s="963"/>
      <c r="I130" s="297"/>
      <c r="J130" s="963"/>
      <c r="K130" s="963"/>
      <c r="L130" s="963"/>
      <c r="M130" s="297"/>
    </row>
    <row r="131" spans="1:15" s="3" customFormat="1" x14ac:dyDescent="0.2">
      <c r="A131" s="142"/>
      <c r="B131" s="960" t="s">
        <v>0</v>
      </c>
      <c r="C131" s="961"/>
      <c r="D131" s="961"/>
      <c r="E131" s="299"/>
      <c r="F131" s="960" t="s">
        <v>1</v>
      </c>
      <c r="G131" s="961"/>
      <c r="H131" s="961"/>
      <c r="I131" s="302"/>
      <c r="J131" s="960" t="s">
        <v>2</v>
      </c>
      <c r="K131" s="961"/>
      <c r="L131" s="961"/>
      <c r="M131" s="302"/>
      <c r="N131" s="146"/>
      <c r="O131" s="146"/>
    </row>
    <row r="132" spans="1:15" s="3" customFormat="1" x14ac:dyDescent="0.2">
      <c r="A132" s="139"/>
      <c r="B132" s="150" t="s">
        <v>504</v>
      </c>
      <c r="C132" s="150" t="s">
        <v>505</v>
      </c>
      <c r="D132" s="243" t="s">
        <v>3</v>
      </c>
      <c r="E132" s="303" t="s">
        <v>32</v>
      </c>
      <c r="F132" s="150" t="s">
        <v>504</v>
      </c>
      <c r="G132" s="150" t="s">
        <v>505</v>
      </c>
      <c r="H132" s="204" t="s">
        <v>3</v>
      </c>
      <c r="I132" s="160" t="s">
        <v>32</v>
      </c>
      <c r="J132" s="244" t="s">
        <v>504</v>
      </c>
      <c r="K132" s="244" t="s">
        <v>505</v>
      </c>
      <c r="L132" s="245" t="s">
        <v>3</v>
      </c>
      <c r="M132" s="160" t="s">
        <v>32</v>
      </c>
      <c r="N132" s="146"/>
      <c r="O132" s="146"/>
    </row>
    <row r="133" spans="1:15" s="3" customFormat="1" x14ac:dyDescent="0.2">
      <c r="A133" s="934"/>
      <c r="B133" s="154"/>
      <c r="C133" s="154"/>
      <c r="D133" s="245" t="s">
        <v>4</v>
      </c>
      <c r="E133" s="154" t="s">
        <v>33</v>
      </c>
      <c r="F133" s="159"/>
      <c r="G133" s="159"/>
      <c r="H133" s="204" t="s">
        <v>4</v>
      </c>
      <c r="I133" s="154" t="s">
        <v>33</v>
      </c>
      <c r="J133" s="154"/>
      <c r="K133" s="154"/>
      <c r="L133" s="148" t="s">
        <v>4</v>
      </c>
      <c r="M133" s="154" t="s">
        <v>33</v>
      </c>
      <c r="N133" s="146"/>
      <c r="O133" s="146"/>
    </row>
    <row r="134" spans="1:15" s="3" customFormat="1" ht="15.75" x14ac:dyDescent="0.2">
      <c r="A134" s="14" t="s">
        <v>323</v>
      </c>
      <c r="B134" s="234"/>
      <c r="C134" s="307"/>
      <c r="D134" s="348"/>
      <c r="E134" s="11"/>
      <c r="F134" s="314"/>
      <c r="G134" s="315"/>
      <c r="H134" s="428"/>
      <c r="I134" s="23"/>
      <c r="J134" s="316"/>
      <c r="K134" s="316"/>
      <c r="L134" s="424"/>
      <c r="M134" s="11"/>
      <c r="N134" s="146"/>
      <c r="O134" s="146"/>
    </row>
    <row r="135" spans="1:15" s="3" customFormat="1" ht="15.75" x14ac:dyDescent="0.2">
      <c r="A135" s="13" t="s">
        <v>324</v>
      </c>
      <c r="B135" s="234"/>
      <c r="C135" s="307"/>
      <c r="D135" s="169"/>
      <c r="E135" s="11"/>
      <c r="F135" s="234"/>
      <c r="G135" s="307"/>
      <c r="H135" s="429"/>
      <c r="I135" s="23"/>
      <c r="J135" s="306"/>
      <c r="K135" s="306"/>
      <c r="L135" s="425"/>
      <c r="M135" s="11"/>
      <c r="N135" s="146"/>
      <c r="O135" s="146"/>
    </row>
    <row r="136" spans="1:15" s="3" customFormat="1" ht="15.75" x14ac:dyDescent="0.2">
      <c r="A136" s="13" t="s">
        <v>325</v>
      </c>
      <c r="B136" s="234"/>
      <c r="C136" s="307"/>
      <c r="D136" s="169"/>
      <c r="E136" s="11"/>
      <c r="F136" s="234"/>
      <c r="G136" s="307"/>
      <c r="H136" s="429"/>
      <c r="I136" s="23"/>
      <c r="J136" s="306"/>
      <c r="K136" s="306"/>
      <c r="L136" s="425"/>
      <c r="M136" s="11"/>
      <c r="N136" s="146"/>
      <c r="O136" s="146"/>
    </row>
    <row r="137" spans="1:15" s="3" customFormat="1" ht="15.75" x14ac:dyDescent="0.2">
      <c r="A137" s="40" t="s">
        <v>326</v>
      </c>
      <c r="B137" s="274"/>
      <c r="C137" s="313"/>
      <c r="D137" s="167"/>
      <c r="E137" s="9"/>
      <c r="F137" s="274"/>
      <c r="G137" s="313"/>
      <c r="H137" s="430"/>
      <c r="I137" s="35"/>
      <c r="J137" s="312"/>
      <c r="K137" s="312"/>
      <c r="L137" s="426"/>
      <c r="M137" s="35"/>
      <c r="N137" s="146"/>
      <c r="O137" s="146"/>
    </row>
    <row r="138" spans="1:15" s="3" customFormat="1" x14ac:dyDescent="0.2">
      <c r="A138" s="166"/>
      <c r="B138" s="32"/>
      <c r="C138" s="32"/>
      <c r="D138" s="157"/>
      <c r="E138" s="157"/>
      <c r="F138" s="32"/>
      <c r="G138" s="32"/>
      <c r="H138" s="157"/>
      <c r="I138" s="157"/>
      <c r="J138" s="32"/>
      <c r="K138" s="32"/>
      <c r="L138" s="157"/>
      <c r="M138" s="157"/>
      <c r="N138" s="146"/>
      <c r="O138" s="146"/>
    </row>
    <row r="139" spans="1:15" x14ac:dyDescent="0.2">
      <c r="A139" s="166"/>
      <c r="B139" s="32"/>
      <c r="C139" s="32"/>
      <c r="D139" s="157"/>
      <c r="E139" s="157"/>
      <c r="F139" s="32"/>
      <c r="G139" s="32"/>
      <c r="H139" s="157"/>
      <c r="I139" s="157"/>
      <c r="J139" s="32"/>
      <c r="K139" s="32"/>
      <c r="L139" s="157"/>
      <c r="M139" s="157"/>
      <c r="N139" s="146"/>
    </row>
    <row r="140" spans="1:15" x14ac:dyDescent="0.2">
      <c r="A140" s="166"/>
      <c r="B140" s="32"/>
      <c r="C140" s="32"/>
      <c r="D140" s="157"/>
      <c r="E140" s="157"/>
      <c r="F140" s="32"/>
      <c r="G140" s="32"/>
      <c r="H140" s="157"/>
      <c r="I140" s="157"/>
      <c r="J140" s="32"/>
      <c r="K140" s="32"/>
      <c r="L140" s="157"/>
      <c r="M140" s="157"/>
      <c r="N140" s="146"/>
    </row>
    <row r="141" spans="1:15" x14ac:dyDescent="0.2">
      <c r="A141" s="144"/>
      <c r="B141" s="144"/>
      <c r="C141" s="144"/>
      <c r="D141" s="144"/>
      <c r="E141" s="144"/>
      <c r="F141" s="144"/>
      <c r="G141" s="144"/>
      <c r="H141" s="144"/>
      <c r="I141" s="144"/>
      <c r="J141" s="144"/>
      <c r="K141" s="144"/>
      <c r="L141" s="144"/>
      <c r="M141" s="144"/>
      <c r="N141" s="144"/>
    </row>
    <row r="142" spans="1:15" ht="15.75" x14ac:dyDescent="0.25">
      <c r="B142" s="140"/>
      <c r="C142" s="140"/>
      <c r="D142" s="140"/>
      <c r="E142" s="140"/>
      <c r="F142" s="140"/>
      <c r="G142" s="140"/>
      <c r="H142" s="140"/>
      <c r="I142" s="140"/>
      <c r="J142" s="140"/>
      <c r="K142" s="140"/>
      <c r="L142" s="140"/>
      <c r="M142" s="140"/>
      <c r="N142" s="140"/>
    </row>
    <row r="143" spans="1:15" ht="15.75" x14ac:dyDescent="0.25">
      <c r="B143" s="155"/>
      <c r="C143" s="155"/>
      <c r="D143" s="155"/>
      <c r="E143" s="155"/>
      <c r="F143" s="155"/>
      <c r="G143" s="155"/>
      <c r="H143" s="155"/>
      <c r="I143" s="155"/>
      <c r="J143" s="155"/>
      <c r="K143" s="155"/>
      <c r="L143" s="155"/>
      <c r="M143" s="155"/>
      <c r="N143" s="155"/>
      <c r="O143" s="152"/>
    </row>
    <row r="144" spans="1:15" ht="15.75" x14ac:dyDescent="0.25">
      <c r="B144" s="155"/>
      <c r="C144" s="155"/>
      <c r="D144" s="155"/>
      <c r="E144" s="155"/>
      <c r="F144" s="155"/>
      <c r="G144" s="155"/>
      <c r="H144" s="155"/>
      <c r="I144" s="155"/>
      <c r="J144" s="155"/>
      <c r="K144" s="155"/>
      <c r="L144" s="155"/>
      <c r="M144" s="155"/>
      <c r="N144" s="155"/>
      <c r="O144" s="152"/>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972" priority="132">
      <formula>kvartal &lt; 4</formula>
    </cfRule>
  </conditionalFormatting>
  <conditionalFormatting sqref="B30">
    <cfRule type="expression" dxfId="971" priority="130">
      <formula>kvartal &lt; 4</formula>
    </cfRule>
  </conditionalFormatting>
  <conditionalFormatting sqref="B31">
    <cfRule type="expression" dxfId="970" priority="129">
      <formula>kvartal &lt; 4</formula>
    </cfRule>
  </conditionalFormatting>
  <conditionalFormatting sqref="B32:B33">
    <cfRule type="expression" dxfId="969" priority="128">
      <formula>kvartal &lt; 4</formula>
    </cfRule>
  </conditionalFormatting>
  <conditionalFormatting sqref="C30">
    <cfRule type="expression" dxfId="968" priority="127">
      <formula>kvartal &lt; 4</formula>
    </cfRule>
  </conditionalFormatting>
  <conditionalFormatting sqref="C31">
    <cfRule type="expression" dxfId="967" priority="126">
      <formula>kvartal &lt; 4</formula>
    </cfRule>
  </conditionalFormatting>
  <conditionalFormatting sqref="C32:C33">
    <cfRule type="expression" dxfId="966" priority="125">
      <formula>kvartal &lt; 4</formula>
    </cfRule>
  </conditionalFormatting>
  <conditionalFormatting sqref="B23:C26">
    <cfRule type="expression" dxfId="965" priority="124">
      <formula>kvartal &lt; 4</formula>
    </cfRule>
  </conditionalFormatting>
  <conditionalFormatting sqref="F23:G26">
    <cfRule type="expression" dxfId="964" priority="120">
      <formula>kvartal &lt; 4</formula>
    </cfRule>
  </conditionalFormatting>
  <conditionalFormatting sqref="F30">
    <cfRule type="expression" dxfId="963" priority="113">
      <formula>kvartal &lt; 4</formula>
    </cfRule>
  </conditionalFormatting>
  <conditionalFormatting sqref="F31">
    <cfRule type="expression" dxfId="962" priority="112">
      <formula>kvartal &lt; 4</formula>
    </cfRule>
  </conditionalFormatting>
  <conditionalFormatting sqref="F32:F33">
    <cfRule type="expression" dxfId="961" priority="111">
      <formula>kvartal &lt; 4</formula>
    </cfRule>
  </conditionalFormatting>
  <conditionalFormatting sqref="G30">
    <cfRule type="expression" dxfId="960" priority="110">
      <formula>kvartal &lt; 4</formula>
    </cfRule>
  </conditionalFormatting>
  <conditionalFormatting sqref="G31">
    <cfRule type="expression" dxfId="959" priority="109">
      <formula>kvartal &lt; 4</formula>
    </cfRule>
  </conditionalFormatting>
  <conditionalFormatting sqref="G32:G33">
    <cfRule type="expression" dxfId="958" priority="108">
      <formula>kvartal &lt; 4</formula>
    </cfRule>
  </conditionalFormatting>
  <conditionalFormatting sqref="B27">
    <cfRule type="expression" dxfId="957" priority="107">
      <formula>kvartal &lt; 4</formula>
    </cfRule>
  </conditionalFormatting>
  <conditionalFormatting sqref="C27">
    <cfRule type="expression" dxfId="956" priority="106">
      <formula>kvartal &lt; 4</formula>
    </cfRule>
  </conditionalFormatting>
  <conditionalFormatting sqref="F27">
    <cfRule type="expression" dxfId="955" priority="105">
      <formula>kvartal &lt; 4</formula>
    </cfRule>
  </conditionalFormatting>
  <conditionalFormatting sqref="G27">
    <cfRule type="expression" dxfId="954" priority="104">
      <formula>kvartal &lt; 4</formula>
    </cfRule>
  </conditionalFormatting>
  <conditionalFormatting sqref="J23:K27">
    <cfRule type="expression" dxfId="953" priority="103">
      <formula>kvartal &lt; 4</formula>
    </cfRule>
  </conditionalFormatting>
  <conditionalFormatting sqref="J30:K33">
    <cfRule type="expression" dxfId="952" priority="101">
      <formula>kvartal &lt; 4</formula>
    </cfRule>
  </conditionalFormatting>
  <conditionalFormatting sqref="B69">
    <cfRule type="expression" dxfId="951" priority="100">
      <formula>kvartal &lt; 4</formula>
    </cfRule>
  </conditionalFormatting>
  <conditionalFormatting sqref="C69">
    <cfRule type="expression" dxfId="950" priority="99">
      <formula>kvartal &lt; 4</formula>
    </cfRule>
  </conditionalFormatting>
  <conditionalFormatting sqref="B72">
    <cfRule type="expression" dxfId="949" priority="98">
      <formula>kvartal &lt; 4</formula>
    </cfRule>
  </conditionalFormatting>
  <conditionalFormatting sqref="C72">
    <cfRule type="expression" dxfId="948" priority="97">
      <formula>kvartal &lt; 4</formula>
    </cfRule>
  </conditionalFormatting>
  <conditionalFormatting sqref="B80">
    <cfRule type="expression" dxfId="947" priority="96">
      <formula>kvartal &lt; 4</formula>
    </cfRule>
  </conditionalFormatting>
  <conditionalFormatting sqref="C80">
    <cfRule type="expression" dxfId="946" priority="95">
      <formula>kvartal &lt; 4</formula>
    </cfRule>
  </conditionalFormatting>
  <conditionalFormatting sqref="B83">
    <cfRule type="expression" dxfId="945" priority="94">
      <formula>kvartal &lt; 4</formula>
    </cfRule>
  </conditionalFormatting>
  <conditionalFormatting sqref="C83">
    <cfRule type="expression" dxfId="944" priority="93">
      <formula>kvartal &lt; 4</formula>
    </cfRule>
  </conditionalFormatting>
  <conditionalFormatting sqref="B90">
    <cfRule type="expression" dxfId="943" priority="84">
      <formula>kvartal &lt; 4</formula>
    </cfRule>
  </conditionalFormatting>
  <conditionalFormatting sqref="C90">
    <cfRule type="expression" dxfId="942" priority="83">
      <formula>kvartal &lt; 4</formula>
    </cfRule>
  </conditionalFormatting>
  <conditionalFormatting sqref="B93">
    <cfRule type="expression" dxfId="941" priority="82">
      <formula>kvartal &lt; 4</formula>
    </cfRule>
  </conditionalFormatting>
  <conditionalFormatting sqref="C93">
    <cfRule type="expression" dxfId="940" priority="81">
      <formula>kvartal &lt; 4</formula>
    </cfRule>
  </conditionalFormatting>
  <conditionalFormatting sqref="B101">
    <cfRule type="expression" dxfId="939" priority="80">
      <formula>kvartal &lt; 4</formula>
    </cfRule>
  </conditionalFormatting>
  <conditionalFormatting sqref="C101">
    <cfRule type="expression" dxfId="938" priority="79">
      <formula>kvartal &lt; 4</formula>
    </cfRule>
  </conditionalFormatting>
  <conditionalFormatting sqref="B104">
    <cfRule type="expression" dxfId="937" priority="78">
      <formula>kvartal &lt; 4</formula>
    </cfRule>
  </conditionalFormatting>
  <conditionalFormatting sqref="C104">
    <cfRule type="expression" dxfId="936" priority="77">
      <formula>kvartal &lt; 4</formula>
    </cfRule>
  </conditionalFormatting>
  <conditionalFormatting sqref="B115">
    <cfRule type="expression" dxfId="935" priority="76">
      <formula>kvartal &lt; 4</formula>
    </cfRule>
  </conditionalFormatting>
  <conditionalFormatting sqref="C115">
    <cfRule type="expression" dxfId="934" priority="75">
      <formula>kvartal &lt; 4</formula>
    </cfRule>
  </conditionalFormatting>
  <conditionalFormatting sqref="B123">
    <cfRule type="expression" dxfId="933" priority="74">
      <formula>kvartal &lt; 4</formula>
    </cfRule>
  </conditionalFormatting>
  <conditionalFormatting sqref="C123">
    <cfRule type="expression" dxfId="932" priority="73">
      <formula>kvartal &lt; 4</formula>
    </cfRule>
  </conditionalFormatting>
  <conditionalFormatting sqref="F70">
    <cfRule type="expression" dxfId="931" priority="72">
      <formula>kvartal &lt; 4</formula>
    </cfRule>
  </conditionalFormatting>
  <conditionalFormatting sqref="G70">
    <cfRule type="expression" dxfId="930" priority="71">
      <formula>kvartal &lt; 4</formula>
    </cfRule>
  </conditionalFormatting>
  <conditionalFormatting sqref="F71:G71">
    <cfRule type="expression" dxfId="929" priority="70">
      <formula>kvartal &lt; 4</formula>
    </cfRule>
  </conditionalFormatting>
  <conditionalFormatting sqref="F73:G74">
    <cfRule type="expression" dxfId="928" priority="69">
      <formula>kvartal &lt; 4</formula>
    </cfRule>
  </conditionalFormatting>
  <conditionalFormatting sqref="F81:G82">
    <cfRule type="expression" dxfId="927" priority="68">
      <formula>kvartal &lt; 4</formula>
    </cfRule>
  </conditionalFormatting>
  <conditionalFormatting sqref="F84:G85">
    <cfRule type="expression" dxfId="926" priority="67">
      <formula>kvartal &lt; 4</formula>
    </cfRule>
  </conditionalFormatting>
  <conditionalFormatting sqref="F91:G92">
    <cfRule type="expression" dxfId="925" priority="62">
      <formula>kvartal &lt; 4</formula>
    </cfRule>
  </conditionalFormatting>
  <conditionalFormatting sqref="F94:G95">
    <cfRule type="expression" dxfId="924" priority="61">
      <formula>kvartal &lt; 4</formula>
    </cfRule>
  </conditionalFormatting>
  <conditionalFormatting sqref="F102:G103">
    <cfRule type="expression" dxfId="923" priority="60">
      <formula>kvartal &lt; 4</formula>
    </cfRule>
  </conditionalFormatting>
  <conditionalFormatting sqref="F105:G106">
    <cfRule type="expression" dxfId="922" priority="59">
      <formula>kvartal &lt; 4</formula>
    </cfRule>
  </conditionalFormatting>
  <conditionalFormatting sqref="F115">
    <cfRule type="expression" dxfId="921" priority="58">
      <formula>kvartal &lt; 4</formula>
    </cfRule>
  </conditionalFormatting>
  <conditionalFormatting sqref="G115">
    <cfRule type="expression" dxfId="920" priority="57">
      <formula>kvartal &lt; 4</formula>
    </cfRule>
  </conditionalFormatting>
  <conditionalFormatting sqref="F123:G123">
    <cfRule type="expression" dxfId="919" priority="56">
      <formula>kvartal &lt; 4</formula>
    </cfRule>
  </conditionalFormatting>
  <conditionalFormatting sqref="F69:G69">
    <cfRule type="expression" dxfId="918" priority="55">
      <formula>kvartal &lt; 4</formula>
    </cfRule>
  </conditionalFormatting>
  <conditionalFormatting sqref="F72:G72">
    <cfRule type="expression" dxfId="917" priority="54">
      <formula>kvartal &lt; 4</formula>
    </cfRule>
  </conditionalFormatting>
  <conditionalFormatting sqref="F80:G80">
    <cfRule type="expression" dxfId="916" priority="53">
      <formula>kvartal &lt; 4</formula>
    </cfRule>
  </conditionalFormatting>
  <conditionalFormatting sqref="F83:G83">
    <cfRule type="expression" dxfId="915" priority="52">
      <formula>kvartal &lt; 4</formula>
    </cfRule>
  </conditionalFormatting>
  <conditionalFormatting sqref="F90:G90">
    <cfRule type="expression" dxfId="914" priority="46">
      <formula>kvartal &lt; 4</formula>
    </cfRule>
  </conditionalFormatting>
  <conditionalFormatting sqref="F93">
    <cfRule type="expression" dxfId="913" priority="45">
      <formula>kvartal &lt; 4</formula>
    </cfRule>
  </conditionalFormatting>
  <conditionalFormatting sqref="G93">
    <cfRule type="expression" dxfId="912" priority="44">
      <formula>kvartal &lt; 4</formula>
    </cfRule>
  </conditionalFormatting>
  <conditionalFormatting sqref="F101">
    <cfRule type="expression" dxfId="911" priority="43">
      <formula>kvartal &lt; 4</formula>
    </cfRule>
  </conditionalFormatting>
  <conditionalFormatting sqref="G101">
    <cfRule type="expression" dxfId="910" priority="42">
      <formula>kvartal &lt; 4</formula>
    </cfRule>
  </conditionalFormatting>
  <conditionalFormatting sqref="G104">
    <cfRule type="expression" dxfId="909" priority="41">
      <formula>kvartal &lt; 4</formula>
    </cfRule>
  </conditionalFormatting>
  <conditionalFormatting sqref="F104">
    <cfRule type="expression" dxfId="908" priority="40">
      <formula>kvartal &lt; 4</formula>
    </cfRule>
  </conditionalFormatting>
  <conditionalFormatting sqref="J69:K73">
    <cfRule type="expression" dxfId="907" priority="39">
      <formula>kvartal &lt; 4</formula>
    </cfRule>
  </conditionalFormatting>
  <conditionalFormatting sqref="J74:K74">
    <cfRule type="expression" dxfId="906" priority="38">
      <formula>kvartal &lt; 4</formula>
    </cfRule>
  </conditionalFormatting>
  <conditionalFormatting sqref="J80:K85">
    <cfRule type="expression" dxfId="905" priority="37">
      <formula>kvartal &lt; 4</formula>
    </cfRule>
  </conditionalFormatting>
  <conditionalFormatting sqref="J90:K95">
    <cfRule type="expression" dxfId="904" priority="34">
      <formula>kvartal &lt; 4</formula>
    </cfRule>
  </conditionalFormatting>
  <conditionalFormatting sqref="J101:K106">
    <cfRule type="expression" dxfId="903" priority="33">
      <formula>kvartal &lt; 4</formula>
    </cfRule>
  </conditionalFormatting>
  <conditionalFormatting sqref="J115:K115">
    <cfRule type="expression" dxfId="902" priority="32">
      <formula>kvartal &lt; 4</formula>
    </cfRule>
  </conditionalFormatting>
  <conditionalFormatting sqref="J123:K123">
    <cfRule type="expression" dxfId="901" priority="31">
      <formula>kvartal &lt; 4</formula>
    </cfRule>
  </conditionalFormatting>
  <conditionalFormatting sqref="A23:A26">
    <cfRule type="expression" dxfId="900" priority="15">
      <formula>kvartal &lt; 4</formula>
    </cfRule>
  </conditionalFormatting>
  <conditionalFormatting sqref="A30:A33">
    <cfRule type="expression" dxfId="899" priority="13">
      <formula>kvartal &lt; 4</formula>
    </cfRule>
  </conditionalFormatting>
  <conditionalFormatting sqref="A50:A52">
    <cfRule type="expression" dxfId="898" priority="12">
      <formula>kvartal &lt; 4</formula>
    </cfRule>
  </conditionalFormatting>
  <conditionalFormatting sqref="A69:A74">
    <cfRule type="expression" dxfId="897" priority="10">
      <formula>kvartal &lt; 4</formula>
    </cfRule>
  </conditionalFormatting>
  <conditionalFormatting sqref="A80:A85">
    <cfRule type="expression" dxfId="896" priority="9">
      <formula>kvartal &lt; 4</formula>
    </cfRule>
  </conditionalFormatting>
  <conditionalFormatting sqref="A90:A95">
    <cfRule type="expression" dxfId="895" priority="6">
      <formula>kvartal &lt; 4</formula>
    </cfRule>
  </conditionalFormatting>
  <conditionalFormatting sqref="A101:A106">
    <cfRule type="expression" dxfId="894" priority="5">
      <formula>kvartal &lt; 4</formula>
    </cfRule>
  </conditionalFormatting>
  <conditionalFormatting sqref="A115">
    <cfRule type="expression" dxfId="893" priority="4">
      <formula>kvartal &lt; 4</formula>
    </cfRule>
  </conditionalFormatting>
  <conditionalFormatting sqref="A123">
    <cfRule type="expression" dxfId="892" priority="3">
      <formula>kvartal &lt; 4</formula>
    </cfRule>
  </conditionalFormatting>
  <conditionalFormatting sqref="A27">
    <cfRule type="expression" dxfId="891" priority="2">
      <formula>kvartal &lt; 4</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3"/>
  <dimension ref="A1:O144"/>
  <sheetViews>
    <sheetView showGridLines="0" zoomScale="90" zoomScaleNormal="90" workbookViewId="0"/>
  </sheetViews>
  <sheetFormatPr baseColWidth="10" defaultColWidth="11.42578125" defaultRowHeight="12.75" x14ac:dyDescent="0.2"/>
  <cols>
    <col min="1" max="1" width="41.5703125" style="147" customWidth="1"/>
    <col min="2" max="2" width="10.85546875" style="147" customWidth="1"/>
    <col min="3" max="3" width="11" style="147" customWidth="1"/>
    <col min="4" max="5" width="8.7109375" style="147" customWidth="1"/>
    <col min="6" max="7" width="10.85546875" style="147" customWidth="1"/>
    <col min="8" max="9" width="8.7109375" style="147" customWidth="1"/>
    <col min="10" max="11" width="10.85546875" style="147" customWidth="1"/>
    <col min="12" max="13" width="8.7109375" style="147" customWidth="1"/>
    <col min="14" max="14" width="11.42578125" style="147"/>
    <col min="15" max="15" width="3" style="146" bestFit="1" customWidth="1"/>
    <col min="16" max="16384" width="11.42578125" style="1"/>
  </cols>
  <sheetData>
    <row r="1" spans="1:15" x14ac:dyDescent="0.2">
      <c r="A1" s="170" t="s">
        <v>152</v>
      </c>
      <c r="B1" s="932"/>
      <c r="C1" s="247" t="s">
        <v>104</v>
      </c>
      <c r="D1" s="25"/>
      <c r="E1" s="25"/>
      <c r="F1" s="25"/>
      <c r="G1" s="25"/>
      <c r="H1" s="25"/>
      <c r="I1" s="25"/>
      <c r="J1" s="25"/>
      <c r="K1" s="25"/>
      <c r="L1" s="25"/>
      <c r="M1" s="25"/>
      <c r="O1" s="423"/>
    </row>
    <row r="2" spans="1:15" ht="15.75" x14ac:dyDescent="0.25">
      <c r="A2" s="163" t="s">
        <v>31</v>
      </c>
      <c r="B2" s="965"/>
      <c r="C2" s="965"/>
      <c r="D2" s="965"/>
      <c r="E2" s="297"/>
      <c r="F2" s="965"/>
      <c r="G2" s="965"/>
      <c r="H2" s="965"/>
      <c r="I2" s="297"/>
      <c r="J2" s="965"/>
      <c r="K2" s="965"/>
      <c r="L2" s="965"/>
      <c r="M2" s="297"/>
    </row>
    <row r="3" spans="1:15" ht="15.75" x14ac:dyDescent="0.25">
      <c r="A3" s="161"/>
      <c r="B3" s="297"/>
      <c r="C3" s="297"/>
      <c r="D3" s="297"/>
      <c r="E3" s="297"/>
      <c r="F3" s="297"/>
      <c r="G3" s="297"/>
      <c r="H3" s="297"/>
      <c r="I3" s="297"/>
      <c r="J3" s="297"/>
      <c r="K3" s="297"/>
      <c r="L3" s="297"/>
      <c r="M3" s="297"/>
    </row>
    <row r="4" spans="1:15" x14ac:dyDescent="0.2">
      <c r="A4" s="142"/>
      <c r="B4" s="960" t="s">
        <v>0</v>
      </c>
      <c r="C4" s="961"/>
      <c r="D4" s="961"/>
      <c r="E4" s="299"/>
      <c r="F4" s="960" t="s">
        <v>1</v>
      </c>
      <c r="G4" s="961"/>
      <c r="H4" s="961"/>
      <c r="I4" s="302"/>
      <c r="J4" s="960" t="s">
        <v>2</v>
      </c>
      <c r="K4" s="961"/>
      <c r="L4" s="961"/>
      <c r="M4" s="302"/>
    </row>
    <row r="5" spans="1:15" x14ac:dyDescent="0.2">
      <c r="A5" s="156"/>
      <c r="B5" s="150" t="s">
        <v>504</v>
      </c>
      <c r="C5" s="150" t="s">
        <v>505</v>
      </c>
      <c r="D5" s="243" t="s">
        <v>3</v>
      </c>
      <c r="E5" s="303" t="s">
        <v>32</v>
      </c>
      <c r="F5" s="150" t="s">
        <v>504</v>
      </c>
      <c r="G5" s="150" t="s">
        <v>505</v>
      </c>
      <c r="H5" s="243" t="s">
        <v>3</v>
      </c>
      <c r="I5" s="160" t="s">
        <v>32</v>
      </c>
      <c r="J5" s="150" t="s">
        <v>504</v>
      </c>
      <c r="K5" s="150" t="s">
        <v>505</v>
      </c>
      <c r="L5" s="243" t="s">
        <v>3</v>
      </c>
      <c r="M5" s="160" t="s">
        <v>32</v>
      </c>
      <c r="O5" s="931"/>
    </row>
    <row r="6" spans="1:15" x14ac:dyDescent="0.2">
      <c r="A6" s="933"/>
      <c r="B6" s="154"/>
      <c r="C6" s="154"/>
      <c r="D6" s="245" t="s">
        <v>4</v>
      </c>
      <c r="E6" s="154" t="s">
        <v>33</v>
      </c>
      <c r="F6" s="159"/>
      <c r="G6" s="159"/>
      <c r="H6" s="243" t="s">
        <v>4</v>
      </c>
      <c r="I6" s="154" t="s">
        <v>33</v>
      </c>
      <c r="J6" s="159"/>
      <c r="K6" s="159"/>
      <c r="L6" s="243" t="s">
        <v>4</v>
      </c>
      <c r="M6" s="154" t="s">
        <v>33</v>
      </c>
    </row>
    <row r="7" spans="1:15" ht="15.75" x14ac:dyDescent="0.2">
      <c r="A7" s="14" t="s">
        <v>26</v>
      </c>
      <c r="B7" s="304"/>
      <c r="C7" s="305"/>
      <c r="D7" s="348"/>
      <c r="E7" s="11"/>
      <c r="F7" s="304"/>
      <c r="G7" s="305"/>
      <c r="H7" s="348"/>
      <c r="I7" s="158"/>
      <c r="J7" s="306"/>
      <c r="K7" s="307"/>
      <c r="L7" s="424"/>
      <c r="M7" s="11"/>
    </row>
    <row r="8" spans="1:15" ht="15.75" x14ac:dyDescent="0.2">
      <c r="A8" s="20" t="s">
        <v>28</v>
      </c>
      <c r="B8" s="279"/>
      <c r="C8" s="280"/>
      <c r="D8" s="164"/>
      <c r="E8" s="26"/>
      <c r="F8" s="283"/>
      <c r="G8" s="284"/>
      <c r="H8" s="164"/>
      <c r="I8" s="174"/>
      <c r="J8" s="232"/>
      <c r="K8" s="285"/>
      <c r="L8" s="164"/>
      <c r="M8" s="26"/>
    </row>
    <row r="9" spans="1:15" ht="15.75" x14ac:dyDescent="0.2">
      <c r="A9" s="20" t="s">
        <v>27</v>
      </c>
      <c r="B9" s="279"/>
      <c r="C9" s="280"/>
      <c r="D9" s="164"/>
      <c r="E9" s="26"/>
      <c r="F9" s="283"/>
      <c r="G9" s="284"/>
      <c r="H9" s="164"/>
      <c r="I9" s="174"/>
      <c r="J9" s="232"/>
      <c r="K9" s="285"/>
      <c r="L9" s="164"/>
      <c r="M9" s="26"/>
    </row>
    <row r="10" spans="1:15" ht="15.75" x14ac:dyDescent="0.2">
      <c r="A10" s="13" t="s">
        <v>25</v>
      </c>
      <c r="B10" s="308"/>
      <c r="C10" s="309"/>
      <c r="D10" s="169"/>
      <c r="E10" s="11"/>
      <c r="F10" s="308"/>
      <c r="G10" s="309"/>
      <c r="H10" s="169"/>
      <c r="I10" s="158"/>
      <c r="J10" s="306"/>
      <c r="K10" s="307"/>
      <c r="L10" s="425"/>
      <c r="M10" s="11"/>
    </row>
    <row r="11" spans="1:15" s="42" customFormat="1" ht="15.75" x14ac:dyDescent="0.2">
      <c r="A11" s="13" t="s">
        <v>24</v>
      </c>
      <c r="B11" s="308"/>
      <c r="C11" s="309"/>
      <c r="D11" s="169"/>
      <c r="E11" s="11"/>
      <c r="F11" s="308"/>
      <c r="G11" s="309"/>
      <c r="H11" s="169"/>
      <c r="I11" s="158"/>
      <c r="J11" s="306"/>
      <c r="K11" s="307"/>
      <c r="L11" s="425"/>
      <c r="M11" s="11"/>
      <c r="N11" s="141"/>
      <c r="O11" s="146"/>
    </row>
    <row r="12" spans="1:15" s="42" customFormat="1" ht="15.75" x14ac:dyDescent="0.2">
      <c r="A12" s="40" t="s">
        <v>23</v>
      </c>
      <c r="B12" s="310"/>
      <c r="C12" s="311"/>
      <c r="D12" s="167"/>
      <c r="E12" s="35"/>
      <c r="F12" s="310"/>
      <c r="G12" s="311"/>
      <c r="H12" s="167"/>
      <c r="I12" s="167"/>
      <c r="J12" s="312"/>
      <c r="K12" s="313"/>
      <c r="L12" s="426"/>
      <c r="M12" s="35"/>
      <c r="N12" s="141"/>
      <c r="O12" s="146"/>
    </row>
    <row r="13" spans="1:15" s="42" customFormat="1" x14ac:dyDescent="0.2">
      <c r="A13" s="166"/>
      <c r="B13" s="143"/>
      <c r="C13" s="32"/>
      <c r="D13" s="157"/>
      <c r="E13" s="157"/>
      <c r="F13" s="143"/>
      <c r="G13" s="32"/>
      <c r="H13" s="157"/>
      <c r="I13" s="157"/>
      <c r="J13" s="47"/>
      <c r="K13" s="47"/>
      <c r="L13" s="157"/>
      <c r="M13" s="157"/>
      <c r="N13" s="141"/>
      <c r="O13" s="423"/>
    </row>
    <row r="14" spans="1:15" x14ac:dyDescent="0.2">
      <c r="A14" s="151" t="s">
        <v>296</v>
      </c>
      <c r="B14" s="25"/>
    </row>
    <row r="15" spans="1:15" x14ac:dyDescent="0.2">
      <c r="F15" s="144"/>
      <c r="G15" s="144"/>
      <c r="H15" s="144"/>
      <c r="I15" s="144"/>
      <c r="J15" s="144"/>
      <c r="K15" s="144"/>
      <c r="L15" s="144"/>
      <c r="M15" s="144"/>
    </row>
    <row r="16" spans="1:15" s="3" customFormat="1" ht="15.75" x14ac:dyDescent="0.25">
      <c r="A16" s="162"/>
      <c r="B16" s="146"/>
      <c r="C16" s="152"/>
      <c r="D16" s="152"/>
      <c r="E16" s="152"/>
      <c r="F16" s="152"/>
      <c r="G16" s="152"/>
      <c r="H16" s="152"/>
      <c r="I16" s="152"/>
      <c r="J16" s="152"/>
      <c r="K16" s="152"/>
      <c r="L16" s="152"/>
      <c r="M16" s="152"/>
      <c r="N16" s="146"/>
      <c r="O16" s="146"/>
    </row>
    <row r="17" spans="1:15" ht="15.75" x14ac:dyDescent="0.25">
      <c r="A17" s="145" t="s">
        <v>293</v>
      </c>
      <c r="B17" s="155"/>
      <c r="C17" s="155"/>
      <c r="D17" s="149"/>
      <c r="E17" s="149"/>
      <c r="F17" s="155"/>
      <c r="G17" s="155"/>
      <c r="H17" s="155"/>
      <c r="I17" s="155"/>
      <c r="J17" s="155"/>
      <c r="K17" s="155"/>
      <c r="L17" s="155"/>
      <c r="M17" s="155"/>
    </row>
    <row r="18" spans="1:15" ht="15.75" x14ac:dyDescent="0.25">
      <c r="B18" s="963"/>
      <c r="C18" s="963"/>
      <c r="D18" s="963"/>
      <c r="E18" s="297"/>
      <c r="F18" s="963"/>
      <c r="G18" s="963"/>
      <c r="H18" s="963"/>
      <c r="I18" s="297"/>
      <c r="J18" s="963"/>
      <c r="K18" s="963"/>
      <c r="L18" s="963"/>
      <c r="M18" s="297"/>
    </row>
    <row r="19" spans="1:15" x14ac:dyDescent="0.2">
      <c r="A19" s="142"/>
      <c r="B19" s="960" t="s">
        <v>0</v>
      </c>
      <c r="C19" s="961"/>
      <c r="D19" s="961"/>
      <c r="E19" s="299"/>
      <c r="F19" s="960" t="s">
        <v>1</v>
      </c>
      <c r="G19" s="961"/>
      <c r="H19" s="961"/>
      <c r="I19" s="302"/>
      <c r="J19" s="960" t="s">
        <v>2</v>
      </c>
      <c r="K19" s="961"/>
      <c r="L19" s="961"/>
      <c r="M19" s="302"/>
    </row>
    <row r="20" spans="1:15" x14ac:dyDescent="0.2">
      <c r="A20" s="139" t="s">
        <v>5</v>
      </c>
      <c r="B20" s="240" t="s">
        <v>504</v>
      </c>
      <c r="C20" s="240" t="s">
        <v>505</v>
      </c>
      <c r="D20" s="160" t="s">
        <v>3</v>
      </c>
      <c r="E20" s="303" t="s">
        <v>32</v>
      </c>
      <c r="F20" s="240" t="s">
        <v>504</v>
      </c>
      <c r="G20" s="240" t="s">
        <v>505</v>
      </c>
      <c r="H20" s="160" t="s">
        <v>3</v>
      </c>
      <c r="I20" s="160" t="s">
        <v>32</v>
      </c>
      <c r="J20" s="240" t="s">
        <v>504</v>
      </c>
      <c r="K20" s="240" t="s">
        <v>505</v>
      </c>
      <c r="L20" s="160" t="s">
        <v>3</v>
      </c>
      <c r="M20" s="160" t="s">
        <v>32</v>
      </c>
    </row>
    <row r="21" spans="1:15" x14ac:dyDescent="0.2">
      <c r="A21" s="934"/>
      <c r="B21" s="154"/>
      <c r="C21" s="154"/>
      <c r="D21" s="245" t="s">
        <v>4</v>
      </c>
      <c r="E21" s="154" t="s">
        <v>33</v>
      </c>
      <c r="F21" s="159"/>
      <c r="G21" s="159"/>
      <c r="H21" s="243" t="s">
        <v>4</v>
      </c>
      <c r="I21" s="154" t="s">
        <v>33</v>
      </c>
      <c r="J21" s="159"/>
      <c r="K21" s="159"/>
      <c r="L21" s="154" t="s">
        <v>4</v>
      </c>
      <c r="M21" s="154" t="s">
        <v>33</v>
      </c>
    </row>
    <row r="22" spans="1:15" ht="15.75" x14ac:dyDescent="0.2">
      <c r="A22" s="14" t="s">
        <v>26</v>
      </c>
      <c r="B22" s="314"/>
      <c r="C22" s="314"/>
      <c r="D22" s="348"/>
      <c r="E22" s="11"/>
      <c r="F22" s="314"/>
      <c r="G22" s="314"/>
      <c r="H22" s="348"/>
      <c r="I22" s="11"/>
      <c r="J22" s="314"/>
      <c r="K22" s="314"/>
      <c r="L22" s="424"/>
      <c r="M22" s="23"/>
    </row>
    <row r="23" spans="1:15" ht="15.75" x14ac:dyDescent="0.2">
      <c r="A23" s="294" t="s">
        <v>305</v>
      </c>
      <c r="B23" s="288"/>
      <c r="C23" s="288"/>
      <c r="D23" s="164"/>
      <c r="E23" s="414"/>
      <c r="F23" s="288"/>
      <c r="G23" s="288"/>
      <c r="H23" s="164"/>
      <c r="I23" s="414"/>
      <c r="J23" s="288"/>
      <c r="K23" s="288"/>
      <c r="L23" s="164"/>
      <c r="M23" s="22"/>
    </row>
    <row r="24" spans="1:15" ht="15.75" x14ac:dyDescent="0.2">
      <c r="A24" s="294" t="s">
        <v>306</v>
      </c>
      <c r="B24" s="288"/>
      <c r="C24" s="288"/>
      <c r="D24" s="164"/>
      <c r="E24" s="414"/>
      <c r="F24" s="288"/>
      <c r="G24" s="288"/>
      <c r="H24" s="164"/>
      <c r="I24" s="414"/>
      <c r="J24" s="288"/>
      <c r="K24" s="288"/>
      <c r="L24" s="164"/>
      <c r="M24" s="22"/>
    </row>
    <row r="25" spans="1:15" ht="15.75" x14ac:dyDescent="0.2">
      <c r="A25" s="294" t="s">
        <v>406</v>
      </c>
      <c r="B25" s="288"/>
      <c r="C25" s="288"/>
      <c r="D25" s="164"/>
      <c r="E25" s="414"/>
      <c r="F25" s="288"/>
      <c r="G25" s="288"/>
      <c r="H25" s="164"/>
      <c r="I25" s="414"/>
      <c r="J25" s="288"/>
      <c r="K25" s="288"/>
      <c r="L25" s="164"/>
      <c r="M25" s="22"/>
    </row>
    <row r="26" spans="1:15" ht="15.75" x14ac:dyDescent="0.2">
      <c r="A26" s="294" t="s">
        <v>307</v>
      </c>
      <c r="B26" s="288"/>
      <c r="C26" s="288"/>
      <c r="D26" s="164"/>
      <c r="E26" s="414"/>
      <c r="F26" s="288"/>
      <c r="G26" s="288"/>
      <c r="H26" s="164"/>
      <c r="I26" s="414"/>
      <c r="J26" s="288"/>
      <c r="K26" s="288"/>
      <c r="L26" s="164"/>
      <c r="M26" s="22"/>
    </row>
    <row r="27" spans="1:15" x14ac:dyDescent="0.2">
      <c r="A27" s="294" t="s">
        <v>11</v>
      </c>
      <c r="B27" s="288"/>
      <c r="C27" s="288"/>
      <c r="D27" s="164"/>
      <c r="E27" s="414"/>
      <c r="F27" s="288"/>
      <c r="G27" s="288"/>
      <c r="H27" s="164"/>
      <c r="I27" s="414"/>
      <c r="J27" s="288"/>
      <c r="K27" s="288"/>
      <c r="L27" s="164"/>
      <c r="M27" s="22"/>
    </row>
    <row r="28" spans="1:15" ht="15.75" x14ac:dyDescent="0.2">
      <c r="A28" s="48" t="s">
        <v>297</v>
      </c>
      <c r="B28" s="43"/>
      <c r="C28" s="285"/>
      <c r="D28" s="164"/>
      <c r="E28" s="26"/>
      <c r="F28" s="232"/>
      <c r="G28" s="285"/>
      <c r="H28" s="164"/>
      <c r="I28" s="26"/>
      <c r="J28" s="43"/>
      <c r="K28" s="43"/>
      <c r="L28" s="253"/>
      <c r="M28" s="22"/>
    </row>
    <row r="29" spans="1:15" s="3" customFormat="1" ht="15.75" x14ac:dyDescent="0.2">
      <c r="A29" s="13" t="s">
        <v>25</v>
      </c>
      <c r="B29" s="234"/>
      <c r="C29" s="234"/>
      <c r="D29" s="169"/>
      <c r="E29" s="11"/>
      <c r="F29" s="234"/>
      <c r="G29" s="234"/>
      <c r="H29" s="169"/>
      <c r="I29" s="11"/>
      <c r="J29" s="234"/>
      <c r="K29" s="234"/>
      <c r="L29" s="425"/>
      <c r="M29" s="23"/>
      <c r="N29" s="146"/>
      <c r="O29" s="146"/>
    </row>
    <row r="30" spans="1:15" s="3" customFormat="1" ht="15.75" x14ac:dyDescent="0.2">
      <c r="A30" s="294" t="s">
        <v>305</v>
      </c>
      <c r="B30" s="288"/>
      <c r="C30" s="288"/>
      <c r="D30" s="164"/>
      <c r="E30" s="414"/>
      <c r="F30" s="288"/>
      <c r="G30" s="288"/>
      <c r="H30" s="164"/>
      <c r="I30" s="414"/>
      <c r="J30" s="288"/>
      <c r="K30" s="288"/>
      <c r="L30" s="164"/>
      <c r="M30" s="22"/>
      <c r="N30" s="146"/>
      <c r="O30" s="146"/>
    </row>
    <row r="31" spans="1:15" s="3" customFormat="1" ht="15.75" x14ac:dyDescent="0.2">
      <c r="A31" s="294" t="s">
        <v>306</v>
      </c>
      <c r="B31" s="288"/>
      <c r="C31" s="288"/>
      <c r="D31" s="164"/>
      <c r="E31" s="414"/>
      <c r="F31" s="288"/>
      <c r="G31" s="288"/>
      <c r="H31" s="164"/>
      <c r="I31" s="414"/>
      <c r="J31" s="288"/>
      <c r="K31" s="288"/>
      <c r="L31" s="164"/>
      <c r="M31" s="22"/>
      <c r="N31" s="146"/>
      <c r="O31" s="146"/>
    </row>
    <row r="32" spans="1:15" ht="15.75" x14ac:dyDescent="0.2">
      <c r="A32" s="294" t="s">
        <v>406</v>
      </c>
      <c r="B32" s="288"/>
      <c r="C32" s="288"/>
      <c r="D32" s="164"/>
      <c r="E32" s="414"/>
      <c r="F32" s="288"/>
      <c r="G32" s="288"/>
      <c r="H32" s="164"/>
      <c r="I32" s="414"/>
      <c r="J32" s="288"/>
      <c r="K32" s="288"/>
      <c r="L32" s="164"/>
      <c r="M32" s="22"/>
    </row>
    <row r="33" spans="1:15" ht="15.75" x14ac:dyDescent="0.2">
      <c r="A33" s="294" t="s">
        <v>307</v>
      </c>
      <c r="B33" s="288"/>
      <c r="C33" s="288"/>
      <c r="D33" s="164"/>
      <c r="E33" s="414"/>
      <c r="F33" s="288"/>
      <c r="G33" s="288"/>
      <c r="H33" s="164"/>
      <c r="I33" s="414"/>
      <c r="J33" s="288"/>
      <c r="K33" s="288"/>
      <c r="L33" s="164"/>
      <c r="M33" s="22"/>
    </row>
    <row r="34" spans="1:15" ht="15.75" x14ac:dyDescent="0.2">
      <c r="A34" s="13" t="s">
        <v>24</v>
      </c>
      <c r="B34" s="234"/>
      <c r="C34" s="307"/>
      <c r="D34" s="169"/>
      <c r="E34" s="11"/>
      <c r="F34" s="306"/>
      <c r="G34" s="307"/>
      <c r="H34" s="169"/>
      <c r="I34" s="11"/>
      <c r="J34" s="234"/>
      <c r="K34" s="234"/>
      <c r="L34" s="425"/>
      <c r="M34" s="23"/>
    </row>
    <row r="35" spans="1:15" ht="15.75" x14ac:dyDescent="0.2">
      <c r="A35" s="13" t="s">
        <v>23</v>
      </c>
      <c r="B35" s="234"/>
      <c r="C35" s="307"/>
      <c r="D35" s="169"/>
      <c r="E35" s="11"/>
      <c r="F35" s="306"/>
      <c r="G35" s="307"/>
      <c r="H35" s="169"/>
      <c r="I35" s="11"/>
      <c r="J35" s="234"/>
      <c r="K35" s="234"/>
      <c r="L35" s="425"/>
      <c r="M35" s="23"/>
    </row>
    <row r="36" spans="1:15" ht="15.75" x14ac:dyDescent="0.2">
      <c r="A36" s="12" t="s">
        <v>308</v>
      </c>
      <c r="B36" s="234"/>
      <c r="C36" s="307"/>
      <c r="D36" s="169"/>
      <c r="E36" s="11"/>
      <c r="F36" s="317"/>
      <c r="G36" s="318"/>
      <c r="H36" s="169"/>
      <c r="I36" s="431"/>
      <c r="J36" s="234"/>
      <c r="K36" s="234"/>
      <c r="L36" s="425"/>
      <c r="M36" s="23"/>
    </row>
    <row r="37" spans="1:15" ht="15.75" x14ac:dyDescent="0.2">
      <c r="A37" s="12" t="s">
        <v>309</v>
      </c>
      <c r="B37" s="234"/>
      <c r="C37" s="307"/>
      <c r="D37" s="169"/>
      <c r="E37" s="11"/>
      <c r="F37" s="317"/>
      <c r="G37" s="319"/>
      <c r="H37" s="169"/>
      <c r="I37" s="431"/>
      <c r="J37" s="234"/>
      <c r="K37" s="234"/>
      <c r="L37" s="425"/>
      <c r="M37" s="23"/>
    </row>
    <row r="38" spans="1:15" ht="15.75" x14ac:dyDescent="0.2">
      <c r="A38" s="12" t="s">
        <v>310</v>
      </c>
      <c r="B38" s="234"/>
      <c r="C38" s="307"/>
      <c r="D38" s="169"/>
      <c r="E38" s="11"/>
      <c r="F38" s="317"/>
      <c r="G38" s="318"/>
      <c r="H38" s="169"/>
      <c r="I38" s="431"/>
      <c r="J38" s="234"/>
      <c r="K38" s="234"/>
      <c r="L38" s="425"/>
      <c r="M38" s="23"/>
    </row>
    <row r="39" spans="1:15" ht="15.75" x14ac:dyDescent="0.2">
      <c r="A39" s="18" t="s">
        <v>311</v>
      </c>
      <c r="B39" s="274"/>
      <c r="C39" s="313"/>
      <c r="D39" s="167"/>
      <c r="E39" s="11"/>
      <c r="F39" s="320"/>
      <c r="G39" s="321"/>
      <c r="H39" s="167"/>
      <c r="I39" s="35"/>
      <c r="J39" s="234"/>
      <c r="K39" s="234"/>
      <c r="L39" s="426"/>
      <c r="M39" s="35"/>
    </row>
    <row r="40" spans="1:15" ht="15.75" x14ac:dyDescent="0.25">
      <c r="A40" s="46"/>
      <c r="B40" s="252"/>
      <c r="C40" s="252"/>
      <c r="D40" s="964"/>
      <c r="E40" s="964"/>
      <c r="F40" s="964"/>
      <c r="G40" s="964"/>
      <c r="H40" s="964"/>
      <c r="I40" s="964"/>
      <c r="J40" s="964"/>
      <c r="K40" s="964"/>
      <c r="L40" s="964"/>
      <c r="M40" s="300"/>
    </row>
    <row r="41" spans="1:15" x14ac:dyDescent="0.2">
      <c r="A41" s="153"/>
    </row>
    <row r="42" spans="1:15" ht="15.75" x14ac:dyDescent="0.25">
      <c r="A42" s="145" t="s">
        <v>294</v>
      </c>
      <c r="B42" s="965"/>
      <c r="C42" s="965"/>
      <c r="D42" s="965"/>
      <c r="E42" s="297"/>
      <c r="F42" s="966"/>
      <c r="G42" s="966"/>
      <c r="H42" s="966"/>
      <c r="I42" s="300"/>
      <c r="J42" s="966"/>
      <c r="K42" s="966"/>
      <c r="L42" s="966"/>
      <c r="M42" s="300"/>
    </row>
    <row r="43" spans="1:15" ht="15.75" x14ac:dyDescent="0.25">
      <c r="A43" s="161"/>
      <c r="B43" s="301"/>
      <c r="C43" s="301"/>
      <c r="D43" s="301"/>
      <c r="E43" s="301"/>
      <c r="F43" s="300"/>
      <c r="G43" s="300"/>
      <c r="H43" s="300"/>
      <c r="I43" s="300"/>
      <c r="J43" s="300"/>
      <c r="K43" s="300"/>
      <c r="L43" s="300"/>
      <c r="M43" s="300"/>
    </row>
    <row r="44" spans="1:15" ht="15.75" x14ac:dyDescent="0.25">
      <c r="A44" s="246"/>
      <c r="B44" s="960" t="s">
        <v>0</v>
      </c>
      <c r="C44" s="961"/>
      <c r="D44" s="961"/>
      <c r="E44" s="241"/>
      <c r="F44" s="300"/>
      <c r="G44" s="300"/>
      <c r="H44" s="300"/>
      <c r="I44" s="300"/>
      <c r="J44" s="300"/>
      <c r="K44" s="300"/>
      <c r="L44" s="300"/>
      <c r="M44" s="300"/>
    </row>
    <row r="45" spans="1:15" s="3" customFormat="1" x14ac:dyDescent="0.2">
      <c r="A45" s="139"/>
      <c r="B45" s="171" t="s">
        <v>504</v>
      </c>
      <c r="C45" s="171" t="s">
        <v>505</v>
      </c>
      <c r="D45" s="160" t="s">
        <v>3</v>
      </c>
      <c r="E45" s="160" t="s">
        <v>32</v>
      </c>
      <c r="F45" s="173"/>
      <c r="G45" s="173"/>
      <c r="H45" s="172"/>
      <c r="I45" s="172"/>
      <c r="J45" s="173"/>
      <c r="K45" s="173"/>
      <c r="L45" s="172"/>
      <c r="M45" s="172"/>
      <c r="N45" s="146"/>
      <c r="O45" s="146"/>
    </row>
    <row r="46" spans="1:15" s="3" customFormat="1" x14ac:dyDescent="0.2">
      <c r="A46" s="934"/>
      <c r="B46" s="242"/>
      <c r="C46" s="242"/>
      <c r="D46" s="243" t="s">
        <v>4</v>
      </c>
      <c r="E46" s="154" t="s">
        <v>33</v>
      </c>
      <c r="F46" s="172"/>
      <c r="G46" s="172"/>
      <c r="H46" s="172"/>
      <c r="I46" s="172"/>
      <c r="J46" s="172"/>
      <c r="K46" s="172"/>
      <c r="L46" s="172"/>
      <c r="M46" s="172"/>
      <c r="N46" s="146"/>
      <c r="O46" s="146"/>
    </row>
    <row r="47" spans="1:15" s="3" customFormat="1" ht="15.75" x14ac:dyDescent="0.2">
      <c r="A47" s="14" t="s">
        <v>26</v>
      </c>
      <c r="B47" s="308">
        <f>SUM(B48:B49)</f>
        <v>25735</v>
      </c>
      <c r="C47" s="309">
        <f>SUM(C48:C49)</f>
        <v>79056</v>
      </c>
      <c r="D47" s="424">
        <f t="shared" ref="D47:D57" si="0">IF(B47=0, "    ---- ", IF(ABS(ROUND(100/B47*C47-100,1))&lt;999,ROUND(100/B47*C47-100,1),IF(ROUND(100/B47*C47-100,1)&gt;999,999,-999)))</f>
        <v>207.2</v>
      </c>
      <c r="E47" s="11">
        <f>IFERROR(100/'Skjema total MA'!C47*C47,0)</f>
        <v>2.0757320060344573</v>
      </c>
      <c r="F47" s="143"/>
      <c r="G47" s="32"/>
      <c r="H47" s="157"/>
      <c r="I47" s="157"/>
      <c r="J47" s="36"/>
      <c r="K47" s="36"/>
      <c r="L47" s="157"/>
      <c r="M47" s="157"/>
      <c r="N47" s="146"/>
      <c r="O47" s="146"/>
    </row>
    <row r="48" spans="1:15" s="3" customFormat="1" ht="15.75" x14ac:dyDescent="0.2">
      <c r="A48" s="37" t="s">
        <v>312</v>
      </c>
      <c r="B48" s="279">
        <v>25735</v>
      </c>
      <c r="C48" s="280">
        <v>79056</v>
      </c>
      <c r="D48" s="253">
        <f t="shared" si="0"/>
        <v>207.2</v>
      </c>
      <c r="E48" s="26">
        <f>IFERROR(100/'Skjema total MA'!C48*C48,0)</f>
        <v>3.8579746552262932</v>
      </c>
      <c r="F48" s="143"/>
      <c r="G48" s="32"/>
      <c r="H48" s="143"/>
      <c r="I48" s="143"/>
      <c r="J48" s="32"/>
      <c r="K48" s="32"/>
      <c r="L48" s="157"/>
      <c r="M48" s="157"/>
      <c r="N48" s="146"/>
      <c r="O48" s="146"/>
    </row>
    <row r="49" spans="1:15" s="3" customFormat="1" ht="15.75" x14ac:dyDescent="0.2">
      <c r="A49" s="37" t="s">
        <v>313</v>
      </c>
      <c r="B49" s="43"/>
      <c r="C49" s="285"/>
      <c r="D49" s="253"/>
      <c r="E49" s="26"/>
      <c r="F49" s="143"/>
      <c r="G49" s="32"/>
      <c r="H49" s="143"/>
      <c r="I49" s="143"/>
      <c r="J49" s="36"/>
      <c r="K49" s="36"/>
      <c r="L49" s="157"/>
      <c r="M49" s="157"/>
      <c r="N49" s="146"/>
      <c r="O49" s="146"/>
    </row>
    <row r="50" spans="1:15" s="3" customFormat="1" x14ac:dyDescent="0.2">
      <c r="A50" s="294" t="s">
        <v>6</v>
      </c>
      <c r="B50" s="288"/>
      <c r="C50" s="289"/>
      <c r="D50" s="253"/>
      <c r="E50" s="22"/>
      <c r="F50" s="143"/>
      <c r="G50" s="32"/>
      <c r="H50" s="143"/>
      <c r="I50" s="143"/>
      <c r="J50" s="32"/>
      <c r="K50" s="32"/>
      <c r="L50" s="157"/>
      <c r="M50" s="157"/>
      <c r="N50" s="146"/>
      <c r="O50" s="146"/>
    </row>
    <row r="51" spans="1:15" s="3" customFormat="1" x14ac:dyDescent="0.2">
      <c r="A51" s="294" t="s">
        <v>7</v>
      </c>
      <c r="B51" s="288"/>
      <c r="C51" s="289"/>
      <c r="D51" s="253"/>
      <c r="E51" s="22"/>
      <c r="F51" s="143"/>
      <c r="G51" s="32"/>
      <c r="H51" s="143"/>
      <c r="I51" s="143"/>
      <c r="J51" s="32"/>
      <c r="K51" s="32"/>
      <c r="L51" s="157"/>
      <c r="M51" s="157"/>
      <c r="N51" s="146"/>
      <c r="O51" s="146"/>
    </row>
    <row r="52" spans="1:15" s="3" customFormat="1" x14ac:dyDescent="0.2">
      <c r="A52" s="294" t="s">
        <v>8</v>
      </c>
      <c r="B52" s="288"/>
      <c r="C52" s="289"/>
      <c r="D52" s="253"/>
      <c r="E52" s="22"/>
      <c r="F52" s="143"/>
      <c r="G52" s="32"/>
      <c r="H52" s="143"/>
      <c r="I52" s="143"/>
      <c r="J52" s="32"/>
      <c r="K52" s="32"/>
      <c r="L52" s="157"/>
      <c r="M52" s="157"/>
      <c r="N52" s="146"/>
      <c r="O52" s="146"/>
    </row>
    <row r="53" spans="1:15" s="3" customFormat="1" ht="15.75" x14ac:dyDescent="0.2">
      <c r="A53" s="38" t="s">
        <v>314</v>
      </c>
      <c r="B53" s="308"/>
      <c r="C53" s="309"/>
      <c r="D53" s="425"/>
      <c r="E53" s="11"/>
      <c r="F53" s="143"/>
      <c r="G53" s="32"/>
      <c r="H53" s="143"/>
      <c r="I53" s="143"/>
      <c r="J53" s="32"/>
      <c r="K53" s="32"/>
      <c r="L53" s="157"/>
      <c r="M53" s="157"/>
      <c r="N53" s="146"/>
      <c r="O53" s="146"/>
    </row>
    <row r="54" spans="1:15" s="3" customFormat="1" ht="15.75" x14ac:dyDescent="0.2">
      <c r="A54" s="37" t="s">
        <v>312</v>
      </c>
      <c r="B54" s="279"/>
      <c r="C54" s="280"/>
      <c r="D54" s="253"/>
      <c r="E54" s="26"/>
      <c r="F54" s="143"/>
      <c r="G54" s="32"/>
      <c r="H54" s="143"/>
      <c r="I54" s="143"/>
      <c r="J54" s="32"/>
      <c r="K54" s="32"/>
      <c r="L54" s="157"/>
      <c r="M54" s="157"/>
      <c r="N54" s="146"/>
      <c r="O54" s="146"/>
    </row>
    <row r="55" spans="1:15" s="3" customFormat="1" ht="15.75" x14ac:dyDescent="0.2">
      <c r="A55" s="37" t="s">
        <v>313</v>
      </c>
      <c r="B55" s="279"/>
      <c r="C55" s="280"/>
      <c r="D55" s="253"/>
      <c r="E55" s="26"/>
      <c r="F55" s="143"/>
      <c r="G55" s="32"/>
      <c r="H55" s="143"/>
      <c r="I55" s="143"/>
      <c r="J55" s="32"/>
      <c r="K55" s="32"/>
      <c r="L55" s="157"/>
      <c r="M55" s="157"/>
      <c r="N55" s="146"/>
      <c r="O55" s="146"/>
    </row>
    <row r="56" spans="1:15" s="3" customFormat="1" ht="15.75" x14ac:dyDescent="0.2">
      <c r="A56" s="38" t="s">
        <v>315</v>
      </c>
      <c r="B56" s="308">
        <f>SUM(B57:B58)</f>
        <v>29043</v>
      </c>
      <c r="C56" s="309">
        <f>SUM(C57:C58)</f>
        <v>645</v>
      </c>
      <c r="D56" s="425">
        <f t="shared" si="0"/>
        <v>-97.8</v>
      </c>
      <c r="E56" s="11">
        <f>IFERROR(100/'Skjema total MA'!C56*C56,0)</f>
        <v>0.31016536545804024</v>
      </c>
      <c r="F56" s="143"/>
      <c r="G56" s="32"/>
      <c r="H56" s="143"/>
      <c r="I56" s="143"/>
      <c r="J56" s="32"/>
      <c r="K56" s="32"/>
      <c r="L56" s="157"/>
      <c r="M56" s="157"/>
      <c r="N56" s="146"/>
      <c r="O56" s="146"/>
    </row>
    <row r="57" spans="1:15" s="3" customFormat="1" ht="15.75" x14ac:dyDescent="0.2">
      <c r="A57" s="37" t="s">
        <v>312</v>
      </c>
      <c r="B57" s="279">
        <v>29043</v>
      </c>
      <c r="C57" s="280">
        <v>645</v>
      </c>
      <c r="D57" s="253">
        <f t="shared" si="0"/>
        <v>-97.8</v>
      </c>
      <c r="E57" s="26">
        <f>IFERROR(100/'Skjema total MA'!C57*C57,0)</f>
        <v>0.43335476972531978</v>
      </c>
      <c r="F57" s="143"/>
      <c r="G57" s="32"/>
      <c r="H57" s="143"/>
      <c r="I57" s="143"/>
      <c r="J57" s="32"/>
      <c r="K57" s="32"/>
      <c r="L57" s="157"/>
      <c r="M57" s="157"/>
      <c r="N57" s="146"/>
      <c r="O57" s="146"/>
    </row>
    <row r="58" spans="1:15" s="3" customFormat="1" ht="15.75" x14ac:dyDescent="0.2">
      <c r="A58" s="45" t="s">
        <v>313</v>
      </c>
      <c r="B58" s="281"/>
      <c r="C58" s="282"/>
      <c r="D58" s="254"/>
      <c r="E58" s="21"/>
      <c r="F58" s="143"/>
      <c r="G58" s="32"/>
      <c r="H58" s="143"/>
      <c r="I58" s="143"/>
      <c r="J58" s="32"/>
      <c r="K58" s="32"/>
      <c r="L58" s="157"/>
      <c r="M58" s="157"/>
      <c r="N58" s="146"/>
      <c r="O58" s="146"/>
    </row>
    <row r="59" spans="1:15" s="3" customFormat="1" ht="15.75" x14ac:dyDescent="0.25">
      <c r="A59" s="162"/>
      <c r="B59" s="152"/>
      <c r="C59" s="152"/>
      <c r="D59" s="152"/>
      <c r="E59" s="152"/>
      <c r="F59" s="140"/>
      <c r="G59" s="140"/>
      <c r="H59" s="140"/>
      <c r="I59" s="140"/>
      <c r="J59" s="140"/>
      <c r="K59" s="140"/>
      <c r="L59" s="140"/>
      <c r="M59" s="140"/>
      <c r="N59" s="146"/>
      <c r="O59" s="146"/>
    </row>
    <row r="60" spans="1:15" x14ac:dyDescent="0.2">
      <c r="A60" s="153"/>
    </row>
    <row r="61" spans="1:15" ht="15.75" x14ac:dyDescent="0.25">
      <c r="A61" s="145" t="s">
        <v>295</v>
      </c>
      <c r="C61" s="25"/>
      <c r="D61" s="25"/>
      <c r="E61" s="25"/>
      <c r="F61" s="25"/>
      <c r="G61" s="25"/>
      <c r="H61" s="25"/>
      <c r="I61" s="25"/>
      <c r="J61" s="25"/>
      <c r="K61" s="25"/>
      <c r="L61" s="25"/>
      <c r="M61" s="25"/>
    </row>
    <row r="62" spans="1:15" ht="15.75" x14ac:dyDescent="0.25">
      <c r="B62" s="963"/>
      <c r="C62" s="963"/>
      <c r="D62" s="963"/>
      <c r="E62" s="297"/>
      <c r="F62" s="963"/>
      <c r="G62" s="963"/>
      <c r="H62" s="963"/>
      <c r="I62" s="297"/>
      <c r="J62" s="963"/>
      <c r="K62" s="963"/>
      <c r="L62" s="963"/>
      <c r="M62" s="297"/>
    </row>
    <row r="63" spans="1:15" x14ac:dyDescent="0.2">
      <c r="A63" s="142"/>
      <c r="B63" s="960" t="s">
        <v>0</v>
      </c>
      <c r="C63" s="961"/>
      <c r="D63" s="962"/>
      <c r="E63" s="298"/>
      <c r="F63" s="961" t="s">
        <v>1</v>
      </c>
      <c r="G63" s="961"/>
      <c r="H63" s="961"/>
      <c r="I63" s="302"/>
      <c r="J63" s="960" t="s">
        <v>2</v>
      </c>
      <c r="K63" s="961"/>
      <c r="L63" s="961"/>
      <c r="M63" s="302"/>
    </row>
    <row r="64" spans="1:15" x14ac:dyDescent="0.2">
      <c r="A64" s="139"/>
      <c r="B64" s="150" t="s">
        <v>504</v>
      </c>
      <c r="C64" s="150" t="s">
        <v>505</v>
      </c>
      <c r="D64" s="243" t="s">
        <v>3</v>
      </c>
      <c r="E64" s="303" t="s">
        <v>32</v>
      </c>
      <c r="F64" s="150" t="s">
        <v>504</v>
      </c>
      <c r="G64" s="150" t="s">
        <v>505</v>
      </c>
      <c r="H64" s="243" t="s">
        <v>3</v>
      </c>
      <c r="I64" s="303" t="s">
        <v>32</v>
      </c>
      <c r="J64" s="150" t="s">
        <v>504</v>
      </c>
      <c r="K64" s="150" t="s">
        <v>505</v>
      </c>
      <c r="L64" s="243" t="s">
        <v>3</v>
      </c>
      <c r="M64" s="160" t="s">
        <v>32</v>
      </c>
    </row>
    <row r="65" spans="1:15" x14ac:dyDescent="0.2">
      <c r="A65" s="934"/>
      <c r="B65" s="154"/>
      <c r="C65" s="154"/>
      <c r="D65" s="245" t="s">
        <v>4</v>
      </c>
      <c r="E65" s="154" t="s">
        <v>33</v>
      </c>
      <c r="F65" s="159"/>
      <c r="G65" s="159"/>
      <c r="H65" s="243" t="s">
        <v>4</v>
      </c>
      <c r="I65" s="154" t="s">
        <v>33</v>
      </c>
      <c r="J65" s="159"/>
      <c r="K65" s="204"/>
      <c r="L65" s="154" t="s">
        <v>4</v>
      </c>
      <c r="M65" s="154" t="s">
        <v>33</v>
      </c>
    </row>
    <row r="66" spans="1:15" ht="15.75" x14ac:dyDescent="0.2">
      <c r="A66" s="14" t="s">
        <v>26</v>
      </c>
      <c r="B66" s="350"/>
      <c r="C66" s="350"/>
      <c r="D66" s="348"/>
      <c r="E66" s="11"/>
      <c r="F66" s="350"/>
      <c r="G66" s="350"/>
      <c r="H66" s="348"/>
      <c r="I66" s="11"/>
      <c r="J66" s="307"/>
      <c r="K66" s="314"/>
      <c r="L66" s="425"/>
      <c r="M66" s="11"/>
    </row>
    <row r="67" spans="1:15" x14ac:dyDescent="0.2">
      <c r="A67" s="416" t="s">
        <v>9</v>
      </c>
      <c r="B67" s="43"/>
      <c r="C67" s="143"/>
      <c r="D67" s="164"/>
      <c r="E67" s="26"/>
      <c r="F67" s="232"/>
      <c r="G67" s="143"/>
      <c r="H67" s="164"/>
      <c r="I67" s="26"/>
      <c r="J67" s="285"/>
      <c r="K67" s="43"/>
      <c r="L67" s="253"/>
      <c r="M67" s="26"/>
    </row>
    <row r="68" spans="1:15" x14ac:dyDescent="0.2">
      <c r="A68" s="20" t="s">
        <v>10</v>
      </c>
      <c r="B68" s="290"/>
      <c r="C68" s="291"/>
      <c r="D68" s="164"/>
      <c r="E68" s="26"/>
      <c r="F68" s="290"/>
      <c r="G68" s="291"/>
      <c r="H68" s="164"/>
      <c r="I68" s="26"/>
      <c r="J68" s="285"/>
      <c r="K68" s="43"/>
      <c r="L68" s="253"/>
      <c r="M68" s="26"/>
    </row>
    <row r="69" spans="1:15" ht="15.75" x14ac:dyDescent="0.2">
      <c r="A69" s="294" t="s">
        <v>316</v>
      </c>
      <c r="B69" s="279"/>
      <c r="C69" s="279"/>
      <c r="D69" s="164"/>
      <c r="E69" s="414"/>
      <c r="F69" s="279"/>
      <c r="G69" s="279"/>
      <c r="H69" s="164"/>
      <c r="I69" s="414"/>
      <c r="J69" s="288"/>
      <c r="K69" s="288"/>
      <c r="L69" s="164"/>
      <c r="M69" s="22"/>
    </row>
    <row r="70" spans="1:15" x14ac:dyDescent="0.2">
      <c r="A70" s="294" t="s">
        <v>12</v>
      </c>
      <c r="B70" s="292"/>
      <c r="C70" s="293"/>
      <c r="D70" s="164"/>
      <c r="E70" s="414"/>
      <c r="F70" s="279"/>
      <c r="G70" s="279"/>
      <c r="H70" s="164"/>
      <c r="I70" s="414"/>
      <c r="J70" s="288"/>
      <c r="K70" s="288"/>
      <c r="L70" s="164"/>
      <c r="M70" s="22"/>
    </row>
    <row r="71" spans="1:15" x14ac:dyDescent="0.2">
      <c r="A71" s="294" t="s">
        <v>13</v>
      </c>
      <c r="B71" s="233"/>
      <c r="C71" s="287"/>
      <c r="D71" s="164"/>
      <c r="E71" s="414"/>
      <c r="F71" s="279"/>
      <c r="G71" s="279"/>
      <c r="H71" s="164"/>
      <c r="I71" s="414"/>
      <c r="J71" s="288"/>
      <c r="K71" s="288"/>
      <c r="L71" s="164"/>
      <c r="M71" s="22"/>
    </row>
    <row r="72" spans="1:15" ht="15.75" x14ac:dyDescent="0.2">
      <c r="A72" s="294" t="s">
        <v>317</v>
      </c>
      <c r="B72" s="279"/>
      <c r="C72" s="279"/>
      <c r="D72" s="164"/>
      <c r="E72" s="414"/>
      <c r="F72" s="279"/>
      <c r="G72" s="279"/>
      <c r="H72" s="164"/>
      <c r="I72" s="414"/>
      <c r="J72" s="288"/>
      <c r="K72" s="288"/>
      <c r="L72" s="164"/>
      <c r="M72" s="22"/>
    </row>
    <row r="73" spans="1:15" x14ac:dyDescent="0.2">
      <c r="A73" s="294" t="s">
        <v>12</v>
      </c>
      <c r="B73" s="233"/>
      <c r="C73" s="287"/>
      <c r="D73" s="164"/>
      <c r="E73" s="414"/>
      <c r="F73" s="279"/>
      <c r="G73" s="279"/>
      <c r="H73" s="164"/>
      <c r="I73" s="414"/>
      <c r="J73" s="288"/>
      <c r="K73" s="288"/>
      <c r="L73" s="164"/>
      <c r="M73" s="22"/>
    </row>
    <row r="74" spans="1:15" s="3" customFormat="1" x14ac:dyDescent="0.2">
      <c r="A74" s="294" t="s">
        <v>13</v>
      </c>
      <c r="B74" s="233"/>
      <c r="C74" s="287"/>
      <c r="D74" s="164"/>
      <c r="E74" s="414"/>
      <c r="F74" s="279"/>
      <c r="G74" s="279"/>
      <c r="H74" s="164"/>
      <c r="I74" s="414"/>
      <c r="J74" s="288"/>
      <c r="K74" s="288"/>
      <c r="L74" s="164"/>
      <c r="M74" s="22"/>
      <c r="N74" s="146"/>
      <c r="O74" s="146"/>
    </row>
    <row r="75" spans="1:15" s="3" customFormat="1" x14ac:dyDescent="0.2">
      <c r="A75" s="20" t="s">
        <v>395</v>
      </c>
      <c r="B75" s="232"/>
      <c r="C75" s="143"/>
      <c r="D75" s="164"/>
      <c r="E75" s="26"/>
      <c r="F75" s="232"/>
      <c r="G75" s="143"/>
      <c r="H75" s="164"/>
      <c r="I75" s="26"/>
      <c r="J75" s="285"/>
      <c r="K75" s="43"/>
      <c r="L75" s="253"/>
      <c r="M75" s="26"/>
      <c r="N75" s="146"/>
      <c r="O75" s="146"/>
    </row>
    <row r="76" spans="1:15" s="3" customFormat="1" x14ac:dyDescent="0.2">
      <c r="A76" s="20" t="s">
        <v>394</v>
      </c>
      <c r="B76" s="232"/>
      <c r="C76" s="143"/>
      <c r="D76" s="164"/>
      <c r="E76" s="26"/>
      <c r="F76" s="232"/>
      <c r="G76" s="143"/>
      <c r="H76" s="164"/>
      <c r="I76" s="26"/>
      <c r="J76" s="285"/>
      <c r="K76" s="43"/>
      <c r="L76" s="253"/>
      <c r="M76" s="26"/>
      <c r="N76" s="146"/>
      <c r="O76" s="146"/>
    </row>
    <row r="77" spans="1:15" ht="15.75" x14ac:dyDescent="0.2">
      <c r="A77" s="20" t="s">
        <v>318</v>
      </c>
      <c r="B77" s="232"/>
      <c r="C77" s="232"/>
      <c r="D77" s="164"/>
      <c r="E77" s="26"/>
      <c r="F77" s="232"/>
      <c r="G77" s="143"/>
      <c r="H77" s="164"/>
      <c r="I77" s="26"/>
      <c r="J77" s="285"/>
      <c r="K77" s="43"/>
      <c r="L77" s="253"/>
      <c r="M77" s="26"/>
    </row>
    <row r="78" spans="1:15" x14ac:dyDescent="0.2">
      <c r="A78" s="20" t="s">
        <v>9</v>
      </c>
      <c r="B78" s="232"/>
      <c r="C78" s="143"/>
      <c r="D78" s="164"/>
      <c r="E78" s="26"/>
      <c r="F78" s="232"/>
      <c r="G78" s="143"/>
      <c r="H78" s="164"/>
      <c r="I78" s="26"/>
      <c r="J78" s="285"/>
      <c r="K78" s="43"/>
      <c r="L78" s="253"/>
      <c r="M78" s="26"/>
    </row>
    <row r="79" spans="1:15" x14ac:dyDescent="0.2">
      <c r="A79" s="20" t="s">
        <v>10</v>
      </c>
      <c r="B79" s="290"/>
      <c r="C79" s="291"/>
      <c r="D79" s="164"/>
      <c r="E79" s="26"/>
      <c r="F79" s="290"/>
      <c r="G79" s="291"/>
      <c r="H79" s="164"/>
      <c r="I79" s="26"/>
      <c r="J79" s="285"/>
      <c r="K79" s="43"/>
      <c r="L79" s="253"/>
      <c r="M79" s="26"/>
    </row>
    <row r="80" spans="1:15" ht="15.75" x14ac:dyDescent="0.2">
      <c r="A80" s="294" t="s">
        <v>316</v>
      </c>
      <c r="B80" s="279"/>
      <c r="C80" s="279"/>
      <c r="D80" s="164"/>
      <c r="E80" s="414"/>
      <c r="F80" s="279"/>
      <c r="G80" s="279"/>
      <c r="H80" s="164"/>
      <c r="I80" s="414"/>
      <c r="J80" s="288"/>
      <c r="K80" s="288"/>
      <c r="L80" s="164"/>
      <c r="M80" s="22"/>
    </row>
    <row r="81" spans="1:13" x14ac:dyDescent="0.2">
      <c r="A81" s="294" t="s">
        <v>12</v>
      </c>
      <c r="B81" s="233"/>
      <c r="C81" s="287"/>
      <c r="D81" s="164"/>
      <c r="E81" s="414"/>
      <c r="F81" s="279"/>
      <c r="G81" s="279"/>
      <c r="H81" s="164"/>
      <c r="I81" s="414"/>
      <c r="J81" s="288"/>
      <c r="K81" s="288"/>
      <c r="L81" s="164"/>
      <c r="M81" s="22"/>
    </row>
    <row r="82" spans="1:13" x14ac:dyDescent="0.2">
      <c r="A82" s="294" t="s">
        <v>13</v>
      </c>
      <c r="B82" s="233"/>
      <c r="C82" s="287"/>
      <c r="D82" s="164"/>
      <c r="E82" s="414"/>
      <c r="F82" s="279"/>
      <c r="G82" s="279"/>
      <c r="H82" s="164"/>
      <c r="I82" s="414"/>
      <c r="J82" s="288"/>
      <c r="K82" s="288"/>
      <c r="L82" s="164"/>
      <c r="M82" s="22"/>
    </row>
    <row r="83" spans="1:13" ht="15.75" x14ac:dyDescent="0.2">
      <c r="A83" s="294" t="s">
        <v>317</v>
      </c>
      <c r="B83" s="279"/>
      <c r="C83" s="279"/>
      <c r="D83" s="164"/>
      <c r="E83" s="414"/>
      <c r="F83" s="279"/>
      <c r="G83" s="279"/>
      <c r="H83" s="164"/>
      <c r="I83" s="414"/>
      <c r="J83" s="288"/>
      <c r="K83" s="288"/>
      <c r="L83" s="164"/>
      <c r="M83" s="22"/>
    </row>
    <row r="84" spans="1:13" x14ac:dyDescent="0.2">
      <c r="A84" s="294" t="s">
        <v>12</v>
      </c>
      <c r="B84" s="233"/>
      <c r="C84" s="287"/>
      <c r="D84" s="164"/>
      <c r="E84" s="414"/>
      <c r="F84" s="279"/>
      <c r="G84" s="279"/>
      <c r="H84" s="164"/>
      <c r="I84" s="414"/>
      <c r="J84" s="288"/>
      <c r="K84" s="288"/>
      <c r="L84" s="164"/>
      <c r="M84" s="22"/>
    </row>
    <row r="85" spans="1:13" x14ac:dyDescent="0.2">
      <c r="A85" s="294" t="s">
        <v>13</v>
      </c>
      <c r="B85" s="233"/>
      <c r="C85" s="287"/>
      <c r="D85" s="164"/>
      <c r="E85" s="414"/>
      <c r="F85" s="279"/>
      <c r="G85" s="279"/>
      <c r="H85" s="164"/>
      <c r="I85" s="414"/>
      <c r="J85" s="288"/>
      <c r="K85" s="288"/>
      <c r="L85" s="164"/>
      <c r="M85" s="22"/>
    </row>
    <row r="86" spans="1:13" ht="15.75" x14ac:dyDescent="0.2">
      <c r="A86" s="20" t="s">
        <v>327</v>
      </c>
      <c r="B86" s="232"/>
      <c r="C86" s="143"/>
      <c r="D86" s="164"/>
      <c r="E86" s="26"/>
      <c r="F86" s="232"/>
      <c r="G86" s="143"/>
      <c r="H86" s="164"/>
      <c r="I86" s="26"/>
      <c r="J86" s="285"/>
      <c r="K86" s="43"/>
      <c r="L86" s="253"/>
      <c r="M86" s="26"/>
    </row>
    <row r="87" spans="1:13" ht="15.75" x14ac:dyDescent="0.2">
      <c r="A87" s="13" t="s">
        <v>25</v>
      </c>
      <c r="B87" s="350"/>
      <c r="C87" s="350"/>
      <c r="D87" s="169"/>
      <c r="E87" s="11"/>
      <c r="F87" s="350"/>
      <c r="G87" s="350"/>
      <c r="H87" s="169"/>
      <c r="I87" s="11"/>
      <c r="J87" s="307"/>
      <c r="K87" s="234"/>
      <c r="L87" s="425"/>
      <c r="M87" s="11"/>
    </row>
    <row r="88" spans="1:13" x14ac:dyDescent="0.2">
      <c r="A88" s="20" t="s">
        <v>9</v>
      </c>
      <c r="B88" s="232"/>
      <c r="C88" s="143"/>
      <c r="D88" s="164"/>
      <c r="E88" s="26"/>
      <c r="F88" s="232"/>
      <c r="G88" s="143"/>
      <c r="H88" s="164"/>
      <c r="I88" s="26"/>
      <c r="J88" s="285"/>
      <c r="K88" s="43"/>
      <c r="L88" s="253"/>
      <c r="M88" s="26"/>
    </row>
    <row r="89" spans="1:13" x14ac:dyDescent="0.2">
      <c r="A89" s="20" t="s">
        <v>10</v>
      </c>
      <c r="B89" s="232"/>
      <c r="C89" s="143"/>
      <c r="D89" s="164"/>
      <c r="E89" s="26"/>
      <c r="F89" s="232"/>
      <c r="G89" s="143"/>
      <c r="H89" s="164"/>
      <c r="I89" s="26"/>
      <c r="J89" s="285"/>
      <c r="K89" s="43"/>
      <c r="L89" s="253"/>
      <c r="M89" s="26"/>
    </row>
    <row r="90" spans="1:13" ht="15.75" x14ac:dyDescent="0.2">
      <c r="A90" s="294" t="s">
        <v>316</v>
      </c>
      <c r="B90" s="279"/>
      <c r="C90" s="279"/>
      <c r="D90" s="164"/>
      <c r="E90" s="414"/>
      <c r="F90" s="279"/>
      <c r="G90" s="279"/>
      <c r="H90" s="164"/>
      <c r="I90" s="414"/>
      <c r="J90" s="288"/>
      <c r="K90" s="288"/>
      <c r="L90" s="164"/>
      <c r="M90" s="22"/>
    </row>
    <row r="91" spans="1:13" x14ac:dyDescent="0.2">
      <c r="A91" s="294" t="s">
        <v>12</v>
      </c>
      <c r="B91" s="233"/>
      <c r="C91" s="287"/>
      <c r="D91" s="164"/>
      <c r="E91" s="414"/>
      <c r="F91" s="279"/>
      <c r="G91" s="279"/>
      <c r="H91" s="164"/>
      <c r="I91" s="414"/>
      <c r="J91" s="288"/>
      <c r="K91" s="288"/>
      <c r="L91" s="164"/>
      <c r="M91" s="22"/>
    </row>
    <row r="92" spans="1:13" x14ac:dyDescent="0.2">
      <c r="A92" s="294" t="s">
        <v>13</v>
      </c>
      <c r="B92" s="233"/>
      <c r="C92" s="287"/>
      <c r="D92" s="164"/>
      <c r="E92" s="414"/>
      <c r="F92" s="279"/>
      <c r="G92" s="279"/>
      <c r="H92" s="164"/>
      <c r="I92" s="414"/>
      <c r="J92" s="288"/>
      <c r="K92" s="288"/>
      <c r="L92" s="164"/>
      <c r="M92" s="22"/>
    </row>
    <row r="93" spans="1:13" ht="15.75" x14ac:dyDescent="0.2">
      <c r="A93" s="294" t="s">
        <v>317</v>
      </c>
      <c r="B93" s="279"/>
      <c r="C93" s="279"/>
      <c r="D93" s="164"/>
      <c r="E93" s="414"/>
      <c r="F93" s="279"/>
      <c r="G93" s="279"/>
      <c r="H93" s="164"/>
      <c r="I93" s="414"/>
      <c r="J93" s="288"/>
      <c r="K93" s="288"/>
      <c r="L93" s="164"/>
      <c r="M93" s="22"/>
    </row>
    <row r="94" spans="1:13" x14ac:dyDescent="0.2">
      <c r="A94" s="294" t="s">
        <v>12</v>
      </c>
      <c r="B94" s="233"/>
      <c r="C94" s="287"/>
      <c r="D94" s="164"/>
      <c r="E94" s="414"/>
      <c r="F94" s="279"/>
      <c r="G94" s="279"/>
      <c r="H94" s="164"/>
      <c r="I94" s="414"/>
      <c r="J94" s="288"/>
      <c r="K94" s="288"/>
      <c r="L94" s="164"/>
      <c r="M94" s="22"/>
    </row>
    <row r="95" spans="1:13" x14ac:dyDescent="0.2">
      <c r="A95" s="294" t="s">
        <v>13</v>
      </c>
      <c r="B95" s="233"/>
      <c r="C95" s="287"/>
      <c r="D95" s="164"/>
      <c r="E95" s="414"/>
      <c r="F95" s="279"/>
      <c r="G95" s="279"/>
      <c r="H95" s="164"/>
      <c r="I95" s="414"/>
      <c r="J95" s="288"/>
      <c r="K95" s="288"/>
      <c r="L95" s="164"/>
      <c r="M95" s="22"/>
    </row>
    <row r="96" spans="1:13" x14ac:dyDescent="0.2">
      <c r="A96" s="20" t="s">
        <v>393</v>
      </c>
      <c r="B96" s="232"/>
      <c r="C96" s="143"/>
      <c r="D96" s="164"/>
      <c r="E96" s="26"/>
      <c r="F96" s="232"/>
      <c r="G96" s="143"/>
      <c r="H96" s="164"/>
      <c r="I96" s="26"/>
      <c r="J96" s="285"/>
      <c r="K96" s="43"/>
      <c r="L96" s="253"/>
      <c r="M96" s="26"/>
    </row>
    <row r="97" spans="1:13" x14ac:dyDescent="0.2">
      <c r="A97" s="20" t="s">
        <v>392</v>
      </c>
      <c r="B97" s="232"/>
      <c r="C97" s="143"/>
      <c r="D97" s="164"/>
      <c r="E97" s="26"/>
      <c r="F97" s="232"/>
      <c r="G97" s="143"/>
      <c r="H97" s="164"/>
      <c r="I97" s="26"/>
      <c r="J97" s="285"/>
      <c r="K97" s="43"/>
      <c r="L97" s="253"/>
      <c r="M97" s="26"/>
    </row>
    <row r="98" spans="1:13" ht="15.75" x14ac:dyDescent="0.2">
      <c r="A98" s="20" t="s">
        <v>318</v>
      </c>
      <c r="B98" s="232"/>
      <c r="C98" s="232"/>
      <c r="D98" s="164"/>
      <c r="E98" s="26"/>
      <c r="F98" s="290"/>
      <c r="G98" s="290"/>
      <c r="H98" s="164"/>
      <c r="I98" s="26"/>
      <c r="J98" s="285"/>
      <c r="K98" s="43"/>
      <c r="L98" s="253"/>
      <c r="M98" s="26"/>
    </row>
    <row r="99" spans="1:13" x14ac:dyDescent="0.2">
      <c r="A99" s="20" t="s">
        <v>9</v>
      </c>
      <c r="B99" s="290"/>
      <c r="C99" s="291"/>
      <c r="D99" s="164"/>
      <c r="E99" s="26"/>
      <c r="F99" s="232"/>
      <c r="G99" s="143"/>
      <c r="H99" s="164"/>
      <c r="I99" s="26"/>
      <c r="J99" s="285"/>
      <c r="K99" s="43"/>
      <c r="L99" s="253"/>
      <c r="M99" s="26"/>
    </row>
    <row r="100" spans="1:13" x14ac:dyDescent="0.2">
      <c r="A100" s="20" t="s">
        <v>10</v>
      </c>
      <c r="B100" s="290"/>
      <c r="C100" s="291"/>
      <c r="D100" s="164"/>
      <c r="E100" s="26"/>
      <c r="F100" s="232"/>
      <c r="G100" s="232"/>
      <c r="H100" s="164"/>
      <c r="I100" s="26"/>
      <c r="J100" s="285"/>
      <c r="K100" s="43"/>
      <c r="L100" s="253"/>
      <c r="M100" s="26"/>
    </row>
    <row r="101" spans="1:13" ht="15.75" x14ac:dyDescent="0.2">
      <c r="A101" s="294" t="s">
        <v>316</v>
      </c>
      <c r="B101" s="279"/>
      <c r="C101" s="279"/>
      <c r="D101" s="164"/>
      <c r="E101" s="414"/>
      <c r="F101" s="279"/>
      <c r="G101" s="279"/>
      <c r="H101" s="164"/>
      <c r="I101" s="414"/>
      <c r="J101" s="288"/>
      <c r="K101" s="288"/>
      <c r="L101" s="164"/>
      <c r="M101" s="22"/>
    </row>
    <row r="102" spans="1:13" x14ac:dyDescent="0.2">
      <c r="A102" s="294" t="s">
        <v>12</v>
      </c>
      <c r="B102" s="233"/>
      <c r="C102" s="287"/>
      <c r="D102" s="164"/>
      <c r="E102" s="414"/>
      <c r="F102" s="279"/>
      <c r="G102" s="279"/>
      <c r="H102" s="164"/>
      <c r="I102" s="414"/>
      <c r="J102" s="288"/>
      <c r="K102" s="288"/>
      <c r="L102" s="164"/>
      <c r="M102" s="22"/>
    </row>
    <row r="103" spans="1:13" x14ac:dyDescent="0.2">
      <c r="A103" s="294" t="s">
        <v>13</v>
      </c>
      <c r="B103" s="233"/>
      <c r="C103" s="287"/>
      <c r="D103" s="164"/>
      <c r="E103" s="414"/>
      <c r="F103" s="279"/>
      <c r="G103" s="279"/>
      <c r="H103" s="164"/>
      <c r="I103" s="414"/>
      <c r="J103" s="288"/>
      <c r="K103" s="288"/>
      <c r="L103" s="164"/>
      <c r="M103" s="22"/>
    </row>
    <row r="104" spans="1:13" ht="15.75" x14ac:dyDescent="0.2">
      <c r="A104" s="294" t="s">
        <v>317</v>
      </c>
      <c r="B104" s="279"/>
      <c r="C104" s="279"/>
      <c r="D104" s="164"/>
      <c r="E104" s="414"/>
      <c r="F104" s="279"/>
      <c r="G104" s="279"/>
      <c r="H104" s="164"/>
      <c r="I104" s="414"/>
      <c r="J104" s="288"/>
      <c r="K104" s="288"/>
      <c r="L104" s="164"/>
      <c r="M104" s="22"/>
    </row>
    <row r="105" spans="1:13" x14ac:dyDescent="0.2">
      <c r="A105" s="294" t="s">
        <v>12</v>
      </c>
      <c r="B105" s="233"/>
      <c r="C105" s="287"/>
      <c r="D105" s="164"/>
      <c r="E105" s="414"/>
      <c r="F105" s="279"/>
      <c r="G105" s="279"/>
      <c r="H105" s="164"/>
      <c r="I105" s="414"/>
      <c r="J105" s="288"/>
      <c r="K105" s="288"/>
      <c r="L105" s="164"/>
      <c r="M105" s="22"/>
    </row>
    <row r="106" spans="1:13" x14ac:dyDescent="0.2">
      <c r="A106" s="294" t="s">
        <v>13</v>
      </c>
      <c r="B106" s="233"/>
      <c r="C106" s="287"/>
      <c r="D106" s="164"/>
      <c r="E106" s="414"/>
      <c r="F106" s="279"/>
      <c r="G106" s="279"/>
      <c r="H106" s="164"/>
      <c r="I106" s="414"/>
      <c r="J106" s="288"/>
      <c r="K106" s="288"/>
      <c r="L106" s="164"/>
      <c r="M106" s="22"/>
    </row>
    <row r="107" spans="1:13" ht="15.75" x14ac:dyDescent="0.2">
      <c r="A107" s="20" t="s">
        <v>327</v>
      </c>
      <c r="B107" s="232"/>
      <c r="C107" s="143"/>
      <c r="D107" s="164"/>
      <c r="E107" s="26"/>
      <c r="F107" s="232"/>
      <c r="G107" s="143"/>
      <c r="H107" s="164"/>
      <c r="I107" s="26"/>
      <c r="J107" s="285"/>
      <c r="K107" s="43"/>
      <c r="L107" s="253"/>
      <c r="M107" s="26"/>
    </row>
    <row r="108" spans="1:13" ht="15.75" x14ac:dyDescent="0.2">
      <c r="A108" s="20" t="s">
        <v>328</v>
      </c>
      <c r="B108" s="232"/>
      <c r="C108" s="232"/>
      <c r="D108" s="164"/>
      <c r="E108" s="26"/>
      <c r="F108" s="232"/>
      <c r="G108" s="232"/>
      <c r="H108" s="164"/>
      <c r="I108" s="26"/>
      <c r="J108" s="285"/>
      <c r="K108" s="43"/>
      <c r="L108" s="253"/>
      <c r="M108" s="26"/>
    </row>
    <row r="109" spans="1:13" ht="15.75" x14ac:dyDescent="0.2">
      <c r="A109" s="20" t="s">
        <v>320</v>
      </c>
      <c r="B109" s="232"/>
      <c r="C109" s="232"/>
      <c r="D109" s="164"/>
      <c r="E109" s="26"/>
      <c r="F109" s="232"/>
      <c r="G109" s="232"/>
      <c r="H109" s="164"/>
      <c r="I109" s="26"/>
      <c r="J109" s="285"/>
      <c r="K109" s="43"/>
      <c r="L109" s="253"/>
      <c r="M109" s="26"/>
    </row>
    <row r="110" spans="1:13" ht="15.75" x14ac:dyDescent="0.2">
      <c r="A110" s="20" t="s">
        <v>321</v>
      </c>
      <c r="B110" s="232"/>
      <c r="C110" s="232"/>
      <c r="D110" s="164"/>
      <c r="E110" s="26"/>
      <c r="F110" s="232"/>
      <c r="G110" s="232"/>
      <c r="H110" s="164"/>
      <c r="I110" s="26"/>
      <c r="J110" s="285"/>
      <c r="K110" s="43"/>
      <c r="L110" s="253"/>
      <c r="M110" s="26"/>
    </row>
    <row r="111" spans="1:13" ht="15.75" x14ac:dyDescent="0.2">
      <c r="A111" s="13" t="s">
        <v>24</v>
      </c>
      <c r="B111" s="306"/>
      <c r="C111" s="157"/>
      <c r="D111" s="169"/>
      <c r="E111" s="11"/>
      <c r="F111" s="306"/>
      <c r="G111" s="157"/>
      <c r="H111" s="169"/>
      <c r="I111" s="11"/>
      <c r="J111" s="307"/>
      <c r="K111" s="234"/>
      <c r="L111" s="425"/>
      <c r="M111" s="11"/>
    </row>
    <row r="112" spans="1:13" x14ac:dyDescent="0.2">
      <c r="A112" s="20" t="s">
        <v>9</v>
      </c>
      <c r="B112" s="232"/>
      <c r="C112" s="143"/>
      <c r="D112" s="164"/>
      <c r="E112" s="26"/>
      <c r="F112" s="232"/>
      <c r="G112" s="143"/>
      <c r="H112" s="164"/>
      <c r="I112" s="26"/>
      <c r="J112" s="285"/>
      <c r="K112" s="43"/>
      <c r="L112" s="253"/>
      <c r="M112" s="26"/>
    </row>
    <row r="113" spans="1:14" x14ac:dyDescent="0.2">
      <c r="A113" s="20" t="s">
        <v>10</v>
      </c>
      <c r="B113" s="232"/>
      <c r="C113" s="143"/>
      <c r="D113" s="164"/>
      <c r="E113" s="26"/>
      <c r="F113" s="232"/>
      <c r="G113" s="143"/>
      <c r="H113" s="164"/>
      <c r="I113" s="26"/>
      <c r="J113" s="285"/>
      <c r="K113" s="43"/>
      <c r="L113" s="253"/>
      <c r="M113" s="26"/>
    </row>
    <row r="114" spans="1:14" x14ac:dyDescent="0.2">
      <c r="A114" s="20" t="s">
        <v>29</v>
      </c>
      <c r="B114" s="232"/>
      <c r="C114" s="143"/>
      <c r="D114" s="164"/>
      <c r="E114" s="26"/>
      <c r="F114" s="232"/>
      <c r="G114" s="143"/>
      <c r="H114" s="164"/>
      <c r="I114" s="26"/>
      <c r="J114" s="285"/>
      <c r="K114" s="43"/>
      <c r="L114" s="253"/>
      <c r="M114" s="26"/>
    </row>
    <row r="115" spans="1:14" x14ac:dyDescent="0.2">
      <c r="A115" s="294" t="s">
        <v>15</v>
      </c>
      <c r="B115" s="279"/>
      <c r="C115" s="279"/>
      <c r="D115" s="164"/>
      <c r="E115" s="414"/>
      <c r="F115" s="279"/>
      <c r="G115" s="279"/>
      <c r="H115" s="164"/>
      <c r="I115" s="414"/>
      <c r="J115" s="288"/>
      <c r="K115" s="288"/>
      <c r="L115" s="164"/>
      <c r="M115" s="22"/>
    </row>
    <row r="116" spans="1:14" ht="15.75" x14ac:dyDescent="0.2">
      <c r="A116" s="20" t="s">
        <v>329</v>
      </c>
      <c r="B116" s="232"/>
      <c r="C116" s="232"/>
      <c r="D116" s="164"/>
      <c r="E116" s="26"/>
      <c r="F116" s="232"/>
      <c r="G116" s="232"/>
      <c r="H116" s="164"/>
      <c r="I116" s="26"/>
      <c r="J116" s="285"/>
      <c r="K116" s="43"/>
      <c r="L116" s="253"/>
      <c r="M116" s="26"/>
    </row>
    <row r="117" spans="1:14" ht="15.75" x14ac:dyDescent="0.2">
      <c r="A117" s="20" t="s">
        <v>322</v>
      </c>
      <c r="B117" s="232"/>
      <c r="C117" s="232"/>
      <c r="D117" s="164"/>
      <c r="E117" s="26"/>
      <c r="F117" s="232"/>
      <c r="G117" s="232"/>
      <c r="H117" s="164"/>
      <c r="I117" s="26"/>
      <c r="J117" s="285"/>
      <c r="K117" s="43"/>
      <c r="L117" s="253"/>
      <c r="M117" s="26"/>
    </row>
    <row r="118" spans="1:14" ht="15.75" x14ac:dyDescent="0.2">
      <c r="A118" s="20" t="s">
        <v>321</v>
      </c>
      <c r="B118" s="232"/>
      <c r="C118" s="232"/>
      <c r="D118" s="164"/>
      <c r="E118" s="26"/>
      <c r="F118" s="232"/>
      <c r="G118" s="232"/>
      <c r="H118" s="164"/>
      <c r="I118" s="26"/>
      <c r="J118" s="285"/>
      <c r="K118" s="43"/>
      <c r="L118" s="253"/>
      <c r="M118" s="26"/>
    </row>
    <row r="119" spans="1:14" ht="15.75" x14ac:dyDescent="0.2">
      <c r="A119" s="13" t="s">
        <v>23</v>
      </c>
      <c r="B119" s="306"/>
      <c r="C119" s="157"/>
      <c r="D119" s="169"/>
      <c r="E119" s="11"/>
      <c r="F119" s="306"/>
      <c r="G119" s="157"/>
      <c r="H119" s="169"/>
      <c r="I119" s="11"/>
      <c r="J119" s="307"/>
      <c r="K119" s="234"/>
      <c r="L119" s="425"/>
      <c r="M119" s="11"/>
    </row>
    <row r="120" spans="1:14" x14ac:dyDescent="0.2">
      <c r="A120" s="20" t="s">
        <v>9</v>
      </c>
      <c r="B120" s="232"/>
      <c r="C120" s="143"/>
      <c r="D120" s="164"/>
      <c r="E120" s="26"/>
      <c r="F120" s="232"/>
      <c r="G120" s="143"/>
      <c r="H120" s="164"/>
      <c r="I120" s="26"/>
      <c r="J120" s="285"/>
      <c r="K120" s="43"/>
      <c r="L120" s="253"/>
      <c r="M120" s="26"/>
    </row>
    <row r="121" spans="1:14" x14ac:dyDescent="0.2">
      <c r="A121" s="20" t="s">
        <v>10</v>
      </c>
      <c r="B121" s="232"/>
      <c r="C121" s="143"/>
      <c r="D121" s="164"/>
      <c r="E121" s="26"/>
      <c r="F121" s="232"/>
      <c r="G121" s="143"/>
      <c r="H121" s="164"/>
      <c r="I121" s="26"/>
      <c r="J121" s="285"/>
      <c r="K121" s="43"/>
      <c r="L121" s="253"/>
      <c r="M121" s="26"/>
    </row>
    <row r="122" spans="1:14" x14ac:dyDescent="0.2">
      <c r="A122" s="20" t="s">
        <v>29</v>
      </c>
      <c r="B122" s="232"/>
      <c r="C122" s="143"/>
      <c r="D122" s="164"/>
      <c r="E122" s="26"/>
      <c r="F122" s="232"/>
      <c r="G122" s="143"/>
      <c r="H122" s="164"/>
      <c r="I122" s="26"/>
      <c r="J122" s="285"/>
      <c r="K122" s="43"/>
      <c r="L122" s="253"/>
      <c r="M122" s="26"/>
    </row>
    <row r="123" spans="1:14" x14ac:dyDescent="0.2">
      <c r="A123" s="294" t="s">
        <v>14</v>
      </c>
      <c r="B123" s="279"/>
      <c r="C123" s="279"/>
      <c r="D123" s="164"/>
      <c r="E123" s="414"/>
      <c r="F123" s="279"/>
      <c r="G123" s="279"/>
      <c r="H123" s="164"/>
      <c r="I123" s="414"/>
      <c r="J123" s="288"/>
      <c r="K123" s="288"/>
      <c r="L123" s="164"/>
      <c r="M123" s="22"/>
    </row>
    <row r="124" spans="1:14" ht="15.75" x14ac:dyDescent="0.2">
      <c r="A124" s="20" t="s">
        <v>319</v>
      </c>
      <c r="B124" s="232"/>
      <c r="C124" s="232"/>
      <c r="D124" s="164"/>
      <c r="E124" s="26"/>
      <c r="F124" s="232"/>
      <c r="G124" s="232"/>
      <c r="H124" s="164"/>
      <c r="I124" s="26"/>
      <c r="J124" s="285"/>
      <c r="K124" s="43"/>
      <c r="L124" s="253"/>
      <c r="M124" s="26"/>
    </row>
    <row r="125" spans="1:14" ht="15.75" x14ac:dyDescent="0.2">
      <c r="A125" s="20" t="s">
        <v>320</v>
      </c>
      <c r="B125" s="232"/>
      <c r="C125" s="232"/>
      <c r="D125" s="164"/>
      <c r="E125" s="26"/>
      <c r="F125" s="232"/>
      <c r="G125" s="232"/>
      <c r="H125" s="164"/>
      <c r="I125" s="26"/>
      <c r="J125" s="285"/>
      <c r="K125" s="43"/>
      <c r="L125" s="253"/>
      <c r="M125" s="26"/>
    </row>
    <row r="126" spans="1:14" ht="15.75" x14ac:dyDescent="0.2">
      <c r="A126" s="10" t="s">
        <v>321</v>
      </c>
      <c r="B126" s="44"/>
      <c r="C126" s="44"/>
      <c r="D126" s="165"/>
      <c r="E126" s="415"/>
      <c r="F126" s="44"/>
      <c r="G126" s="44"/>
      <c r="H126" s="165"/>
      <c r="I126" s="21"/>
      <c r="J126" s="286"/>
      <c r="K126" s="44"/>
      <c r="L126" s="254"/>
      <c r="M126" s="21"/>
    </row>
    <row r="127" spans="1:14" x14ac:dyDescent="0.2">
      <c r="A127" s="153"/>
      <c r="L127" s="25"/>
      <c r="M127" s="25"/>
      <c r="N127" s="25"/>
    </row>
    <row r="128" spans="1:14" x14ac:dyDescent="0.2">
      <c r="L128" s="25"/>
      <c r="M128" s="25"/>
      <c r="N128" s="25"/>
    </row>
    <row r="129" spans="1:15" ht="15.75" x14ac:dyDescent="0.25">
      <c r="A129" s="163" t="s">
        <v>30</v>
      </c>
    </row>
    <row r="130" spans="1:15" ht="15.75" x14ac:dyDescent="0.25">
      <c r="B130" s="963"/>
      <c r="C130" s="963"/>
      <c r="D130" s="963"/>
      <c r="E130" s="297"/>
      <c r="F130" s="963"/>
      <c r="G130" s="963"/>
      <c r="H130" s="963"/>
      <c r="I130" s="297"/>
      <c r="J130" s="963"/>
      <c r="K130" s="963"/>
      <c r="L130" s="963"/>
      <c r="M130" s="297"/>
    </row>
    <row r="131" spans="1:15" s="3" customFormat="1" x14ac:dyDescent="0.2">
      <c r="A131" s="142"/>
      <c r="B131" s="960" t="s">
        <v>0</v>
      </c>
      <c r="C131" s="961"/>
      <c r="D131" s="961"/>
      <c r="E131" s="299"/>
      <c r="F131" s="960" t="s">
        <v>1</v>
      </c>
      <c r="G131" s="961"/>
      <c r="H131" s="961"/>
      <c r="I131" s="302"/>
      <c r="J131" s="960" t="s">
        <v>2</v>
      </c>
      <c r="K131" s="961"/>
      <c r="L131" s="961"/>
      <c r="M131" s="302"/>
      <c r="N131" s="146"/>
      <c r="O131" s="146"/>
    </row>
    <row r="132" spans="1:15" s="3" customFormat="1" x14ac:dyDescent="0.2">
      <c r="A132" s="139"/>
      <c r="B132" s="150" t="s">
        <v>504</v>
      </c>
      <c r="C132" s="150" t="s">
        <v>505</v>
      </c>
      <c r="D132" s="243" t="s">
        <v>3</v>
      </c>
      <c r="E132" s="303" t="s">
        <v>32</v>
      </c>
      <c r="F132" s="150" t="s">
        <v>504</v>
      </c>
      <c r="G132" s="150" t="s">
        <v>505</v>
      </c>
      <c r="H132" s="204" t="s">
        <v>3</v>
      </c>
      <c r="I132" s="160" t="s">
        <v>32</v>
      </c>
      <c r="J132" s="244" t="s">
        <v>504</v>
      </c>
      <c r="K132" s="244" t="s">
        <v>505</v>
      </c>
      <c r="L132" s="245" t="s">
        <v>3</v>
      </c>
      <c r="M132" s="160" t="s">
        <v>32</v>
      </c>
      <c r="N132" s="146"/>
      <c r="O132" s="146"/>
    </row>
    <row r="133" spans="1:15" s="3" customFormat="1" x14ac:dyDescent="0.2">
      <c r="A133" s="934"/>
      <c r="B133" s="154"/>
      <c r="C133" s="154"/>
      <c r="D133" s="245" t="s">
        <v>4</v>
      </c>
      <c r="E133" s="154" t="s">
        <v>33</v>
      </c>
      <c r="F133" s="159"/>
      <c r="G133" s="159"/>
      <c r="H133" s="204" t="s">
        <v>4</v>
      </c>
      <c r="I133" s="154" t="s">
        <v>33</v>
      </c>
      <c r="J133" s="154"/>
      <c r="K133" s="154"/>
      <c r="L133" s="148" t="s">
        <v>4</v>
      </c>
      <c r="M133" s="154" t="s">
        <v>33</v>
      </c>
      <c r="N133" s="146"/>
      <c r="O133" s="146"/>
    </row>
    <row r="134" spans="1:15" s="3" customFormat="1" ht="15.75" x14ac:dyDescent="0.2">
      <c r="A134" s="14" t="s">
        <v>323</v>
      </c>
      <c r="B134" s="234"/>
      <c r="C134" s="307"/>
      <c r="D134" s="348"/>
      <c r="E134" s="11"/>
      <c r="F134" s="314"/>
      <c r="G134" s="315"/>
      <c r="H134" s="428"/>
      <c r="I134" s="23"/>
      <c r="J134" s="316"/>
      <c r="K134" s="316"/>
      <c r="L134" s="424"/>
      <c r="M134" s="11"/>
      <c r="N134" s="146"/>
      <c r="O134" s="146"/>
    </row>
    <row r="135" spans="1:15" s="3" customFormat="1" ht="15.75" x14ac:dyDescent="0.2">
      <c r="A135" s="13" t="s">
        <v>324</v>
      </c>
      <c r="B135" s="234"/>
      <c r="C135" s="307"/>
      <c r="D135" s="169"/>
      <c r="E135" s="11"/>
      <c r="F135" s="234"/>
      <c r="G135" s="307"/>
      <c r="H135" s="429"/>
      <c r="I135" s="23"/>
      <c r="J135" s="306"/>
      <c r="K135" s="306"/>
      <c r="L135" s="425"/>
      <c r="M135" s="11"/>
      <c r="N135" s="146"/>
      <c r="O135" s="146"/>
    </row>
    <row r="136" spans="1:15" s="3" customFormat="1" ht="15.75" x14ac:dyDescent="0.2">
      <c r="A136" s="13" t="s">
        <v>325</v>
      </c>
      <c r="B136" s="234"/>
      <c r="C136" s="307"/>
      <c r="D136" s="169"/>
      <c r="E136" s="11"/>
      <c r="F136" s="234"/>
      <c r="G136" s="307"/>
      <c r="H136" s="429"/>
      <c r="I136" s="23"/>
      <c r="J136" s="306"/>
      <c r="K136" s="306"/>
      <c r="L136" s="425"/>
      <c r="M136" s="11"/>
      <c r="N136" s="146"/>
      <c r="O136" s="146"/>
    </row>
    <row r="137" spans="1:15" s="3" customFormat="1" ht="15.75" x14ac:dyDescent="0.2">
      <c r="A137" s="40" t="s">
        <v>326</v>
      </c>
      <c r="B137" s="274"/>
      <c r="C137" s="313"/>
      <c r="D137" s="167"/>
      <c r="E137" s="9"/>
      <c r="F137" s="274"/>
      <c r="G137" s="313"/>
      <c r="H137" s="430"/>
      <c r="I137" s="35"/>
      <c r="J137" s="312"/>
      <c r="K137" s="312"/>
      <c r="L137" s="426"/>
      <c r="M137" s="35"/>
      <c r="N137" s="146"/>
      <c r="O137" s="146"/>
    </row>
    <row r="138" spans="1:15" s="3" customFormat="1" x14ac:dyDescent="0.2">
      <c r="A138" s="166"/>
      <c r="B138" s="32"/>
      <c r="C138" s="32"/>
      <c r="D138" s="157"/>
      <c r="E138" s="157"/>
      <c r="F138" s="32"/>
      <c r="G138" s="32"/>
      <c r="H138" s="157"/>
      <c r="I138" s="157"/>
      <c r="J138" s="32"/>
      <c r="K138" s="32"/>
      <c r="L138" s="157"/>
      <c r="M138" s="157"/>
      <c r="N138" s="146"/>
      <c r="O138" s="146"/>
    </row>
    <row r="139" spans="1:15" x14ac:dyDescent="0.2">
      <c r="A139" s="166"/>
      <c r="B139" s="32"/>
      <c r="C139" s="32"/>
      <c r="D139" s="157"/>
      <c r="E139" s="157"/>
      <c r="F139" s="32"/>
      <c r="G139" s="32"/>
      <c r="H139" s="157"/>
      <c r="I139" s="157"/>
      <c r="J139" s="32"/>
      <c r="K139" s="32"/>
      <c r="L139" s="157"/>
      <c r="M139" s="157"/>
      <c r="N139" s="146"/>
    </row>
    <row r="140" spans="1:15" x14ac:dyDescent="0.2">
      <c r="A140" s="166"/>
      <c r="B140" s="32"/>
      <c r="C140" s="32"/>
      <c r="D140" s="157"/>
      <c r="E140" s="157"/>
      <c r="F140" s="32"/>
      <c r="G140" s="32"/>
      <c r="H140" s="157"/>
      <c r="I140" s="157"/>
      <c r="J140" s="32"/>
      <c r="K140" s="32"/>
      <c r="L140" s="157"/>
      <c r="M140" s="157"/>
      <c r="N140" s="146"/>
    </row>
    <row r="141" spans="1:15" x14ac:dyDescent="0.2">
      <c r="A141" s="144"/>
      <c r="B141" s="144"/>
      <c r="C141" s="144"/>
      <c r="D141" s="144"/>
      <c r="E141" s="144"/>
      <c r="F141" s="144"/>
      <c r="G141" s="144"/>
      <c r="H141" s="144"/>
      <c r="I141" s="144"/>
      <c r="J141" s="144"/>
      <c r="K141" s="144"/>
      <c r="L141" s="144"/>
      <c r="M141" s="144"/>
      <c r="N141" s="144"/>
    </row>
    <row r="142" spans="1:15" ht="15.75" x14ac:dyDescent="0.25">
      <c r="B142" s="140"/>
      <c r="C142" s="140"/>
      <c r="D142" s="140"/>
      <c r="E142" s="140"/>
      <c r="F142" s="140"/>
      <c r="G142" s="140"/>
      <c r="H142" s="140"/>
      <c r="I142" s="140"/>
      <c r="J142" s="140"/>
      <c r="K142" s="140"/>
      <c r="L142" s="140"/>
      <c r="M142" s="140"/>
      <c r="N142" s="140"/>
    </row>
    <row r="143" spans="1:15" ht="15.75" x14ac:dyDescent="0.25">
      <c r="B143" s="155"/>
      <c r="C143" s="155"/>
      <c r="D143" s="155"/>
      <c r="E143" s="155"/>
      <c r="F143" s="155"/>
      <c r="G143" s="155"/>
      <c r="H143" s="155"/>
      <c r="I143" s="155"/>
      <c r="J143" s="155"/>
      <c r="K143" s="155"/>
      <c r="L143" s="155"/>
      <c r="M143" s="155"/>
      <c r="N143" s="155"/>
      <c r="O143" s="152"/>
    </row>
    <row r="144" spans="1:15" ht="15.75" x14ac:dyDescent="0.25">
      <c r="B144" s="155"/>
      <c r="C144" s="155"/>
      <c r="D144" s="155"/>
      <c r="E144" s="155"/>
      <c r="F144" s="155"/>
      <c r="G144" s="155"/>
      <c r="H144" s="155"/>
      <c r="I144" s="155"/>
      <c r="J144" s="155"/>
      <c r="K144" s="155"/>
      <c r="L144" s="155"/>
      <c r="M144" s="155"/>
      <c r="N144" s="155"/>
      <c r="O144" s="152"/>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890" priority="132">
      <formula>kvartal &lt; 4</formula>
    </cfRule>
  </conditionalFormatting>
  <conditionalFormatting sqref="B30">
    <cfRule type="expression" dxfId="889" priority="130">
      <formula>kvartal &lt; 4</formula>
    </cfRule>
  </conditionalFormatting>
  <conditionalFormatting sqref="B31">
    <cfRule type="expression" dxfId="888" priority="129">
      <formula>kvartal &lt; 4</formula>
    </cfRule>
  </conditionalFormatting>
  <conditionalFormatting sqref="B32:B33">
    <cfRule type="expression" dxfId="887" priority="128">
      <formula>kvartal &lt; 4</formula>
    </cfRule>
  </conditionalFormatting>
  <conditionalFormatting sqref="C30">
    <cfRule type="expression" dxfId="886" priority="127">
      <formula>kvartal &lt; 4</formula>
    </cfRule>
  </conditionalFormatting>
  <conditionalFormatting sqref="C31">
    <cfRule type="expression" dxfId="885" priority="126">
      <formula>kvartal &lt; 4</formula>
    </cfRule>
  </conditionalFormatting>
  <conditionalFormatting sqref="C32:C33">
    <cfRule type="expression" dxfId="884" priority="125">
      <formula>kvartal &lt; 4</formula>
    </cfRule>
  </conditionalFormatting>
  <conditionalFormatting sqref="B23:C26">
    <cfRule type="expression" dxfId="883" priority="124">
      <formula>kvartal &lt; 4</formula>
    </cfRule>
  </conditionalFormatting>
  <conditionalFormatting sqref="F23:G26">
    <cfRule type="expression" dxfId="882" priority="120">
      <formula>kvartal &lt; 4</formula>
    </cfRule>
  </conditionalFormatting>
  <conditionalFormatting sqref="F30">
    <cfRule type="expression" dxfId="881" priority="113">
      <formula>kvartal &lt; 4</formula>
    </cfRule>
  </conditionalFormatting>
  <conditionalFormatting sqref="F31">
    <cfRule type="expression" dxfId="880" priority="112">
      <formula>kvartal &lt; 4</formula>
    </cfRule>
  </conditionalFormatting>
  <conditionalFormatting sqref="F32:F33">
    <cfRule type="expression" dxfId="879" priority="111">
      <formula>kvartal &lt; 4</formula>
    </cfRule>
  </conditionalFormatting>
  <conditionalFormatting sqref="G30">
    <cfRule type="expression" dxfId="878" priority="110">
      <formula>kvartal &lt; 4</formula>
    </cfRule>
  </conditionalFormatting>
  <conditionalFormatting sqref="G31">
    <cfRule type="expression" dxfId="877" priority="109">
      <formula>kvartal &lt; 4</formula>
    </cfRule>
  </conditionalFormatting>
  <conditionalFormatting sqref="G32:G33">
    <cfRule type="expression" dxfId="876" priority="108">
      <formula>kvartal &lt; 4</formula>
    </cfRule>
  </conditionalFormatting>
  <conditionalFormatting sqref="B27">
    <cfRule type="expression" dxfId="875" priority="107">
      <formula>kvartal &lt; 4</formula>
    </cfRule>
  </conditionalFormatting>
  <conditionalFormatting sqref="C27">
    <cfRule type="expression" dxfId="874" priority="106">
      <formula>kvartal &lt; 4</formula>
    </cfRule>
  </conditionalFormatting>
  <conditionalFormatting sqref="F27">
    <cfRule type="expression" dxfId="873" priority="105">
      <formula>kvartal &lt; 4</formula>
    </cfRule>
  </conditionalFormatting>
  <conditionalFormatting sqref="G27">
    <cfRule type="expression" dxfId="872" priority="104">
      <formula>kvartal &lt; 4</formula>
    </cfRule>
  </conditionalFormatting>
  <conditionalFormatting sqref="J23:K27">
    <cfRule type="expression" dxfId="871" priority="103">
      <formula>kvartal &lt; 4</formula>
    </cfRule>
  </conditionalFormatting>
  <conditionalFormatting sqref="J30:K33">
    <cfRule type="expression" dxfId="870" priority="101">
      <formula>kvartal &lt; 4</formula>
    </cfRule>
  </conditionalFormatting>
  <conditionalFormatting sqref="B69">
    <cfRule type="expression" dxfId="869" priority="100">
      <formula>kvartal &lt; 4</formula>
    </cfRule>
  </conditionalFormatting>
  <conditionalFormatting sqref="C69">
    <cfRule type="expression" dxfId="868" priority="99">
      <formula>kvartal &lt; 4</formula>
    </cfRule>
  </conditionalFormatting>
  <conditionalFormatting sqref="B72">
    <cfRule type="expression" dxfId="867" priority="98">
      <formula>kvartal &lt; 4</formula>
    </cfRule>
  </conditionalFormatting>
  <conditionalFormatting sqref="C72">
    <cfRule type="expression" dxfId="866" priority="97">
      <formula>kvartal &lt; 4</formula>
    </cfRule>
  </conditionalFormatting>
  <conditionalFormatting sqref="B80">
    <cfRule type="expression" dxfId="865" priority="96">
      <formula>kvartal &lt; 4</formula>
    </cfRule>
  </conditionalFormatting>
  <conditionalFormatting sqref="C80">
    <cfRule type="expression" dxfId="864" priority="95">
      <formula>kvartal &lt; 4</formula>
    </cfRule>
  </conditionalFormatting>
  <conditionalFormatting sqref="B83">
    <cfRule type="expression" dxfId="863" priority="94">
      <formula>kvartal &lt; 4</formula>
    </cfRule>
  </conditionalFormatting>
  <conditionalFormatting sqref="C83">
    <cfRule type="expression" dxfId="862" priority="93">
      <formula>kvartal &lt; 4</formula>
    </cfRule>
  </conditionalFormatting>
  <conditionalFormatting sqref="B90">
    <cfRule type="expression" dxfId="861" priority="84">
      <formula>kvartal &lt; 4</formula>
    </cfRule>
  </conditionalFormatting>
  <conditionalFormatting sqref="C90">
    <cfRule type="expression" dxfId="860" priority="83">
      <formula>kvartal &lt; 4</formula>
    </cfRule>
  </conditionalFormatting>
  <conditionalFormatting sqref="B93">
    <cfRule type="expression" dxfId="859" priority="82">
      <formula>kvartal &lt; 4</formula>
    </cfRule>
  </conditionalFormatting>
  <conditionalFormatting sqref="C93">
    <cfRule type="expression" dxfId="858" priority="81">
      <formula>kvartal &lt; 4</formula>
    </cfRule>
  </conditionalFormatting>
  <conditionalFormatting sqref="B101">
    <cfRule type="expression" dxfId="857" priority="80">
      <formula>kvartal &lt; 4</formula>
    </cfRule>
  </conditionalFormatting>
  <conditionalFormatting sqref="C101">
    <cfRule type="expression" dxfId="856" priority="79">
      <formula>kvartal &lt; 4</formula>
    </cfRule>
  </conditionalFormatting>
  <conditionalFormatting sqref="B104">
    <cfRule type="expression" dxfId="855" priority="78">
      <formula>kvartal &lt; 4</formula>
    </cfRule>
  </conditionalFormatting>
  <conditionalFormatting sqref="C104">
    <cfRule type="expression" dxfId="854" priority="77">
      <formula>kvartal &lt; 4</formula>
    </cfRule>
  </conditionalFormatting>
  <conditionalFormatting sqref="B115">
    <cfRule type="expression" dxfId="853" priority="76">
      <formula>kvartal &lt; 4</formula>
    </cfRule>
  </conditionalFormatting>
  <conditionalFormatting sqref="C115">
    <cfRule type="expression" dxfId="852" priority="75">
      <formula>kvartal &lt; 4</formula>
    </cfRule>
  </conditionalFormatting>
  <conditionalFormatting sqref="B123">
    <cfRule type="expression" dxfId="851" priority="74">
      <formula>kvartal &lt; 4</formula>
    </cfRule>
  </conditionalFormatting>
  <conditionalFormatting sqref="C123">
    <cfRule type="expression" dxfId="850" priority="73">
      <formula>kvartal &lt; 4</formula>
    </cfRule>
  </conditionalFormatting>
  <conditionalFormatting sqref="F70">
    <cfRule type="expression" dxfId="849" priority="72">
      <formula>kvartal &lt; 4</formula>
    </cfRule>
  </conditionalFormatting>
  <conditionalFormatting sqref="G70">
    <cfRule type="expression" dxfId="848" priority="71">
      <formula>kvartal &lt; 4</formula>
    </cfRule>
  </conditionalFormatting>
  <conditionalFormatting sqref="F71:G71">
    <cfRule type="expression" dxfId="847" priority="70">
      <formula>kvartal &lt; 4</formula>
    </cfRule>
  </conditionalFormatting>
  <conditionalFormatting sqref="F73:G74">
    <cfRule type="expression" dxfId="846" priority="69">
      <formula>kvartal &lt; 4</formula>
    </cfRule>
  </conditionalFormatting>
  <conditionalFormatting sqref="F81:G82">
    <cfRule type="expression" dxfId="845" priority="68">
      <formula>kvartal &lt; 4</formula>
    </cfRule>
  </conditionalFormatting>
  <conditionalFormatting sqref="F84:G85">
    <cfRule type="expression" dxfId="844" priority="67">
      <formula>kvartal &lt; 4</formula>
    </cfRule>
  </conditionalFormatting>
  <conditionalFormatting sqref="F91:G92">
    <cfRule type="expression" dxfId="843" priority="62">
      <formula>kvartal &lt; 4</formula>
    </cfRule>
  </conditionalFormatting>
  <conditionalFormatting sqref="F94:G95">
    <cfRule type="expression" dxfId="842" priority="61">
      <formula>kvartal &lt; 4</formula>
    </cfRule>
  </conditionalFormatting>
  <conditionalFormatting sqref="F102:G103">
    <cfRule type="expression" dxfId="841" priority="60">
      <formula>kvartal &lt; 4</formula>
    </cfRule>
  </conditionalFormatting>
  <conditionalFormatting sqref="F105:G106">
    <cfRule type="expression" dxfId="840" priority="59">
      <formula>kvartal &lt; 4</formula>
    </cfRule>
  </conditionalFormatting>
  <conditionalFormatting sqref="F115">
    <cfRule type="expression" dxfId="839" priority="58">
      <formula>kvartal &lt; 4</formula>
    </cfRule>
  </conditionalFormatting>
  <conditionalFormatting sqref="G115">
    <cfRule type="expression" dxfId="838" priority="57">
      <formula>kvartal &lt; 4</formula>
    </cfRule>
  </conditionalFormatting>
  <conditionalFormatting sqref="F123:G123">
    <cfRule type="expression" dxfId="837" priority="56">
      <formula>kvartal &lt; 4</formula>
    </cfRule>
  </conditionalFormatting>
  <conditionalFormatting sqref="F69:G69">
    <cfRule type="expression" dxfId="836" priority="55">
      <formula>kvartal &lt; 4</formula>
    </cfRule>
  </conditionalFormatting>
  <conditionalFormatting sqref="F72:G72">
    <cfRule type="expression" dxfId="835" priority="54">
      <formula>kvartal &lt; 4</formula>
    </cfRule>
  </conditionalFormatting>
  <conditionalFormatting sqref="F80:G80">
    <cfRule type="expression" dxfId="834" priority="53">
      <formula>kvartal &lt; 4</formula>
    </cfRule>
  </conditionalFormatting>
  <conditionalFormatting sqref="F83:G83">
    <cfRule type="expression" dxfId="833" priority="52">
      <formula>kvartal &lt; 4</formula>
    </cfRule>
  </conditionalFormatting>
  <conditionalFormatting sqref="F90:G90">
    <cfRule type="expression" dxfId="832" priority="46">
      <formula>kvartal &lt; 4</formula>
    </cfRule>
  </conditionalFormatting>
  <conditionalFormatting sqref="F93">
    <cfRule type="expression" dxfId="831" priority="45">
      <formula>kvartal &lt; 4</formula>
    </cfRule>
  </conditionalFormatting>
  <conditionalFormatting sqref="G93">
    <cfRule type="expression" dxfId="830" priority="44">
      <formula>kvartal &lt; 4</formula>
    </cfRule>
  </conditionalFormatting>
  <conditionalFormatting sqref="F101">
    <cfRule type="expression" dxfId="829" priority="43">
      <formula>kvartal &lt; 4</formula>
    </cfRule>
  </conditionalFormatting>
  <conditionalFormatting sqref="G101">
    <cfRule type="expression" dxfId="828" priority="42">
      <formula>kvartal &lt; 4</formula>
    </cfRule>
  </conditionalFormatting>
  <conditionalFormatting sqref="G104">
    <cfRule type="expression" dxfId="827" priority="41">
      <formula>kvartal &lt; 4</formula>
    </cfRule>
  </conditionalFormatting>
  <conditionalFormatting sqref="F104">
    <cfRule type="expression" dxfId="826" priority="40">
      <formula>kvartal &lt; 4</formula>
    </cfRule>
  </conditionalFormatting>
  <conditionalFormatting sqref="J69:K73">
    <cfRule type="expression" dxfId="825" priority="39">
      <formula>kvartal &lt; 4</formula>
    </cfRule>
  </conditionalFormatting>
  <conditionalFormatting sqref="J74:K74">
    <cfRule type="expression" dxfId="824" priority="38">
      <formula>kvartal &lt; 4</formula>
    </cfRule>
  </conditionalFormatting>
  <conditionalFormatting sqref="J80:K85">
    <cfRule type="expression" dxfId="823" priority="37">
      <formula>kvartal &lt; 4</formula>
    </cfRule>
  </conditionalFormatting>
  <conditionalFormatting sqref="J90:K95">
    <cfRule type="expression" dxfId="822" priority="34">
      <formula>kvartal &lt; 4</formula>
    </cfRule>
  </conditionalFormatting>
  <conditionalFormatting sqref="J101:K106">
    <cfRule type="expression" dxfId="821" priority="33">
      <formula>kvartal &lt; 4</formula>
    </cfRule>
  </conditionalFormatting>
  <conditionalFormatting sqref="J115:K115">
    <cfRule type="expression" dxfId="820" priority="32">
      <formula>kvartal &lt; 4</formula>
    </cfRule>
  </conditionalFormatting>
  <conditionalFormatting sqref="J123:K123">
    <cfRule type="expression" dxfId="819" priority="31">
      <formula>kvartal &lt; 4</formula>
    </cfRule>
  </conditionalFormatting>
  <conditionalFormatting sqref="A23:A26">
    <cfRule type="expression" dxfId="818" priority="15">
      <formula>kvartal &lt; 4</formula>
    </cfRule>
  </conditionalFormatting>
  <conditionalFormatting sqref="A30:A33">
    <cfRule type="expression" dxfId="817" priority="13">
      <formula>kvartal &lt; 4</formula>
    </cfRule>
  </conditionalFormatting>
  <conditionalFormatting sqref="A50:A52">
    <cfRule type="expression" dxfId="816" priority="12">
      <formula>kvartal &lt; 4</formula>
    </cfRule>
  </conditionalFormatting>
  <conditionalFormatting sqref="A69:A74">
    <cfRule type="expression" dxfId="815" priority="10">
      <formula>kvartal &lt; 4</formula>
    </cfRule>
  </conditionalFormatting>
  <conditionalFormatting sqref="A80:A85">
    <cfRule type="expression" dxfId="814" priority="9">
      <formula>kvartal &lt; 4</formula>
    </cfRule>
  </conditionalFormatting>
  <conditionalFormatting sqref="A90:A95">
    <cfRule type="expression" dxfId="813" priority="6">
      <formula>kvartal &lt; 4</formula>
    </cfRule>
  </conditionalFormatting>
  <conditionalFormatting sqref="A101:A106">
    <cfRule type="expression" dxfId="812" priority="5">
      <formula>kvartal &lt; 4</formula>
    </cfRule>
  </conditionalFormatting>
  <conditionalFormatting sqref="A115">
    <cfRule type="expression" dxfId="811" priority="4">
      <formula>kvartal &lt; 4</formula>
    </cfRule>
  </conditionalFormatting>
  <conditionalFormatting sqref="A123">
    <cfRule type="expression" dxfId="810" priority="3">
      <formula>kvartal &lt; 4</formula>
    </cfRule>
  </conditionalFormatting>
  <conditionalFormatting sqref="A27">
    <cfRule type="expression" dxfId="809" priority="2">
      <formula>kvartal &lt; 4</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4"/>
  <dimension ref="A1:O144"/>
  <sheetViews>
    <sheetView showGridLines="0" zoomScale="90" zoomScaleNormal="90" workbookViewId="0"/>
  </sheetViews>
  <sheetFormatPr baseColWidth="10" defaultColWidth="11.42578125" defaultRowHeight="12.75" x14ac:dyDescent="0.2"/>
  <cols>
    <col min="1" max="1" width="41.5703125" style="147" customWidth="1"/>
    <col min="2" max="2" width="10.85546875" style="147" customWidth="1"/>
    <col min="3" max="3" width="11" style="147" customWidth="1"/>
    <col min="4" max="5" width="8.7109375" style="147" customWidth="1"/>
    <col min="6" max="7" width="10.85546875" style="147" customWidth="1"/>
    <col min="8" max="9" width="8.7109375" style="147" customWidth="1"/>
    <col min="10" max="11" width="10.85546875" style="147" customWidth="1"/>
    <col min="12" max="13" width="8.7109375" style="147" customWidth="1"/>
    <col min="14" max="14" width="11.42578125" style="147"/>
    <col min="15" max="15" width="3" style="146" bestFit="1" customWidth="1"/>
    <col min="16" max="16384" width="11.42578125" style="1"/>
  </cols>
  <sheetData>
    <row r="1" spans="1:15" x14ac:dyDescent="0.2">
      <c r="A1" s="170" t="s">
        <v>152</v>
      </c>
      <c r="B1" s="932"/>
      <c r="C1" s="247" t="s">
        <v>145</v>
      </c>
      <c r="D1" s="25"/>
      <c r="E1" s="25"/>
      <c r="F1" s="25"/>
      <c r="G1" s="25"/>
      <c r="H1" s="25"/>
      <c r="I1" s="25"/>
      <c r="J1" s="25"/>
      <c r="K1" s="25"/>
      <c r="L1" s="25"/>
      <c r="M1" s="25"/>
      <c r="O1" s="423"/>
    </row>
    <row r="2" spans="1:15" ht="15.75" x14ac:dyDescent="0.25">
      <c r="A2" s="163" t="s">
        <v>31</v>
      </c>
      <c r="B2" s="965"/>
      <c r="C2" s="965"/>
      <c r="D2" s="965"/>
      <c r="E2" s="297"/>
      <c r="F2" s="965"/>
      <c r="G2" s="965"/>
      <c r="H2" s="965"/>
      <c r="I2" s="297"/>
      <c r="J2" s="965"/>
      <c r="K2" s="965"/>
      <c r="L2" s="965"/>
      <c r="M2" s="297"/>
    </row>
    <row r="3" spans="1:15" ht="15.75" x14ac:dyDescent="0.25">
      <c r="A3" s="161"/>
      <c r="B3" s="297"/>
      <c r="C3" s="297"/>
      <c r="D3" s="297"/>
      <c r="E3" s="297"/>
      <c r="F3" s="297"/>
      <c r="G3" s="297"/>
      <c r="H3" s="297"/>
      <c r="I3" s="297"/>
      <c r="J3" s="297"/>
      <c r="K3" s="297"/>
      <c r="L3" s="297"/>
      <c r="M3" s="297"/>
    </row>
    <row r="4" spans="1:15" x14ac:dyDescent="0.2">
      <c r="A4" s="142"/>
      <c r="B4" s="960" t="s">
        <v>0</v>
      </c>
      <c r="C4" s="961"/>
      <c r="D4" s="961"/>
      <c r="E4" s="299"/>
      <c r="F4" s="960" t="s">
        <v>1</v>
      </c>
      <c r="G4" s="961"/>
      <c r="H4" s="961"/>
      <c r="I4" s="302"/>
      <c r="J4" s="960" t="s">
        <v>2</v>
      </c>
      <c r="K4" s="961"/>
      <c r="L4" s="961"/>
      <c r="M4" s="302"/>
    </row>
    <row r="5" spans="1:15" x14ac:dyDescent="0.2">
      <c r="A5" s="156"/>
      <c r="B5" s="150" t="s">
        <v>504</v>
      </c>
      <c r="C5" s="150" t="s">
        <v>505</v>
      </c>
      <c r="D5" s="243" t="s">
        <v>3</v>
      </c>
      <c r="E5" s="303" t="s">
        <v>32</v>
      </c>
      <c r="F5" s="150" t="s">
        <v>504</v>
      </c>
      <c r="G5" s="150" t="s">
        <v>505</v>
      </c>
      <c r="H5" s="243" t="s">
        <v>3</v>
      </c>
      <c r="I5" s="160" t="s">
        <v>32</v>
      </c>
      <c r="J5" s="150" t="s">
        <v>504</v>
      </c>
      <c r="K5" s="150" t="s">
        <v>505</v>
      </c>
      <c r="L5" s="243" t="s">
        <v>3</v>
      </c>
      <c r="M5" s="160" t="s">
        <v>32</v>
      </c>
      <c r="O5" s="931"/>
    </row>
    <row r="6" spans="1:15" x14ac:dyDescent="0.2">
      <c r="A6" s="933"/>
      <c r="B6" s="154"/>
      <c r="C6" s="154"/>
      <c r="D6" s="245" t="s">
        <v>4</v>
      </c>
      <c r="E6" s="154" t="s">
        <v>33</v>
      </c>
      <c r="F6" s="159"/>
      <c r="G6" s="159"/>
      <c r="H6" s="243" t="s">
        <v>4</v>
      </c>
      <c r="I6" s="154" t="s">
        <v>33</v>
      </c>
      <c r="J6" s="159"/>
      <c r="K6" s="159"/>
      <c r="L6" s="243" t="s">
        <v>4</v>
      </c>
      <c r="M6" s="154" t="s">
        <v>33</v>
      </c>
    </row>
    <row r="7" spans="1:15" ht="15.75" x14ac:dyDescent="0.2">
      <c r="A7" s="14" t="s">
        <v>26</v>
      </c>
      <c r="B7" s="304"/>
      <c r="C7" s="305"/>
      <c r="D7" s="348"/>
      <c r="E7" s="11"/>
      <c r="F7" s="304"/>
      <c r="G7" s="305"/>
      <c r="H7" s="348"/>
      <c r="I7" s="158"/>
      <c r="J7" s="306"/>
      <c r="K7" s="307"/>
      <c r="L7" s="424"/>
      <c r="M7" s="11"/>
    </row>
    <row r="8" spans="1:15" ht="15.75" x14ac:dyDescent="0.2">
      <c r="A8" s="20" t="s">
        <v>28</v>
      </c>
      <c r="B8" s="279"/>
      <c r="C8" s="280"/>
      <c r="D8" s="164"/>
      <c r="E8" s="26"/>
      <c r="F8" s="283"/>
      <c r="G8" s="284"/>
      <c r="H8" s="164"/>
      <c r="I8" s="174"/>
      <c r="J8" s="232"/>
      <c r="K8" s="285"/>
      <c r="L8" s="164"/>
      <c r="M8" s="26"/>
    </row>
    <row r="9" spans="1:15" ht="15.75" x14ac:dyDescent="0.2">
      <c r="A9" s="20" t="s">
        <v>27</v>
      </c>
      <c r="B9" s="279"/>
      <c r="C9" s="280"/>
      <c r="D9" s="164"/>
      <c r="E9" s="26"/>
      <c r="F9" s="283"/>
      <c r="G9" s="284"/>
      <c r="H9" s="164"/>
      <c r="I9" s="174"/>
      <c r="J9" s="232"/>
      <c r="K9" s="285"/>
      <c r="L9" s="164"/>
      <c r="M9" s="26"/>
    </row>
    <row r="10" spans="1:15" ht="15.75" x14ac:dyDescent="0.2">
      <c r="A10" s="13" t="s">
        <v>25</v>
      </c>
      <c r="B10" s="308"/>
      <c r="C10" s="309"/>
      <c r="D10" s="169"/>
      <c r="E10" s="11"/>
      <c r="F10" s="308"/>
      <c r="G10" s="309"/>
      <c r="H10" s="169"/>
      <c r="I10" s="158"/>
      <c r="J10" s="306"/>
      <c r="K10" s="307"/>
      <c r="L10" s="425"/>
      <c r="M10" s="11"/>
    </row>
    <row r="11" spans="1:15" s="42" customFormat="1" ht="15.75" x14ac:dyDescent="0.2">
      <c r="A11" s="13" t="s">
        <v>24</v>
      </c>
      <c r="B11" s="308"/>
      <c r="C11" s="309"/>
      <c r="D11" s="169"/>
      <c r="E11" s="11"/>
      <c r="F11" s="308"/>
      <c r="G11" s="309"/>
      <c r="H11" s="169"/>
      <c r="I11" s="158"/>
      <c r="J11" s="306"/>
      <c r="K11" s="307"/>
      <c r="L11" s="425"/>
      <c r="M11" s="11"/>
      <c r="N11" s="141"/>
      <c r="O11" s="146"/>
    </row>
    <row r="12" spans="1:15" s="42" customFormat="1" ht="15.75" x14ac:dyDescent="0.2">
      <c r="A12" s="40" t="s">
        <v>23</v>
      </c>
      <c r="B12" s="310"/>
      <c r="C12" s="311"/>
      <c r="D12" s="167"/>
      <c r="E12" s="35"/>
      <c r="F12" s="310"/>
      <c r="G12" s="311"/>
      <c r="H12" s="167"/>
      <c r="I12" s="167"/>
      <c r="J12" s="312"/>
      <c r="K12" s="313"/>
      <c r="L12" s="426"/>
      <c r="M12" s="35"/>
      <c r="N12" s="141"/>
      <c r="O12" s="146"/>
    </row>
    <row r="13" spans="1:15" s="42" customFormat="1" x14ac:dyDescent="0.2">
      <c r="A13" s="166"/>
      <c r="B13" s="143"/>
      <c r="C13" s="32"/>
      <c r="D13" s="157"/>
      <c r="E13" s="157"/>
      <c r="F13" s="143"/>
      <c r="G13" s="32"/>
      <c r="H13" s="157"/>
      <c r="I13" s="157"/>
      <c r="J13" s="47"/>
      <c r="K13" s="47"/>
      <c r="L13" s="157"/>
      <c r="M13" s="157"/>
      <c r="N13" s="141"/>
      <c r="O13" s="423"/>
    </row>
    <row r="14" spans="1:15" x14ac:dyDescent="0.2">
      <c r="A14" s="151" t="s">
        <v>296</v>
      </c>
      <c r="B14" s="25"/>
    </row>
    <row r="15" spans="1:15" x14ac:dyDescent="0.2">
      <c r="F15" s="144"/>
      <c r="G15" s="144"/>
      <c r="H15" s="144"/>
      <c r="I15" s="144"/>
      <c r="J15" s="144"/>
      <c r="K15" s="144"/>
      <c r="L15" s="144"/>
      <c r="M15" s="144"/>
    </row>
    <row r="16" spans="1:15" s="3" customFormat="1" ht="15.75" x14ac:dyDescent="0.25">
      <c r="A16" s="162"/>
      <c r="B16" s="146"/>
      <c r="C16" s="152"/>
      <c r="D16" s="152"/>
      <c r="E16" s="152"/>
      <c r="F16" s="152"/>
      <c r="G16" s="152"/>
      <c r="H16" s="152"/>
      <c r="I16" s="152"/>
      <c r="J16" s="152"/>
      <c r="K16" s="152"/>
      <c r="L16" s="152"/>
      <c r="M16" s="152"/>
      <c r="N16" s="146"/>
      <c r="O16" s="146"/>
    </row>
    <row r="17" spans="1:15" ht="15.75" x14ac:dyDescent="0.25">
      <c r="A17" s="145" t="s">
        <v>293</v>
      </c>
      <c r="B17" s="155"/>
      <c r="C17" s="155"/>
      <c r="D17" s="149"/>
      <c r="E17" s="149"/>
      <c r="F17" s="155"/>
      <c r="G17" s="155"/>
      <c r="H17" s="155"/>
      <c r="I17" s="155"/>
      <c r="J17" s="155"/>
      <c r="K17" s="155"/>
      <c r="L17" s="155"/>
      <c r="M17" s="155"/>
    </row>
    <row r="18" spans="1:15" ht="15.75" x14ac:dyDescent="0.25">
      <c r="B18" s="963"/>
      <c r="C18" s="963"/>
      <c r="D18" s="963"/>
      <c r="E18" s="297"/>
      <c r="F18" s="963"/>
      <c r="G18" s="963"/>
      <c r="H18" s="963"/>
      <c r="I18" s="297"/>
      <c r="J18" s="963"/>
      <c r="K18" s="963"/>
      <c r="L18" s="963"/>
      <c r="M18" s="297"/>
    </row>
    <row r="19" spans="1:15" x14ac:dyDescent="0.2">
      <c r="A19" s="142"/>
      <c r="B19" s="960" t="s">
        <v>0</v>
      </c>
      <c r="C19" s="961"/>
      <c r="D19" s="961"/>
      <c r="E19" s="299"/>
      <c r="F19" s="960" t="s">
        <v>1</v>
      </c>
      <c r="G19" s="961"/>
      <c r="H19" s="961"/>
      <c r="I19" s="302"/>
      <c r="J19" s="960" t="s">
        <v>2</v>
      </c>
      <c r="K19" s="961"/>
      <c r="L19" s="961"/>
      <c r="M19" s="302"/>
    </row>
    <row r="20" spans="1:15" x14ac:dyDescent="0.2">
      <c r="A20" s="139" t="s">
        <v>5</v>
      </c>
      <c r="B20" s="240" t="s">
        <v>504</v>
      </c>
      <c r="C20" s="240" t="s">
        <v>505</v>
      </c>
      <c r="D20" s="160" t="s">
        <v>3</v>
      </c>
      <c r="E20" s="303" t="s">
        <v>32</v>
      </c>
      <c r="F20" s="240" t="s">
        <v>504</v>
      </c>
      <c r="G20" s="240" t="s">
        <v>505</v>
      </c>
      <c r="H20" s="160" t="s">
        <v>3</v>
      </c>
      <c r="I20" s="160" t="s">
        <v>32</v>
      </c>
      <c r="J20" s="240" t="s">
        <v>504</v>
      </c>
      <c r="K20" s="240" t="s">
        <v>505</v>
      </c>
      <c r="L20" s="160" t="s">
        <v>3</v>
      </c>
      <c r="M20" s="160" t="s">
        <v>32</v>
      </c>
    </row>
    <row r="21" spans="1:15" x14ac:dyDescent="0.2">
      <c r="A21" s="934"/>
      <c r="B21" s="154"/>
      <c r="C21" s="154"/>
      <c r="D21" s="245" t="s">
        <v>4</v>
      </c>
      <c r="E21" s="154" t="s">
        <v>33</v>
      </c>
      <c r="F21" s="159"/>
      <c r="G21" s="159"/>
      <c r="H21" s="243" t="s">
        <v>4</v>
      </c>
      <c r="I21" s="154" t="s">
        <v>33</v>
      </c>
      <c r="J21" s="159"/>
      <c r="K21" s="159"/>
      <c r="L21" s="154" t="s">
        <v>4</v>
      </c>
      <c r="M21" s="154" t="s">
        <v>33</v>
      </c>
    </row>
    <row r="22" spans="1:15" ht="15.75" x14ac:dyDescent="0.2">
      <c r="A22" s="14" t="s">
        <v>26</v>
      </c>
      <c r="B22" s="314"/>
      <c r="C22" s="314"/>
      <c r="D22" s="348"/>
      <c r="E22" s="11"/>
      <c r="F22" s="314"/>
      <c r="G22" s="314"/>
      <c r="H22" s="348"/>
      <c r="I22" s="11"/>
      <c r="J22" s="314"/>
      <c r="K22" s="314"/>
      <c r="L22" s="424"/>
      <c r="M22" s="23"/>
    </row>
    <row r="23" spans="1:15" ht="15.75" x14ac:dyDescent="0.2">
      <c r="A23" s="294" t="s">
        <v>305</v>
      </c>
      <c r="B23" s="288"/>
      <c r="C23" s="288"/>
      <c r="D23" s="164"/>
      <c r="E23" s="414"/>
      <c r="F23" s="288"/>
      <c r="G23" s="288"/>
      <c r="H23" s="164"/>
      <c r="I23" s="414"/>
      <c r="J23" s="288"/>
      <c r="K23" s="288"/>
      <c r="L23" s="164"/>
      <c r="M23" s="22"/>
    </row>
    <row r="24" spans="1:15" ht="15.75" x14ac:dyDescent="0.2">
      <c r="A24" s="294" t="s">
        <v>306</v>
      </c>
      <c r="B24" s="288"/>
      <c r="C24" s="288"/>
      <c r="D24" s="164"/>
      <c r="E24" s="414"/>
      <c r="F24" s="288"/>
      <c r="G24" s="288"/>
      <c r="H24" s="164"/>
      <c r="I24" s="414"/>
      <c r="J24" s="288"/>
      <c r="K24" s="288"/>
      <c r="L24" s="164"/>
      <c r="M24" s="22"/>
    </row>
    <row r="25" spans="1:15" ht="15.75" x14ac:dyDescent="0.2">
      <c r="A25" s="294" t="s">
        <v>406</v>
      </c>
      <c r="B25" s="288"/>
      <c r="C25" s="288"/>
      <c r="D25" s="164"/>
      <c r="E25" s="414"/>
      <c r="F25" s="288"/>
      <c r="G25" s="288"/>
      <c r="H25" s="164"/>
      <c r="I25" s="414"/>
      <c r="J25" s="288"/>
      <c r="K25" s="288"/>
      <c r="L25" s="164"/>
      <c r="M25" s="22"/>
    </row>
    <row r="26" spans="1:15" ht="15.75" x14ac:dyDescent="0.2">
      <c r="A26" s="294" t="s">
        <v>307</v>
      </c>
      <c r="B26" s="288"/>
      <c r="C26" s="288"/>
      <c r="D26" s="164"/>
      <c r="E26" s="414"/>
      <c r="F26" s="288"/>
      <c r="G26" s="288"/>
      <c r="H26" s="164"/>
      <c r="I26" s="414"/>
      <c r="J26" s="288"/>
      <c r="K26" s="288"/>
      <c r="L26" s="164"/>
      <c r="M26" s="22"/>
    </row>
    <row r="27" spans="1:15" x14ac:dyDescent="0.2">
      <c r="A27" s="294" t="s">
        <v>11</v>
      </c>
      <c r="B27" s="288"/>
      <c r="C27" s="288"/>
      <c r="D27" s="164"/>
      <c r="E27" s="414"/>
      <c r="F27" s="288"/>
      <c r="G27" s="288"/>
      <c r="H27" s="164"/>
      <c r="I27" s="414"/>
      <c r="J27" s="288"/>
      <c r="K27" s="288"/>
      <c r="L27" s="164"/>
      <c r="M27" s="22"/>
    </row>
    <row r="28" spans="1:15" ht="15.75" x14ac:dyDescent="0.2">
      <c r="A28" s="48" t="s">
        <v>297</v>
      </c>
      <c r="B28" s="43"/>
      <c r="C28" s="285"/>
      <c r="D28" s="164"/>
      <c r="E28" s="26"/>
      <c r="F28" s="232"/>
      <c r="G28" s="285"/>
      <c r="H28" s="164"/>
      <c r="I28" s="26"/>
      <c r="J28" s="43"/>
      <c r="K28" s="43"/>
      <c r="L28" s="253"/>
      <c r="M28" s="22"/>
    </row>
    <row r="29" spans="1:15" s="3" customFormat="1" ht="15.75" x14ac:dyDescent="0.2">
      <c r="A29" s="13" t="s">
        <v>25</v>
      </c>
      <c r="B29" s="234"/>
      <c r="C29" s="234"/>
      <c r="D29" s="169"/>
      <c r="E29" s="11"/>
      <c r="F29" s="234"/>
      <c r="G29" s="234"/>
      <c r="H29" s="169"/>
      <c r="I29" s="11"/>
      <c r="J29" s="234"/>
      <c r="K29" s="234"/>
      <c r="L29" s="425"/>
      <c r="M29" s="23"/>
      <c r="N29" s="146"/>
      <c r="O29" s="146"/>
    </row>
    <row r="30" spans="1:15" s="3" customFormat="1" ht="15.75" x14ac:dyDescent="0.2">
      <c r="A30" s="294" t="s">
        <v>305</v>
      </c>
      <c r="B30" s="288"/>
      <c r="C30" s="288"/>
      <c r="D30" s="164"/>
      <c r="E30" s="414"/>
      <c r="F30" s="288"/>
      <c r="G30" s="288"/>
      <c r="H30" s="164"/>
      <c r="I30" s="414"/>
      <c r="J30" s="288"/>
      <c r="K30" s="288"/>
      <c r="L30" s="164"/>
      <c r="M30" s="22"/>
      <c r="N30" s="146"/>
      <c r="O30" s="146"/>
    </row>
    <row r="31" spans="1:15" s="3" customFormat="1" ht="15.75" x14ac:dyDescent="0.2">
      <c r="A31" s="294" t="s">
        <v>306</v>
      </c>
      <c r="B31" s="288"/>
      <c r="C31" s="288"/>
      <c r="D31" s="164"/>
      <c r="E31" s="414"/>
      <c r="F31" s="288"/>
      <c r="G31" s="288"/>
      <c r="H31" s="164"/>
      <c r="I31" s="414"/>
      <c r="J31" s="288"/>
      <c r="K31" s="288"/>
      <c r="L31" s="164"/>
      <c r="M31" s="22"/>
      <c r="N31" s="146"/>
      <c r="O31" s="146"/>
    </row>
    <row r="32" spans="1:15" ht="15.75" x14ac:dyDescent="0.2">
      <c r="A32" s="294" t="s">
        <v>406</v>
      </c>
      <c r="B32" s="288"/>
      <c r="C32" s="288"/>
      <c r="D32" s="164"/>
      <c r="E32" s="414"/>
      <c r="F32" s="288"/>
      <c r="G32" s="288"/>
      <c r="H32" s="164"/>
      <c r="I32" s="414"/>
      <c r="J32" s="288"/>
      <c r="K32" s="288"/>
      <c r="L32" s="164"/>
      <c r="M32" s="22"/>
    </row>
    <row r="33" spans="1:15" ht="15.75" x14ac:dyDescent="0.2">
      <c r="A33" s="294" t="s">
        <v>307</v>
      </c>
      <c r="B33" s="288"/>
      <c r="C33" s="288"/>
      <c r="D33" s="164"/>
      <c r="E33" s="414"/>
      <c r="F33" s="288"/>
      <c r="G33" s="288"/>
      <c r="H33" s="164"/>
      <c r="I33" s="414"/>
      <c r="J33" s="288"/>
      <c r="K33" s="288"/>
      <c r="L33" s="164"/>
      <c r="M33" s="22"/>
    </row>
    <row r="34" spans="1:15" ht="15.75" x14ac:dyDescent="0.2">
      <c r="A34" s="13" t="s">
        <v>24</v>
      </c>
      <c r="B34" s="234"/>
      <c r="C34" s="307"/>
      <c r="D34" s="169"/>
      <c r="E34" s="11"/>
      <c r="F34" s="306"/>
      <c r="G34" s="307"/>
      <c r="H34" s="169"/>
      <c r="I34" s="11"/>
      <c r="J34" s="234"/>
      <c r="K34" s="234"/>
      <c r="L34" s="425"/>
      <c r="M34" s="23"/>
    </row>
    <row r="35" spans="1:15" ht="15.75" x14ac:dyDescent="0.2">
      <c r="A35" s="13" t="s">
        <v>23</v>
      </c>
      <c r="B35" s="234"/>
      <c r="C35" s="307"/>
      <c r="D35" s="169"/>
      <c r="E35" s="11"/>
      <c r="F35" s="306"/>
      <c r="G35" s="307"/>
      <c r="H35" s="169"/>
      <c r="I35" s="11"/>
      <c r="J35" s="234"/>
      <c r="K35" s="234"/>
      <c r="L35" s="425"/>
      <c r="M35" s="23"/>
    </row>
    <row r="36" spans="1:15" ht="15.75" x14ac:dyDescent="0.2">
      <c r="A36" s="12" t="s">
        <v>308</v>
      </c>
      <c r="B36" s="234"/>
      <c r="C36" s="307"/>
      <c r="D36" s="169"/>
      <c r="E36" s="11"/>
      <c r="F36" s="317"/>
      <c r="G36" s="318"/>
      <c r="H36" s="169"/>
      <c r="I36" s="431"/>
      <c r="J36" s="234"/>
      <c r="K36" s="234"/>
      <c r="L36" s="425"/>
      <c r="M36" s="23"/>
    </row>
    <row r="37" spans="1:15" ht="15.75" x14ac:dyDescent="0.2">
      <c r="A37" s="12" t="s">
        <v>309</v>
      </c>
      <c r="B37" s="234"/>
      <c r="C37" s="307"/>
      <c r="D37" s="169"/>
      <c r="E37" s="11"/>
      <c r="F37" s="317"/>
      <c r="G37" s="319"/>
      <c r="H37" s="169"/>
      <c r="I37" s="431"/>
      <c r="J37" s="234"/>
      <c r="K37" s="234"/>
      <c r="L37" s="425"/>
      <c r="M37" s="23"/>
    </row>
    <row r="38" spans="1:15" ht="15.75" x14ac:dyDescent="0.2">
      <c r="A38" s="12" t="s">
        <v>310</v>
      </c>
      <c r="B38" s="234"/>
      <c r="C38" s="307"/>
      <c r="D38" s="169"/>
      <c r="E38" s="11"/>
      <c r="F38" s="317"/>
      <c r="G38" s="318"/>
      <c r="H38" s="169"/>
      <c r="I38" s="431"/>
      <c r="J38" s="234"/>
      <c r="K38" s="234"/>
      <c r="L38" s="425"/>
      <c r="M38" s="23"/>
    </row>
    <row r="39" spans="1:15" ht="15.75" x14ac:dyDescent="0.2">
      <c r="A39" s="18" t="s">
        <v>311</v>
      </c>
      <c r="B39" s="274"/>
      <c r="C39" s="313"/>
      <c r="D39" s="167"/>
      <c r="E39" s="11"/>
      <c r="F39" s="320"/>
      <c r="G39" s="321"/>
      <c r="H39" s="167"/>
      <c r="I39" s="35"/>
      <c r="J39" s="234"/>
      <c r="K39" s="234"/>
      <c r="L39" s="426"/>
      <c r="M39" s="35"/>
    </row>
    <row r="40" spans="1:15" ht="15.75" x14ac:dyDescent="0.25">
      <c r="A40" s="46"/>
      <c r="B40" s="252"/>
      <c r="C40" s="252"/>
      <c r="D40" s="964"/>
      <c r="E40" s="964"/>
      <c r="F40" s="964"/>
      <c r="G40" s="964"/>
      <c r="H40" s="964"/>
      <c r="I40" s="964"/>
      <c r="J40" s="964"/>
      <c r="K40" s="964"/>
      <c r="L40" s="964"/>
      <c r="M40" s="300"/>
    </row>
    <row r="41" spans="1:15" x14ac:dyDescent="0.2">
      <c r="A41" s="153"/>
    </row>
    <row r="42" spans="1:15" ht="15.75" x14ac:dyDescent="0.25">
      <c r="A42" s="145" t="s">
        <v>294</v>
      </c>
      <c r="B42" s="965"/>
      <c r="C42" s="965"/>
      <c r="D42" s="965"/>
      <c r="E42" s="297"/>
      <c r="F42" s="966"/>
      <c r="G42" s="966"/>
      <c r="H42" s="966"/>
      <c r="I42" s="300"/>
      <c r="J42" s="966"/>
      <c r="K42" s="966"/>
      <c r="L42" s="966"/>
      <c r="M42" s="300"/>
    </row>
    <row r="43" spans="1:15" ht="15.75" x14ac:dyDescent="0.25">
      <c r="A43" s="161"/>
      <c r="B43" s="301"/>
      <c r="C43" s="301"/>
      <c r="D43" s="301"/>
      <c r="E43" s="301"/>
      <c r="F43" s="300"/>
      <c r="G43" s="300"/>
      <c r="H43" s="300"/>
      <c r="I43" s="300"/>
      <c r="J43" s="300"/>
      <c r="K43" s="300"/>
      <c r="L43" s="300"/>
      <c r="M43" s="300"/>
    </row>
    <row r="44" spans="1:15" ht="15.75" x14ac:dyDescent="0.25">
      <c r="A44" s="246"/>
      <c r="B44" s="960" t="s">
        <v>0</v>
      </c>
      <c r="C44" s="961"/>
      <c r="D44" s="961"/>
      <c r="E44" s="241"/>
      <c r="F44" s="300"/>
      <c r="G44" s="300"/>
      <c r="H44" s="300"/>
      <c r="I44" s="300"/>
      <c r="J44" s="300"/>
      <c r="K44" s="300"/>
      <c r="L44" s="300"/>
      <c r="M44" s="300"/>
    </row>
    <row r="45" spans="1:15" s="3" customFormat="1" x14ac:dyDescent="0.2">
      <c r="A45" s="139"/>
      <c r="B45" s="171" t="s">
        <v>504</v>
      </c>
      <c r="C45" s="171" t="s">
        <v>505</v>
      </c>
      <c r="D45" s="160" t="s">
        <v>3</v>
      </c>
      <c r="E45" s="160" t="s">
        <v>32</v>
      </c>
      <c r="F45" s="173"/>
      <c r="G45" s="173"/>
      <c r="H45" s="172"/>
      <c r="I45" s="172"/>
      <c r="J45" s="173"/>
      <c r="K45" s="173"/>
      <c r="L45" s="172"/>
      <c r="M45" s="172"/>
      <c r="N45" s="146"/>
      <c r="O45" s="146"/>
    </row>
    <row r="46" spans="1:15" s="3" customFormat="1" x14ac:dyDescent="0.2">
      <c r="A46" s="934"/>
      <c r="B46" s="242"/>
      <c r="C46" s="242"/>
      <c r="D46" s="243" t="s">
        <v>4</v>
      </c>
      <c r="E46" s="154" t="s">
        <v>33</v>
      </c>
      <c r="F46" s="172"/>
      <c r="G46" s="172"/>
      <c r="H46" s="172"/>
      <c r="I46" s="172"/>
      <c r="J46" s="172"/>
      <c r="K46" s="172"/>
      <c r="L46" s="172"/>
      <c r="M46" s="172"/>
      <c r="N46" s="146"/>
      <c r="O46" s="146"/>
    </row>
    <row r="47" spans="1:15" s="3" customFormat="1" ht="15.75" x14ac:dyDescent="0.2">
      <c r="A47" s="14" t="s">
        <v>26</v>
      </c>
      <c r="B47" s="308">
        <f>SUM(B48:B49)</f>
        <v>2338</v>
      </c>
      <c r="C47" s="309">
        <f>SUM(C48:C49)</f>
        <v>1147</v>
      </c>
      <c r="D47" s="424">
        <f t="shared" ref="D47:D57" si="0">IF(B47=0, "    ---- ", IF(ABS(ROUND(100/B47*C47-100,1))&lt;999,ROUND(100/B47*C47-100,1),IF(ROUND(100/B47*C47-100,1)&gt;999,999,-999)))</f>
        <v>-50.9</v>
      </c>
      <c r="E47" s="11">
        <f>IFERROR(100/'Skjema total MA'!C47*C47,0)</f>
        <v>3.0116178543330326E-2</v>
      </c>
      <c r="F47" s="143"/>
      <c r="G47" s="32"/>
      <c r="H47" s="157"/>
      <c r="I47" s="157"/>
      <c r="J47" s="36"/>
      <c r="K47" s="36"/>
      <c r="L47" s="157"/>
      <c r="M47" s="157"/>
      <c r="N47" s="146"/>
      <c r="O47" s="146"/>
    </row>
    <row r="48" spans="1:15" s="3" customFormat="1" ht="15.75" x14ac:dyDescent="0.2">
      <c r="A48" s="37" t="s">
        <v>312</v>
      </c>
      <c r="B48" s="279">
        <v>2338</v>
      </c>
      <c r="C48" s="280">
        <v>1147</v>
      </c>
      <c r="D48" s="253">
        <f t="shared" si="0"/>
        <v>-50.9</v>
      </c>
      <c r="E48" s="26">
        <f>IFERROR(100/'Skjema total MA'!C48*C48,0)</f>
        <v>5.5974207265034381E-2</v>
      </c>
      <c r="F48" s="143"/>
      <c r="G48" s="32"/>
      <c r="H48" s="143"/>
      <c r="I48" s="143"/>
      <c r="J48" s="32"/>
      <c r="K48" s="32"/>
      <c r="L48" s="157"/>
      <c r="M48" s="157"/>
      <c r="N48" s="146"/>
      <c r="O48" s="146"/>
    </row>
    <row r="49" spans="1:15" s="3" customFormat="1" ht="15.75" x14ac:dyDescent="0.2">
      <c r="A49" s="37" t="s">
        <v>313</v>
      </c>
      <c r="B49" s="43"/>
      <c r="C49" s="285"/>
      <c r="D49" s="253"/>
      <c r="E49" s="26"/>
      <c r="F49" s="143"/>
      <c r="G49" s="32"/>
      <c r="H49" s="143"/>
      <c r="I49" s="143"/>
      <c r="J49" s="36"/>
      <c r="K49" s="36"/>
      <c r="L49" s="157"/>
      <c r="M49" s="157"/>
      <c r="N49" s="146"/>
      <c r="O49" s="146"/>
    </row>
    <row r="50" spans="1:15" s="3" customFormat="1" x14ac:dyDescent="0.2">
      <c r="A50" s="294" t="s">
        <v>6</v>
      </c>
      <c r="B50" s="288"/>
      <c r="C50" s="289"/>
      <c r="D50" s="253"/>
      <c r="E50" s="22"/>
      <c r="F50" s="143"/>
      <c r="G50" s="32"/>
      <c r="H50" s="143"/>
      <c r="I50" s="143"/>
      <c r="J50" s="32"/>
      <c r="K50" s="32"/>
      <c r="L50" s="157"/>
      <c r="M50" s="157"/>
      <c r="N50" s="146"/>
      <c r="O50" s="146"/>
    </row>
    <row r="51" spans="1:15" s="3" customFormat="1" x14ac:dyDescent="0.2">
      <c r="A51" s="294" t="s">
        <v>7</v>
      </c>
      <c r="B51" s="288"/>
      <c r="C51" s="289"/>
      <c r="D51" s="253"/>
      <c r="E51" s="22"/>
      <c r="F51" s="143"/>
      <c r="G51" s="32"/>
      <c r="H51" s="143"/>
      <c r="I51" s="143"/>
      <c r="J51" s="32"/>
      <c r="K51" s="32"/>
      <c r="L51" s="157"/>
      <c r="M51" s="157"/>
      <c r="N51" s="146"/>
      <c r="O51" s="146"/>
    </row>
    <row r="52" spans="1:15" s="3" customFormat="1" x14ac:dyDescent="0.2">
      <c r="A52" s="294" t="s">
        <v>8</v>
      </c>
      <c r="B52" s="288"/>
      <c r="C52" s="289"/>
      <c r="D52" s="253"/>
      <c r="E52" s="22"/>
      <c r="F52" s="143"/>
      <c r="G52" s="32"/>
      <c r="H52" s="143"/>
      <c r="I52" s="143"/>
      <c r="J52" s="32"/>
      <c r="K52" s="32"/>
      <c r="L52" s="157"/>
      <c r="M52" s="157"/>
      <c r="N52" s="146"/>
      <c r="O52" s="146"/>
    </row>
    <row r="53" spans="1:15" s="3" customFormat="1" ht="15.75" x14ac:dyDescent="0.2">
      <c r="A53" s="38" t="s">
        <v>314</v>
      </c>
      <c r="B53" s="308">
        <f>SUM(B54:B55)</f>
        <v>0</v>
      </c>
      <c r="C53" s="309">
        <f>SUM(C54:C55)</f>
        <v>181</v>
      </c>
      <c r="D53" s="425" t="str">
        <f t="shared" si="0"/>
        <v xml:space="preserve">    ---- </v>
      </c>
      <c r="E53" s="11">
        <f>IFERROR(100/'Skjema total MA'!C53*C53,0)</f>
        <v>0.11092513072756474</v>
      </c>
      <c r="F53" s="143"/>
      <c r="G53" s="32"/>
      <c r="H53" s="143"/>
      <c r="I53" s="143"/>
      <c r="J53" s="32"/>
      <c r="K53" s="32"/>
      <c r="L53" s="157"/>
      <c r="M53" s="157"/>
      <c r="N53" s="146"/>
      <c r="O53" s="146"/>
    </row>
    <row r="54" spans="1:15" s="3" customFormat="1" ht="15.75" x14ac:dyDescent="0.2">
      <c r="A54" s="37" t="s">
        <v>312</v>
      </c>
      <c r="B54" s="279">
        <v>0</v>
      </c>
      <c r="C54" s="280">
        <v>181</v>
      </c>
      <c r="D54" s="253" t="str">
        <f t="shared" si="0"/>
        <v xml:space="preserve">    ---- </v>
      </c>
      <c r="E54" s="26">
        <f>IFERROR(100/'Skjema total MA'!C54*C54,0)</f>
        <v>0.17339788473549012</v>
      </c>
      <c r="F54" s="143"/>
      <c r="G54" s="32"/>
      <c r="H54" s="143"/>
      <c r="I54" s="143"/>
      <c r="J54" s="32"/>
      <c r="K54" s="32"/>
      <c r="L54" s="157"/>
      <c r="M54" s="157"/>
      <c r="N54" s="146"/>
      <c r="O54" s="146"/>
    </row>
    <row r="55" spans="1:15" s="3" customFormat="1" ht="15.75" x14ac:dyDescent="0.2">
      <c r="A55" s="37" t="s">
        <v>313</v>
      </c>
      <c r="B55" s="279"/>
      <c r="C55" s="280"/>
      <c r="D55" s="253"/>
      <c r="E55" s="26"/>
      <c r="F55" s="143"/>
      <c r="G55" s="32"/>
      <c r="H55" s="143"/>
      <c r="I55" s="143"/>
      <c r="J55" s="32"/>
      <c r="K55" s="32"/>
      <c r="L55" s="157"/>
      <c r="M55" s="157"/>
      <c r="N55" s="146"/>
      <c r="O55" s="146"/>
    </row>
    <row r="56" spans="1:15" s="3" customFormat="1" ht="15.75" x14ac:dyDescent="0.2">
      <c r="A56" s="38" t="s">
        <v>315</v>
      </c>
      <c r="B56" s="308">
        <f>SUM(B57:B58)</f>
        <v>0</v>
      </c>
      <c r="C56" s="309">
        <f>SUM(C57:C58)</f>
        <v>1507</v>
      </c>
      <c r="D56" s="425" t="str">
        <f t="shared" si="0"/>
        <v xml:space="preserve">    ---- </v>
      </c>
      <c r="E56" s="11">
        <f>IFERROR(100/'Skjema total MA'!C56*C56,0)</f>
        <v>0.72468093913994824</v>
      </c>
      <c r="F56" s="143"/>
      <c r="G56" s="32"/>
      <c r="H56" s="143"/>
      <c r="I56" s="143"/>
      <c r="J56" s="32"/>
      <c r="K56" s="32"/>
      <c r="L56" s="157"/>
      <c r="M56" s="157"/>
      <c r="N56" s="146"/>
      <c r="O56" s="146"/>
    </row>
    <row r="57" spans="1:15" s="3" customFormat="1" ht="15.75" x14ac:dyDescent="0.2">
      <c r="A57" s="37" t="s">
        <v>312</v>
      </c>
      <c r="B57" s="279">
        <v>0</v>
      </c>
      <c r="C57" s="280">
        <v>1507</v>
      </c>
      <c r="D57" s="253" t="str">
        <f t="shared" si="0"/>
        <v xml:space="preserve">    ---- </v>
      </c>
      <c r="E57" s="26">
        <f>IFERROR(100/'Skjema total MA'!C57*C57,0)</f>
        <v>1.0125048650791579</v>
      </c>
      <c r="F57" s="143"/>
      <c r="G57" s="32"/>
      <c r="H57" s="143"/>
      <c r="I57" s="143"/>
      <c r="J57" s="32"/>
      <c r="K57" s="32"/>
      <c r="L57" s="157"/>
      <c r="M57" s="157"/>
      <c r="N57" s="146"/>
      <c r="O57" s="146"/>
    </row>
    <row r="58" spans="1:15" s="3" customFormat="1" ht="15.75" x14ac:dyDescent="0.2">
      <c r="A58" s="45" t="s">
        <v>313</v>
      </c>
      <c r="B58" s="281"/>
      <c r="C58" s="282"/>
      <c r="D58" s="254"/>
      <c r="E58" s="21"/>
      <c r="F58" s="143"/>
      <c r="G58" s="32"/>
      <c r="H58" s="143"/>
      <c r="I58" s="143"/>
      <c r="J58" s="32"/>
      <c r="K58" s="32"/>
      <c r="L58" s="157"/>
      <c r="M58" s="157"/>
      <c r="N58" s="146"/>
      <c r="O58" s="146"/>
    </row>
    <row r="59" spans="1:15" s="3" customFormat="1" ht="15.75" x14ac:dyDescent="0.25">
      <c r="A59" s="162"/>
      <c r="B59" s="152"/>
      <c r="C59" s="152"/>
      <c r="D59" s="152"/>
      <c r="E59" s="152"/>
      <c r="F59" s="140"/>
      <c r="G59" s="140"/>
      <c r="H59" s="140"/>
      <c r="I59" s="140"/>
      <c r="J59" s="140"/>
      <c r="K59" s="140"/>
      <c r="L59" s="140"/>
      <c r="M59" s="140"/>
      <c r="N59" s="146"/>
      <c r="O59" s="146"/>
    </row>
    <row r="60" spans="1:15" x14ac:dyDescent="0.2">
      <c r="A60" s="153"/>
    </row>
    <row r="61" spans="1:15" ht="15.75" x14ac:dyDescent="0.25">
      <c r="A61" s="145" t="s">
        <v>295</v>
      </c>
      <c r="C61" s="25"/>
      <c r="D61" s="25"/>
      <c r="E61" s="25"/>
      <c r="F61" s="25"/>
      <c r="G61" s="25"/>
      <c r="H61" s="25"/>
      <c r="I61" s="25"/>
      <c r="J61" s="25"/>
      <c r="K61" s="25"/>
      <c r="L61" s="25"/>
      <c r="M61" s="25"/>
    </row>
    <row r="62" spans="1:15" ht="15.75" x14ac:dyDescent="0.25">
      <c r="B62" s="963"/>
      <c r="C62" s="963"/>
      <c r="D62" s="963"/>
      <c r="E62" s="297"/>
      <c r="F62" s="963"/>
      <c r="G62" s="963"/>
      <c r="H62" s="963"/>
      <c r="I62" s="297"/>
      <c r="J62" s="963"/>
      <c r="K62" s="963"/>
      <c r="L62" s="963"/>
      <c r="M62" s="297"/>
    </row>
    <row r="63" spans="1:15" x14ac:dyDescent="0.2">
      <c r="A63" s="142"/>
      <c r="B63" s="960" t="s">
        <v>0</v>
      </c>
      <c r="C63" s="961"/>
      <c r="D63" s="962"/>
      <c r="E63" s="298"/>
      <c r="F63" s="961" t="s">
        <v>1</v>
      </c>
      <c r="G63" s="961"/>
      <c r="H63" s="961"/>
      <c r="I63" s="302"/>
      <c r="J63" s="960" t="s">
        <v>2</v>
      </c>
      <c r="K63" s="961"/>
      <c r="L63" s="961"/>
      <c r="M63" s="302"/>
    </row>
    <row r="64" spans="1:15" x14ac:dyDescent="0.2">
      <c r="A64" s="139"/>
      <c r="B64" s="150" t="s">
        <v>504</v>
      </c>
      <c r="C64" s="150" t="s">
        <v>505</v>
      </c>
      <c r="D64" s="243" t="s">
        <v>3</v>
      </c>
      <c r="E64" s="303" t="s">
        <v>32</v>
      </c>
      <c r="F64" s="150" t="s">
        <v>504</v>
      </c>
      <c r="G64" s="150" t="s">
        <v>505</v>
      </c>
      <c r="H64" s="243" t="s">
        <v>3</v>
      </c>
      <c r="I64" s="303" t="s">
        <v>32</v>
      </c>
      <c r="J64" s="150" t="s">
        <v>504</v>
      </c>
      <c r="K64" s="150" t="s">
        <v>505</v>
      </c>
      <c r="L64" s="243" t="s">
        <v>3</v>
      </c>
      <c r="M64" s="160" t="s">
        <v>32</v>
      </c>
    </row>
    <row r="65" spans="1:15" x14ac:dyDescent="0.2">
      <c r="A65" s="934"/>
      <c r="B65" s="154"/>
      <c r="C65" s="154"/>
      <c r="D65" s="245" t="s">
        <v>4</v>
      </c>
      <c r="E65" s="154" t="s">
        <v>33</v>
      </c>
      <c r="F65" s="159"/>
      <c r="G65" s="159"/>
      <c r="H65" s="243" t="s">
        <v>4</v>
      </c>
      <c r="I65" s="154" t="s">
        <v>33</v>
      </c>
      <c r="J65" s="159"/>
      <c r="K65" s="204"/>
      <c r="L65" s="154" t="s">
        <v>4</v>
      </c>
      <c r="M65" s="154" t="s">
        <v>33</v>
      </c>
    </row>
    <row r="66" spans="1:15" ht="15.75" x14ac:dyDescent="0.2">
      <c r="A66" s="14" t="s">
        <v>26</v>
      </c>
      <c r="B66" s="350"/>
      <c r="C66" s="350"/>
      <c r="D66" s="348"/>
      <c r="E66" s="11"/>
      <c r="F66" s="350"/>
      <c r="G66" s="350"/>
      <c r="H66" s="348"/>
      <c r="I66" s="11"/>
      <c r="J66" s="307"/>
      <c r="K66" s="314"/>
      <c r="L66" s="425"/>
      <c r="M66" s="11"/>
    </row>
    <row r="67" spans="1:15" x14ac:dyDescent="0.2">
      <c r="A67" s="416" t="s">
        <v>9</v>
      </c>
      <c r="B67" s="43"/>
      <c r="C67" s="143"/>
      <c r="D67" s="164"/>
      <c r="E67" s="26"/>
      <c r="F67" s="232"/>
      <c r="G67" s="143"/>
      <c r="H67" s="164"/>
      <c r="I67" s="26"/>
      <c r="J67" s="285"/>
      <c r="K67" s="43"/>
      <c r="L67" s="253"/>
      <c r="M67" s="26"/>
    </row>
    <row r="68" spans="1:15" x14ac:dyDescent="0.2">
      <c r="A68" s="20" t="s">
        <v>10</v>
      </c>
      <c r="B68" s="290"/>
      <c r="C68" s="291"/>
      <c r="D68" s="164"/>
      <c r="E68" s="26"/>
      <c r="F68" s="290"/>
      <c r="G68" s="291"/>
      <c r="H68" s="164"/>
      <c r="I68" s="26"/>
      <c r="J68" s="285"/>
      <c r="K68" s="43"/>
      <c r="L68" s="253"/>
      <c r="M68" s="26"/>
    </row>
    <row r="69" spans="1:15" ht="15.75" x14ac:dyDescent="0.2">
      <c r="A69" s="294" t="s">
        <v>316</v>
      </c>
      <c r="B69" s="279"/>
      <c r="C69" s="279"/>
      <c r="D69" s="164"/>
      <c r="E69" s="414"/>
      <c r="F69" s="279"/>
      <c r="G69" s="279"/>
      <c r="H69" s="164"/>
      <c r="I69" s="414"/>
      <c r="J69" s="288"/>
      <c r="K69" s="288"/>
      <c r="L69" s="164"/>
      <c r="M69" s="22"/>
    </row>
    <row r="70" spans="1:15" x14ac:dyDescent="0.2">
      <c r="A70" s="294" t="s">
        <v>12</v>
      </c>
      <c r="B70" s="292"/>
      <c r="C70" s="293"/>
      <c r="D70" s="164"/>
      <c r="E70" s="414"/>
      <c r="F70" s="279"/>
      <c r="G70" s="279"/>
      <c r="H70" s="164"/>
      <c r="I70" s="414"/>
      <c r="J70" s="288"/>
      <c r="K70" s="288"/>
      <c r="L70" s="164"/>
      <c r="M70" s="22"/>
    </row>
    <row r="71" spans="1:15" x14ac:dyDescent="0.2">
      <c r="A71" s="294" t="s">
        <v>13</v>
      </c>
      <c r="B71" s="233"/>
      <c r="C71" s="287"/>
      <c r="D71" s="164"/>
      <c r="E71" s="414"/>
      <c r="F71" s="279"/>
      <c r="G71" s="279"/>
      <c r="H71" s="164"/>
      <c r="I71" s="414"/>
      <c r="J71" s="288"/>
      <c r="K71" s="288"/>
      <c r="L71" s="164"/>
      <c r="M71" s="22"/>
    </row>
    <row r="72" spans="1:15" ht="15.75" x14ac:dyDescent="0.2">
      <c r="A72" s="294" t="s">
        <v>317</v>
      </c>
      <c r="B72" s="279"/>
      <c r="C72" s="279"/>
      <c r="D72" s="164"/>
      <c r="E72" s="414"/>
      <c r="F72" s="279"/>
      <c r="G72" s="279"/>
      <c r="H72" s="164"/>
      <c r="I72" s="414"/>
      <c r="J72" s="288"/>
      <c r="K72" s="288"/>
      <c r="L72" s="164"/>
      <c r="M72" s="22"/>
    </row>
    <row r="73" spans="1:15" x14ac:dyDescent="0.2">
      <c r="A73" s="294" t="s">
        <v>12</v>
      </c>
      <c r="B73" s="233"/>
      <c r="C73" s="287"/>
      <c r="D73" s="164"/>
      <c r="E73" s="414"/>
      <c r="F73" s="279"/>
      <c r="G73" s="279"/>
      <c r="H73" s="164"/>
      <c r="I73" s="414"/>
      <c r="J73" s="288"/>
      <c r="K73" s="288"/>
      <c r="L73" s="164"/>
      <c r="M73" s="22"/>
    </row>
    <row r="74" spans="1:15" s="3" customFormat="1" x14ac:dyDescent="0.2">
      <c r="A74" s="294" t="s">
        <v>13</v>
      </c>
      <c r="B74" s="233"/>
      <c r="C74" s="287"/>
      <c r="D74" s="164"/>
      <c r="E74" s="414"/>
      <c r="F74" s="279"/>
      <c r="G74" s="279"/>
      <c r="H74" s="164"/>
      <c r="I74" s="414"/>
      <c r="J74" s="288"/>
      <c r="K74" s="288"/>
      <c r="L74" s="164"/>
      <c r="M74" s="22"/>
      <c r="N74" s="146"/>
      <c r="O74" s="146"/>
    </row>
    <row r="75" spans="1:15" s="3" customFormat="1" x14ac:dyDescent="0.2">
      <c r="A75" s="20" t="s">
        <v>395</v>
      </c>
      <c r="B75" s="232"/>
      <c r="C75" s="143"/>
      <c r="D75" s="164"/>
      <c r="E75" s="26"/>
      <c r="F75" s="232"/>
      <c r="G75" s="143"/>
      <c r="H75" s="164"/>
      <c r="I75" s="26"/>
      <c r="J75" s="285"/>
      <c r="K75" s="43"/>
      <c r="L75" s="253"/>
      <c r="M75" s="26"/>
      <c r="N75" s="146"/>
      <c r="O75" s="146"/>
    </row>
    <row r="76" spans="1:15" s="3" customFormat="1" x14ac:dyDescent="0.2">
      <c r="A76" s="20" t="s">
        <v>394</v>
      </c>
      <c r="B76" s="232"/>
      <c r="C76" s="143"/>
      <c r="D76" s="164"/>
      <c r="E76" s="26"/>
      <c r="F76" s="232"/>
      <c r="G76" s="143"/>
      <c r="H76" s="164"/>
      <c r="I76" s="26"/>
      <c r="J76" s="285"/>
      <c r="K76" s="43"/>
      <c r="L76" s="253"/>
      <c r="M76" s="26"/>
      <c r="N76" s="146"/>
      <c r="O76" s="146"/>
    </row>
    <row r="77" spans="1:15" ht="15.75" x14ac:dyDescent="0.2">
      <c r="A77" s="20" t="s">
        <v>318</v>
      </c>
      <c r="B77" s="232"/>
      <c r="C77" s="232"/>
      <c r="D77" s="164"/>
      <c r="E77" s="26"/>
      <c r="F77" s="232"/>
      <c r="G77" s="143"/>
      <c r="H77" s="164"/>
      <c r="I77" s="26"/>
      <c r="J77" s="285"/>
      <c r="K77" s="43"/>
      <c r="L77" s="253"/>
      <c r="M77" s="26"/>
    </row>
    <row r="78" spans="1:15" x14ac:dyDescent="0.2">
      <c r="A78" s="20" t="s">
        <v>9</v>
      </c>
      <c r="B78" s="232"/>
      <c r="C78" s="143"/>
      <c r="D78" s="164"/>
      <c r="E78" s="26"/>
      <c r="F78" s="232"/>
      <c r="G78" s="143"/>
      <c r="H78" s="164"/>
      <c r="I78" s="26"/>
      <c r="J78" s="285"/>
      <c r="K78" s="43"/>
      <c r="L78" s="253"/>
      <c r="M78" s="26"/>
    </row>
    <row r="79" spans="1:15" x14ac:dyDescent="0.2">
      <c r="A79" s="20" t="s">
        <v>10</v>
      </c>
      <c r="B79" s="290"/>
      <c r="C79" s="291"/>
      <c r="D79" s="164"/>
      <c r="E79" s="26"/>
      <c r="F79" s="290"/>
      <c r="G79" s="291"/>
      <c r="H79" s="164"/>
      <c r="I79" s="26"/>
      <c r="J79" s="285"/>
      <c r="K79" s="43"/>
      <c r="L79" s="253"/>
      <c r="M79" s="26"/>
    </row>
    <row r="80" spans="1:15" ht="15.75" x14ac:dyDescent="0.2">
      <c r="A80" s="294" t="s">
        <v>316</v>
      </c>
      <c r="B80" s="279"/>
      <c r="C80" s="279"/>
      <c r="D80" s="164"/>
      <c r="E80" s="414"/>
      <c r="F80" s="279"/>
      <c r="G80" s="279"/>
      <c r="H80" s="164"/>
      <c r="I80" s="414"/>
      <c r="J80" s="288"/>
      <c r="K80" s="288"/>
      <c r="L80" s="164"/>
      <c r="M80" s="22"/>
    </row>
    <row r="81" spans="1:13" x14ac:dyDescent="0.2">
      <c r="A81" s="294" t="s">
        <v>12</v>
      </c>
      <c r="B81" s="233"/>
      <c r="C81" s="287"/>
      <c r="D81" s="164"/>
      <c r="E81" s="414"/>
      <c r="F81" s="279"/>
      <c r="G81" s="279"/>
      <c r="H81" s="164"/>
      <c r="I81" s="414"/>
      <c r="J81" s="288"/>
      <c r="K81" s="288"/>
      <c r="L81" s="164"/>
      <c r="M81" s="22"/>
    </row>
    <row r="82" spans="1:13" x14ac:dyDescent="0.2">
      <c r="A82" s="294" t="s">
        <v>13</v>
      </c>
      <c r="B82" s="233"/>
      <c r="C82" s="287"/>
      <c r="D82" s="164"/>
      <c r="E82" s="414"/>
      <c r="F82" s="279"/>
      <c r="G82" s="279"/>
      <c r="H82" s="164"/>
      <c r="I82" s="414"/>
      <c r="J82" s="288"/>
      <c r="K82" s="288"/>
      <c r="L82" s="164"/>
      <c r="M82" s="22"/>
    </row>
    <row r="83" spans="1:13" ht="15.75" x14ac:dyDescent="0.2">
      <c r="A83" s="294" t="s">
        <v>317</v>
      </c>
      <c r="B83" s="279"/>
      <c r="C83" s="279"/>
      <c r="D83" s="164"/>
      <c r="E83" s="414"/>
      <c r="F83" s="279"/>
      <c r="G83" s="279"/>
      <c r="H83" s="164"/>
      <c r="I83" s="414"/>
      <c r="J83" s="288"/>
      <c r="K83" s="288"/>
      <c r="L83" s="164"/>
      <c r="M83" s="22"/>
    </row>
    <row r="84" spans="1:13" x14ac:dyDescent="0.2">
      <c r="A84" s="294" t="s">
        <v>12</v>
      </c>
      <c r="B84" s="233"/>
      <c r="C84" s="287"/>
      <c r="D84" s="164"/>
      <c r="E84" s="414"/>
      <c r="F84" s="279"/>
      <c r="G84" s="279"/>
      <c r="H84" s="164"/>
      <c r="I84" s="414"/>
      <c r="J84" s="288"/>
      <c r="K84" s="288"/>
      <c r="L84" s="164"/>
      <c r="M84" s="22"/>
    </row>
    <row r="85" spans="1:13" x14ac:dyDescent="0.2">
      <c r="A85" s="294" t="s">
        <v>13</v>
      </c>
      <c r="B85" s="233"/>
      <c r="C85" s="287"/>
      <c r="D85" s="164"/>
      <c r="E85" s="414"/>
      <c r="F85" s="279"/>
      <c r="G85" s="279"/>
      <c r="H85" s="164"/>
      <c r="I85" s="414"/>
      <c r="J85" s="288"/>
      <c r="K85" s="288"/>
      <c r="L85" s="164"/>
      <c r="M85" s="22"/>
    </row>
    <row r="86" spans="1:13" ht="15.75" x14ac:dyDescent="0.2">
      <c r="A86" s="20" t="s">
        <v>327</v>
      </c>
      <c r="B86" s="232"/>
      <c r="C86" s="143"/>
      <c r="D86" s="164"/>
      <c r="E86" s="26"/>
      <c r="F86" s="232"/>
      <c r="G86" s="143"/>
      <c r="H86" s="164"/>
      <c r="I86" s="26"/>
      <c r="J86" s="285"/>
      <c r="K86" s="43"/>
      <c r="L86" s="253"/>
      <c r="M86" s="26"/>
    </row>
    <row r="87" spans="1:13" ht="15.75" x14ac:dyDescent="0.2">
      <c r="A87" s="13" t="s">
        <v>25</v>
      </c>
      <c r="B87" s="350"/>
      <c r="C87" s="350"/>
      <c r="D87" s="169"/>
      <c r="E87" s="11"/>
      <c r="F87" s="350"/>
      <c r="G87" s="350"/>
      <c r="H87" s="169"/>
      <c r="I87" s="11"/>
      <c r="J87" s="307"/>
      <c r="K87" s="234"/>
      <c r="L87" s="425"/>
      <c r="M87" s="11"/>
    </row>
    <row r="88" spans="1:13" x14ac:dyDescent="0.2">
      <c r="A88" s="20" t="s">
        <v>9</v>
      </c>
      <c r="B88" s="232"/>
      <c r="C88" s="143"/>
      <c r="D88" s="164"/>
      <c r="E88" s="26"/>
      <c r="F88" s="232"/>
      <c r="G88" s="143"/>
      <c r="H88" s="164"/>
      <c r="I88" s="26"/>
      <c r="J88" s="285"/>
      <c r="K88" s="43"/>
      <c r="L88" s="253"/>
      <c r="M88" s="26"/>
    </row>
    <row r="89" spans="1:13" x14ac:dyDescent="0.2">
      <c r="A89" s="20" t="s">
        <v>10</v>
      </c>
      <c r="B89" s="232"/>
      <c r="C89" s="143"/>
      <c r="D89" s="164"/>
      <c r="E89" s="26"/>
      <c r="F89" s="232"/>
      <c r="G89" s="143"/>
      <c r="H89" s="164"/>
      <c r="I89" s="26"/>
      <c r="J89" s="285"/>
      <c r="K89" s="43"/>
      <c r="L89" s="253"/>
      <c r="M89" s="26"/>
    </row>
    <row r="90" spans="1:13" ht="15.75" x14ac:dyDescent="0.2">
      <c r="A90" s="294" t="s">
        <v>316</v>
      </c>
      <c r="B90" s="279"/>
      <c r="C90" s="279"/>
      <c r="D90" s="164"/>
      <c r="E90" s="414"/>
      <c r="F90" s="279"/>
      <c r="G90" s="279"/>
      <c r="H90" s="164"/>
      <c r="I90" s="414"/>
      <c r="J90" s="288"/>
      <c r="K90" s="288"/>
      <c r="L90" s="164"/>
      <c r="M90" s="22"/>
    </row>
    <row r="91" spans="1:13" x14ac:dyDescent="0.2">
      <c r="A91" s="294" t="s">
        <v>12</v>
      </c>
      <c r="B91" s="233"/>
      <c r="C91" s="287"/>
      <c r="D91" s="164"/>
      <c r="E91" s="414"/>
      <c r="F91" s="279"/>
      <c r="G91" s="279"/>
      <c r="H91" s="164"/>
      <c r="I91" s="414"/>
      <c r="J91" s="288"/>
      <c r="K91" s="288"/>
      <c r="L91" s="164"/>
      <c r="M91" s="22"/>
    </row>
    <row r="92" spans="1:13" x14ac:dyDescent="0.2">
      <c r="A92" s="294" t="s">
        <v>13</v>
      </c>
      <c r="B92" s="233"/>
      <c r="C92" s="287"/>
      <c r="D92" s="164"/>
      <c r="E92" s="414"/>
      <c r="F92" s="279"/>
      <c r="G92" s="279"/>
      <c r="H92" s="164"/>
      <c r="I92" s="414"/>
      <c r="J92" s="288"/>
      <c r="K92" s="288"/>
      <c r="L92" s="164"/>
      <c r="M92" s="22"/>
    </row>
    <row r="93" spans="1:13" ht="15.75" x14ac:dyDescent="0.2">
      <c r="A93" s="294" t="s">
        <v>317</v>
      </c>
      <c r="B93" s="279"/>
      <c r="C93" s="279"/>
      <c r="D93" s="164"/>
      <c r="E93" s="414"/>
      <c r="F93" s="279"/>
      <c r="G93" s="279"/>
      <c r="H93" s="164"/>
      <c r="I93" s="414"/>
      <c r="J93" s="288"/>
      <c r="K93" s="288"/>
      <c r="L93" s="164"/>
      <c r="M93" s="22"/>
    </row>
    <row r="94" spans="1:13" x14ac:dyDescent="0.2">
      <c r="A94" s="294" t="s">
        <v>12</v>
      </c>
      <c r="B94" s="233"/>
      <c r="C94" s="287"/>
      <c r="D94" s="164"/>
      <c r="E94" s="414"/>
      <c r="F94" s="279"/>
      <c r="G94" s="279"/>
      <c r="H94" s="164"/>
      <c r="I94" s="414"/>
      <c r="J94" s="288"/>
      <c r="K94" s="288"/>
      <c r="L94" s="164"/>
      <c r="M94" s="22"/>
    </row>
    <row r="95" spans="1:13" x14ac:dyDescent="0.2">
      <c r="A95" s="294" t="s">
        <v>13</v>
      </c>
      <c r="B95" s="233"/>
      <c r="C95" s="287"/>
      <c r="D95" s="164"/>
      <c r="E95" s="414"/>
      <c r="F95" s="279"/>
      <c r="G95" s="279"/>
      <c r="H95" s="164"/>
      <c r="I95" s="414"/>
      <c r="J95" s="288"/>
      <c r="K95" s="288"/>
      <c r="L95" s="164"/>
      <c r="M95" s="22"/>
    </row>
    <row r="96" spans="1:13" x14ac:dyDescent="0.2">
      <c r="A96" s="20" t="s">
        <v>393</v>
      </c>
      <c r="B96" s="232"/>
      <c r="C96" s="143"/>
      <c r="D96" s="164"/>
      <c r="E96" s="26"/>
      <c r="F96" s="232"/>
      <c r="G96" s="143"/>
      <c r="H96" s="164"/>
      <c r="I96" s="26"/>
      <c r="J96" s="285"/>
      <c r="K96" s="43"/>
      <c r="L96" s="253"/>
      <c r="M96" s="26"/>
    </row>
    <row r="97" spans="1:13" x14ac:dyDescent="0.2">
      <c r="A97" s="20" t="s">
        <v>392</v>
      </c>
      <c r="B97" s="232"/>
      <c r="C97" s="143"/>
      <c r="D97" s="164"/>
      <c r="E97" s="26"/>
      <c r="F97" s="232"/>
      <c r="G97" s="143"/>
      <c r="H97" s="164"/>
      <c r="I97" s="26"/>
      <c r="J97" s="285"/>
      <c r="K97" s="43"/>
      <c r="L97" s="253"/>
      <c r="M97" s="26"/>
    </row>
    <row r="98" spans="1:13" ht="15.75" x14ac:dyDescent="0.2">
      <c r="A98" s="20" t="s">
        <v>318</v>
      </c>
      <c r="B98" s="232"/>
      <c r="C98" s="232"/>
      <c r="D98" s="164"/>
      <c r="E98" s="26"/>
      <c r="F98" s="290"/>
      <c r="G98" s="290"/>
      <c r="H98" s="164"/>
      <c r="I98" s="26"/>
      <c r="J98" s="285"/>
      <c r="K98" s="43"/>
      <c r="L98" s="253"/>
      <c r="M98" s="26"/>
    </row>
    <row r="99" spans="1:13" x14ac:dyDescent="0.2">
      <c r="A99" s="20" t="s">
        <v>9</v>
      </c>
      <c r="B99" s="290"/>
      <c r="C99" s="291"/>
      <c r="D99" s="164"/>
      <c r="E99" s="26"/>
      <c r="F99" s="232"/>
      <c r="G99" s="143"/>
      <c r="H99" s="164"/>
      <c r="I99" s="26"/>
      <c r="J99" s="285"/>
      <c r="K99" s="43"/>
      <c r="L99" s="253"/>
      <c r="M99" s="26"/>
    </row>
    <row r="100" spans="1:13" x14ac:dyDescent="0.2">
      <c r="A100" s="20" t="s">
        <v>10</v>
      </c>
      <c r="B100" s="290"/>
      <c r="C100" s="291"/>
      <c r="D100" s="164"/>
      <c r="E100" s="26"/>
      <c r="F100" s="232"/>
      <c r="G100" s="232"/>
      <c r="H100" s="164"/>
      <c r="I100" s="26"/>
      <c r="J100" s="285"/>
      <c r="K100" s="43"/>
      <c r="L100" s="253"/>
      <c r="M100" s="26"/>
    </row>
    <row r="101" spans="1:13" ht="15.75" x14ac:dyDescent="0.2">
      <c r="A101" s="294" t="s">
        <v>316</v>
      </c>
      <c r="B101" s="279"/>
      <c r="C101" s="279"/>
      <c r="D101" s="164"/>
      <c r="E101" s="414"/>
      <c r="F101" s="279"/>
      <c r="G101" s="279"/>
      <c r="H101" s="164"/>
      <c r="I101" s="414"/>
      <c r="J101" s="288"/>
      <c r="K101" s="288"/>
      <c r="L101" s="164"/>
      <c r="M101" s="22"/>
    </row>
    <row r="102" spans="1:13" x14ac:dyDescent="0.2">
      <c r="A102" s="294" t="s">
        <v>12</v>
      </c>
      <c r="B102" s="233"/>
      <c r="C102" s="287"/>
      <c r="D102" s="164"/>
      <c r="E102" s="414"/>
      <c r="F102" s="279"/>
      <c r="G102" s="279"/>
      <c r="H102" s="164"/>
      <c r="I102" s="414"/>
      <c r="J102" s="288"/>
      <c r="K102" s="288"/>
      <c r="L102" s="164"/>
      <c r="M102" s="22"/>
    </row>
    <row r="103" spans="1:13" x14ac:dyDescent="0.2">
      <c r="A103" s="294" t="s">
        <v>13</v>
      </c>
      <c r="B103" s="233"/>
      <c r="C103" s="287"/>
      <c r="D103" s="164"/>
      <c r="E103" s="414"/>
      <c r="F103" s="279"/>
      <c r="G103" s="279"/>
      <c r="H103" s="164"/>
      <c r="I103" s="414"/>
      <c r="J103" s="288"/>
      <c r="K103" s="288"/>
      <c r="L103" s="164"/>
      <c r="M103" s="22"/>
    </row>
    <row r="104" spans="1:13" ht="15.75" x14ac:dyDescent="0.2">
      <c r="A104" s="294" t="s">
        <v>317</v>
      </c>
      <c r="B104" s="279"/>
      <c r="C104" s="279"/>
      <c r="D104" s="164"/>
      <c r="E104" s="414"/>
      <c r="F104" s="279"/>
      <c r="G104" s="279"/>
      <c r="H104" s="164"/>
      <c r="I104" s="414"/>
      <c r="J104" s="288"/>
      <c r="K104" s="288"/>
      <c r="L104" s="164"/>
      <c r="M104" s="22"/>
    </row>
    <row r="105" spans="1:13" x14ac:dyDescent="0.2">
      <c r="A105" s="294" t="s">
        <v>12</v>
      </c>
      <c r="B105" s="233"/>
      <c r="C105" s="287"/>
      <c r="D105" s="164"/>
      <c r="E105" s="414"/>
      <c r="F105" s="279"/>
      <c r="G105" s="279"/>
      <c r="H105" s="164"/>
      <c r="I105" s="414"/>
      <c r="J105" s="288"/>
      <c r="K105" s="288"/>
      <c r="L105" s="164"/>
      <c r="M105" s="22"/>
    </row>
    <row r="106" spans="1:13" x14ac:dyDescent="0.2">
      <c r="A106" s="294" t="s">
        <v>13</v>
      </c>
      <c r="B106" s="233"/>
      <c r="C106" s="287"/>
      <c r="D106" s="164"/>
      <c r="E106" s="414"/>
      <c r="F106" s="279"/>
      <c r="G106" s="279"/>
      <c r="H106" s="164"/>
      <c r="I106" s="414"/>
      <c r="J106" s="288"/>
      <c r="K106" s="288"/>
      <c r="L106" s="164"/>
      <c r="M106" s="22"/>
    </row>
    <row r="107" spans="1:13" ht="15.75" x14ac:dyDescent="0.2">
      <c r="A107" s="20" t="s">
        <v>327</v>
      </c>
      <c r="B107" s="232"/>
      <c r="C107" s="143"/>
      <c r="D107" s="164"/>
      <c r="E107" s="26"/>
      <c r="F107" s="232"/>
      <c r="G107" s="143"/>
      <c r="H107" s="164"/>
      <c r="I107" s="26"/>
      <c r="J107" s="285"/>
      <c r="K107" s="43"/>
      <c r="L107" s="253"/>
      <c r="M107" s="26"/>
    </row>
    <row r="108" spans="1:13" ht="15.75" x14ac:dyDescent="0.2">
      <c r="A108" s="20" t="s">
        <v>328</v>
      </c>
      <c r="B108" s="232"/>
      <c r="C108" s="232"/>
      <c r="D108" s="164"/>
      <c r="E108" s="26"/>
      <c r="F108" s="232"/>
      <c r="G108" s="232"/>
      <c r="H108" s="164"/>
      <c r="I108" s="26"/>
      <c r="J108" s="285"/>
      <c r="K108" s="43"/>
      <c r="L108" s="253"/>
      <c r="M108" s="26"/>
    </row>
    <row r="109" spans="1:13" ht="15.75" x14ac:dyDescent="0.2">
      <c r="A109" s="20" t="s">
        <v>320</v>
      </c>
      <c r="B109" s="232"/>
      <c r="C109" s="232"/>
      <c r="D109" s="164"/>
      <c r="E109" s="26"/>
      <c r="F109" s="232"/>
      <c r="G109" s="232"/>
      <c r="H109" s="164"/>
      <c r="I109" s="26"/>
      <c r="J109" s="285"/>
      <c r="K109" s="43"/>
      <c r="L109" s="253"/>
      <c r="M109" s="26"/>
    </row>
    <row r="110" spans="1:13" ht="15.75" x14ac:dyDescent="0.2">
      <c r="A110" s="20" t="s">
        <v>321</v>
      </c>
      <c r="B110" s="232"/>
      <c r="C110" s="232"/>
      <c r="D110" s="164"/>
      <c r="E110" s="26"/>
      <c r="F110" s="232"/>
      <c r="G110" s="232"/>
      <c r="H110" s="164"/>
      <c r="I110" s="26"/>
      <c r="J110" s="285"/>
      <c r="K110" s="43"/>
      <c r="L110" s="253"/>
      <c r="M110" s="26"/>
    </row>
    <row r="111" spans="1:13" ht="15.75" x14ac:dyDescent="0.2">
      <c r="A111" s="13" t="s">
        <v>24</v>
      </c>
      <c r="B111" s="306"/>
      <c r="C111" s="157"/>
      <c r="D111" s="169"/>
      <c r="E111" s="11"/>
      <c r="F111" s="306"/>
      <c r="G111" s="157"/>
      <c r="H111" s="169"/>
      <c r="I111" s="11"/>
      <c r="J111" s="307"/>
      <c r="K111" s="234"/>
      <c r="L111" s="425"/>
      <c r="M111" s="11"/>
    </row>
    <row r="112" spans="1:13" x14ac:dyDescent="0.2">
      <c r="A112" s="20" t="s">
        <v>9</v>
      </c>
      <c r="B112" s="232"/>
      <c r="C112" s="143"/>
      <c r="D112" s="164"/>
      <c r="E112" s="26"/>
      <c r="F112" s="232"/>
      <c r="G112" s="143"/>
      <c r="H112" s="164"/>
      <c r="I112" s="26"/>
      <c r="J112" s="285"/>
      <c r="K112" s="43"/>
      <c r="L112" s="253"/>
      <c r="M112" s="26"/>
    </row>
    <row r="113" spans="1:14" x14ac:dyDescent="0.2">
      <c r="A113" s="20" t="s">
        <v>10</v>
      </c>
      <c r="B113" s="232"/>
      <c r="C113" s="143"/>
      <c r="D113" s="164"/>
      <c r="E113" s="26"/>
      <c r="F113" s="232"/>
      <c r="G113" s="143"/>
      <c r="H113" s="164"/>
      <c r="I113" s="26"/>
      <c r="J113" s="285"/>
      <c r="K113" s="43"/>
      <c r="L113" s="253"/>
      <c r="M113" s="26"/>
    </row>
    <row r="114" spans="1:14" x14ac:dyDescent="0.2">
      <c r="A114" s="20" t="s">
        <v>29</v>
      </c>
      <c r="B114" s="232"/>
      <c r="C114" s="143"/>
      <c r="D114" s="164"/>
      <c r="E114" s="26"/>
      <c r="F114" s="232"/>
      <c r="G114" s="143"/>
      <c r="H114" s="164"/>
      <c r="I114" s="26"/>
      <c r="J114" s="285"/>
      <c r="K114" s="43"/>
      <c r="L114" s="253"/>
      <c r="M114" s="26"/>
    </row>
    <row r="115" spans="1:14" x14ac:dyDescent="0.2">
      <c r="A115" s="294" t="s">
        <v>15</v>
      </c>
      <c r="B115" s="279"/>
      <c r="C115" s="279"/>
      <c r="D115" s="164"/>
      <c r="E115" s="414"/>
      <c r="F115" s="279"/>
      <c r="G115" s="279"/>
      <c r="H115" s="164"/>
      <c r="I115" s="414"/>
      <c r="J115" s="288"/>
      <c r="K115" s="288"/>
      <c r="L115" s="164"/>
      <c r="M115" s="22"/>
    </row>
    <row r="116" spans="1:14" ht="15.75" x14ac:dyDescent="0.2">
      <c r="A116" s="20" t="s">
        <v>329</v>
      </c>
      <c r="B116" s="232"/>
      <c r="C116" s="232"/>
      <c r="D116" s="164"/>
      <c r="E116" s="26"/>
      <c r="F116" s="232"/>
      <c r="G116" s="232"/>
      <c r="H116" s="164"/>
      <c r="I116" s="26"/>
      <c r="J116" s="285"/>
      <c r="K116" s="43"/>
      <c r="L116" s="253"/>
      <c r="M116" s="26"/>
    </row>
    <row r="117" spans="1:14" ht="15.75" x14ac:dyDescent="0.2">
      <c r="A117" s="20" t="s">
        <v>322</v>
      </c>
      <c r="B117" s="232"/>
      <c r="C117" s="232"/>
      <c r="D117" s="164"/>
      <c r="E117" s="26"/>
      <c r="F117" s="232"/>
      <c r="G117" s="232"/>
      <c r="H117" s="164"/>
      <c r="I117" s="26"/>
      <c r="J117" s="285"/>
      <c r="K117" s="43"/>
      <c r="L117" s="253"/>
      <c r="M117" s="26"/>
    </row>
    <row r="118" spans="1:14" ht="15.75" x14ac:dyDescent="0.2">
      <c r="A118" s="20" t="s">
        <v>321</v>
      </c>
      <c r="B118" s="232"/>
      <c r="C118" s="232"/>
      <c r="D118" s="164"/>
      <c r="E118" s="26"/>
      <c r="F118" s="232"/>
      <c r="G118" s="232"/>
      <c r="H118" s="164"/>
      <c r="I118" s="26"/>
      <c r="J118" s="285"/>
      <c r="K118" s="43"/>
      <c r="L118" s="253"/>
      <c r="M118" s="26"/>
    </row>
    <row r="119" spans="1:14" ht="15.75" x14ac:dyDescent="0.2">
      <c r="A119" s="13" t="s">
        <v>23</v>
      </c>
      <c r="B119" s="306"/>
      <c r="C119" s="157"/>
      <c r="D119" s="169"/>
      <c r="E119" s="11"/>
      <c r="F119" s="306"/>
      <c r="G119" s="157"/>
      <c r="H119" s="169"/>
      <c r="I119" s="11"/>
      <c r="J119" s="307"/>
      <c r="K119" s="234"/>
      <c r="L119" s="425"/>
      <c r="M119" s="11"/>
    </row>
    <row r="120" spans="1:14" x14ac:dyDescent="0.2">
      <c r="A120" s="20" t="s">
        <v>9</v>
      </c>
      <c r="B120" s="232"/>
      <c r="C120" s="143"/>
      <c r="D120" s="164"/>
      <c r="E120" s="26"/>
      <c r="F120" s="232"/>
      <c r="G120" s="143"/>
      <c r="H120" s="164"/>
      <c r="I120" s="26"/>
      <c r="J120" s="285"/>
      <c r="K120" s="43"/>
      <c r="L120" s="253"/>
      <c r="M120" s="26"/>
    </row>
    <row r="121" spans="1:14" x14ac:dyDescent="0.2">
      <c r="A121" s="20" t="s">
        <v>10</v>
      </c>
      <c r="B121" s="232"/>
      <c r="C121" s="143"/>
      <c r="D121" s="164"/>
      <c r="E121" s="26"/>
      <c r="F121" s="232"/>
      <c r="G121" s="143"/>
      <c r="H121" s="164"/>
      <c r="I121" s="26"/>
      <c r="J121" s="285"/>
      <c r="K121" s="43"/>
      <c r="L121" s="253"/>
      <c r="M121" s="26"/>
    </row>
    <row r="122" spans="1:14" x14ac:dyDescent="0.2">
      <c r="A122" s="20" t="s">
        <v>29</v>
      </c>
      <c r="B122" s="232"/>
      <c r="C122" s="143"/>
      <c r="D122" s="164"/>
      <c r="E122" s="26"/>
      <c r="F122" s="232"/>
      <c r="G122" s="143"/>
      <c r="H122" s="164"/>
      <c r="I122" s="26"/>
      <c r="J122" s="285"/>
      <c r="K122" s="43"/>
      <c r="L122" s="253"/>
      <c r="M122" s="26"/>
    </row>
    <row r="123" spans="1:14" x14ac:dyDescent="0.2">
      <c r="A123" s="294" t="s">
        <v>14</v>
      </c>
      <c r="B123" s="279"/>
      <c r="C123" s="279"/>
      <c r="D123" s="164"/>
      <c r="E123" s="414"/>
      <c r="F123" s="279"/>
      <c r="G123" s="279"/>
      <c r="H123" s="164"/>
      <c r="I123" s="414"/>
      <c r="J123" s="288"/>
      <c r="K123" s="288"/>
      <c r="L123" s="164"/>
      <c r="M123" s="22"/>
    </row>
    <row r="124" spans="1:14" ht="15.75" x14ac:dyDescent="0.2">
      <c r="A124" s="20" t="s">
        <v>319</v>
      </c>
      <c r="B124" s="232"/>
      <c r="C124" s="232"/>
      <c r="D124" s="164"/>
      <c r="E124" s="26"/>
      <c r="F124" s="232"/>
      <c r="G124" s="232"/>
      <c r="H124" s="164"/>
      <c r="I124" s="26"/>
      <c r="J124" s="285"/>
      <c r="K124" s="43"/>
      <c r="L124" s="253"/>
      <c r="M124" s="26"/>
    </row>
    <row r="125" spans="1:14" ht="15.75" x14ac:dyDescent="0.2">
      <c r="A125" s="20" t="s">
        <v>320</v>
      </c>
      <c r="B125" s="232"/>
      <c r="C125" s="232"/>
      <c r="D125" s="164"/>
      <c r="E125" s="26"/>
      <c r="F125" s="232"/>
      <c r="G125" s="232"/>
      <c r="H125" s="164"/>
      <c r="I125" s="26"/>
      <c r="J125" s="285"/>
      <c r="K125" s="43"/>
      <c r="L125" s="253"/>
      <c r="M125" s="26"/>
    </row>
    <row r="126" spans="1:14" ht="15.75" x14ac:dyDescent="0.2">
      <c r="A126" s="10" t="s">
        <v>321</v>
      </c>
      <c r="B126" s="44"/>
      <c r="C126" s="44"/>
      <c r="D126" s="165"/>
      <c r="E126" s="415"/>
      <c r="F126" s="44"/>
      <c r="G126" s="44"/>
      <c r="H126" s="165"/>
      <c r="I126" s="21"/>
      <c r="J126" s="286"/>
      <c r="K126" s="44"/>
      <c r="L126" s="254"/>
      <c r="M126" s="21"/>
    </row>
    <row r="127" spans="1:14" x14ac:dyDescent="0.2">
      <c r="A127" s="153"/>
      <c r="L127" s="25"/>
      <c r="M127" s="25"/>
      <c r="N127" s="25"/>
    </row>
    <row r="128" spans="1:14" x14ac:dyDescent="0.2">
      <c r="L128" s="25"/>
      <c r="M128" s="25"/>
      <c r="N128" s="25"/>
    </row>
    <row r="129" spans="1:15" ht="15.75" x14ac:dyDescent="0.25">
      <c r="A129" s="163" t="s">
        <v>30</v>
      </c>
    </row>
    <row r="130" spans="1:15" ht="15.75" x14ac:dyDescent="0.25">
      <c r="B130" s="963"/>
      <c r="C130" s="963"/>
      <c r="D130" s="963"/>
      <c r="E130" s="297"/>
      <c r="F130" s="963"/>
      <c r="G130" s="963"/>
      <c r="H130" s="963"/>
      <c r="I130" s="297"/>
      <c r="J130" s="963"/>
      <c r="K130" s="963"/>
      <c r="L130" s="963"/>
      <c r="M130" s="297"/>
    </row>
    <row r="131" spans="1:15" s="3" customFormat="1" x14ac:dyDescent="0.2">
      <c r="A131" s="142"/>
      <c r="B131" s="960" t="s">
        <v>0</v>
      </c>
      <c r="C131" s="961"/>
      <c r="D131" s="961"/>
      <c r="E131" s="299"/>
      <c r="F131" s="960" t="s">
        <v>1</v>
      </c>
      <c r="G131" s="961"/>
      <c r="H131" s="961"/>
      <c r="I131" s="302"/>
      <c r="J131" s="960" t="s">
        <v>2</v>
      </c>
      <c r="K131" s="961"/>
      <c r="L131" s="961"/>
      <c r="M131" s="302"/>
      <c r="N131" s="146"/>
      <c r="O131" s="146"/>
    </row>
    <row r="132" spans="1:15" s="3" customFormat="1" x14ac:dyDescent="0.2">
      <c r="A132" s="139"/>
      <c r="B132" s="150" t="s">
        <v>504</v>
      </c>
      <c r="C132" s="150" t="s">
        <v>505</v>
      </c>
      <c r="D132" s="243" t="s">
        <v>3</v>
      </c>
      <c r="E132" s="303" t="s">
        <v>32</v>
      </c>
      <c r="F132" s="150" t="s">
        <v>504</v>
      </c>
      <c r="G132" s="150" t="s">
        <v>505</v>
      </c>
      <c r="H132" s="204" t="s">
        <v>3</v>
      </c>
      <c r="I132" s="160" t="s">
        <v>32</v>
      </c>
      <c r="J132" s="244" t="s">
        <v>504</v>
      </c>
      <c r="K132" s="244" t="s">
        <v>505</v>
      </c>
      <c r="L132" s="245" t="s">
        <v>3</v>
      </c>
      <c r="M132" s="160" t="s">
        <v>32</v>
      </c>
      <c r="N132" s="146"/>
      <c r="O132" s="146"/>
    </row>
    <row r="133" spans="1:15" s="3" customFormat="1" x14ac:dyDescent="0.2">
      <c r="A133" s="934"/>
      <c r="B133" s="154"/>
      <c r="C133" s="154"/>
      <c r="D133" s="245" t="s">
        <v>4</v>
      </c>
      <c r="E133" s="154" t="s">
        <v>33</v>
      </c>
      <c r="F133" s="159"/>
      <c r="G133" s="159"/>
      <c r="H133" s="204" t="s">
        <v>4</v>
      </c>
      <c r="I133" s="154" t="s">
        <v>33</v>
      </c>
      <c r="J133" s="154"/>
      <c r="K133" s="154"/>
      <c r="L133" s="148" t="s">
        <v>4</v>
      </c>
      <c r="M133" s="154" t="s">
        <v>33</v>
      </c>
      <c r="N133" s="146"/>
      <c r="O133" s="146"/>
    </row>
    <row r="134" spans="1:15" s="3" customFormat="1" ht="15.75" x14ac:dyDescent="0.2">
      <c r="A134" s="14" t="s">
        <v>323</v>
      </c>
      <c r="B134" s="234"/>
      <c r="C134" s="307"/>
      <c r="D134" s="348"/>
      <c r="E134" s="11"/>
      <c r="F134" s="314"/>
      <c r="G134" s="315"/>
      <c r="H134" s="428"/>
      <c r="I134" s="23"/>
      <c r="J134" s="316"/>
      <c r="K134" s="316"/>
      <c r="L134" s="424"/>
      <c r="M134" s="11"/>
      <c r="N134" s="146"/>
      <c r="O134" s="146"/>
    </row>
    <row r="135" spans="1:15" s="3" customFormat="1" ht="15.75" x14ac:dyDescent="0.2">
      <c r="A135" s="13" t="s">
        <v>324</v>
      </c>
      <c r="B135" s="234"/>
      <c r="C135" s="307"/>
      <c r="D135" s="169"/>
      <c r="E135" s="11"/>
      <c r="F135" s="234"/>
      <c r="G135" s="307"/>
      <c r="H135" s="429"/>
      <c r="I135" s="23"/>
      <c r="J135" s="306"/>
      <c r="K135" s="306"/>
      <c r="L135" s="425"/>
      <c r="M135" s="11"/>
      <c r="N135" s="146"/>
      <c r="O135" s="146"/>
    </row>
    <row r="136" spans="1:15" s="3" customFormat="1" ht="15.75" x14ac:dyDescent="0.2">
      <c r="A136" s="13" t="s">
        <v>325</v>
      </c>
      <c r="B136" s="234"/>
      <c r="C136" s="307"/>
      <c r="D136" s="169"/>
      <c r="E136" s="11"/>
      <c r="F136" s="234"/>
      <c r="G136" s="307"/>
      <c r="H136" s="429"/>
      <c r="I136" s="23"/>
      <c r="J136" s="306"/>
      <c r="K136" s="306"/>
      <c r="L136" s="425"/>
      <c r="M136" s="11"/>
      <c r="N136" s="146"/>
      <c r="O136" s="146"/>
    </row>
    <row r="137" spans="1:15" s="3" customFormat="1" ht="15.75" x14ac:dyDescent="0.2">
      <c r="A137" s="40" t="s">
        <v>326</v>
      </c>
      <c r="B137" s="274"/>
      <c r="C137" s="313"/>
      <c r="D137" s="167"/>
      <c r="E137" s="9"/>
      <c r="F137" s="274"/>
      <c r="G137" s="313"/>
      <c r="H137" s="430"/>
      <c r="I137" s="35"/>
      <c r="J137" s="312"/>
      <c r="K137" s="312"/>
      <c r="L137" s="426"/>
      <c r="M137" s="35"/>
      <c r="N137" s="146"/>
      <c r="O137" s="146"/>
    </row>
    <row r="138" spans="1:15" s="3" customFormat="1" x14ac:dyDescent="0.2">
      <c r="A138" s="166"/>
      <c r="B138" s="32"/>
      <c r="C138" s="32"/>
      <c r="D138" s="157"/>
      <c r="E138" s="157"/>
      <c r="F138" s="32"/>
      <c r="G138" s="32"/>
      <c r="H138" s="157"/>
      <c r="I138" s="157"/>
      <c r="J138" s="32"/>
      <c r="K138" s="32"/>
      <c r="L138" s="157"/>
      <c r="M138" s="157"/>
      <c r="N138" s="146"/>
      <c r="O138" s="146"/>
    </row>
    <row r="139" spans="1:15" x14ac:dyDescent="0.2">
      <c r="A139" s="166"/>
      <c r="B139" s="32"/>
      <c r="C139" s="32"/>
      <c r="D139" s="157"/>
      <c r="E139" s="157"/>
      <c r="F139" s="32"/>
      <c r="G139" s="32"/>
      <c r="H139" s="157"/>
      <c r="I139" s="157"/>
      <c r="J139" s="32"/>
      <c r="K139" s="32"/>
      <c r="L139" s="157"/>
      <c r="M139" s="157"/>
      <c r="N139" s="146"/>
    </row>
    <row r="140" spans="1:15" x14ac:dyDescent="0.2">
      <c r="A140" s="166"/>
      <c r="B140" s="32"/>
      <c r="C140" s="32"/>
      <c r="D140" s="157"/>
      <c r="E140" s="157"/>
      <c r="F140" s="32"/>
      <c r="G140" s="32"/>
      <c r="H140" s="157"/>
      <c r="I140" s="157"/>
      <c r="J140" s="32"/>
      <c r="K140" s="32"/>
      <c r="L140" s="157"/>
      <c r="M140" s="157"/>
      <c r="N140" s="146"/>
    </row>
    <row r="141" spans="1:15" x14ac:dyDescent="0.2">
      <c r="A141" s="144"/>
      <c r="B141" s="144"/>
      <c r="C141" s="144"/>
      <c r="D141" s="144"/>
      <c r="E141" s="144"/>
      <c r="F141" s="144"/>
      <c r="G141" s="144"/>
      <c r="H141" s="144"/>
      <c r="I141" s="144"/>
      <c r="J141" s="144"/>
      <c r="K141" s="144"/>
      <c r="L141" s="144"/>
      <c r="M141" s="144"/>
      <c r="N141" s="144"/>
    </row>
    <row r="142" spans="1:15" ht="15.75" x14ac:dyDescent="0.25">
      <c r="B142" s="140"/>
      <c r="C142" s="140"/>
      <c r="D142" s="140"/>
      <c r="E142" s="140"/>
      <c r="F142" s="140"/>
      <c r="G142" s="140"/>
      <c r="H142" s="140"/>
      <c r="I142" s="140"/>
      <c r="J142" s="140"/>
      <c r="K142" s="140"/>
      <c r="L142" s="140"/>
      <c r="M142" s="140"/>
      <c r="N142" s="140"/>
    </row>
    <row r="143" spans="1:15" ht="15.75" x14ac:dyDescent="0.25">
      <c r="B143" s="155"/>
      <c r="C143" s="155"/>
      <c r="D143" s="155"/>
      <c r="E143" s="155"/>
      <c r="F143" s="155"/>
      <c r="G143" s="155"/>
      <c r="H143" s="155"/>
      <c r="I143" s="155"/>
      <c r="J143" s="155"/>
      <c r="K143" s="155"/>
      <c r="L143" s="155"/>
      <c r="M143" s="155"/>
      <c r="N143" s="155"/>
      <c r="O143" s="152"/>
    </row>
    <row r="144" spans="1:15" ht="15.75" x14ac:dyDescent="0.25">
      <c r="B144" s="155"/>
      <c r="C144" s="155"/>
      <c r="D144" s="155"/>
      <c r="E144" s="155"/>
      <c r="F144" s="155"/>
      <c r="G144" s="155"/>
      <c r="H144" s="155"/>
      <c r="I144" s="155"/>
      <c r="J144" s="155"/>
      <c r="K144" s="155"/>
      <c r="L144" s="155"/>
      <c r="M144" s="155"/>
      <c r="N144" s="155"/>
      <c r="O144" s="152"/>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808" priority="132">
      <formula>kvartal &lt; 4</formula>
    </cfRule>
  </conditionalFormatting>
  <conditionalFormatting sqref="B30">
    <cfRule type="expression" dxfId="807" priority="130">
      <formula>kvartal &lt; 4</formula>
    </cfRule>
  </conditionalFormatting>
  <conditionalFormatting sqref="B31">
    <cfRule type="expression" dxfId="806" priority="129">
      <formula>kvartal &lt; 4</formula>
    </cfRule>
  </conditionalFormatting>
  <conditionalFormatting sqref="B32:B33">
    <cfRule type="expression" dxfId="805" priority="128">
      <formula>kvartal &lt; 4</formula>
    </cfRule>
  </conditionalFormatting>
  <conditionalFormatting sqref="C30">
    <cfRule type="expression" dxfId="804" priority="127">
      <formula>kvartal &lt; 4</formula>
    </cfRule>
  </conditionalFormatting>
  <conditionalFormatting sqref="C31">
    <cfRule type="expression" dxfId="803" priority="126">
      <formula>kvartal &lt; 4</formula>
    </cfRule>
  </conditionalFormatting>
  <conditionalFormatting sqref="C32:C33">
    <cfRule type="expression" dxfId="802" priority="125">
      <formula>kvartal &lt; 4</formula>
    </cfRule>
  </conditionalFormatting>
  <conditionalFormatting sqref="B23:C26">
    <cfRule type="expression" dxfId="801" priority="124">
      <formula>kvartal &lt; 4</formula>
    </cfRule>
  </conditionalFormatting>
  <conditionalFormatting sqref="F23:G26">
    <cfRule type="expression" dxfId="800" priority="120">
      <formula>kvartal &lt; 4</formula>
    </cfRule>
  </conditionalFormatting>
  <conditionalFormatting sqref="F30">
    <cfRule type="expression" dxfId="799" priority="113">
      <formula>kvartal &lt; 4</formula>
    </cfRule>
  </conditionalFormatting>
  <conditionalFormatting sqref="F31">
    <cfRule type="expression" dxfId="798" priority="112">
      <formula>kvartal &lt; 4</formula>
    </cfRule>
  </conditionalFormatting>
  <conditionalFormatting sqref="F32:F33">
    <cfRule type="expression" dxfId="797" priority="111">
      <formula>kvartal &lt; 4</formula>
    </cfRule>
  </conditionalFormatting>
  <conditionalFormatting sqref="G30">
    <cfRule type="expression" dxfId="796" priority="110">
      <formula>kvartal &lt; 4</formula>
    </cfRule>
  </conditionalFormatting>
  <conditionalFormatting sqref="G31">
    <cfRule type="expression" dxfId="795" priority="109">
      <formula>kvartal &lt; 4</formula>
    </cfRule>
  </conditionalFormatting>
  <conditionalFormatting sqref="G32:G33">
    <cfRule type="expression" dxfId="794" priority="108">
      <formula>kvartal &lt; 4</formula>
    </cfRule>
  </conditionalFormatting>
  <conditionalFormatting sqref="B27">
    <cfRule type="expression" dxfId="793" priority="107">
      <formula>kvartal &lt; 4</formula>
    </cfRule>
  </conditionalFormatting>
  <conditionalFormatting sqref="C27">
    <cfRule type="expression" dxfId="792" priority="106">
      <formula>kvartal &lt; 4</formula>
    </cfRule>
  </conditionalFormatting>
  <conditionalFormatting sqref="F27">
    <cfRule type="expression" dxfId="791" priority="105">
      <formula>kvartal &lt; 4</formula>
    </cfRule>
  </conditionalFormatting>
  <conditionalFormatting sqref="G27">
    <cfRule type="expression" dxfId="790" priority="104">
      <formula>kvartal &lt; 4</formula>
    </cfRule>
  </conditionalFormatting>
  <conditionalFormatting sqref="J23:K27">
    <cfRule type="expression" dxfId="789" priority="103">
      <formula>kvartal &lt; 4</formula>
    </cfRule>
  </conditionalFormatting>
  <conditionalFormatting sqref="J30:K33">
    <cfRule type="expression" dxfId="788" priority="101">
      <formula>kvartal &lt; 4</formula>
    </cfRule>
  </conditionalFormatting>
  <conditionalFormatting sqref="B69">
    <cfRule type="expression" dxfId="787" priority="100">
      <formula>kvartal &lt; 4</formula>
    </cfRule>
  </conditionalFormatting>
  <conditionalFormatting sqref="C69">
    <cfRule type="expression" dxfId="786" priority="99">
      <formula>kvartal &lt; 4</formula>
    </cfRule>
  </conditionalFormatting>
  <conditionalFormatting sqref="B72">
    <cfRule type="expression" dxfId="785" priority="98">
      <formula>kvartal &lt; 4</formula>
    </cfRule>
  </conditionalFormatting>
  <conditionalFormatting sqref="C72">
    <cfRule type="expression" dxfId="784" priority="97">
      <formula>kvartal &lt; 4</formula>
    </cfRule>
  </conditionalFormatting>
  <conditionalFormatting sqref="B80">
    <cfRule type="expression" dxfId="783" priority="96">
      <formula>kvartal &lt; 4</formula>
    </cfRule>
  </conditionalFormatting>
  <conditionalFormatting sqref="C80">
    <cfRule type="expression" dxfId="782" priority="95">
      <formula>kvartal &lt; 4</formula>
    </cfRule>
  </conditionalFormatting>
  <conditionalFormatting sqref="B83">
    <cfRule type="expression" dxfId="781" priority="94">
      <formula>kvartal &lt; 4</formula>
    </cfRule>
  </conditionalFormatting>
  <conditionalFormatting sqref="C83">
    <cfRule type="expression" dxfId="780" priority="93">
      <formula>kvartal &lt; 4</formula>
    </cfRule>
  </conditionalFormatting>
  <conditionalFormatting sqref="B90">
    <cfRule type="expression" dxfId="779" priority="84">
      <formula>kvartal &lt; 4</formula>
    </cfRule>
  </conditionalFormatting>
  <conditionalFormatting sqref="C90">
    <cfRule type="expression" dxfId="778" priority="83">
      <formula>kvartal &lt; 4</formula>
    </cfRule>
  </conditionalFormatting>
  <conditionalFormatting sqref="B93">
    <cfRule type="expression" dxfId="777" priority="82">
      <formula>kvartal &lt; 4</formula>
    </cfRule>
  </conditionalFormatting>
  <conditionalFormatting sqref="C93">
    <cfRule type="expression" dxfId="776" priority="81">
      <formula>kvartal &lt; 4</formula>
    </cfRule>
  </conditionalFormatting>
  <conditionalFormatting sqref="B101">
    <cfRule type="expression" dxfId="775" priority="80">
      <formula>kvartal &lt; 4</formula>
    </cfRule>
  </conditionalFormatting>
  <conditionalFormatting sqref="C101">
    <cfRule type="expression" dxfId="774" priority="79">
      <formula>kvartal &lt; 4</formula>
    </cfRule>
  </conditionalFormatting>
  <conditionalFormatting sqref="B104">
    <cfRule type="expression" dxfId="773" priority="78">
      <formula>kvartal &lt; 4</formula>
    </cfRule>
  </conditionalFormatting>
  <conditionalFormatting sqref="C104">
    <cfRule type="expression" dxfId="772" priority="77">
      <formula>kvartal &lt; 4</formula>
    </cfRule>
  </conditionalFormatting>
  <conditionalFormatting sqref="B115">
    <cfRule type="expression" dxfId="771" priority="76">
      <formula>kvartal &lt; 4</formula>
    </cfRule>
  </conditionalFormatting>
  <conditionalFormatting sqref="C115">
    <cfRule type="expression" dxfId="770" priority="75">
      <formula>kvartal &lt; 4</formula>
    </cfRule>
  </conditionalFormatting>
  <conditionalFormatting sqref="B123">
    <cfRule type="expression" dxfId="769" priority="74">
      <formula>kvartal &lt; 4</formula>
    </cfRule>
  </conditionalFormatting>
  <conditionalFormatting sqref="C123">
    <cfRule type="expression" dxfId="768" priority="73">
      <formula>kvartal &lt; 4</formula>
    </cfRule>
  </conditionalFormatting>
  <conditionalFormatting sqref="F70">
    <cfRule type="expression" dxfId="767" priority="72">
      <formula>kvartal &lt; 4</formula>
    </cfRule>
  </conditionalFormatting>
  <conditionalFormatting sqref="G70">
    <cfRule type="expression" dxfId="766" priority="71">
      <formula>kvartal &lt; 4</formula>
    </cfRule>
  </conditionalFormatting>
  <conditionalFormatting sqref="F71:G71">
    <cfRule type="expression" dxfId="765" priority="70">
      <formula>kvartal &lt; 4</formula>
    </cfRule>
  </conditionalFormatting>
  <conditionalFormatting sqref="F73:G74">
    <cfRule type="expression" dxfId="764" priority="69">
      <formula>kvartal &lt; 4</formula>
    </cfRule>
  </conditionalFormatting>
  <conditionalFormatting sqref="F81:G82">
    <cfRule type="expression" dxfId="763" priority="68">
      <formula>kvartal &lt; 4</formula>
    </cfRule>
  </conditionalFormatting>
  <conditionalFormatting sqref="F84:G85">
    <cfRule type="expression" dxfId="762" priority="67">
      <formula>kvartal &lt; 4</formula>
    </cfRule>
  </conditionalFormatting>
  <conditionalFormatting sqref="F91:G92">
    <cfRule type="expression" dxfId="761" priority="62">
      <formula>kvartal &lt; 4</formula>
    </cfRule>
  </conditionalFormatting>
  <conditionalFormatting sqref="F94:G95">
    <cfRule type="expression" dxfId="760" priority="61">
      <formula>kvartal &lt; 4</formula>
    </cfRule>
  </conditionalFormatting>
  <conditionalFormatting sqref="F102:G103">
    <cfRule type="expression" dxfId="759" priority="60">
      <formula>kvartal &lt; 4</formula>
    </cfRule>
  </conditionalFormatting>
  <conditionalFormatting sqref="F105:G106">
    <cfRule type="expression" dxfId="758" priority="59">
      <formula>kvartal &lt; 4</formula>
    </cfRule>
  </conditionalFormatting>
  <conditionalFormatting sqref="F115">
    <cfRule type="expression" dxfId="757" priority="58">
      <formula>kvartal &lt; 4</formula>
    </cfRule>
  </conditionalFormatting>
  <conditionalFormatting sqref="G115">
    <cfRule type="expression" dxfId="756" priority="57">
      <formula>kvartal &lt; 4</formula>
    </cfRule>
  </conditionalFormatting>
  <conditionalFormatting sqref="F123:G123">
    <cfRule type="expression" dxfId="755" priority="56">
      <formula>kvartal &lt; 4</formula>
    </cfRule>
  </conditionalFormatting>
  <conditionalFormatting sqref="F69:G69">
    <cfRule type="expression" dxfId="754" priority="55">
      <formula>kvartal &lt; 4</formula>
    </cfRule>
  </conditionalFormatting>
  <conditionalFormatting sqref="F72:G72">
    <cfRule type="expression" dxfId="753" priority="54">
      <formula>kvartal &lt; 4</formula>
    </cfRule>
  </conditionalFormatting>
  <conditionalFormatting sqref="F80:G80">
    <cfRule type="expression" dxfId="752" priority="53">
      <formula>kvartal &lt; 4</formula>
    </cfRule>
  </conditionalFormatting>
  <conditionalFormatting sqref="F83:G83">
    <cfRule type="expression" dxfId="751" priority="52">
      <formula>kvartal &lt; 4</formula>
    </cfRule>
  </conditionalFormatting>
  <conditionalFormatting sqref="F90:G90">
    <cfRule type="expression" dxfId="750" priority="46">
      <formula>kvartal &lt; 4</formula>
    </cfRule>
  </conditionalFormatting>
  <conditionalFormatting sqref="F93">
    <cfRule type="expression" dxfId="749" priority="45">
      <formula>kvartal &lt; 4</formula>
    </cfRule>
  </conditionalFormatting>
  <conditionalFormatting sqref="G93">
    <cfRule type="expression" dxfId="748" priority="44">
      <formula>kvartal &lt; 4</formula>
    </cfRule>
  </conditionalFormatting>
  <conditionalFormatting sqref="F101">
    <cfRule type="expression" dxfId="747" priority="43">
      <formula>kvartal &lt; 4</formula>
    </cfRule>
  </conditionalFormatting>
  <conditionalFormatting sqref="G101">
    <cfRule type="expression" dxfId="746" priority="42">
      <formula>kvartal &lt; 4</formula>
    </cfRule>
  </conditionalFormatting>
  <conditionalFormatting sqref="G104">
    <cfRule type="expression" dxfId="745" priority="41">
      <formula>kvartal &lt; 4</formula>
    </cfRule>
  </conditionalFormatting>
  <conditionalFormatting sqref="F104">
    <cfRule type="expression" dxfId="744" priority="40">
      <formula>kvartal &lt; 4</formula>
    </cfRule>
  </conditionalFormatting>
  <conditionalFormatting sqref="J69:K73">
    <cfRule type="expression" dxfId="743" priority="39">
      <formula>kvartal &lt; 4</formula>
    </cfRule>
  </conditionalFormatting>
  <conditionalFormatting sqref="J74:K74">
    <cfRule type="expression" dxfId="742" priority="38">
      <formula>kvartal &lt; 4</formula>
    </cfRule>
  </conditionalFormatting>
  <conditionalFormatting sqref="J80:K85">
    <cfRule type="expression" dxfId="741" priority="37">
      <formula>kvartal &lt; 4</formula>
    </cfRule>
  </conditionalFormatting>
  <conditionalFormatting sqref="J90:K95">
    <cfRule type="expression" dxfId="740" priority="34">
      <formula>kvartal &lt; 4</formula>
    </cfRule>
  </conditionalFormatting>
  <conditionalFormatting sqref="J101:K106">
    <cfRule type="expression" dxfId="739" priority="33">
      <formula>kvartal &lt; 4</formula>
    </cfRule>
  </conditionalFormatting>
  <conditionalFormatting sqref="J115:K115">
    <cfRule type="expression" dxfId="738" priority="32">
      <formula>kvartal &lt; 4</formula>
    </cfRule>
  </conditionalFormatting>
  <conditionalFormatting sqref="J123:K123">
    <cfRule type="expression" dxfId="737" priority="31">
      <formula>kvartal &lt; 4</formula>
    </cfRule>
  </conditionalFormatting>
  <conditionalFormatting sqref="A23:A26">
    <cfRule type="expression" dxfId="736" priority="15">
      <formula>kvartal &lt; 4</formula>
    </cfRule>
  </conditionalFormatting>
  <conditionalFormatting sqref="A30:A33">
    <cfRule type="expression" dxfId="735" priority="13">
      <formula>kvartal &lt; 4</formula>
    </cfRule>
  </conditionalFormatting>
  <conditionalFormatting sqref="A50:A52">
    <cfRule type="expression" dxfId="734" priority="12">
      <formula>kvartal &lt; 4</formula>
    </cfRule>
  </conditionalFormatting>
  <conditionalFormatting sqref="A69:A74">
    <cfRule type="expression" dxfId="733" priority="10">
      <formula>kvartal &lt; 4</formula>
    </cfRule>
  </conditionalFormatting>
  <conditionalFormatting sqref="A80:A85">
    <cfRule type="expression" dxfId="732" priority="9">
      <formula>kvartal &lt; 4</formula>
    </cfRule>
  </conditionalFormatting>
  <conditionalFormatting sqref="A90:A95">
    <cfRule type="expression" dxfId="731" priority="6">
      <formula>kvartal &lt; 4</formula>
    </cfRule>
  </conditionalFormatting>
  <conditionalFormatting sqref="A101:A106">
    <cfRule type="expression" dxfId="730" priority="5">
      <formula>kvartal &lt; 4</formula>
    </cfRule>
  </conditionalFormatting>
  <conditionalFormatting sqref="A115">
    <cfRule type="expression" dxfId="729" priority="4">
      <formula>kvartal &lt; 4</formula>
    </cfRule>
  </conditionalFormatting>
  <conditionalFormatting sqref="A123">
    <cfRule type="expression" dxfId="728" priority="3">
      <formula>kvartal &lt; 4</formula>
    </cfRule>
  </conditionalFormatting>
  <conditionalFormatting sqref="A27">
    <cfRule type="expression" dxfId="727" priority="2">
      <formula>kvartal &lt; 4</formula>
    </cfRule>
  </conditionalFormatting>
  <pageMargins left="0.70866141732283472" right="0.70866141732283472" top="0.74803149606299213" bottom="0.74803149606299213" header="0.31496062992125984" footer="0.31496062992125984"/>
  <pageSetup paperSize="9" scale="5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5"/>
  <dimension ref="A1:O144"/>
  <sheetViews>
    <sheetView showGridLines="0" zoomScale="90" zoomScaleNormal="90" workbookViewId="0"/>
  </sheetViews>
  <sheetFormatPr baseColWidth="10" defaultColWidth="11.42578125" defaultRowHeight="12.75" x14ac:dyDescent="0.2"/>
  <cols>
    <col min="1" max="1" width="44.85546875" style="147" customWidth="1"/>
    <col min="2" max="2" width="10.85546875" style="147" customWidth="1"/>
    <col min="3" max="3" width="11" style="147" customWidth="1"/>
    <col min="4" max="5" width="8.7109375" style="147" customWidth="1"/>
    <col min="6" max="7" width="10.85546875" style="147" customWidth="1"/>
    <col min="8" max="9" width="8.7109375" style="147" customWidth="1"/>
    <col min="10" max="11" width="10.85546875" style="147" customWidth="1"/>
    <col min="12" max="13" width="8.7109375" style="147" customWidth="1"/>
    <col min="14" max="14" width="11.42578125" style="147"/>
    <col min="15" max="15" width="3" style="146" bestFit="1" customWidth="1"/>
    <col min="16" max="16384" width="11.42578125" style="1"/>
  </cols>
  <sheetData>
    <row r="1" spans="1:15" x14ac:dyDescent="0.2">
      <c r="A1" s="170" t="s">
        <v>152</v>
      </c>
      <c r="B1" s="932"/>
      <c r="C1" s="247" t="s">
        <v>146</v>
      </c>
      <c r="D1" s="25"/>
      <c r="E1" s="25"/>
      <c r="F1" s="25"/>
      <c r="G1" s="25"/>
      <c r="H1" s="25"/>
      <c r="I1" s="25"/>
      <c r="J1" s="25"/>
      <c r="K1" s="25"/>
      <c r="L1" s="25"/>
      <c r="M1" s="25"/>
      <c r="O1" s="423"/>
    </row>
    <row r="2" spans="1:15" ht="15.75" x14ac:dyDescent="0.25">
      <c r="A2" s="163" t="s">
        <v>31</v>
      </c>
      <c r="B2" s="965"/>
      <c r="C2" s="965"/>
      <c r="D2" s="965"/>
      <c r="E2" s="297"/>
      <c r="F2" s="965"/>
      <c r="G2" s="965"/>
      <c r="H2" s="965"/>
      <c r="I2" s="297"/>
      <c r="J2" s="965"/>
      <c r="K2" s="965"/>
      <c r="L2" s="965"/>
      <c r="M2" s="297"/>
    </row>
    <row r="3" spans="1:15" ht="15.75" x14ac:dyDescent="0.25">
      <c r="A3" s="161"/>
      <c r="B3" s="297"/>
      <c r="C3" s="297"/>
      <c r="D3" s="297"/>
      <c r="E3" s="297"/>
      <c r="F3" s="297"/>
      <c r="G3" s="297"/>
      <c r="H3" s="297"/>
      <c r="I3" s="297"/>
      <c r="J3" s="297"/>
      <c r="K3" s="297"/>
      <c r="L3" s="297"/>
      <c r="M3" s="297"/>
    </row>
    <row r="4" spans="1:15" x14ac:dyDescent="0.2">
      <c r="A4" s="142"/>
      <c r="B4" s="960" t="s">
        <v>0</v>
      </c>
      <c r="C4" s="961"/>
      <c r="D4" s="961"/>
      <c r="E4" s="299"/>
      <c r="F4" s="960" t="s">
        <v>1</v>
      </c>
      <c r="G4" s="961"/>
      <c r="H4" s="961"/>
      <c r="I4" s="302"/>
      <c r="J4" s="960" t="s">
        <v>2</v>
      </c>
      <c r="K4" s="961"/>
      <c r="L4" s="961"/>
      <c r="M4" s="302"/>
    </row>
    <row r="5" spans="1:15" x14ac:dyDescent="0.2">
      <c r="A5" s="156"/>
      <c r="B5" s="150" t="s">
        <v>504</v>
      </c>
      <c r="C5" s="150" t="s">
        <v>505</v>
      </c>
      <c r="D5" s="243" t="s">
        <v>3</v>
      </c>
      <c r="E5" s="303" t="s">
        <v>32</v>
      </c>
      <c r="F5" s="150" t="s">
        <v>504</v>
      </c>
      <c r="G5" s="150" t="s">
        <v>505</v>
      </c>
      <c r="H5" s="243" t="s">
        <v>3</v>
      </c>
      <c r="I5" s="160" t="s">
        <v>32</v>
      </c>
      <c r="J5" s="150" t="s">
        <v>504</v>
      </c>
      <c r="K5" s="150" t="s">
        <v>505</v>
      </c>
      <c r="L5" s="243" t="s">
        <v>3</v>
      </c>
      <c r="M5" s="160" t="s">
        <v>32</v>
      </c>
      <c r="O5" s="931"/>
    </row>
    <row r="6" spans="1:15" x14ac:dyDescent="0.2">
      <c r="A6" s="933"/>
      <c r="B6" s="154"/>
      <c r="C6" s="154"/>
      <c r="D6" s="245" t="s">
        <v>4</v>
      </c>
      <c r="E6" s="154" t="s">
        <v>33</v>
      </c>
      <c r="F6" s="159"/>
      <c r="G6" s="159"/>
      <c r="H6" s="243" t="s">
        <v>4</v>
      </c>
      <c r="I6" s="154" t="s">
        <v>33</v>
      </c>
      <c r="J6" s="159"/>
      <c r="K6" s="159"/>
      <c r="L6" s="243" t="s">
        <v>4</v>
      </c>
      <c r="M6" s="154" t="s">
        <v>33</v>
      </c>
    </row>
    <row r="7" spans="1:15" ht="15.75" x14ac:dyDescent="0.2">
      <c r="A7" s="14" t="s">
        <v>26</v>
      </c>
      <c r="B7" s="304">
        <v>445898.73900603899</v>
      </c>
      <c r="C7" s="305">
        <v>458283.514009242</v>
      </c>
      <c r="D7" s="348">
        <f>IF(B7=0, "    ---- ", IF(ABS(ROUND(100/B7*C7-100,1))&lt;999,ROUND(100/B7*C7-100,1),IF(ROUND(100/B7*C7-100,1)&gt;999,999,-999)))</f>
        <v>2.8</v>
      </c>
      <c r="E7" s="11">
        <f>IFERROR(100/'Skjema total MA'!C7*C7,0)</f>
        <v>9.8264582748654874</v>
      </c>
      <c r="F7" s="304">
        <v>5308859.193</v>
      </c>
      <c r="G7" s="305">
        <v>5539894.4457099997</v>
      </c>
      <c r="H7" s="348">
        <f>IF(F7=0, "    ---- ", IF(ABS(ROUND(100/F7*G7-100,1))&lt;999,ROUND(100/F7*G7-100,1),IF(ROUND(100/F7*G7-100,1)&gt;999,999,-999)))</f>
        <v>4.4000000000000004</v>
      </c>
      <c r="I7" s="158">
        <f>IFERROR(100/'Skjema total MA'!F7*G7,0)</f>
        <v>62.899037586734536</v>
      </c>
      <c r="J7" s="306">
        <v>5754757.9320060387</v>
      </c>
      <c r="K7" s="307">
        <v>5998177.9597192416</v>
      </c>
      <c r="L7" s="424">
        <f>IF(J7=0, "    ---- ", IF(ABS(ROUND(100/J7*K7-100,1))&lt;999,ROUND(100/J7*K7-100,1),IF(ROUND(100/J7*K7-100,1)&gt;999,999,-999)))</f>
        <v>4.2</v>
      </c>
      <c r="M7" s="11">
        <f>IFERROR(100/'Skjema total MA'!I7*K7,0)</f>
        <v>44.525377477850931</v>
      </c>
    </row>
    <row r="8" spans="1:15" ht="15.75" x14ac:dyDescent="0.2">
      <c r="A8" s="20" t="s">
        <v>28</v>
      </c>
      <c r="B8" s="279">
        <v>345716.81628106203</v>
      </c>
      <c r="C8" s="280">
        <v>359711.32363467698</v>
      </c>
      <c r="D8" s="164">
        <f>IF(AND(_xlfn.NUMBERVALUE(B8)=0,_xlfn.NUMBERVALUE(C8)=0),,IF(B8=0, "    ---- ", IF(ABS(ROUND(100/B8*C8-100,1))&lt;999,IF(ROUND(100/B8*C8-100,1)=0,"    ---- ",ROUND(100/B8*C8-100,1)),IF(ROUND(100/B8*C8-100,1)&gt;999,999,-999))))</f>
        <v>4</v>
      </c>
      <c r="E8" s="26">
        <f>IFERROR(100/'Skjema total MA'!C8*C8,0)</f>
        <v>14.45295986852296</v>
      </c>
      <c r="F8" s="283"/>
      <c r="G8" s="284"/>
      <c r="H8" s="164"/>
      <c r="I8" s="174">
        <f>IFERROR(100/'Skjema total MA'!F8*G8,0)</f>
        <v>0</v>
      </c>
      <c r="J8" s="232">
        <v>345716.81628106203</v>
      </c>
      <c r="K8" s="285">
        <v>359711.32363467698</v>
      </c>
      <c r="L8" s="164">
        <f>IF(AND(_xlfn.NUMBERVALUE(J8)=0,_xlfn.NUMBERVALUE(K8)=0),,IF(J8=0, "    ---- ", IF(ABS(ROUND(100/J8*K8-100,1))&lt;999,IF(ROUND(100/J8*K8-100,1)=0,"    ---- ",ROUND(100/J8*K8-100,1)),IF(ROUND(100/J8*K8-100,1)&gt;999,999,-999))))</f>
        <v>4</v>
      </c>
      <c r="M8" s="26">
        <f>IFERROR(100/'Skjema total MA'!I8*K8,0)</f>
        <v>14.45295986852296</v>
      </c>
    </row>
    <row r="9" spans="1:15" ht="15.75" x14ac:dyDescent="0.2">
      <c r="A9" s="20" t="s">
        <v>27</v>
      </c>
      <c r="B9" s="279">
        <v>86900.953954718003</v>
      </c>
      <c r="C9" s="280">
        <v>84281.823916295907</v>
      </c>
      <c r="D9" s="164">
        <f t="shared" ref="D9:D12" si="0">IF(B9=0, "    ---- ", IF(ABS(ROUND(100/B9*C9-100,1))&lt;999,ROUND(100/B9*C9-100,1),IF(ROUND(100/B9*C9-100,1)&gt;999,999,-999)))</f>
        <v>-3</v>
      </c>
      <c r="E9" s="26">
        <f>IFERROR(100/'Skjema total MA'!C9*C9,0)</f>
        <v>7.7892902987827561</v>
      </c>
      <c r="F9" s="283"/>
      <c r="G9" s="284"/>
      <c r="H9" s="164"/>
      <c r="I9" s="174">
        <f>IFERROR(100/'Skjema total MA'!F9*G9,0)</f>
        <v>0</v>
      </c>
      <c r="J9" s="232">
        <v>86900.953954718003</v>
      </c>
      <c r="K9" s="285">
        <v>84281.823916295907</v>
      </c>
      <c r="L9" s="164">
        <f>IF(AND(_xlfn.NUMBERVALUE(J9)=0,_xlfn.NUMBERVALUE(K9)=0),,IF(J9=0, "    ---- ", IF(ABS(ROUND(100/J9*K9-100,1))&lt;999,IF(ROUND(100/J9*K9-100,1)=0,"    ---- ",ROUND(100/J9*K9-100,1)),IF(ROUND(100/J9*K9-100,1)&gt;999,999,-999))))</f>
        <v>-3</v>
      </c>
      <c r="M9" s="26">
        <f>IFERROR(100/'Skjema total MA'!I9*K9,0)</f>
        <v>7.7892902987827561</v>
      </c>
    </row>
    <row r="10" spans="1:15" ht="15.75" x14ac:dyDescent="0.2">
      <c r="A10" s="13" t="s">
        <v>25</v>
      </c>
      <c r="B10" s="308">
        <v>793861.54920323205</v>
      </c>
      <c r="C10" s="309">
        <v>762902.65237989498</v>
      </c>
      <c r="D10" s="169">
        <f t="shared" si="0"/>
        <v>-3.9</v>
      </c>
      <c r="E10" s="11">
        <f>IFERROR(100/'Skjema total MA'!C10*C10,0)</f>
        <v>3.1737229132415008</v>
      </c>
      <c r="F10" s="308">
        <v>18017216.095685601</v>
      </c>
      <c r="G10" s="309">
        <v>23826179.1763524</v>
      </c>
      <c r="H10" s="169">
        <f t="shared" ref="H10:H12" si="1">IF(F10=0, "    ---- ", IF(ABS(ROUND(100/F10*G10-100,1))&lt;999,ROUND(100/F10*G10-100,1),IF(ROUND(100/F10*G10-100,1)&gt;999,999,-999)))</f>
        <v>32.200000000000003</v>
      </c>
      <c r="I10" s="158">
        <f>IFERROR(100/'Skjema total MA'!F10*G10,0)</f>
        <v>56.353007130164336</v>
      </c>
      <c r="J10" s="306">
        <v>18811077.644888833</v>
      </c>
      <c r="K10" s="307">
        <v>24589081.828732297</v>
      </c>
      <c r="L10" s="425">
        <f t="shared" ref="L10:L12" si="2">IF(J10=0, "    ---- ", IF(ABS(ROUND(100/J10*K10-100,1))&lt;999,ROUND(100/J10*K10-100,1),IF(ROUND(100/J10*K10-100,1)&gt;999,999,-999)))</f>
        <v>30.7</v>
      </c>
      <c r="M10" s="11">
        <f>IFERROR(100/'Skjema total MA'!I10*K10,0)</f>
        <v>37.077356226583625</v>
      </c>
    </row>
    <row r="11" spans="1:15" s="42" customFormat="1" ht="15.75" x14ac:dyDescent="0.2">
      <c r="A11" s="13" t="s">
        <v>24</v>
      </c>
      <c r="B11" s="308">
        <v>0</v>
      </c>
      <c r="C11" s="309">
        <v>0</v>
      </c>
      <c r="D11" s="169" t="str">
        <f t="shared" si="0"/>
        <v xml:space="preserve">    ---- </v>
      </c>
      <c r="E11" s="11">
        <f>IFERROR(100/'Skjema total MA'!C11*C11,0)</f>
        <v>0</v>
      </c>
      <c r="F11" s="308">
        <v>232249.93202000001</v>
      </c>
      <c r="G11" s="309">
        <v>115458.05710000001</v>
      </c>
      <c r="H11" s="169">
        <f t="shared" si="1"/>
        <v>-50.3</v>
      </c>
      <c r="I11" s="158">
        <f>IFERROR(100/'Skjema total MA'!F11*G11,0)</f>
        <v>43.707139716303011</v>
      </c>
      <c r="J11" s="306">
        <v>232249.93202000001</v>
      </c>
      <c r="K11" s="307">
        <v>115458.05710000001</v>
      </c>
      <c r="L11" s="425">
        <f t="shared" si="2"/>
        <v>-50.3</v>
      </c>
      <c r="M11" s="11">
        <f>IFERROR(100/'Skjema total MA'!I11*K11,0)</f>
        <v>32.099419875454501</v>
      </c>
      <c r="N11" s="141"/>
      <c r="O11" s="146"/>
    </row>
    <row r="12" spans="1:15" s="42" customFormat="1" ht="15.75" x14ac:dyDescent="0.2">
      <c r="A12" s="40" t="s">
        <v>23</v>
      </c>
      <c r="B12" s="310">
        <v>79.740440000000007</v>
      </c>
      <c r="C12" s="311">
        <v>0</v>
      </c>
      <c r="D12" s="167">
        <f t="shared" si="0"/>
        <v>-100</v>
      </c>
      <c r="E12" s="35">
        <f>IFERROR(100/'Skjema total MA'!C12*C12,0)</f>
        <v>0</v>
      </c>
      <c r="F12" s="310">
        <v>31955.709599999998</v>
      </c>
      <c r="G12" s="311">
        <v>66234.180699999997</v>
      </c>
      <c r="H12" s="167">
        <f t="shared" si="1"/>
        <v>107.3</v>
      </c>
      <c r="I12" s="167">
        <f>IFERROR(100/'Skjema total MA'!F12*G12,0)</f>
        <v>36.911830169007224</v>
      </c>
      <c r="J12" s="312">
        <v>32035.45004</v>
      </c>
      <c r="K12" s="313">
        <v>66234.180699999997</v>
      </c>
      <c r="L12" s="426">
        <f t="shared" si="2"/>
        <v>106.8</v>
      </c>
      <c r="M12" s="35">
        <f>IFERROR(100/'Skjema total MA'!I12*K12,0)</f>
        <v>31.795373156305892</v>
      </c>
      <c r="N12" s="141"/>
      <c r="O12" s="146"/>
    </row>
    <row r="13" spans="1:15" s="42" customFormat="1" x14ac:dyDescent="0.2">
      <c r="A13" s="166"/>
      <c r="B13" s="143"/>
      <c r="C13" s="32"/>
      <c r="D13" s="157"/>
      <c r="E13" s="157"/>
      <c r="F13" s="143"/>
      <c r="G13" s="32"/>
      <c r="H13" s="157"/>
      <c r="I13" s="157"/>
      <c r="J13" s="47"/>
      <c r="K13" s="47"/>
      <c r="L13" s="157"/>
      <c r="M13" s="157"/>
      <c r="N13" s="141"/>
      <c r="O13" s="423"/>
    </row>
    <row r="14" spans="1:15" x14ac:dyDescent="0.2">
      <c r="A14" s="151" t="s">
        <v>296</v>
      </c>
      <c r="B14" s="25"/>
    </row>
    <row r="15" spans="1:15" x14ac:dyDescent="0.2">
      <c r="F15" s="144"/>
      <c r="G15" s="144"/>
      <c r="H15" s="144"/>
      <c r="I15" s="144"/>
      <c r="J15" s="144"/>
      <c r="K15" s="144"/>
      <c r="L15" s="144"/>
      <c r="M15" s="144"/>
    </row>
    <row r="16" spans="1:15" s="3" customFormat="1" ht="15.75" x14ac:dyDescent="0.25">
      <c r="A16" s="162"/>
      <c r="B16" s="146"/>
      <c r="C16" s="152"/>
      <c r="D16" s="152"/>
      <c r="E16" s="152"/>
      <c r="F16" s="152"/>
      <c r="G16" s="152"/>
      <c r="H16" s="152"/>
      <c r="I16" s="152"/>
      <c r="J16" s="152"/>
      <c r="K16" s="152"/>
      <c r="L16" s="152"/>
      <c r="M16" s="152"/>
      <c r="N16" s="146"/>
      <c r="O16" s="146"/>
    </row>
    <row r="17" spans="1:15" ht="15.75" x14ac:dyDescent="0.25">
      <c r="A17" s="145" t="s">
        <v>293</v>
      </c>
      <c r="B17" s="155"/>
      <c r="C17" s="155"/>
      <c r="D17" s="149"/>
      <c r="E17" s="149"/>
      <c r="F17" s="155"/>
      <c r="G17" s="155"/>
      <c r="H17" s="155"/>
      <c r="I17" s="155"/>
      <c r="J17" s="155"/>
      <c r="K17" s="155"/>
      <c r="L17" s="155"/>
      <c r="M17" s="155"/>
    </row>
    <row r="18" spans="1:15" ht="15.75" x14ac:dyDescent="0.25">
      <c r="B18" s="963"/>
      <c r="C18" s="963"/>
      <c r="D18" s="963"/>
      <c r="E18" s="297"/>
      <c r="F18" s="963"/>
      <c r="G18" s="963"/>
      <c r="H18" s="963"/>
      <c r="I18" s="297"/>
      <c r="J18" s="963"/>
      <c r="K18" s="963"/>
      <c r="L18" s="963"/>
      <c r="M18" s="297"/>
    </row>
    <row r="19" spans="1:15" x14ac:dyDescent="0.2">
      <c r="A19" s="142"/>
      <c r="B19" s="960" t="s">
        <v>0</v>
      </c>
      <c r="C19" s="961"/>
      <c r="D19" s="961"/>
      <c r="E19" s="299"/>
      <c r="F19" s="960" t="s">
        <v>1</v>
      </c>
      <c r="G19" s="961"/>
      <c r="H19" s="961"/>
      <c r="I19" s="302"/>
      <c r="J19" s="960" t="s">
        <v>2</v>
      </c>
      <c r="K19" s="961"/>
      <c r="L19" s="961"/>
      <c r="M19" s="302"/>
    </row>
    <row r="20" spans="1:15" x14ac:dyDescent="0.2">
      <c r="A20" s="139" t="s">
        <v>5</v>
      </c>
      <c r="B20" s="240" t="s">
        <v>504</v>
      </c>
      <c r="C20" s="240" t="s">
        <v>505</v>
      </c>
      <c r="D20" s="160" t="s">
        <v>3</v>
      </c>
      <c r="E20" s="303" t="s">
        <v>32</v>
      </c>
      <c r="F20" s="240" t="s">
        <v>504</v>
      </c>
      <c r="G20" s="240" t="s">
        <v>505</v>
      </c>
      <c r="H20" s="160" t="s">
        <v>3</v>
      </c>
      <c r="I20" s="160" t="s">
        <v>32</v>
      </c>
      <c r="J20" s="240" t="s">
        <v>504</v>
      </c>
      <c r="K20" s="240" t="s">
        <v>505</v>
      </c>
      <c r="L20" s="160" t="s">
        <v>3</v>
      </c>
      <c r="M20" s="160" t="s">
        <v>32</v>
      </c>
    </row>
    <row r="21" spans="1:15" x14ac:dyDescent="0.2">
      <c r="A21" s="934"/>
      <c r="B21" s="154"/>
      <c r="C21" s="154"/>
      <c r="D21" s="245" t="s">
        <v>4</v>
      </c>
      <c r="E21" s="154" t="s">
        <v>33</v>
      </c>
      <c r="F21" s="159"/>
      <c r="G21" s="159"/>
      <c r="H21" s="243" t="s">
        <v>4</v>
      </c>
      <c r="I21" s="154" t="s">
        <v>33</v>
      </c>
      <c r="J21" s="159"/>
      <c r="K21" s="159"/>
      <c r="L21" s="154" t="s">
        <v>4</v>
      </c>
      <c r="M21" s="154" t="s">
        <v>33</v>
      </c>
    </row>
    <row r="22" spans="1:15" ht="15.75" x14ac:dyDescent="0.2">
      <c r="A22" s="14" t="s">
        <v>26</v>
      </c>
      <c r="B22" s="314">
        <f>B23+B24+B25+B26</f>
        <v>139830.24065130099</v>
      </c>
      <c r="C22" s="314">
        <f>C23+C24+C25+C26</f>
        <v>141341.832536314</v>
      </c>
      <c r="D22" s="348">
        <f t="shared" ref="D22:D35" si="3">IF(B22=0, "    ---- ", IF(ABS(ROUND(100/B22*C22-100,1))&lt;999,ROUND(100/B22*C22-100,1),IF(ROUND(100/B22*C22-100,1)&gt;999,999,-999)))</f>
        <v>1.1000000000000001</v>
      </c>
      <c r="E22" s="11">
        <f>IFERROR(100/'Skjema total MA'!C22*C22,0)</f>
        <v>8.6638705181096753</v>
      </c>
      <c r="F22" s="314">
        <f>F23+F24+F25+F26</f>
        <v>181953.59359</v>
      </c>
      <c r="G22" s="314">
        <f>G23+G24+G25+G26</f>
        <v>286116.89798000001</v>
      </c>
      <c r="H22" s="348">
        <f t="shared" ref="H22:H35" si="4">IF(F22=0, "    ---- ", IF(ABS(ROUND(100/F22*G22-100,1))&lt;999,ROUND(100/F22*G22-100,1),IF(ROUND(100/F22*G22-100,1)&gt;999,999,-999)))</f>
        <v>57.2</v>
      </c>
      <c r="I22" s="11">
        <f>IFERROR(100/'Skjema total MA'!F22*G22,0)</f>
        <v>24.658008220556894</v>
      </c>
      <c r="J22" s="314">
        <f t="shared" ref="J22:K35" si="5">SUM(B22,F22)</f>
        <v>321783.834241301</v>
      </c>
      <c r="K22" s="314">
        <f t="shared" si="5"/>
        <v>427458.73051631404</v>
      </c>
      <c r="L22" s="424">
        <f t="shared" ref="L22:L35" si="6">IF(J22=0, "    ---- ", IF(ABS(ROUND(100/J22*K22-100,1))&lt;999,ROUND(100/J22*K22-100,1),IF(ROUND(100/J22*K22-100,1)&gt;999,999,-999)))</f>
        <v>32.799999999999997</v>
      </c>
      <c r="M22" s="23">
        <f>IFERROR(100/'Skjema total MA'!I22*K22,0)</f>
        <v>15.311583520001591</v>
      </c>
    </row>
    <row r="23" spans="1:15" ht="15.75" x14ac:dyDescent="0.2">
      <c r="A23" s="294" t="s">
        <v>305</v>
      </c>
      <c r="B23" s="288">
        <v>139140.08065130099</v>
      </c>
      <c r="C23" s="288">
        <v>140202.90553631401</v>
      </c>
      <c r="D23" s="164">
        <f t="shared" si="3"/>
        <v>0.8</v>
      </c>
      <c r="E23" s="26">
        <f>IFERROR(100/'Skjema total MA'!C23*C23,0)</f>
        <v>8.9767527127059026</v>
      </c>
      <c r="F23" s="288">
        <v>6235.9979999999996</v>
      </c>
      <c r="G23" s="288">
        <v>5323.4126100000003</v>
      </c>
      <c r="H23" s="164">
        <f t="shared" si="4"/>
        <v>-14.6</v>
      </c>
      <c r="I23" s="414">
        <f>IFERROR(100/'Skjema total MA'!F23*G23,0)</f>
        <v>3.4653491925517748</v>
      </c>
      <c r="J23" s="43">
        <f t="shared" ref="J23:J27" si="7">SUM(B23,F23)</f>
        <v>145376.07865130098</v>
      </c>
      <c r="K23" s="43">
        <f t="shared" ref="K23:K27" si="8">SUM(C23,G23)</f>
        <v>145526.31814631401</v>
      </c>
      <c r="L23" s="164">
        <f t="shared" si="6"/>
        <v>0.1</v>
      </c>
      <c r="M23" s="22">
        <f>IFERROR(100/'Skjema total MA'!I23*K23,0)</f>
        <v>8.4832107871081348</v>
      </c>
    </row>
    <row r="24" spans="1:15" ht="15.75" x14ac:dyDescent="0.2">
      <c r="A24" s="294" t="s">
        <v>306</v>
      </c>
      <c r="B24" s="288">
        <v>680.91</v>
      </c>
      <c r="C24" s="288">
        <v>1133.9269999999999</v>
      </c>
      <c r="D24" s="164">
        <f t="shared" si="3"/>
        <v>66.5</v>
      </c>
      <c r="E24" s="26">
        <f>IFERROR(100/'Skjema total MA'!C24*C24,0)</f>
        <v>6.4270045227722177</v>
      </c>
      <c r="F24" s="288">
        <v>6204.9070199999996</v>
      </c>
      <c r="G24" s="288">
        <v>190.61909</v>
      </c>
      <c r="H24" s="164">
        <f t="shared" si="4"/>
        <v>-96.9</v>
      </c>
      <c r="I24" s="414">
        <f>IFERROR(100/'Skjema total MA'!F24*G24,0)</f>
        <v>23.386354393343701</v>
      </c>
      <c r="J24" s="43">
        <f t="shared" si="7"/>
        <v>6885.8170199999995</v>
      </c>
      <c r="K24" s="43">
        <f t="shared" si="8"/>
        <v>1324.5460899999998</v>
      </c>
      <c r="L24" s="164">
        <f t="shared" si="6"/>
        <v>-80.8</v>
      </c>
      <c r="M24" s="22">
        <f>IFERROR(100/'Skjema total MA'!I24*K24,0)</f>
        <v>7.1759022338740879</v>
      </c>
    </row>
    <row r="25" spans="1:15" ht="15.75" x14ac:dyDescent="0.2">
      <c r="A25" s="294" t="s">
        <v>406</v>
      </c>
      <c r="B25" s="288">
        <v>9.25</v>
      </c>
      <c r="C25" s="288">
        <v>5</v>
      </c>
      <c r="D25" s="164">
        <f t="shared" si="3"/>
        <v>-45.9</v>
      </c>
      <c r="E25" s="26">
        <f>IFERROR(100/'Skjema total MA'!C25*C25,0)</f>
        <v>1.6933363759201334E-2</v>
      </c>
      <c r="F25" s="288">
        <v>169512.68857</v>
      </c>
      <c r="G25" s="288">
        <v>137392.84664999999</v>
      </c>
      <c r="H25" s="164">
        <f t="shared" si="4"/>
        <v>-18.899999999999999</v>
      </c>
      <c r="I25" s="414">
        <f>IFERROR(100/'Skjema total MA'!F25*G25,0)</f>
        <v>67.741460280793902</v>
      </c>
      <c r="J25" s="43">
        <f t="shared" si="7"/>
        <v>169521.93857</v>
      </c>
      <c r="K25" s="43">
        <f t="shared" si="8"/>
        <v>137397.84664999999</v>
      </c>
      <c r="L25" s="164">
        <f t="shared" si="6"/>
        <v>-18.899999999999999</v>
      </c>
      <c r="M25" s="22">
        <f>IFERROR(100/'Skjema total MA'!I25*K25,0)</f>
        <v>59.134777658854922</v>
      </c>
    </row>
    <row r="26" spans="1:15" ht="15.75" x14ac:dyDescent="0.2">
      <c r="A26" s="294" t="s">
        <v>307</v>
      </c>
      <c r="B26" s="288"/>
      <c r="C26" s="288"/>
      <c r="D26" s="164"/>
      <c r="E26" s="414"/>
      <c r="F26" s="288">
        <v>0</v>
      </c>
      <c r="G26" s="288">
        <v>143210.01963</v>
      </c>
      <c r="H26" s="164" t="str">
        <f t="shared" si="4"/>
        <v xml:space="preserve">    ---- </v>
      </c>
      <c r="I26" s="414">
        <f>IFERROR(100/'Skjema total MA'!F26*G26,0)</f>
        <v>17.832423997967716</v>
      </c>
      <c r="J26" s="43">
        <f t="shared" si="7"/>
        <v>0</v>
      </c>
      <c r="K26" s="43">
        <f t="shared" si="8"/>
        <v>143210.01963</v>
      </c>
      <c r="L26" s="164" t="str">
        <f t="shared" si="6"/>
        <v xml:space="preserve">    ---- </v>
      </c>
      <c r="M26" s="22">
        <f>IFERROR(100/'Skjema total MA'!I26*K26,0)</f>
        <v>17.832423997967716</v>
      </c>
    </row>
    <row r="27" spans="1:15" x14ac:dyDescent="0.2">
      <c r="A27" s="294" t="s">
        <v>11</v>
      </c>
      <c r="B27" s="288">
        <v>81.404849999999996</v>
      </c>
      <c r="C27" s="288">
        <v>73.589250000000007</v>
      </c>
      <c r="D27" s="164">
        <f t="shared" si="3"/>
        <v>-9.6</v>
      </c>
      <c r="E27" s="26">
        <f>IFERROR(100/'Skjema total MA'!C27*C27,0)</f>
        <v>100</v>
      </c>
      <c r="F27" s="288"/>
      <c r="G27" s="288"/>
      <c r="H27" s="164"/>
      <c r="I27" s="414"/>
      <c r="J27" s="43">
        <f t="shared" si="7"/>
        <v>81.404849999999996</v>
      </c>
      <c r="K27" s="43">
        <f t="shared" si="8"/>
        <v>73.589250000000007</v>
      </c>
      <c r="L27" s="164">
        <f t="shared" si="6"/>
        <v>-9.6</v>
      </c>
      <c r="M27" s="22">
        <f>IFERROR(100/'Skjema total MA'!I27*K27,0)</f>
        <v>100</v>
      </c>
    </row>
    <row r="28" spans="1:15" ht="15.75" x14ac:dyDescent="0.2">
      <c r="A28" s="48" t="s">
        <v>297</v>
      </c>
      <c r="B28" s="43">
        <v>141533.88171427901</v>
      </c>
      <c r="C28" s="285">
        <v>143447.436508849</v>
      </c>
      <c r="D28" s="164">
        <f t="shared" si="3"/>
        <v>1.4</v>
      </c>
      <c r="E28" s="26">
        <f>IFERROR(100/'Skjema total MA'!C28*C28,0)</f>
        <v>8.8782155454742764</v>
      </c>
      <c r="F28" s="232"/>
      <c r="G28" s="285"/>
      <c r="H28" s="164"/>
      <c r="I28" s="26"/>
      <c r="J28" s="43">
        <f t="shared" si="5"/>
        <v>141533.88171427901</v>
      </c>
      <c r="K28" s="43">
        <f t="shared" si="5"/>
        <v>143447.436508849</v>
      </c>
      <c r="L28" s="253">
        <f t="shared" si="6"/>
        <v>1.4</v>
      </c>
      <c r="M28" s="22">
        <f>IFERROR(100/'Skjema total MA'!I28*K28,0)</f>
        <v>8.8782155454742764</v>
      </c>
    </row>
    <row r="29" spans="1:15" s="3" customFormat="1" ht="15.75" x14ac:dyDescent="0.2">
      <c r="A29" s="13" t="s">
        <v>25</v>
      </c>
      <c r="B29" s="234">
        <f>B30+B31+B32+B33</f>
        <v>4109882.571</v>
      </c>
      <c r="C29" s="234">
        <f>C30+C31+C32+C33</f>
        <v>4017399.2699999991</v>
      </c>
      <c r="D29" s="169">
        <f t="shared" si="3"/>
        <v>-2.2999999999999998</v>
      </c>
      <c r="E29" s="11">
        <f>IFERROR(100/'Skjema total MA'!C29*C29,0)</f>
        <v>8.1250607618336019</v>
      </c>
      <c r="F29" s="234">
        <f>F30+F31+F32+F33</f>
        <v>3259886.16</v>
      </c>
      <c r="G29" s="234">
        <f>G30+G31+G32+G33</f>
        <v>3613146.48</v>
      </c>
      <c r="H29" s="169">
        <f t="shared" si="4"/>
        <v>10.8</v>
      </c>
      <c r="I29" s="11">
        <f>IFERROR(100/'Skjema total MA'!F29*G29,0)</f>
        <v>17.445805634737876</v>
      </c>
      <c r="J29" s="234">
        <f t="shared" si="5"/>
        <v>7369768.7310000006</v>
      </c>
      <c r="K29" s="234">
        <f t="shared" si="5"/>
        <v>7630545.7499999991</v>
      </c>
      <c r="L29" s="425">
        <f t="shared" si="6"/>
        <v>3.5</v>
      </c>
      <c r="M29" s="23">
        <f>IFERROR(100/'Skjema total MA'!I29*K29,0)</f>
        <v>10.876659417763092</v>
      </c>
      <c r="N29" s="146"/>
      <c r="O29" s="146"/>
    </row>
    <row r="30" spans="1:15" s="3" customFormat="1" ht="15.75" x14ac:dyDescent="0.2">
      <c r="A30" s="294" t="s">
        <v>305</v>
      </c>
      <c r="B30" s="288">
        <v>1234800.1931978399</v>
      </c>
      <c r="C30" s="288">
        <v>985631.04385384906</v>
      </c>
      <c r="D30" s="164">
        <f t="shared" si="3"/>
        <v>-20.2</v>
      </c>
      <c r="E30" s="26">
        <f>IFERROR(100/'Skjema total MA'!C30*C30,0)</f>
        <v>7.6632181629156539</v>
      </c>
      <c r="F30" s="288">
        <v>541480.09</v>
      </c>
      <c r="G30" s="288">
        <v>510321.48800000001</v>
      </c>
      <c r="H30" s="164">
        <f t="shared" si="4"/>
        <v>-5.8</v>
      </c>
      <c r="I30" s="414">
        <f>IFERROR(100/'Skjema total MA'!F30*G30,0)</f>
        <v>11.341127043415467</v>
      </c>
      <c r="J30" s="43">
        <f t="shared" ref="J30:J33" si="9">SUM(B30,F30)</f>
        <v>1776280.2831978397</v>
      </c>
      <c r="K30" s="43">
        <f t="shared" ref="K30:K33" si="10">SUM(C30,G30)</f>
        <v>1495952.5318538491</v>
      </c>
      <c r="L30" s="164">
        <f t="shared" si="6"/>
        <v>-15.8</v>
      </c>
      <c r="M30" s="22">
        <f>IFERROR(100/'Skjema total MA'!I30*K30,0)</f>
        <v>8.6164515439740246</v>
      </c>
      <c r="N30" s="146"/>
      <c r="O30" s="146"/>
    </row>
    <row r="31" spans="1:15" s="3" customFormat="1" ht="15.75" x14ac:dyDescent="0.2">
      <c r="A31" s="294" t="s">
        <v>306</v>
      </c>
      <c r="B31" s="288">
        <v>2603243.5508021601</v>
      </c>
      <c r="C31" s="288">
        <v>2756318.2601461499</v>
      </c>
      <c r="D31" s="164">
        <f t="shared" si="3"/>
        <v>5.9</v>
      </c>
      <c r="E31" s="26">
        <f>IFERROR(100/'Skjema total MA'!C31*C31,0)</f>
        <v>7.8341798232487658</v>
      </c>
      <c r="F31" s="288">
        <v>1103353.04</v>
      </c>
      <c r="G31" s="288">
        <v>1001168.632</v>
      </c>
      <c r="H31" s="164">
        <f t="shared" si="4"/>
        <v>-9.3000000000000007</v>
      </c>
      <c r="I31" s="414">
        <f>IFERROR(100/'Skjema total MA'!F31*G31,0)</f>
        <v>8.8939890030549318</v>
      </c>
      <c r="J31" s="43">
        <f t="shared" si="9"/>
        <v>3706596.5908021601</v>
      </c>
      <c r="K31" s="43">
        <f t="shared" si="10"/>
        <v>3757486.8921461497</v>
      </c>
      <c r="L31" s="164">
        <f t="shared" si="6"/>
        <v>1.4</v>
      </c>
      <c r="M31" s="22">
        <f>IFERROR(100/'Skjema total MA'!I31*K31,0)</f>
        <v>8.0910695782385229</v>
      </c>
      <c r="N31" s="146"/>
      <c r="O31" s="146"/>
    </row>
    <row r="32" spans="1:15" ht="15.75" x14ac:dyDescent="0.2">
      <c r="A32" s="294" t="s">
        <v>406</v>
      </c>
      <c r="B32" s="288">
        <v>271838.82699999999</v>
      </c>
      <c r="C32" s="288">
        <v>275449.96600000001</v>
      </c>
      <c r="D32" s="164">
        <f t="shared" si="3"/>
        <v>1.3</v>
      </c>
      <c r="E32" s="26">
        <f>IFERROR(100/'Skjema total MA'!C32*C32,0)</f>
        <v>20.908648357424962</v>
      </c>
      <c r="F32" s="288">
        <v>1615053.03</v>
      </c>
      <c r="G32" s="288">
        <v>1905443.79</v>
      </c>
      <c r="H32" s="164">
        <f t="shared" si="4"/>
        <v>18</v>
      </c>
      <c r="I32" s="414">
        <f>IFERROR(100/'Skjema total MA'!F32*G32,0)</f>
        <v>46.114188744457209</v>
      </c>
      <c r="J32" s="43">
        <f t="shared" si="9"/>
        <v>1886891.8570000001</v>
      </c>
      <c r="K32" s="43">
        <f t="shared" si="10"/>
        <v>2180893.7560000001</v>
      </c>
      <c r="L32" s="164">
        <f t="shared" si="6"/>
        <v>15.6</v>
      </c>
      <c r="M32" s="22">
        <f>IFERROR(100/'Skjema total MA'!I32*K32,0)</f>
        <v>40.020737316190896</v>
      </c>
    </row>
    <row r="33" spans="1:15" ht="15.75" x14ac:dyDescent="0.2">
      <c r="A33" s="294" t="s">
        <v>307</v>
      </c>
      <c r="B33" s="288"/>
      <c r="C33" s="288"/>
      <c r="D33" s="164"/>
      <c r="E33" s="414"/>
      <c r="F33" s="288">
        <v>0</v>
      </c>
      <c r="G33" s="288">
        <v>196212.57</v>
      </c>
      <c r="H33" s="164" t="str">
        <f t="shared" si="4"/>
        <v xml:space="preserve">    ---- </v>
      </c>
      <c r="I33" s="414">
        <f>IFERROR(100/'Skjema total MA'!F34*G33,0)</f>
        <v>1082.7841087134075</v>
      </c>
      <c r="J33" s="43">
        <f t="shared" si="9"/>
        <v>0</v>
      </c>
      <c r="K33" s="43">
        <f t="shared" si="10"/>
        <v>196212.57</v>
      </c>
      <c r="L33" s="164" t="str">
        <f t="shared" si="6"/>
        <v xml:space="preserve">    ---- </v>
      </c>
      <c r="M33" s="22">
        <f>IFERROR(100/'Skjema total MA'!I34*K33,0)</f>
        <v>332.27229363666919</v>
      </c>
    </row>
    <row r="34" spans="1:15" ht="15.75" x14ac:dyDescent="0.2">
      <c r="A34" s="13" t="s">
        <v>24</v>
      </c>
      <c r="B34" s="234">
        <v>958.40332000000001</v>
      </c>
      <c r="C34" s="307">
        <v>2958.3442</v>
      </c>
      <c r="D34" s="169">
        <f t="shared" si="3"/>
        <v>208.7</v>
      </c>
      <c r="E34" s="11">
        <f>IFERROR(100/'Skjema total MA'!C34*C34,0)</f>
        <v>7.2277037795017005</v>
      </c>
      <c r="F34" s="306">
        <v>1080.4453100000001</v>
      </c>
      <c r="G34" s="307">
        <v>13461.356879999999</v>
      </c>
      <c r="H34" s="169">
        <f t="shared" si="4"/>
        <v>999</v>
      </c>
      <c r="I34" s="11">
        <f>IFERROR(100/'Skjema total MA'!F34*G34,0)</f>
        <v>74.285471676885408</v>
      </c>
      <c r="J34" s="234">
        <f t="shared" si="5"/>
        <v>2038.84863</v>
      </c>
      <c r="K34" s="234">
        <f t="shared" si="5"/>
        <v>16419.701079999999</v>
      </c>
      <c r="L34" s="425">
        <f t="shared" si="6"/>
        <v>705.3</v>
      </c>
      <c r="M34" s="23">
        <f>IFERROR(100/'Skjema total MA'!I34*K34,0)</f>
        <v>27.80561784945834</v>
      </c>
    </row>
    <row r="35" spans="1:15" ht="15.75" x14ac:dyDescent="0.2">
      <c r="A35" s="13" t="s">
        <v>23</v>
      </c>
      <c r="B35" s="234">
        <v>2976.8266400000002</v>
      </c>
      <c r="C35" s="307">
        <v>0</v>
      </c>
      <c r="D35" s="169">
        <f t="shared" si="3"/>
        <v>-100</v>
      </c>
      <c r="E35" s="11">
        <f>IFERROR(100/'Skjema total MA'!C35*C35,0)</f>
        <v>0</v>
      </c>
      <c r="F35" s="306">
        <v>11942.32886</v>
      </c>
      <c r="G35" s="307">
        <v>5037.0151100000003</v>
      </c>
      <c r="H35" s="169">
        <f t="shared" si="4"/>
        <v>-57.8</v>
      </c>
      <c r="I35" s="11">
        <f>IFERROR(100/'Skjema total MA'!F35*G35,0)</f>
        <v>5.4808292066895454</v>
      </c>
      <c r="J35" s="234">
        <f t="shared" si="5"/>
        <v>14919.155500000001</v>
      </c>
      <c r="K35" s="234">
        <f t="shared" si="5"/>
        <v>5037.0151100000003</v>
      </c>
      <c r="L35" s="425">
        <f t="shared" si="6"/>
        <v>-66.2</v>
      </c>
      <c r="M35" s="23">
        <f>IFERROR(100/'Skjema total MA'!I35*K35,0)</f>
        <v>19.177343091191599</v>
      </c>
    </row>
    <row r="36" spans="1:15" ht="15.75" x14ac:dyDescent="0.2">
      <c r="A36" s="12" t="s">
        <v>308</v>
      </c>
      <c r="B36" s="234"/>
      <c r="C36" s="307"/>
      <c r="D36" s="169"/>
      <c r="E36" s="11"/>
      <c r="F36" s="317"/>
      <c r="G36" s="318"/>
      <c r="H36" s="169"/>
      <c r="I36" s="431"/>
      <c r="J36" s="234"/>
      <c r="K36" s="234"/>
      <c r="L36" s="425"/>
      <c r="M36" s="23"/>
    </row>
    <row r="37" spans="1:15" ht="15.75" x14ac:dyDescent="0.2">
      <c r="A37" s="12" t="s">
        <v>309</v>
      </c>
      <c r="B37" s="234"/>
      <c r="C37" s="307"/>
      <c r="D37" s="169"/>
      <c r="E37" s="11"/>
      <c r="F37" s="317"/>
      <c r="G37" s="319"/>
      <c r="H37" s="169"/>
      <c r="I37" s="431"/>
      <c r="J37" s="234"/>
      <c r="K37" s="234"/>
      <c r="L37" s="425"/>
      <c r="M37" s="23"/>
    </row>
    <row r="38" spans="1:15" ht="15.75" x14ac:dyDescent="0.2">
      <c r="A38" s="12" t="s">
        <v>310</v>
      </c>
      <c r="B38" s="234"/>
      <c r="C38" s="307"/>
      <c r="D38" s="169"/>
      <c r="E38" s="11"/>
      <c r="F38" s="317"/>
      <c r="G38" s="318"/>
      <c r="H38" s="169"/>
      <c r="I38" s="431"/>
      <c r="J38" s="234"/>
      <c r="K38" s="234"/>
      <c r="L38" s="425"/>
      <c r="M38" s="23"/>
    </row>
    <row r="39" spans="1:15" ht="15.75" x14ac:dyDescent="0.2">
      <c r="A39" s="18" t="s">
        <v>311</v>
      </c>
      <c r="B39" s="274"/>
      <c r="C39" s="313"/>
      <c r="D39" s="167"/>
      <c r="E39" s="11"/>
      <c r="F39" s="320"/>
      <c r="G39" s="321"/>
      <c r="H39" s="167"/>
      <c r="I39" s="35"/>
      <c r="J39" s="234"/>
      <c r="K39" s="234"/>
      <c r="L39" s="426"/>
      <c r="M39" s="35"/>
    </row>
    <row r="40" spans="1:15" ht="15.75" x14ac:dyDescent="0.25">
      <c r="A40" s="46"/>
      <c r="B40" s="252"/>
      <c r="C40" s="252"/>
      <c r="D40" s="964"/>
      <c r="E40" s="964"/>
      <c r="F40" s="964"/>
      <c r="G40" s="964"/>
      <c r="H40" s="964"/>
      <c r="I40" s="964"/>
      <c r="J40" s="964"/>
      <c r="K40" s="964"/>
      <c r="L40" s="964"/>
      <c r="M40" s="300"/>
    </row>
    <row r="41" spans="1:15" x14ac:dyDescent="0.2">
      <c r="A41" s="153"/>
    </row>
    <row r="42" spans="1:15" ht="15.75" x14ac:dyDescent="0.25">
      <c r="A42" s="145" t="s">
        <v>294</v>
      </c>
      <c r="B42" s="965"/>
      <c r="C42" s="965"/>
      <c r="D42" s="965"/>
      <c r="E42" s="297"/>
      <c r="F42" s="966"/>
      <c r="G42" s="966"/>
      <c r="H42" s="966"/>
      <c r="I42" s="300"/>
      <c r="J42" s="966"/>
      <c r="K42" s="966"/>
      <c r="L42" s="966"/>
      <c r="M42" s="300"/>
    </row>
    <row r="43" spans="1:15" ht="15.75" x14ac:dyDescent="0.25">
      <c r="A43" s="161"/>
      <c r="B43" s="301"/>
      <c r="C43" s="301"/>
      <c r="D43" s="301"/>
      <c r="E43" s="301"/>
      <c r="F43" s="300"/>
      <c r="G43" s="300"/>
      <c r="H43" s="300"/>
      <c r="I43" s="300"/>
      <c r="J43" s="300"/>
      <c r="K43" s="300"/>
      <c r="L43" s="300"/>
      <c r="M43" s="300"/>
    </row>
    <row r="44" spans="1:15" ht="15.75" x14ac:dyDescent="0.25">
      <c r="A44" s="246"/>
      <c r="B44" s="960" t="s">
        <v>0</v>
      </c>
      <c r="C44" s="961"/>
      <c r="D44" s="961"/>
      <c r="E44" s="241"/>
      <c r="F44" s="300"/>
      <c r="G44" s="300"/>
      <c r="H44" s="300"/>
      <c r="I44" s="300"/>
      <c r="J44" s="300"/>
      <c r="K44" s="300"/>
      <c r="L44" s="300"/>
      <c r="M44" s="300"/>
    </row>
    <row r="45" spans="1:15" s="3" customFormat="1" x14ac:dyDescent="0.2">
      <c r="A45" s="139"/>
      <c r="B45" s="171" t="s">
        <v>504</v>
      </c>
      <c r="C45" s="171" t="s">
        <v>505</v>
      </c>
      <c r="D45" s="160" t="s">
        <v>3</v>
      </c>
      <c r="E45" s="160" t="s">
        <v>32</v>
      </c>
      <c r="F45" s="173"/>
      <c r="G45" s="173"/>
      <c r="H45" s="172"/>
      <c r="I45" s="172"/>
      <c r="J45" s="173"/>
      <c r="K45" s="173"/>
      <c r="L45" s="172"/>
      <c r="M45" s="172"/>
      <c r="N45" s="146"/>
      <c r="O45" s="146"/>
    </row>
    <row r="46" spans="1:15" s="3" customFormat="1" x14ac:dyDescent="0.2">
      <c r="A46" s="934"/>
      <c r="B46" s="242"/>
      <c r="C46" s="242"/>
      <c r="D46" s="243" t="s">
        <v>4</v>
      </c>
      <c r="E46" s="154" t="s">
        <v>33</v>
      </c>
      <c r="F46" s="172"/>
      <c r="G46" s="172"/>
      <c r="H46" s="172"/>
      <c r="I46" s="172"/>
      <c r="J46" s="172"/>
      <c r="K46" s="172"/>
      <c r="L46" s="172"/>
      <c r="M46" s="172"/>
      <c r="N46" s="146"/>
      <c r="O46" s="146"/>
    </row>
    <row r="47" spans="1:15" s="3" customFormat="1" ht="15.75" x14ac:dyDescent="0.2">
      <c r="A47" s="14" t="s">
        <v>26</v>
      </c>
      <c r="B47" s="308"/>
      <c r="C47" s="309"/>
      <c r="D47" s="424"/>
      <c r="E47" s="11"/>
      <c r="F47" s="143"/>
      <c r="G47" s="32"/>
      <c r="H47" s="157"/>
      <c r="I47" s="157"/>
      <c r="J47" s="36"/>
      <c r="K47" s="36"/>
      <c r="L47" s="157"/>
      <c r="M47" s="157"/>
      <c r="N47" s="146"/>
      <c r="O47" s="146"/>
    </row>
    <row r="48" spans="1:15" s="3" customFormat="1" ht="15.75" x14ac:dyDescent="0.2">
      <c r="A48" s="37" t="s">
        <v>312</v>
      </c>
      <c r="B48" s="279"/>
      <c r="C48" s="280"/>
      <c r="D48" s="253"/>
      <c r="E48" s="26"/>
      <c r="F48" s="143"/>
      <c r="G48" s="32"/>
      <c r="H48" s="143"/>
      <c r="I48" s="143"/>
      <c r="J48" s="32"/>
      <c r="K48" s="32"/>
      <c r="L48" s="157"/>
      <c r="M48" s="157"/>
      <c r="N48" s="146"/>
      <c r="O48" s="146"/>
    </row>
    <row r="49" spans="1:15" s="3" customFormat="1" ht="15.75" x14ac:dyDescent="0.2">
      <c r="A49" s="37" t="s">
        <v>313</v>
      </c>
      <c r="B49" s="43"/>
      <c r="C49" s="285"/>
      <c r="D49" s="253"/>
      <c r="E49" s="26"/>
      <c r="F49" s="143"/>
      <c r="G49" s="32"/>
      <c r="H49" s="143"/>
      <c r="I49" s="143"/>
      <c r="J49" s="36"/>
      <c r="K49" s="36"/>
      <c r="L49" s="157"/>
      <c r="M49" s="157"/>
      <c r="N49" s="146"/>
      <c r="O49" s="146"/>
    </row>
    <row r="50" spans="1:15" s="3" customFormat="1" x14ac:dyDescent="0.2">
      <c r="A50" s="294" t="s">
        <v>6</v>
      </c>
      <c r="B50" s="288"/>
      <c r="C50" s="289"/>
      <c r="D50" s="253"/>
      <c r="E50" s="22"/>
      <c r="F50" s="143"/>
      <c r="G50" s="32"/>
      <c r="H50" s="143"/>
      <c r="I50" s="143"/>
      <c r="J50" s="32"/>
      <c r="K50" s="32"/>
      <c r="L50" s="157"/>
      <c r="M50" s="157"/>
      <c r="N50" s="146"/>
      <c r="O50" s="146"/>
    </row>
    <row r="51" spans="1:15" s="3" customFormat="1" x14ac:dyDescent="0.2">
      <c r="A51" s="294" t="s">
        <v>7</v>
      </c>
      <c r="B51" s="288"/>
      <c r="C51" s="289"/>
      <c r="D51" s="253"/>
      <c r="E51" s="22"/>
      <c r="F51" s="143"/>
      <c r="G51" s="32"/>
      <c r="H51" s="143"/>
      <c r="I51" s="143"/>
      <c r="J51" s="32"/>
      <c r="K51" s="32"/>
      <c r="L51" s="157"/>
      <c r="M51" s="157"/>
      <c r="N51" s="146"/>
      <c r="O51" s="146"/>
    </row>
    <row r="52" spans="1:15" s="3" customFormat="1" x14ac:dyDescent="0.2">
      <c r="A52" s="294" t="s">
        <v>8</v>
      </c>
      <c r="B52" s="288"/>
      <c r="C52" s="289"/>
      <c r="D52" s="253"/>
      <c r="E52" s="22"/>
      <c r="F52" s="143"/>
      <c r="G52" s="32"/>
      <c r="H52" s="143"/>
      <c r="I52" s="143"/>
      <c r="J52" s="32"/>
      <c r="K52" s="32"/>
      <c r="L52" s="157"/>
      <c r="M52" s="157"/>
      <c r="N52" s="146"/>
      <c r="O52" s="146"/>
    </row>
    <row r="53" spans="1:15" s="3" customFormat="1" ht="15.75" x14ac:dyDescent="0.2">
      <c r="A53" s="38" t="s">
        <v>314</v>
      </c>
      <c r="B53" s="308"/>
      <c r="C53" s="309"/>
      <c r="D53" s="425"/>
      <c r="E53" s="11"/>
      <c r="F53" s="143"/>
      <c r="G53" s="32"/>
      <c r="H53" s="143"/>
      <c r="I53" s="143"/>
      <c r="J53" s="32"/>
      <c r="K53" s="32"/>
      <c r="L53" s="157"/>
      <c r="M53" s="157"/>
      <c r="N53" s="146"/>
      <c r="O53" s="146"/>
    </row>
    <row r="54" spans="1:15" s="3" customFormat="1" ht="15.75" x14ac:dyDescent="0.2">
      <c r="A54" s="37" t="s">
        <v>312</v>
      </c>
      <c r="B54" s="279"/>
      <c r="C54" s="280"/>
      <c r="D54" s="253"/>
      <c r="E54" s="26"/>
      <c r="F54" s="143"/>
      <c r="G54" s="32"/>
      <c r="H54" s="143"/>
      <c r="I54" s="143"/>
      <c r="J54" s="32"/>
      <c r="K54" s="32"/>
      <c r="L54" s="157"/>
      <c r="M54" s="157"/>
      <c r="N54" s="146"/>
      <c r="O54" s="146"/>
    </row>
    <row r="55" spans="1:15" s="3" customFormat="1" ht="15.75" x14ac:dyDescent="0.2">
      <c r="A55" s="37" t="s">
        <v>313</v>
      </c>
      <c r="B55" s="279"/>
      <c r="C55" s="280"/>
      <c r="D55" s="253"/>
      <c r="E55" s="26"/>
      <c r="F55" s="143"/>
      <c r="G55" s="32"/>
      <c r="H55" s="143"/>
      <c r="I55" s="143"/>
      <c r="J55" s="32"/>
      <c r="K55" s="32"/>
      <c r="L55" s="157"/>
      <c r="M55" s="157"/>
      <c r="N55" s="146"/>
      <c r="O55" s="146"/>
    </row>
    <row r="56" spans="1:15" s="3" customFormat="1" ht="15.75" x14ac:dyDescent="0.2">
      <c r="A56" s="38" t="s">
        <v>315</v>
      </c>
      <c r="B56" s="308"/>
      <c r="C56" s="309"/>
      <c r="D56" s="425"/>
      <c r="E56" s="11"/>
      <c r="F56" s="143"/>
      <c r="G56" s="32"/>
      <c r="H56" s="143"/>
      <c r="I56" s="143"/>
      <c r="J56" s="32"/>
      <c r="K56" s="32"/>
      <c r="L56" s="157"/>
      <c r="M56" s="157"/>
      <c r="N56" s="146"/>
      <c r="O56" s="146"/>
    </row>
    <row r="57" spans="1:15" s="3" customFormat="1" ht="15.75" x14ac:dyDescent="0.2">
      <c r="A57" s="37" t="s">
        <v>312</v>
      </c>
      <c r="B57" s="279"/>
      <c r="C57" s="280"/>
      <c r="D57" s="253"/>
      <c r="E57" s="26"/>
      <c r="F57" s="143"/>
      <c r="G57" s="32"/>
      <c r="H57" s="143"/>
      <c r="I57" s="143"/>
      <c r="J57" s="32"/>
      <c r="K57" s="32"/>
      <c r="L57" s="157"/>
      <c r="M57" s="157"/>
      <c r="N57" s="146"/>
      <c r="O57" s="146"/>
    </row>
    <row r="58" spans="1:15" s="3" customFormat="1" ht="15.75" x14ac:dyDescent="0.2">
      <c r="A58" s="45" t="s">
        <v>313</v>
      </c>
      <c r="B58" s="281"/>
      <c r="C58" s="282"/>
      <c r="D58" s="254"/>
      <c r="E58" s="21"/>
      <c r="F58" s="143"/>
      <c r="G58" s="32"/>
      <c r="H58" s="143"/>
      <c r="I58" s="143"/>
      <c r="J58" s="32"/>
      <c r="K58" s="32"/>
      <c r="L58" s="157"/>
      <c r="M58" s="157"/>
      <c r="N58" s="146"/>
      <c r="O58" s="146"/>
    </row>
    <row r="59" spans="1:15" s="3" customFormat="1" ht="15.75" x14ac:dyDescent="0.25">
      <c r="A59" s="162"/>
      <c r="B59" s="152"/>
      <c r="C59" s="152"/>
      <c r="D59" s="152"/>
      <c r="E59" s="152"/>
      <c r="F59" s="140"/>
      <c r="G59" s="140"/>
      <c r="H59" s="140"/>
      <c r="I59" s="140"/>
      <c r="J59" s="140"/>
      <c r="K59" s="140"/>
      <c r="L59" s="140"/>
      <c r="M59" s="140"/>
      <c r="N59" s="146"/>
      <c r="O59" s="146"/>
    </row>
    <row r="60" spans="1:15" x14ac:dyDescent="0.2">
      <c r="A60" s="153"/>
    </row>
    <row r="61" spans="1:15" ht="15.75" x14ac:dyDescent="0.25">
      <c r="A61" s="145" t="s">
        <v>295</v>
      </c>
      <c r="C61" s="25"/>
      <c r="D61" s="25"/>
      <c r="E61" s="25"/>
      <c r="F61" s="25"/>
      <c r="G61" s="25"/>
      <c r="H61" s="25"/>
      <c r="I61" s="25"/>
      <c r="J61" s="25"/>
      <c r="K61" s="25"/>
      <c r="L61" s="25"/>
      <c r="M61" s="25"/>
    </row>
    <row r="62" spans="1:15" ht="15.75" x14ac:dyDescent="0.25">
      <c r="B62" s="963"/>
      <c r="C62" s="963"/>
      <c r="D62" s="963"/>
      <c r="E62" s="297"/>
      <c r="F62" s="963"/>
      <c r="G62" s="963"/>
      <c r="H62" s="963"/>
      <c r="I62" s="297"/>
      <c r="J62" s="963"/>
      <c r="K62" s="963"/>
      <c r="L62" s="963"/>
      <c r="M62" s="297"/>
    </row>
    <row r="63" spans="1:15" x14ac:dyDescent="0.2">
      <c r="A63" s="142"/>
      <c r="B63" s="960" t="s">
        <v>0</v>
      </c>
      <c r="C63" s="961"/>
      <c r="D63" s="962"/>
      <c r="E63" s="298"/>
      <c r="F63" s="961" t="s">
        <v>1</v>
      </c>
      <c r="G63" s="961"/>
      <c r="H63" s="961"/>
      <c r="I63" s="302"/>
      <c r="J63" s="960" t="s">
        <v>2</v>
      </c>
      <c r="K63" s="961"/>
      <c r="L63" s="961"/>
      <c r="M63" s="302"/>
    </row>
    <row r="64" spans="1:15" x14ac:dyDescent="0.2">
      <c r="A64" s="139"/>
      <c r="B64" s="150" t="s">
        <v>504</v>
      </c>
      <c r="C64" s="150" t="s">
        <v>505</v>
      </c>
      <c r="D64" s="243" t="s">
        <v>3</v>
      </c>
      <c r="E64" s="303" t="s">
        <v>32</v>
      </c>
      <c r="F64" s="150" t="s">
        <v>504</v>
      </c>
      <c r="G64" s="150" t="s">
        <v>505</v>
      </c>
      <c r="H64" s="243" t="s">
        <v>3</v>
      </c>
      <c r="I64" s="303" t="s">
        <v>32</v>
      </c>
      <c r="J64" s="150" t="s">
        <v>504</v>
      </c>
      <c r="K64" s="150" t="s">
        <v>505</v>
      </c>
      <c r="L64" s="243" t="s">
        <v>3</v>
      </c>
      <c r="M64" s="160" t="s">
        <v>32</v>
      </c>
    </row>
    <row r="65" spans="1:15" x14ac:dyDescent="0.2">
      <c r="A65" s="934"/>
      <c r="B65" s="154"/>
      <c r="C65" s="154"/>
      <c r="D65" s="245" t="s">
        <v>4</v>
      </c>
      <c r="E65" s="154" t="s">
        <v>33</v>
      </c>
      <c r="F65" s="159"/>
      <c r="G65" s="159"/>
      <c r="H65" s="243" t="s">
        <v>4</v>
      </c>
      <c r="I65" s="154" t="s">
        <v>33</v>
      </c>
      <c r="J65" s="159"/>
      <c r="K65" s="204"/>
      <c r="L65" s="154" t="s">
        <v>4</v>
      </c>
      <c r="M65" s="154" t="s">
        <v>33</v>
      </c>
    </row>
    <row r="66" spans="1:15" ht="15.75" x14ac:dyDescent="0.2">
      <c r="A66" s="14" t="s">
        <v>26</v>
      </c>
      <c r="B66" s="350">
        <f>B67+B68+B75+B76</f>
        <v>1499774</v>
      </c>
      <c r="C66" s="350">
        <f>C67+C68+C75+C76</f>
        <v>1580894.2420000001</v>
      </c>
      <c r="D66" s="348">
        <f t="shared" ref="D66:D111" si="11">IF(B66=0, "    ---- ", IF(ABS(ROUND(100/B66*C66-100,1))&lt;999,ROUND(100/B66*C66-100,1),IF(ROUND(100/B66*C66-100,1)&gt;999,999,-999)))</f>
        <v>5.4</v>
      </c>
      <c r="E66" s="11">
        <f>IFERROR(100/'Skjema total MA'!C66*C66,0)</f>
        <v>16.041417788397379</v>
      </c>
      <c r="F66" s="350">
        <f>F67+F68+F75+F76</f>
        <v>3078211.2300000023</v>
      </c>
      <c r="G66" s="350">
        <f>G67+G68+G75+G76</f>
        <v>3560452.5890000002</v>
      </c>
      <c r="H66" s="348">
        <f t="shared" ref="H66:H111" si="12">IF(F66=0, "    ---- ", IF(ABS(ROUND(100/F66*G66-100,1))&lt;999,ROUND(100/F66*G66-100,1),IF(ROUND(100/F66*G66-100,1)&gt;999,999,-999)))</f>
        <v>15.7</v>
      </c>
      <c r="I66" s="11">
        <f>IFERROR(100/'Skjema total MA'!F66*G66,0)</f>
        <v>13.331608339263179</v>
      </c>
      <c r="J66" s="307">
        <f t="shared" ref="J66:K86" si="13">SUM(B66,F66)</f>
        <v>4577985.2300000023</v>
      </c>
      <c r="K66" s="314">
        <f t="shared" si="13"/>
        <v>5141346.8310000002</v>
      </c>
      <c r="L66" s="425">
        <f t="shared" ref="L66:L111" si="14">IF(J66=0, "    ---- ", IF(ABS(ROUND(100/J66*K66-100,1))&lt;999,ROUND(100/J66*K66-100,1),IF(ROUND(100/J66*K66-100,1)&gt;999,999,-999)))</f>
        <v>12.3</v>
      </c>
      <c r="M66" s="11">
        <f>IFERROR(100/'Skjema total MA'!I66*K66,0)</f>
        <v>14.0620234272589</v>
      </c>
    </row>
    <row r="67" spans="1:15" x14ac:dyDescent="0.2">
      <c r="A67" s="416" t="s">
        <v>9</v>
      </c>
      <c r="B67" s="43">
        <v>1460131</v>
      </c>
      <c r="C67" s="143">
        <v>1310729.621</v>
      </c>
      <c r="D67" s="164">
        <f t="shared" si="11"/>
        <v>-10.199999999999999</v>
      </c>
      <c r="E67" s="26">
        <f>IFERROR(100/'Skjema total MA'!C67*C67,0)</f>
        <v>16.174843405199066</v>
      </c>
      <c r="F67" s="232"/>
      <c r="G67" s="143"/>
      <c r="H67" s="164"/>
      <c r="I67" s="26"/>
      <c r="J67" s="285">
        <f t="shared" si="13"/>
        <v>1460131</v>
      </c>
      <c r="K67" s="43">
        <f t="shared" si="13"/>
        <v>1310729.621</v>
      </c>
      <c r="L67" s="253">
        <f t="shared" si="14"/>
        <v>-10.199999999999999</v>
      </c>
      <c r="M67" s="26">
        <f>IFERROR(100/'Skjema total MA'!I67*K67,0)</f>
        <v>16.174843405199066</v>
      </c>
    </row>
    <row r="68" spans="1:15" x14ac:dyDescent="0.2">
      <c r="A68" s="20" t="s">
        <v>10</v>
      </c>
      <c r="B68" s="290">
        <v>39643</v>
      </c>
      <c r="C68" s="291">
        <v>24550</v>
      </c>
      <c r="D68" s="164">
        <f t="shared" si="11"/>
        <v>-38.1</v>
      </c>
      <c r="E68" s="26">
        <f>IFERROR(100/'Skjema total MA'!C68*C68,0)</f>
        <v>15.422773788619995</v>
      </c>
      <c r="F68" s="290">
        <v>3078211.2300000023</v>
      </c>
      <c r="G68" s="291">
        <v>3560452.5890000002</v>
      </c>
      <c r="H68" s="164">
        <f t="shared" si="12"/>
        <v>15.7</v>
      </c>
      <c r="I68" s="26">
        <f>IFERROR(100/'Skjema total MA'!F68*G68,0)</f>
        <v>13.481868176577626</v>
      </c>
      <c r="J68" s="285">
        <f t="shared" si="13"/>
        <v>3117854.2300000023</v>
      </c>
      <c r="K68" s="43">
        <f t="shared" si="13"/>
        <v>3585002.5890000002</v>
      </c>
      <c r="L68" s="253">
        <f t="shared" si="14"/>
        <v>15</v>
      </c>
      <c r="M68" s="26">
        <f>IFERROR(100/'Skjema total MA'!I68*K68,0)</f>
        <v>13.493496804116784</v>
      </c>
    </row>
    <row r="69" spans="1:15" ht="15.75" x14ac:dyDescent="0.2">
      <c r="A69" s="294" t="s">
        <v>316</v>
      </c>
      <c r="B69" s="279">
        <v>27824</v>
      </c>
      <c r="C69" s="279">
        <v>18248</v>
      </c>
      <c r="D69" s="164">
        <f t="shared" si="11"/>
        <v>-34.4</v>
      </c>
      <c r="E69" s="26">
        <f>IFERROR(100/'Skjema total MA'!C69*C69,0)</f>
        <v>100</v>
      </c>
      <c r="F69" s="279">
        <v>3488.443000000002</v>
      </c>
      <c r="G69" s="279">
        <v>3977.589000000004</v>
      </c>
      <c r="H69" s="164">
        <f t="shared" si="12"/>
        <v>14</v>
      </c>
      <c r="I69" s="414">
        <f>IFERROR(100/'Skjema total MA'!F69*G69,0)</f>
        <v>100</v>
      </c>
      <c r="J69" s="43">
        <f t="shared" si="13"/>
        <v>31312.443000000003</v>
      </c>
      <c r="K69" s="43">
        <f t="shared" si="13"/>
        <v>22225.589000000004</v>
      </c>
      <c r="L69" s="164">
        <f t="shared" si="14"/>
        <v>-29</v>
      </c>
      <c r="M69" s="22">
        <f>IFERROR(100/'Skjema total MA'!I69*K69,0)</f>
        <v>100</v>
      </c>
    </row>
    <row r="70" spans="1:15" x14ac:dyDescent="0.2">
      <c r="A70" s="294" t="s">
        <v>12</v>
      </c>
      <c r="B70" s="292"/>
      <c r="C70" s="293"/>
      <c r="D70" s="164"/>
      <c r="E70" s="414"/>
      <c r="F70" s="279">
        <v>434.30686267220199</v>
      </c>
      <c r="G70" s="279">
        <v>371.81614052858401</v>
      </c>
      <c r="H70" s="164">
        <f t="shared" si="12"/>
        <v>-14.4</v>
      </c>
      <c r="I70" s="414">
        <f>IFERROR(100/'Skjema total MA'!F70*G70,0)</f>
        <v>100</v>
      </c>
      <c r="J70" s="43">
        <f t="shared" si="13"/>
        <v>434.30686267220199</v>
      </c>
      <c r="K70" s="43">
        <f t="shared" si="13"/>
        <v>371.81614052858401</v>
      </c>
      <c r="L70" s="164">
        <f t="shared" si="14"/>
        <v>-14.4</v>
      </c>
      <c r="M70" s="22">
        <f>IFERROR(100/'Skjema total MA'!I70*K70,0)</f>
        <v>100</v>
      </c>
    </row>
    <row r="71" spans="1:15" x14ac:dyDescent="0.2">
      <c r="A71" s="294" t="s">
        <v>13</v>
      </c>
      <c r="B71" s="233"/>
      <c r="C71" s="287"/>
      <c r="D71" s="164"/>
      <c r="E71" s="414"/>
      <c r="F71" s="279">
        <v>3054.1361373278</v>
      </c>
      <c r="G71" s="279">
        <v>3605.7728594714199</v>
      </c>
      <c r="H71" s="164">
        <f t="shared" si="12"/>
        <v>18.100000000000001</v>
      </c>
      <c r="I71" s="414">
        <f>IFERROR(100/'Skjema total MA'!F71*G71,0)</f>
        <v>100</v>
      </c>
      <c r="J71" s="43">
        <f t="shared" si="13"/>
        <v>3054.1361373278</v>
      </c>
      <c r="K71" s="43">
        <f t="shared" si="13"/>
        <v>3605.7728594714199</v>
      </c>
      <c r="L71" s="164">
        <f t="shared" si="14"/>
        <v>18.100000000000001</v>
      </c>
      <c r="M71" s="22">
        <f>IFERROR(100/'Skjema total MA'!I71*K71,0)</f>
        <v>100</v>
      </c>
    </row>
    <row r="72" spans="1:15" ht="15.75" x14ac:dyDescent="0.2">
      <c r="A72" s="294" t="s">
        <v>317</v>
      </c>
      <c r="B72" s="279">
        <v>11819</v>
      </c>
      <c r="C72" s="279">
        <v>6302</v>
      </c>
      <c r="D72" s="164">
        <f t="shared" si="11"/>
        <v>-46.7</v>
      </c>
      <c r="E72" s="26">
        <f>IFERROR(100/'Skjema total MA'!C72*C72,0)</f>
        <v>4.4716541904021341</v>
      </c>
      <c r="F72" s="279">
        <v>3074722.7870000023</v>
      </c>
      <c r="G72" s="279">
        <v>3556475</v>
      </c>
      <c r="H72" s="164">
        <f t="shared" si="12"/>
        <v>15.7</v>
      </c>
      <c r="I72" s="414">
        <f>IFERROR(100/'Skjema total MA'!F72*G72,0)</f>
        <v>13.468835388779146</v>
      </c>
      <c r="J72" s="43">
        <f t="shared" si="13"/>
        <v>3086541.7870000023</v>
      </c>
      <c r="K72" s="43">
        <f t="shared" si="13"/>
        <v>3562777</v>
      </c>
      <c r="L72" s="164">
        <f t="shared" si="14"/>
        <v>15.4</v>
      </c>
      <c r="M72" s="22">
        <f>IFERROR(100/'Skjema total MA'!I72*K72,0)</f>
        <v>13.421069798366496</v>
      </c>
    </row>
    <row r="73" spans="1:15" x14ac:dyDescent="0.2">
      <c r="A73" s="294" t="s">
        <v>12</v>
      </c>
      <c r="B73" s="233"/>
      <c r="C73" s="287"/>
      <c r="D73" s="164"/>
      <c r="E73" s="414"/>
      <c r="F73" s="279">
        <v>382799.20503465203</v>
      </c>
      <c r="G73" s="279">
        <v>332451.34386343003</v>
      </c>
      <c r="H73" s="164">
        <f t="shared" si="12"/>
        <v>-13.2</v>
      </c>
      <c r="I73" s="414">
        <f>IFERROR(100/'Skjema total MA'!F73*G73,0)</f>
        <v>99.94708793391554</v>
      </c>
      <c r="J73" s="43">
        <f t="shared" si="13"/>
        <v>382799.20503465203</v>
      </c>
      <c r="K73" s="43">
        <f t="shared" si="13"/>
        <v>332451.34386343003</v>
      </c>
      <c r="L73" s="164">
        <f t="shared" si="14"/>
        <v>-13.2</v>
      </c>
      <c r="M73" s="22">
        <f>IFERROR(100/'Skjema total MA'!I73*K73,0)</f>
        <v>99.94708793391554</v>
      </c>
    </row>
    <row r="74" spans="1:15" s="3" customFormat="1" x14ac:dyDescent="0.2">
      <c r="A74" s="294" t="s">
        <v>13</v>
      </c>
      <c r="B74" s="233"/>
      <c r="C74" s="287"/>
      <c r="D74" s="164"/>
      <c r="E74" s="414"/>
      <c r="F74" s="279">
        <v>2691923.5819653501</v>
      </c>
      <c r="G74" s="279">
        <v>3224023.65613657</v>
      </c>
      <c r="H74" s="164">
        <f t="shared" si="12"/>
        <v>19.8</v>
      </c>
      <c r="I74" s="414">
        <f>IFERROR(100/'Skjema total MA'!F74*G74,0)</f>
        <v>12.365568181334195</v>
      </c>
      <c r="J74" s="43">
        <f t="shared" si="13"/>
        <v>2691923.5819653501</v>
      </c>
      <c r="K74" s="43">
        <f t="shared" si="13"/>
        <v>3224023.65613657</v>
      </c>
      <c r="L74" s="164">
        <f t="shared" si="14"/>
        <v>19.8</v>
      </c>
      <c r="M74" s="22">
        <f>IFERROR(100/'Skjema total MA'!I74*K74,0)</f>
        <v>12.365568181334195</v>
      </c>
      <c r="N74" s="146"/>
      <c r="O74" s="146"/>
    </row>
    <row r="75" spans="1:15" s="3" customFormat="1" x14ac:dyDescent="0.2">
      <c r="A75" s="20" t="s">
        <v>395</v>
      </c>
      <c r="B75" s="232"/>
      <c r="C75" s="143"/>
      <c r="D75" s="164"/>
      <c r="E75" s="26"/>
      <c r="F75" s="232"/>
      <c r="G75" s="143"/>
      <c r="H75" s="164"/>
      <c r="I75" s="26"/>
      <c r="J75" s="285"/>
      <c r="K75" s="43"/>
      <c r="L75" s="253"/>
      <c r="M75" s="26"/>
      <c r="N75" s="146"/>
      <c r="O75" s="146"/>
    </row>
    <row r="76" spans="1:15" s="3" customFormat="1" x14ac:dyDescent="0.2">
      <c r="A76" s="20" t="s">
        <v>394</v>
      </c>
      <c r="B76" s="232">
        <v>0</v>
      </c>
      <c r="C76" s="143">
        <v>245614.62100000001</v>
      </c>
      <c r="D76" s="164" t="str">
        <f t="shared" ref="D76" si="15">IF(B76=0, "    ---- ", IF(ABS(ROUND(100/B76*C76-100,1))&lt;999,ROUND(100/B76*C76-100,1),IF(ROUND(100/B76*C76-100,1)&gt;999,999,-999)))</f>
        <v xml:space="preserve">    ---- </v>
      </c>
      <c r="E76" s="26">
        <f>IFERROR(100/'Skjema total MA'!C77*C76,0)</f>
        <v>3.0463219922600291</v>
      </c>
      <c r="F76" s="232"/>
      <c r="G76" s="143"/>
      <c r="H76" s="164"/>
      <c r="I76" s="26"/>
      <c r="J76" s="285">
        <f t="shared" ref="J76" si="16">SUM(B76,F76)</f>
        <v>0</v>
      </c>
      <c r="K76" s="43">
        <f t="shared" ref="K76" si="17">SUM(C76,G76)</f>
        <v>245614.62100000001</v>
      </c>
      <c r="L76" s="253" t="str">
        <f t="shared" ref="L76" si="18">IF(J76=0, "    ---- ", IF(ABS(ROUND(100/J76*K76-100,1))&lt;999,ROUND(100/J76*K76-100,1),IF(ROUND(100/J76*K76-100,1)&gt;999,999,-999)))</f>
        <v xml:space="preserve">    ---- </v>
      </c>
      <c r="M76" s="26">
        <f>IFERROR(100/'Skjema total MA'!I77*K76,0)</f>
        <v>0.71277955703386997</v>
      </c>
      <c r="N76" s="146"/>
      <c r="O76" s="146"/>
    </row>
    <row r="77" spans="1:15" ht="15.75" x14ac:dyDescent="0.2">
      <c r="A77" s="20" t="s">
        <v>318</v>
      </c>
      <c r="B77" s="232">
        <v>1485633.1680000001</v>
      </c>
      <c r="C77" s="232">
        <v>1321459.4279999998</v>
      </c>
      <c r="D77" s="164">
        <f t="shared" si="11"/>
        <v>-11.1</v>
      </c>
      <c r="E77" s="26">
        <f>IFERROR(100/'Skjema total MA'!C77*C77,0)</f>
        <v>16.38986677994124</v>
      </c>
      <c r="F77" s="232">
        <v>3074722.7870000023</v>
      </c>
      <c r="G77" s="143">
        <v>3556475</v>
      </c>
      <c r="H77" s="164">
        <f t="shared" si="12"/>
        <v>15.7</v>
      </c>
      <c r="I77" s="26">
        <f>IFERROR(100/'Skjema total MA'!F77*G77,0)</f>
        <v>13.473514139149797</v>
      </c>
      <c r="J77" s="285">
        <f t="shared" si="13"/>
        <v>4560355.9550000019</v>
      </c>
      <c r="K77" s="43">
        <f t="shared" si="13"/>
        <v>4877934.4279999994</v>
      </c>
      <c r="L77" s="253">
        <f t="shared" si="14"/>
        <v>7</v>
      </c>
      <c r="M77" s="26">
        <f>IFERROR(100/'Skjema total MA'!I77*K77,0)</f>
        <v>14.155883418805525</v>
      </c>
    </row>
    <row r="78" spans="1:15" x14ac:dyDescent="0.2">
      <c r="A78" s="20" t="s">
        <v>9</v>
      </c>
      <c r="B78" s="232">
        <v>1449479.05</v>
      </c>
      <c r="C78" s="143">
        <v>1300887.6089999999</v>
      </c>
      <c r="D78" s="164">
        <f t="shared" si="11"/>
        <v>-10.3</v>
      </c>
      <c r="E78" s="26">
        <f>IFERROR(100/'Skjema total MA'!C78*C78,0)</f>
        <v>16.451398338208193</v>
      </c>
      <c r="F78" s="232"/>
      <c r="G78" s="143"/>
      <c r="H78" s="164"/>
      <c r="I78" s="26"/>
      <c r="J78" s="285">
        <f t="shared" si="13"/>
        <v>1449479.05</v>
      </c>
      <c r="K78" s="43">
        <f t="shared" si="13"/>
        <v>1300887.6089999999</v>
      </c>
      <c r="L78" s="253">
        <f t="shared" si="14"/>
        <v>-10.3</v>
      </c>
      <c r="M78" s="26">
        <f>IFERROR(100/'Skjema total MA'!I78*K78,0)</f>
        <v>16.451398338208193</v>
      </c>
    </row>
    <row r="79" spans="1:15" x14ac:dyDescent="0.2">
      <c r="A79" s="20" t="s">
        <v>10</v>
      </c>
      <c r="B79" s="290">
        <v>36154.118000000002</v>
      </c>
      <c r="C79" s="291">
        <v>20571.819</v>
      </c>
      <c r="D79" s="164">
        <f t="shared" si="11"/>
        <v>-43.1</v>
      </c>
      <c r="E79" s="26">
        <f>IFERROR(100/'Skjema total MA'!C79*C79,0)</f>
        <v>13.254866780007752</v>
      </c>
      <c r="F79" s="290">
        <v>3074722.7870000023</v>
      </c>
      <c r="G79" s="291">
        <v>3556475</v>
      </c>
      <c r="H79" s="164">
        <f t="shared" si="12"/>
        <v>15.7</v>
      </c>
      <c r="I79" s="26">
        <f>IFERROR(100/'Skjema total MA'!F79*G79,0)</f>
        <v>13.473514139149797</v>
      </c>
      <c r="J79" s="285">
        <f t="shared" si="13"/>
        <v>3110876.9050000021</v>
      </c>
      <c r="K79" s="43">
        <f t="shared" si="13"/>
        <v>3577046.8190000001</v>
      </c>
      <c r="L79" s="253">
        <f t="shared" si="14"/>
        <v>15</v>
      </c>
      <c r="M79" s="26">
        <f>IFERROR(100/'Skjema total MA'!I79*K79,0)</f>
        <v>13.472236063316183</v>
      </c>
    </row>
    <row r="80" spans="1:15" ht="15.75" x14ac:dyDescent="0.2">
      <c r="A80" s="294" t="s">
        <v>316</v>
      </c>
      <c r="B80" s="279"/>
      <c r="C80" s="279"/>
      <c r="D80" s="164"/>
      <c r="E80" s="414"/>
      <c r="F80" s="279"/>
      <c r="G80" s="279"/>
      <c r="H80" s="164"/>
      <c r="I80" s="414"/>
      <c r="J80" s="288"/>
      <c r="K80" s="288"/>
      <c r="L80" s="164"/>
      <c r="M80" s="22"/>
    </row>
    <row r="81" spans="1:13" x14ac:dyDescent="0.2">
      <c r="A81" s="294" t="s">
        <v>12</v>
      </c>
      <c r="B81" s="233"/>
      <c r="C81" s="287"/>
      <c r="D81" s="164"/>
      <c r="E81" s="414"/>
      <c r="F81" s="279"/>
      <c r="G81" s="279"/>
      <c r="H81" s="164"/>
      <c r="I81" s="414"/>
      <c r="J81" s="288"/>
      <c r="K81" s="288"/>
      <c r="L81" s="164"/>
      <c r="M81" s="22"/>
    </row>
    <row r="82" spans="1:13" x14ac:dyDescent="0.2">
      <c r="A82" s="294" t="s">
        <v>13</v>
      </c>
      <c r="B82" s="233"/>
      <c r="C82" s="287"/>
      <c r="D82" s="164"/>
      <c r="E82" s="414"/>
      <c r="F82" s="279"/>
      <c r="G82" s="279"/>
      <c r="H82" s="164"/>
      <c r="I82" s="414"/>
      <c r="J82" s="288"/>
      <c r="K82" s="288"/>
      <c r="L82" s="164"/>
      <c r="M82" s="22"/>
    </row>
    <row r="83" spans="1:13" ht="15.75" x14ac:dyDescent="0.2">
      <c r="A83" s="294" t="s">
        <v>317</v>
      </c>
      <c r="B83" s="279">
        <v>36154.118000000002</v>
      </c>
      <c r="C83" s="279">
        <v>20571.819</v>
      </c>
      <c r="D83" s="164">
        <f t="shared" si="11"/>
        <v>-43.1</v>
      </c>
      <c r="E83" s="26">
        <f>IFERROR(100/'Skjema total MA'!C83*C83,0)</f>
        <v>13.254866780007752</v>
      </c>
      <c r="F83" s="279">
        <v>3074722.7870000023</v>
      </c>
      <c r="G83" s="279">
        <v>3556475</v>
      </c>
      <c r="H83" s="164">
        <f t="shared" si="12"/>
        <v>15.7</v>
      </c>
      <c r="I83" s="414">
        <f>IFERROR(100/'Skjema total MA'!F83*G83,0)</f>
        <v>13.473514139149797</v>
      </c>
      <c r="J83" s="43">
        <f t="shared" ref="J83:J85" si="19">SUM(B83,F83)</f>
        <v>3110876.9050000021</v>
      </c>
      <c r="K83" s="43">
        <f t="shared" ref="K83:K85" si="20">SUM(C83,G83)</f>
        <v>3577046.8190000001</v>
      </c>
      <c r="L83" s="164">
        <f t="shared" ref="L83:L95" si="21">IF(J83=0, "    ---- ", IF(ABS(ROUND(100/J83*K83-100,1))&lt;999,ROUND(100/J83*K83-100,1),IF(ROUND(100/J83*K83-100,1)&gt;999,999,-999)))</f>
        <v>15</v>
      </c>
      <c r="M83" s="22">
        <f>IFERROR(100/'Skjema total MA'!I83*K83,0)</f>
        <v>13.472236063316183</v>
      </c>
    </row>
    <row r="84" spans="1:13" x14ac:dyDescent="0.2">
      <c r="A84" s="294" t="s">
        <v>12</v>
      </c>
      <c r="B84" s="233"/>
      <c r="C84" s="287"/>
      <c r="D84" s="164"/>
      <c r="E84" s="414"/>
      <c r="F84" s="279">
        <v>382799.20503465203</v>
      </c>
      <c r="G84" s="279">
        <v>332451.34386343003</v>
      </c>
      <c r="H84" s="164">
        <f t="shared" si="12"/>
        <v>-13.2</v>
      </c>
      <c r="I84" s="414">
        <f>IFERROR(100/'Skjema total MA'!F84*G84,0)</f>
        <v>100.00000000000001</v>
      </c>
      <c r="J84" s="43">
        <f t="shared" si="19"/>
        <v>382799.20503465203</v>
      </c>
      <c r="K84" s="43">
        <f t="shared" si="20"/>
        <v>332451.34386343003</v>
      </c>
      <c r="L84" s="164">
        <f t="shared" si="21"/>
        <v>-13.2</v>
      </c>
      <c r="M84" s="22">
        <f>IFERROR(100/'Skjema total MA'!I84*K84,0)</f>
        <v>100.00000000000001</v>
      </c>
    </row>
    <row r="85" spans="1:13" x14ac:dyDescent="0.2">
      <c r="A85" s="294" t="s">
        <v>13</v>
      </c>
      <c r="B85" s="233"/>
      <c r="C85" s="287"/>
      <c r="D85" s="164"/>
      <c r="E85" s="414"/>
      <c r="F85" s="279">
        <v>2691923.5819653501</v>
      </c>
      <c r="G85" s="279">
        <v>3224023.65613657</v>
      </c>
      <c r="H85" s="164">
        <f t="shared" si="12"/>
        <v>19.8</v>
      </c>
      <c r="I85" s="414">
        <f>IFERROR(100/'Skjema total MA'!F85*G85,0)</f>
        <v>12.369834972798833</v>
      </c>
      <c r="J85" s="43">
        <f t="shared" si="19"/>
        <v>2691923.5819653501</v>
      </c>
      <c r="K85" s="43">
        <f t="shared" si="20"/>
        <v>3224023.65613657</v>
      </c>
      <c r="L85" s="164">
        <f t="shared" si="21"/>
        <v>19.8</v>
      </c>
      <c r="M85" s="22">
        <f>IFERROR(100/'Skjema total MA'!I85*K85,0)</f>
        <v>12.369834972798833</v>
      </c>
    </row>
    <row r="86" spans="1:13" ht="15.75" x14ac:dyDescent="0.2">
      <c r="A86" s="20" t="s">
        <v>327</v>
      </c>
      <c r="B86" s="232">
        <v>14140.832</v>
      </c>
      <c r="C86" s="143">
        <v>13820.192999999999</v>
      </c>
      <c r="D86" s="164">
        <f t="shared" si="11"/>
        <v>-2.2999999999999998</v>
      </c>
      <c r="E86" s="26">
        <f>IFERROR(100/'Skjema total MA'!C86*C86,0)</f>
        <v>6.9091851439335894</v>
      </c>
      <c r="F86" s="232">
        <v>3488.4430000000002</v>
      </c>
      <c r="G86" s="143">
        <v>3977.5889999999999</v>
      </c>
      <c r="H86" s="164">
        <f t="shared" si="12"/>
        <v>14</v>
      </c>
      <c r="I86" s="26">
        <f>IFERROR(100/'Skjema total MA'!F86*G86,0)</f>
        <v>30.254860074760607</v>
      </c>
      <c r="J86" s="285">
        <f t="shared" si="13"/>
        <v>17629.275000000001</v>
      </c>
      <c r="K86" s="43">
        <f t="shared" si="13"/>
        <v>17797.781999999999</v>
      </c>
      <c r="L86" s="164">
        <f t="shared" si="21"/>
        <v>1</v>
      </c>
      <c r="M86" s="26">
        <f>IFERROR(100/'Skjema total MA'!I86*K86,0)</f>
        <v>8.3489724340968241</v>
      </c>
    </row>
    <row r="87" spans="1:13" ht="15.75" x14ac:dyDescent="0.2">
      <c r="A87" s="13" t="s">
        <v>25</v>
      </c>
      <c r="B87" s="350">
        <f>B88+B89+B96+B97</f>
        <v>43618825.879922003</v>
      </c>
      <c r="C87" s="350">
        <f>C88+C89+C96+C97</f>
        <v>44782819.630100697</v>
      </c>
      <c r="D87" s="169">
        <f t="shared" si="11"/>
        <v>2.7</v>
      </c>
      <c r="E87" s="11">
        <f>IFERROR(100/'Skjema total MA'!C87*C87,0)</f>
        <v>11.742760048880854</v>
      </c>
      <c r="F87" s="350">
        <f>F88+F89+F96+F97</f>
        <v>26023617.744314343</v>
      </c>
      <c r="G87" s="350">
        <f>G88+G89+G96+G97</f>
        <v>31206814.343647581</v>
      </c>
      <c r="H87" s="169">
        <f t="shared" si="12"/>
        <v>19.899999999999999</v>
      </c>
      <c r="I87" s="11">
        <f>IFERROR(100/'Skjema total MA'!F87*G87,0)</f>
        <v>13.948701236412065</v>
      </c>
      <c r="J87" s="307">
        <f t="shared" ref="J87:K111" si="22">SUM(B87,F87)</f>
        <v>69642443.624236345</v>
      </c>
      <c r="K87" s="234">
        <f t="shared" si="22"/>
        <v>75989633.973748282</v>
      </c>
      <c r="L87" s="169">
        <f t="shared" si="21"/>
        <v>9.1</v>
      </c>
      <c r="M87" s="11">
        <f>IFERROR(100/'Skjema total MA'!I87*K87,0)</f>
        <v>12.558382051304044</v>
      </c>
    </row>
    <row r="88" spans="1:13" x14ac:dyDescent="0.2">
      <c r="A88" s="20" t="s">
        <v>9</v>
      </c>
      <c r="B88" s="232">
        <v>42457029.622922003</v>
      </c>
      <c r="C88" s="143">
        <v>43685368.524100699</v>
      </c>
      <c r="D88" s="164">
        <f t="shared" si="11"/>
        <v>2.9</v>
      </c>
      <c r="E88" s="26">
        <f>IFERROR(100/'Skjema total MA'!C88*C88,0)</f>
        <v>11.701255856550883</v>
      </c>
      <c r="F88" s="232"/>
      <c r="G88" s="143"/>
      <c r="H88" s="164"/>
      <c r="I88" s="26"/>
      <c r="J88" s="285">
        <f t="shared" si="22"/>
        <v>42457029.622922003</v>
      </c>
      <c r="K88" s="43">
        <f t="shared" si="22"/>
        <v>43685368.524100699</v>
      </c>
      <c r="L88" s="164"/>
      <c r="M88" s="26">
        <f>IFERROR(100/'Skjema total MA'!I88*K88,0)</f>
        <v>11.701255856550883</v>
      </c>
    </row>
    <row r="89" spans="1:13" x14ac:dyDescent="0.2">
      <c r="A89" s="20" t="s">
        <v>10</v>
      </c>
      <c r="B89" s="232">
        <v>1161796.257</v>
      </c>
      <c r="C89" s="143">
        <v>1066258.655</v>
      </c>
      <c r="D89" s="164">
        <f t="shared" si="11"/>
        <v>-8.1999999999999993</v>
      </c>
      <c r="E89" s="26">
        <f>IFERROR(100/'Skjema total MA'!C89*C89,0)</f>
        <v>42.400398236991336</v>
      </c>
      <c r="F89" s="232">
        <v>26023617.744314343</v>
      </c>
      <c r="G89" s="143">
        <v>31206814.343647581</v>
      </c>
      <c r="H89" s="164">
        <f t="shared" si="12"/>
        <v>19.899999999999999</v>
      </c>
      <c r="I89" s="26">
        <f>IFERROR(100/'Skjema total MA'!F89*G89,0)</f>
        <v>13.992414542210254</v>
      </c>
      <c r="J89" s="285">
        <f t="shared" si="22"/>
        <v>27185414.001314342</v>
      </c>
      <c r="K89" s="43">
        <f t="shared" si="22"/>
        <v>32273072.998647582</v>
      </c>
      <c r="L89" s="164">
        <f t="shared" si="21"/>
        <v>18.7</v>
      </c>
      <c r="M89" s="26">
        <f>IFERROR(100/'Skjema total MA'!I89*K89,0)</f>
        <v>14.309157365423257</v>
      </c>
    </row>
    <row r="90" spans="1:13" ht="15.75" x14ac:dyDescent="0.2">
      <c r="A90" s="294" t="s">
        <v>316</v>
      </c>
      <c r="B90" s="279">
        <v>20.49</v>
      </c>
      <c r="C90" s="279">
        <v>0</v>
      </c>
      <c r="D90" s="164">
        <f t="shared" si="11"/>
        <v>-100</v>
      </c>
      <c r="E90" s="26">
        <f>IFERROR(100/'Skjema total MA'!C90*C90,0)</f>
        <v>0</v>
      </c>
      <c r="F90" s="279">
        <v>11378.930000000017</v>
      </c>
      <c r="G90" s="279">
        <v>11954.122000000047</v>
      </c>
      <c r="H90" s="164">
        <f t="shared" si="12"/>
        <v>5.0999999999999996</v>
      </c>
      <c r="I90" s="414">
        <f>IFERROR(100/'Skjema total MA'!F90*G90,0)</f>
        <v>7.9791579632612466</v>
      </c>
      <c r="J90" s="43">
        <f t="shared" si="22"/>
        <v>11399.420000000016</v>
      </c>
      <c r="K90" s="43">
        <f t="shared" si="22"/>
        <v>11954.122000000047</v>
      </c>
      <c r="L90" s="164">
        <f t="shared" si="21"/>
        <v>4.9000000000000004</v>
      </c>
      <c r="M90" s="22">
        <f>IFERROR(100/'Skjema total MA'!I90*K90,0)</f>
        <v>7.9791579632612466</v>
      </c>
    </row>
    <row r="91" spans="1:13" x14ac:dyDescent="0.2">
      <c r="A91" s="294" t="s">
        <v>12</v>
      </c>
      <c r="B91" s="233"/>
      <c r="C91" s="287"/>
      <c r="D91" s="164"/>
      <c r="E91" s="414"/>
      <c r="F91" s="279">
        <v>209.21849682951699</v>
      </c>
      <c r="G91" s="279">
        <v>195.73137516214501</v>
      </c>
      <c r="H91" s="164">
        <f t="shared" si="12"/>
        <v>-6.4</v>
      </c>
      <c r="I91" s="414">
        <f>IFERROR(100/'Skjema total MA'!F91*G91,0)</f>
        <v>0.14177428597740729</v>
      </c>
      <c r="J91" s="43">
        <f t="shared" si="22"/>
        <v>209.21849682951699</v>
      </c>
      <c r="K91" s="43">
        <f t="shared" si="22"/>
        <v>195.73137516214501</v>
      </c>
      <c r="L91" s="164">
        <f t="shared" si="21"/>
        <v>-6.4</v>
      </c>
      <c r="M91" s="22">
        <f>IFERROR(100/'Skjema total MA'!I91*K91,0)</f>
        <v>0.14177428597740729</v>
      </c>
    </row>
    <row r="92" spans="1:13" x14ac:dyDescent="0.2">
      <c r="A92" s="294" t="s">
        <v>13</v>
      </c>
      <c r="B92" s="233"/>
      <c r="C92" s="287"/>
      <c r="D92" s="164"/>
      <c r="E92" s="414"/>
      <c r="F92" s="279">
        <v>11169.7115031705</v>
      </c>
      <c r="G92" s="279">
        <v>11758.390624837901</v>
      </c>
      <c r="H92" s="164">
        <f t="shared" si="12"/>
        <v>5.3</v>
      </c>
      <c r="I92" s="414">
        <f>IFERROR(100/'Skjema total MA'!F92*G92,0)</f>
        <v>100</v>
      </c>
      <c r="J92" s="43">
        <f t="shared" si="22"/>
        <v>11169.7115031705</v>
      </c>
      <c r="K92" s="43">
        <f t="shared" si="22"/>
        <v>11758.390624837901</v>
      </c>
      <c r="L92" s="164">
        <f t="shared" si="21"/>
        <v>5.3</v>
      </c>
      <c r="M92" s="22">
        <f>IFERROR(100/'Skjema total MA'!I92*K92,0)</f>
        <v>100</v>
      </c>
    </row>
    <row r="93" spans="1:13" ht="15.75" x14ac:dyDescent="0.2">
      <c r="A93" s="294" t="s">
        <v>317</v>
      </c>
      <c r="B93" s="279">
        <v>1161775.767</v>
      </c>
      <c r="C93" s="279">
        <v>1066258.655</v>
      </c>
      <c r="D93" s="164">
        <f t="shared" si="11"/>
        <v>-8.1999999999999993</v>
      </c>
      <c r="E93" s="26">
        <f>IFERROR(100/'Skjema total MA'!C93*C93,0)</f>
        <v>42.400398236991336</v>
      </c>
      <c r="F93" s="279">
        <v>26012238.814314343</v>
      </c>
      <c r="G93" s="279">
        <v>31194860.221647579</v>
      </c>
      <c r="H93" s="164">
        <f t="shared" si="12"/>
        <v>19.899999999999999</v>
      </c>
      <c r="I93" s="414">
        <f>IFERROR(100/'Skjema total MA'!F93*G93,0)</f>
        <v>13.996456626956725</v>
      </c>
      <c r="J93" s="43">
        <f t="shared" si="22"/>
        <v>27174014.581314344</v>
      </c>
      <c r="K93" s="43">
        <f t="shared" si="22"/>
        <v>32261118.87664758</v>
      </c>
      <c r="L93" s="164">
        <f t="shared" si="21"/>
        <v>18.7</v>
      </c>
      <c r="M93" s="22">
        <f>IFERROR(100/'Skjema total MA'!I93*K93,0)</f>
        <v>14.313364889475576</v>
      </c>
    </row>
    <row r="94" spans="1:13" x14ac:dyDescent="0.2">
      <c r="A94" s="294" t="s">
        <v>12</v>
      </c>
      <c r="B94" s="233"/>
      <c r="C94" s="287"/>
      <c r="D94" s="164"/>
      <c r="E94" s="414"/>
      <c r="F94" s="279">
        <v>3238491.7370084398</v>
      </c>
      <c r="G94" s="279">
        <v>2916025.8970802799</v>
      </c>
      <c r="H94" s="164">
        <f t="shared" si="12"/>
        <v>-10</v>
      </c>
      <c r="I94" s="414">
        <f>IFERROR(100/'Skjema total MA'!F94*G94,0)</f>
        <v>88.348949426699548</v>
      </c>
      <c r="J94" s="43">
        <f t="shared" si="22"/>
        <v>3238491.7370084398</v>
      </c>
      <c r="K94" s="43">
        <f t="shared" si="22"/>
        <v>2916025.8970802799</v>
      </c>
      <c r="L94" s="164">
        <f t="shared" si="21"/>
        <v>-10</v>
      </c>
      <c r="M94" s="22">
        <f>IFERROR(100/'Skjema total MA'!I94*K94,0)</f>
        <v>88.348949426699548</v>
      </c>
    </row>
    <row r="95" spans="1:13" x14ac:dyDescent="0.2">
      <c r="A95" s="294" t="s">
        <v>13</v>
      </c>
      <c r="B95" s="233"/>
      <c r="C95" s="287"/>
      <c r="D95" s="164"/>
      <c r="E95" s="414"/>
      <c r="F95" s="279">
        <v>22773747.077305902</v>
      </c>
      <c r="G95" s="279">
        <v>28278834.324567299</v>
      </c>
      <c r="H95" s="164">
        <f t="shared" si="12"/>
        <v>24.2</v>
      </c>
      <c r="I95" s="414">
        <f>IFERROR(100/'Skjema total MA'!F95*G95,0)</f>
        <v>12.878821268102707</v>
      </c>
      <c r="J95" s="43">
        <f t="shared" si="22"/>
        <v>22773747.077305902</v>
      </c>
      <c r="K95" s="43">
        <f t="shared" si="22"/>
        <v>28278834.324567299</v>
      </c>
      <c r="L95" s="164">
        <f t="shared" si="21"/>
        <v>24.2</v>
      </c>
      <c r="M95" s="22">
        <f>IFERROR(100/'Skjema total MA'!I95*K95,0)</f>
        <v>12.878821268102707</v>
      </c>
    </row>
    <row r="96" spans="1:13" x14ac:dyDescent="0.2">
      <c r="A96" s="20" t="s">
        <v>393</v>
      </c>
      <c r="B96" s="232"/>
      <c r="C96" s="143"/>
      <c r="D96" s="164"/>
      <c r="E96" s="26"/>
      <c r="F96" s="232"/>
      <c r="G96" s="143"/>
      <c r="H96" s="164"/>
      <c r="I96" s="26"/>
      <c r="J96" s="285"/>
      <c r="K96" s="43"/>
      <c r="L96" s="253"/>
      <c r="M96" s="26"/>
    </row>
    <row r="97" spans="1:13" x14ac:dyDescent="0.2">
      <c r="A97" s="20" t="s">
        <v>392</v>
      </c>
      <c r="B97" s="232">
        <v>0</v>
      </c>
      <c r="C97" s="143">
        <v>31192.451000000001</v>
      </c>
      <c r="D97" s="164" t="str">
        <f t="shared" ref="D97" si="23">IF(B97=0, "    ---- ", IF(ABS(ROUND(100/B97*C97-100,1))&lt;999,ROUND(100/B97*C97-100,1),IF(ROUND(100/B97*C97-100,1)&gt;999,999,-999)))</f>
        <v xml:space="preserve">    ---- </v>
      </c>
      <c r="E97" s="26">
        <f>IFERROR(100/'Skjema total MA'!C98*C97,0)</f>
        <v>8.3877931671897197E-3</v>
      </c>
      <c r="F97" s="232"/>
      <c r="G97" s="143"/>
      <c r="H97" s="164"/>
      <c r="I97" s="26"/>
      <c r="J97" s="285">
        <f t="shared" ref="J97" si="24">SUM(B97,F97)</f>
        <v>0</v>
      </c>
      <c r="K97" s="43">
        <f t="shared" ref="K97" si="25">SUM(C97,G97)</f>
        <v>31192.451000000001</v>
      </c>
      <c r="L97" s="253" t="str">
        <f t="shared" ref="L97" si="26">IF(J97=0, "    ---- ", IF(ABS(ROUND(100/J97*K97-100,1))&lt;999,ROUND(100/J97*K97-100,1),IF(ROUND(100/J97*K97-100,1)&gt;999,999,-999)))</f>
        <v xml:space="preserve">    ---- </v>
      </c>
      <c r="M97" s="26">
        <f>IFERROR(100/'Skjema total MA'!I98*K97,0)</f>
        <v>5.2485109099787361E-3</v>
      </c>
    </row>
    <row r="98" spans="1:13" ht="15.75" x14ac:dyDescent="0.2">
      <c r="A98" s="20" t="s">
        <v>318</v>
      </c>
      <c r="B98" s="232">
        <v>43569326.735922001</v>
      </c>
      <c r="C98" s="232">
        <v>44690730.480100699</v>
      </c>
      <c r="D98" s="164">
        <f t="shared" si="11"/>
        <v>2.6</v>
      </c>
      <c r="E98" s="26">
        <f>IFERROR(100/'Skjema total MA'!C98*C98,0)</f>
        <v>12.017542441846137</v>
      </c>
      <c r="F98" s="290">
        <v>26012238.814314343</v>
      </c>
      <c r="G98" s="290">
        <v>31194860.221647579</v>
      </c>
      <c r="H98" s="164">
        <f t="shared" si="12"/>
        <v>19.899999999999999</v>
      </c>
      <c r="I98" s="26">
        <f>IFERROR(100/'Skjema total MA'!F98*G98,0)</f>
        <v>14.024487316887832</v>
      </c>
      <c r="J98" s="285">
        <f t="shared" si="22"/>
        <v>69581565.550236344</v>
      </c>
      <c r="K98" s="43">
        <f t="shared" si="22"/>
        <v>75885590.701748282</v>
      </c>
      <c r="L98" s="253">
        <f t="shared" si="14"/>
        <v>9.1</v>
      </c>
      <c r="M98" s="26">
        <f>IFERROR(100/'Skjema total MA'!I98*K98,0)</f>
        <v>12.768677610756102</v>
      </c>
    </row>
    <row r="99" spans="1:13" x14ac:dyDescent="0.2">
      <c r="A99" s="20" t="s">
        <v>9</v>
      </c>
      <c r="B99" s="290">
        <v>42407530.478922002</v>
      </c>
      <c r="C99" s="291">
        <v>43624471.825100698</v>
      </c>
      <c r="D99" s="164">
        <f t="shared" si="11"/>
        <v>2.9</v>
      </c>
      <c r="E99" s="26">
        <f>IFERROR(100/'Skjema total MA'!C99*C99,0)</f>
        <v>11.810687349222237</v>
      </c>
      <c r="F99" s="232"/>
      <c r="G99" s="143"/>
      <c r="H99" s="164"/>
      <c r="I99" s="26"/>
      <c r="J99" s="285">
        <f t="shared" si="22"/>
        <v>42407530.478922002</v>
      </c>
      <c r="K99" s="43">
        <f t="shared" si="22"/>
        <v>43624471.825100698</v>
      </c>
      <c r="L99" s="253">
        <f t="shared" si="14"/>
        <v>2.9</v>
      </c>
      <c r="M99" s="26">
        <f>IFERROR(100/'Skjema total MA'!I99*K99,0)</f>
        <v>11.810687349222237</v>
      </c>
    </row>
    <row r="100" spans="1:13" x14ac:dyDescent="0.2">
      <c r="A100" s="20" t="s">
        <v>10</v>
      </c>
      <c r="B100" s="290">
        <v>1161796.257</v>
      </c>
      <c r="C100" s="291">
        <v>1066258.655</v>
      </c>
      <c r="D100" s="164">
        <f t="shared" si="11"/>
        <v>-8.1999999999999993</v>
      </c>
      <c r="E100" s="26">
        <f>IFERROR(100/'Skjema total MA'!C100*C100,0)</f>
        <v>42.400398236991336</v>
      </c>
      <c r="F100" s="232">
        <v>26012238.814314343</v>
      </c>
      <c r="G100" s="232">
        <v>31194860.221647579</v>
      </c>
      <c r="H100" s="164">
        <f t="shared" si="12"/>
        <v>19.899999999999999</v>
      </c>
      <c r="I100" s="26">
        <f>IFERROR(100/'Skjema total MA'!F100*G100,0)</f>
        <v>14.024487316887832</v>
      </c>
      <c r="J100" s="285">
        <f t="shared" si="22"/>
        <v>27174035.071314342</v>
      </c>
      <c r="K100" s="43">
        <f t="shared" si="22"/>
        <v>32261118.87664758</v>
      </c>
      <c r="L100" s="253">
        <f t="shared" si="14"/>
        <v>18.7</v>
      </c>
      <c r="M100" s="26">
        <f>IFERROR(100/'Skjema total MA'!I100*K100,0)</f>
        <v>14.341709792941847</v>
      </c>
    </row>
    <row r="101" spans="1:13" ht="15.75" x14ac:dyDescent="0.2">
      <c r="A101" s="294" t="s">
        <v>316</v>
      </c>
      <c r="B101" s="279"/>
      <c r="C101" s="279"/>
      <c r="D101" s="164"/>
      <c r="E101" s="414"/>
      <c r="F101" s="279"/>
      <c r="G101" s="279"/>
      <c r="H101" s="164"/>
      <c r="I101" s="414"/>
      <c r="J101" s="288"/>
      <c r="K101" s="288"/>
      <c r="L101" s="164"/>
      <c r="M101" s="22"/>
    </row>
    <row r="102" spans="1:13" x14ac:dyDescent="0.2">
      <c r="A102" s="294" t="s">
        <v>12</v>
      </c>
      <c r="B102" s="233"/>
      <c r="C102" s="287"/>
      <c r="D102" s="164"/>
      <c r="E102" s="414"/>
      <c r="F102" s="279"/>
      <c r="G102" s="279"/>
      <c r="H102" s="164"/>
      <c r="I102" s="414"/>
      <c r="J102" s="288"/>
      <c r="K102" s="288"/>
      <c r="L102" s="164"/>
      <c r="M102" s="22"/>
    </row>
    <row r="103" spans="1:13" x14ac:dyDescent="0.2">
      <c r="A103" s="294" t="s">
        <v>13</v>
      </c>
      <c r="B103" s="233"/>
      <c r="C103" s="287"/>
      <c r="D103" s="164"/>
      <c r="E103" s="414"/>
      <c r="F103" s="279"/>
      <c r="G103" s="279"/>
      <c r="H103" s="164"/>
      <c r="I103" s="414"/>
      <c r="J103" s="288"/>
      <c r="K103" s="288"/>
      <c r="L103" s="164"/>
      <c r="M103" s="22"/>
    </row>
    <row r="104" spans="1:13" ht="15.75" x14ac:dyDescent="0.2">
      <c r="A104" s="294" t="s">
        <v>317</v>
      </c>
      <c r="B104" s="279">
        <v>1161796.257</v>
      </c>
      <c r="C104" s="279">
        <v>1066258.655</v>
      </c>
      <c r="D104" s="164">
        <f t="shared" si="11"/>
        <v>-8.1999999999999993</v>
      </c>
      <c r="E104" s="26">
        <f>IFERROR(100/'Skjema total MA'!C104*C104,0)</f>
        <v>42.400398236991336</v>
      </c>
      <c r="F104" s="279">
        <v>26012238.814314343</v>
      </c>
      <c r="G104" s="279">
        <v>31194860.221647579</v>
      </c>
      <c r="H104" s="164">
        <f t="shared" si="12"/>
        <v>19.899999999999999</v>
      </c>
      <c r="I104" s="414">
        <f>IFERROR(100/'Skjema total MA'!F104*G104,0)</f>
        <v>14.024487316887832</v>
      </c>
      <c r="J104" s="43">
        <f t="shared" ref="J104:J106" si="27">SUM(B104,F104)</f>
        <v>27174035.071314342</v>
      </c>
      <c r="K104" s="43">
        <f t="shared" ref="K104:K106" si="28">SUM(C104,G104)</f>
        <v>32261118.87664758</v>
      </c>
      <c r="L104" s="164">
        <f t="shared" ref="L104:L106" si="29">IF(J104=0, "    ---- ", IF(ABS(ROUND(100/J104*K104-100,1))&lt;999,ROUND(100/J104*K104-100,1),IF(ROUND(100/J104*K104-100,1)&gt;999,999,-999)))</f>
        <v>18.7</v>
      </c>
      <c r="M104" s="22">
        <f>IFERROR(100/'Skjema total MA'!I104*K104,0)</f>
        <v>14.341709792941847</v>
      </c>
    </row>
    <row r="105" spans="1:13" x14ac:dyDescent="0.2">
      <c r="A105" s="294" t="s">
        <v>12</v>
      </c>
      <c r="B105" s="233"/>
      <c r="C105" s="287"/>
      <c r="D105" s="164"/>
      <c r="E105" s="414"/>
      <c r="F105" s="279">
        <v>3238491.7370084398</v>
      </c>
      <c r="G105" s="279">
        <v>2916025.8970802799</v>
      </c>
      <c r="H105" s="164">
        <f t="shared" si="12"/>
        <v>-10</v>
      </c>
      <c r="I105" s="414">
        <f>IFERROR(100/'Skjema total MA'!F105*G105,0)</f>
        <v>100.00000000000001</v>
      </c>
      <c r="J105" s="43">
        <f t="shared" si="27"/>
        <v>3238491.7370084398</v>
      </c>
      <c r="K105" s="43">
        <f t="shared" si="28"/>
        <v>2916025.8970802799</v>
      </c>
      <c r="L105" s="164">
        <f t="shared" si="29"/>
        <v>-10</v>
      </c>
      <c r="M105" s="22">
        <f>IFERROR(100/'Skjema total MA'!I105*K105,0)</f>
        <v>100.00000000000001</v>
      </c>
    </row>
    <row r="106" spans="1:13" x14ac:dyDescent="0.2">
      <c r="A106" s="294" t="s">
        <v>13</v>
      </c>
      <c r="B106" s="233"/>
      <c r="C106" s="287"/>
      <c r="D106" s="164"/>
      <c r="E106" s="414"/>
      <c r="F106" s="279">
        <v>22773747.077305902</v>
      </c>
      <c r="G106" s="279">
        <v>28278834.324567299</v>
      </c>
      <c r="H106" s="164">
        <f t="shared" si="12"/>
        <v>24.2</v>
      </c>
      <c r="I106" s="414">
        <f>IFERROR(100/'Skjema total MA'!F106*G106,0)</f>
        <v>12.882394882258561</v>
      </c>
      <c r="J106" s="43">
        <f t="shared" si="27"/>
        <v>22773747.077305902</v>
      </c>
      <c r="K106" s="43">
        <f t="shared" si="28"/>
        <v>28278834.324567299</v>
      </c>
      <c r="L106" s="164">
        <f t="shared" si="29"/>
        <v>24.2</v>
      </c>
      <c r="M106" s="22">
        <f>IFERROR(100/'Skjema total MA'!I106*K106,0)</f>
        <v>12.882394882258561</v>
      </c>
    </row>
    <row r="107" spans="1:13" ht="15.75" x14ac:dyDescent="0.2">
      <c r="A107" s="20" t="s">
        <v>327</v>
      </c>
      <c r="B107" s="232">
        <v>49499.144</v>
      </c>
      <c r="C107" s="143">
        <v>60896.699000000001</v>
      </c>
      <c r="D107" s="164">
        <f t="shared" si="11"/>
        <v>23</v>
      </c>
      <c r="E107" s="26">
        <f>IFERROR(100/'Skjema total MA'!C107*C107,0)</f>
        <v>1.5320822508609599</v>
      </c>
      <c r="F107" s="232">
        <v>11378.93</v>
      </c>
      <c r="G107" s="143">
        <v>11954.121999999999</v>
      </c>
      <c r="H107" s="164">
        <f t="shared" si="12"/>
        <v>5.0999999999999996</v>
      </c>
      <c r="I107" s="26">
        <f>IFERROR(100/'Skjema total MA'!F107*G107,0)</f>
        <v>2.0081513393441459</v>
      </c>
      <c r="J107" s="285">
        <f t="shared" si="22"/>
        <v>60878.074000000001</v>
      </c>
      <c r="K107" s="43">
        <f t="shared" si="22"/>
        <v>72850.820999999996</v>
      </c>
      <c r="L107" s="253">
        <f t="shared" si="14"/>
        <v>19.7</v>
      </c>
      <c r="M107" s="26">
        <f>IFERROR(100/'Skjema total MA'!I107*K107,0)</f>
        <v>1.5940935131630232</v>
      </c>
    </row>
    <row r="108" spans="1:13" ht="15.75" x14ac:dyDescent="0.2">
      <c r="A108" s="20" t="s">
        <v>328</v>
      </c>
      <c r="B108" s="232">
        <v>29076989.968773399</v>
      </c>
      <c r="C108" s="232">
        <v>33292468.6186269</v>
      </c>
      <c r="D108" s="164">
        <f t="shared" si="11"/>
        <v>14.5</v>
      </c>
      <c r="E108" s="26">
        <f>IFERROR(100/'Skjema total MA'!C108*C108,0)</f>
        <v>11.051762855375925</v>
      </c>
      <c r="F108" s="232"/>
      <c r="G108" s="232"/>
      <c r="H108" s="164"/>
      <c r="I108" s="26"/>
      <c r="J108" s="285">
        <f t="shared" si="22"/>
        <v>29076989.968773399</v>
      </c>
      <c r="K108" s="43">
        <f t="shared" si="22"/>
        <v>33292468.6186269</v>
      </c>
      <c r="L108" s="253">
        <f t="shared" si="14"/>
        <v>14.5</v>
      </c>
      <c r="M108" s="26">
        <f>IFERROR(100/'Skjema total MA'!I108*K108,0)</f>
        <v>10.792405684019242</v>
      </c>
    </row>
    <row r="109" spans="1:13" ht="15.75" x14ac:dyDescent="0.2">
      <c r="A109" s="20" t="s">
        <v>320</v>
      </c>
      <c r="B109" s="232">
        <v>376172.462</v>
      </c>
      <c r="C109" s="232">
        <v>389170.46100000001</v>
      </c>
      <c r="D109" s="164">
        <f t="shared" si="11"/>
        <v>3.5</v>
      </c>
      <c r="E109" s="26">
        <f>IFERROR(100/'Skjema total MA'!C109*C109,0)</f>
        <v>49.607786196554635</v>
      </c>
      <c r="F109" s="232">
        <v>9969145.48773719</v>
      </c>
      <c r="G109" s="232">
        <v>12705282.8606354</v>
      </c>
      <c r="H109" s="164">
        <f t="shared" si="12"/>
        <v>27.4</v>
      </c>
      <c r="I109" s="26">
        <f>IFERROR(100/'Skjema total MA'!F109*G109,0)</f>
        <v>17.31290883024991</v>
      </c>
      <c r="J109" s="285">
        <f t="shared" si="22"/>
        <v>10345317.949737189</v>
      </c>
      <c r="K109" s="43">
        <f t="shared" si="22"/>
        <v>13094453.321635399</v>
      </c>
      <c r="L109" s="253">
        <f t="shared" si="14"/>
        <v>26.6</v>
      </c>
      <c r="M109" s="26">
        <f>IFERROR(100/'Skjema total MA'!I109*K109,0)</f>
        <v>17.654488030946105</v>
      </c>
    </row>
    <row r="110" spans="1:13" ht="15.75" x14ac:dyDescent="0.2">
      <c r="A110" s="20" t="s">
        <v>321</v>
      </c>
      <c r="B110" s="232"/>
      <c r="C110" s="232"/>
      <c r="D110" s="164"/>
      <c r="E110" s="26"/>
      <c r="F110" s="232"/>
      <c r="G110" s="232"/>
      <c r="H110" s="164"/>
      <c r="I110" s="26"/>
      <c r="J110" s="285"/>
      <c r="K110" s="43"/>
      <c r="L110" s="253"/>
      <c r="M110" s="26"/>
    </row>
    <row r="111" spans="1:13" ht="15.75" x14ac:dyDescent="0.2">
      <c r="A111" s="13" t="s">
        <v>24</v>
      </c>
      <c r="B111" s="306">
        <f>SUM(B112:B114)</f>
        <v>65890.554999999993</v>
      </c>
      <c r="C111" s="157">
        <f>SUM(C112:C114)</f>
        <v>12147.332</v>
      </c>
      <c r="D111" s="169">
        <f t="shared" si="11"/>
        <v>-81.599999999999994</v>
      </c>
      <c r="E111" s="11">
        <f>IFERROR(100/'Skjema total MA'!C111*C111,0)</f>
        <v>2.2054888264471706</v>
      </c>
      <c r="F111" s="306">
        <f>SUM(F112:F114)</f>
        <v>850820.66434999998</v>
      </c>
      <c r="G111" s="157">
        <f>SUM(G112:G114)</f>
        <v>956574.95299999998</v>
      </c>
      <c r="H111" s="169">
        <f t="shared" si="12"/>
        <v>12.4</v>
      </c>
      <c r="I111" s="11">
        <f>IFERROR(100/'Skjema total MA'!F111*G111,0)</f>
        <v>9.9667779905572687</v>
      </c>
      <c r="J111" s="307">
        <f t="shared" si="22"/>
        <v>916711.21934999991</v>
      </c>
      <c r="K111" s="234">
        <f t="shared" si="22"/>
        <v>968722.28500000003</v>
      </c>
      <c r="L111" s="425">
        <f t="shared" si="14"/>
        <v>5.7</v>
      </c>
      <c r="M111" s="11">
        <f>IFERROR(100/'Skjema total MA'!I111*K111,0)</f>
        <v>9.5455552504070056</v>
      </c>
    </row>
    <row r="112" spans="1:13" x14ac:dyDescent="0.2">
      <c r="A112" s="20" t="s">
        <v>9</v>
      </c>
      <c r="B112" s="232">
        <v>65890.554999999993</v>
      </c>
      <c r="C112" s="143">
        <v>12147.332</v>
      </c>
      <c r="D112" s="164">
        <f t="shared" ref="D112:D125" si="30">IF(B112=0, "    ---- ", IF(ABS(ROUND(100/B112*C112-100,1))&lt;999,ROUND(100/B112*C112-100,1),IF(ROUND(100/B112*C112-100,1)&gt;999,999,-999)))</f>
        <v>-81.599999999999994</v>
      </c>
      <c r="E112" s="26">
        <f>IFERROR(100/'Skjema total MA'!C112*C112,0)</f>
        <v>2.2335147139714926</v>
      </c>
      <c r="F112" s="232">
        <v>0</v>
      </c>
      <c r="G112" s="143">
        <v>0</v>
      </c>
      <c r="H112" s="164" t="str">
        <f t="shared" ref="H112:H125" si="31">IF(F112=0, "    ---- ", IF(ABS(ROUND(100/F112*G112-100,1))&lt;999,ROUND(100/F112*G112-100,1),IF(ROUND(100/F112*G112-100,1)&gt;999,999,-999)))</f>
        <v xml:space="preserve">    ---- </v>
      </c>
      <c r="I112" s="26">
        <f>IFERROR(100/'Skjema total MA'!F112*G112,0)</f>
        <v>0</v>
      </c>
      <c r="J112" s="285">
        <f t="shared" ref="J112:K125" si="32">SUM(B112,F112)</f>
        <v>65890.554999999993</v>
      </c>
      <c r="K112" s="43">
        <f t="shared" si="32"/>
        <v>12147.332</v>
      </c>
      <c r="L112" s="253">
        <f t="shared" ref="L112:L125" si="33">IF(J112=0, "    ---- ", IF(ABS(ROUND(100/J112*K112-100,1))&lt;999,ROUND(100/J112*K112-100,1),IF(ROUND(100/J112*K112-100,1)&gt;999,999,-999)))</f>
        <v>-81.599999999999994</v>
      </c>
      <c r="M112" s="26">
        <f>IFERROR(100/'Skjema total MA'!I112*K112,0)</f>
        <v>2.2335147139714926</v>
      </c>
    </row>
    <row r="113" spans="1:14" x14ac:dyDescent="0.2">
      <c r="A113" s="20" t="s">
        <v>10</v>
      </c>
      <c r="B113" s="232"/>
      <c r="C113" s="143"/>
      <c r="D113" s="164"/>
      <c r="E113" s="26"/>
      <c r="F113" s="232">
        <v>850820.66434999998</v>
      </c>
      <c r="G113" s="143">
        <v>956574.95299999998</v>
      </c>
      <c r="H113" s="164">
        <f t="shared" si="31"/>
        <v>12.4</v>
      </c>
      <c r="I113" s="26">
        <f>IFERROR(100/'Skjema total MA'!F113*G113,0)</f>
        <v>9.9680274448241022</v>
      </c>
      <c r="J113" s="285">
        <f t="shared" si="32"/>
        <v>850820.66434999998</v>
      </c>
      <c r="K113" s="43">
        <f t="shared" si="32"/>
        <v>956574.95299999998</v>
      </c>
      <c r="L113" s="253">
        <f t="shared" si="33"/>
        <v>12.4</v>
      </c>
      <c r="M113" s="26">
        <f>IFERROR(100/'Skjema total MA'!I113*K113,0)</f>
        <v>9.9650992299862917</v>
      </c>
    </row>
    <row r="114" spans="1:14" x14ac:dyDescent="0.2">
      <c r="A114" s="20" t="s">
        <v>29</v>
      </c>
      <c r="B114" s="232"/>
      <c r="C114" s="143"/>
      <c r="D114" s="164"/>
      <c r="E114" s="26"/>
      <c r="F114" s="232"/>
      <c r="G114" s="143"/>
      <c r="H114" s="164"/>
      <c r="I114" s="26"/>
      <c r="J114" s="285"/>
      <c r="K114" s="43"/>
      <c r="L114" s="253"/>
      <c r="M114" s="26"/>
    </row>
    <row r="115" spans="1:14" x14ac:dyDescent="0.2">
      <c r="A115" s="294" t="s">
        <v>15</v>
      </c>
      <c r="B115" s="279">
        <v>1786.3810000000001</v>
      </c>
      <c r="C115" s="279">
        <v>0</v>
      </c>
      <c r="D115" s="164">
        <f t="shared" ref="D115" si="34">IF(B115=0, "    ---- ", IF(ABS(ROUND(100/B115*C115-100,1))&lt;999,ROUND(100/B115*C115-100,1),IF(ROUND(100/B115*C115-100,1)&gt;999,999,-999)))</f>
        <v>-100</v>
      </c>
      <c r="E115" s="26">
        <f>IFERROR(100/'Skjema total MA'!C115*C115,0)</f>
        <v>0</v>
      </c>
      <c r="F115" s="279"/>
      <c r="G115" s="279"/>
      <c r="H115" s="164"/>
      <c r="I115" s="414"/>
      <c r="J115" s="43">
        <f t="shared" ref="J115" si="35">SUM(B115,F115)</f>
        <v>1786.3810000000001</v>
      </c>
      <c r="K115" s="43">
        <f t="shared" ref="K115" si="36">SUM(C115,G115)</f>
        <v>0</v>
      </c>
      <c r="L115" s="253">
        <f t="shared" si="33"/>
        <v>-100</v>
      </c>
      <c r="M115" s="22">
        <f>IFERROR(100/'Skjema total MA'!I115*K115,0)</f>
        <v>0</v>
      </c>
    </row>
    <row r="116" spans="1:14" ht="15.75" x14ac:dyDescent="0.2">
      <c r="A116" s="20" t="s">
        <v>329</v>
      </c>
      <c r="B116" s="232">
        <v>1786.3810000000001</v>
      </c>
      <c r="C116" s="232">
        <v>4142.9719999999998</v>
      </c>
      <c r="D116" s="164">
        <f t="shared" si="30"/>
        <v>131.9</v>
      </c>
      <c r="E116" s="26">
        <f>IFERROR(100/'Skjema total MA'!C116*C116,0)</f>
        <v>2.9876160566518712</v>
      </c>
      <c r="F116" s="232"/>
      <c r="G116" s="232"/>
      <c r="H116" s="164"/>
      <c r="I116" s="26"/>
      <c r="J116" s="285">
        <f t="shared" si="32"/>
        <v>1786.3810000000001</v>
      </c>
      <c r="K116" s="43">
        <f t="shared" si="32"/>
        <v>4142.9719999999998</v>
      </c>
      <c r="L116" s="253">
        <f t="shared" si="33"/>
        <v>131.9</v>
      </c>
      <c r="M116" s="26">
        <f>IFERROR(100/'Skjema total MA'!I116*K116,0)</f>
        <v>2.673919329780527</v>
      </c>
    </row>
    <row r="117" spans="1:14" ht="15.75" x14ac:dyDescent="0.2">
      <c r="A117" s="20" t="s">
        <v>322</v>
      </c>
      <c r="B117" s="232"/>
      <c r="C117" s="232"/>
      <c r="D117" s="164"/>
      <c r="E117" s="26"/>
      <c r="F117" s="232">
        <v>204746.103</v>
      </c>
      <c r="G117" s="232">
        <v>244834.65299999999</v>
      </c>
      <c r="H117" s="164">
        <f t="shared" si="31"/>
        <v>19.600000000000001</v>
      </c>
      <c r="I117" s="26">
        <f>IFERROR(100/'Skjema total MA'!F117*G117,0)</f>
        <v>12.664784718703547</v>
      </c>
      <c r="J117" s="285">
        <f t="shared" si="32"/>
        <v>204746.103</v>
      </c>
      <c r="K117" s="43">
        <f t="shared" si="32"/>
        <v>244834.65299999999</v>
      </c>
      <c r="L117" s="253">
        <f t="shared" si="33"/>
        <v>19.600000000000001</v>
      </c>
      <c r="M117" s="26">
        <f>IFERROR(100/'Skjema total MA'!I117*K117,0)</f>
        <v>12.658731583340868</v>
      </c>
    </row>
    <row r="118" spans="1:14" ht="15.75" x14ac:dyDescent="0.2">
      <c r="A118" s="20" t="s">
        <v>321</v>
      </c>
      <c r="B118" s="232"/>
      <c r="C118" s="232"/>
      <c r="D118" s="164"/>
      <c r="E118" s="26"/>
      <c r="F118" s="232"/>
      <c r="G118" s="232"/>
      <c r="H118" s="164"/>
      <c r="I118" s="26"/>
      <c r="J118" s="285"/>
      <c r="K118" s="43"/>
      <c r="L118" s="253"/>
      <c r="M118" s="26"/>
    </row>
    <row r="119" spans="1:14" ht="15.75" x14ac:dyDescent="0.2">
      <c r="A119" s="13" t="s">
        <v>23</v>
      </c>
      <c r="B119" s="306">
        <f>SUM(B120:B122)</f>
        <v>156609.19600000003</v>
      </c>
      <c r="C119" s="157">
        <f>SUM(C120:C122)</f>
        <v>97344.195189999897</v>
      </c>
      <c r="D119" s="169">
        <f t="shared" si="30"/>
        <v>-37.799999999999997</v>
      </c>
      <c r="E119" s="11">
        <f>IFERROR(100/'Skjema total MA'!C119*C119,0)</f>
        <v>21.686170525178913</v>
      </c>
      <c r="F119" s="306">
        <f>SUM(F120:F122)</f>
        <v>1463386.513</v>
      </c>
      <c r="G119" s="157">
        <f>SUM(G120:G122)</f>
        <v>2103384.6090000002</v>
      </c>
      <c r="H119" s="169">
        <f t="shared" si="31"/>
        <v>43.7</v>
      </c>
      <c r="I119" s="11">
        <f>IFERROR(100/'Skjema total MA'!F119*G119,0)</f>
        <v>21.5673105438302</v>
      </c>
      <c r="J119" s="307">
        <f t="shared" si="32"/>
        <v>1619995.709</v>
      </c>
      <c r="K119" s="234">
        <f t="shared" si="32"/>
        <v>2200728.8041900001</v>
      </c>
      <c r="L119" s="425">
        <f t="shared" si="33"/>
        <v>35.799999999999997</v>
      </c>
      <c r="M119" s="11">
        <f>IFERROR(100/'Skjema total MA'!I119*K119,0)</f>
        <v>21.572540494750889</v>
      </c>
    </row>
    <row r="120" spans="1:14" x14ac:dyDescent="0.2">
      <c r="A120" s="20" t="s">
        <v>9</v>
      </c>
      <c r="B120" s="232">
        <v>154890.95800000001</v>
      </c>
      <c r="C120" s="143">
        <v>97344.195189999897</v>
      </c>
      <c r="D120" s="164">
        <f t="shared" si="30"/>
        <v>-37.200000000000003</v>
      </c>
      <c r="E120" s="26">
        <f>IFERROR(100/'Skjema total MA'!C120*C120,0)</f>
        <v>23.674845044840666</v>
      </c>
      <c r="F120" s="232"/>
      <c r="G120" s="143"/>
      <c r="H120" s="164"/>
      <c r="I120" s="26"/>
      <c r="J120" s="285">
        <f t="shared" si="32"/>
        <v>154890.95800000001</v>
      </c>
      <c r="K120" s="43">
        <f t="shared" si="32"/>
        <v>97344.195189999897</v>
      </c>
      <c r="L120" s="253">
        <f t="shared" si="33"/>
        <v>-37.200000000000003</v>
      </c>
      <c r="M120" s="26">
        <f>IFERROR(100/'Skjema total MA'!I120*K120,0)</f>
        <v>23.674845044840666</v>
      </c>
    </row>
    <row r="121" spans="1:14" x14ac:dyDescent="0.2">
      <c r="A121" s="20" t="s">
        <v>10</v>
      </c>
      <c r="B121" s="232">
        <v>1718.2380000000001</v>
      </c>
      <c r="C121" s="143">
        <v>0</v>
      </c>
      <c r="D121" s="164">
        <f t="shared" si="30"/>
        <v>-100</v>
      </c>
      <c r="E121" s="26">
        <f>IFERROR(100/'Skjema total MA'!C121*C121,0)</f>
        <v>0</v>
      </c>
      <c r="F121" s="232">
        <v>1463386.513</v>
      </c>
      <c r="G121" s="143">
        <v>2103384.6090000002</v>
      </c>
      <c r="H121" s="164">
        <f t="shared" si="31"/>
        <v>43.7</v>
      </c>
      <c r="I121" s="26">
        <f>IFERROR(100/'Skjema total MA'!F121*G121,0)</f>
        <v>21.5673105438302</v>
      </c>
      <c r="J121" s="285">
        <f t="shared" si="32"/>
        <v>1465104.7509999999</v>
      </c>
      <c r="K121" s="43">
        <f t="shared" si="32"/>
        <v>2103384.6090000002</v>
      </c>
      <c r="L121" s="253">
        <f t="shared" si="33"/>
        <v>43.6</v>
      </c>
      <c r="M121" s="26">
        <f>IFERROR(100/'Skjema total MA'!I121*K121,0)</f>
        <v>21.484991714993129</v>
      </c>
    </row>
    <row r="122" spans="1:14" x14ac:dyDescent="0.2">
      <c r="A122" s="20" t="s">
        <v>29</v>
      </c>
      <c r="B122" s="232"/>
      <c r="C122" s="143"/>
      <c r="D122" s="164"/>
      <c r="E122" s="26"/>
      <c r="F122" s="232"/>
      <c r="G122" s="143"/>
      <c r="H122" s="164"/>
      <c r="I122" s="26"/>
      <c r="J122" s="285"/>
      <c r="K122" s="43"/>
      <c r="L122" s="253"/>
      <c r="M122" s="26"/>
    </row>
    <row r="123" spans="1:14" x14ac:dyDescent="0.2">
      <c r="A123" s="294" t="s">
        <v>14</v>
      </c>
      <c r="B123" s="279"/>
      <c r="C123" s="279"/>
      <c r="D123" s="164"/>
      <c r="E123" s="414"/>
      <c r="F123" s="279"/>
      <c r="G123" s="279"/>
      <c r="H123" s="164"/>
      <c r="I123" s="414"/>
      <c r="J123" s="288"/>
      <c r="K123" s="288"/>
      <c r="L123" s="164"/>
      <c r="M123" s="22"/>
    </row>
    <row r="124" spans="1:14" ht="15.75" x14ac:dyDescent="0.2">
      <c r="A124" s="20" t="s">
        <v>319</v>
      </c>
      <c r="B124" s="232">
        <v>7354.7839999999997</v>
      </c>
      <c r="C124" s="232">
        <v>0</v>
      </c>
      <c r="D124" s="164">
        <f t="shared" si="30"/>
        <v>-100</v>
      </c>
      <c r="E124" s="26">
        <f>IFERROR(100/'Skjema total MA'!C124*C124,0)</f>
        <v>0</v>
      </c>
      <c r="F124" s="232"/>
      <c r="G124" s="232"/>
      <c r="H124" s="164"/>
      <c r="I124" s="26"/>
      <c r="J124" s="285">
        <f t="shared" si="32"/>
        <v>7354.7839999999997</v>
      </c>
      <c r="K124" s="43">
        <f t="shared" si="32"/>
        <v>0</v>
      </c>
      <c r="L124" s="253">
        <f t="shared" si="33"/>
        <v>-100</v>
      </c>
      <c r="M124" s="26">
        <f>IFERROR(100/'Skjema total MA'!I124*K124,0)</f>
        <v>0</v>
      </c>
    </row>
    <row r="125" spans="1:14" ht="15.75" x14ac:dyDescent="0.2">
      <c r="A125" s="20" t="s">
        <v>320</v>
      </c>
      <c r="B125" s="232">
        <v>1718.2380000000001</v>
      </c>
      <c r="C125" s="232">
        <v>0</v>
      </c>
      <c r="D125" s="164">
        <f t="shared" si="30"/>
        <v>-100</v>
      </c>
      <c r="E125" s="26">
        <f>IFERROR(100/'Skjema total MA'!C125*C125,0)</f>
        <v>0</v>
      </c>
      <c r="F125" s="232">
        <v>83109.455000000002</v>
      </c>
      <c r="G125" s="232">
        <v>234989.766</v>
      </c>
      <c r="H125" s="164">
        <f t="shared" si="31"/>
        <v>182.7</v>
      </c>
      <c r="I125" s="26">
        <f>IFERROR(100/'Skjema total MA'!F125*G125,0)</f>
        <v>12.802435373625807</v>
      </c>
      <c r="J125" s="285">
        <f t="shared" si="32"/>
        <v>84827.692999999999</v>
      </c>
      <c r="K125" s="43">
        <f t="shared" si="32"/>
        <v>234989.766</v>
      </c>
      <c r="L125" s="253">
        <f t="shared" si="33"/>
        <v>177</v>
      </c>
      <c r="M125" s="26">
        <f>IFERROR(100/'Skjema total MA'!I125*K125,0)</f>
        <v>12.769082103839583</v>
      </c>
    </row>
    <row r="126" spans="1:14" ht="15.75" x14ac:dyDescent="0.2">
      <c r="A126" s="10" t="s">
        <v>321</v>
      </c>
      <c r="B126" s="44"/>
      <c r="C126" s="44"/>
      <c r="D126" s="165"/>
      <c r="E126" s="415"/>
      <c r="F126" s="44"/>
      <c r="G126" s="44"/>
      <c r="H126" s="165"/>
      <c r="I126" s="21"/>
      <c r="J126" s="286"/>
      <c r="K126" s="44"/>
      <c r="L126" s="254"/>
      <c r="M126" s="21"/>
    </row>
    <row r="127" spans="1:14" x14ac:dyDescent="0.2">
      <c r="A127" s="153"/>
      <c r="L127" s="25"/>
      <c r="M127" s="25"/>
      <c r="N127" s="25"/>
    </row>
    <row r="128" spans="1:14" x14ac:dyDescent="0.2">
      <c r="L128" s="25"/>
      <c r="M128" s="25"/>
      <c r="N128" s="25"/>
    </row>
    <row r="129" spans="1:15" ht="15.75" x14ac:dyDescent="0.25">
      <c r="A129" s="163" t="s">
        <v>30</v>
      </c>
    </row>
    <row r="130" spans="1:15" ht="15.75" x14ac:dyDescent="0.25">
      <c r="B130" s="963"/>
      <c r="C130" s="963"/>
      <c r="D130" s="963"/>
      <c r="E130" s="297"/>
      <c r="F130" s="963"/>
      <c r="G130" s="963"/>
      <c r="H130" s="963"/>
      <c r="I130" s="297"/>
      <c r="J130" s="963"/>
      <c r="K130" s="963"/>
      <c r="L130" s="963"/>
      <c r="M130" s="297"/>
    </row>
    <row r="131" spans="1:15" s="3" customFormat="1" x14ac:dyDescent="0.2">
      <c r="A131" s="142"/>
      <c r="B131" s="960" t="s">
        <v>0</v>
      </c>
      <c r="C131" s="961"/>
      <c r="D131" s="961"/>
      <c r="E131" s="299"/>
      <c r="F131" s="960" t="s">
        <v>1</v>
      </c>
      <c r="G131" s="961"/>
      <c r="H131" s="961"/>
      <c r="I131" s="302"/>
      <c r="J131" s="960" t="s">
        <v>2</v>
      </c>
      <c r="K131" s="961"/>
      <c r="L131" s="961"/>
      <c r="M131" s="302"/>
      <c r="N131" s="146"/>
      <c r="O131" s="146"/>
    </row>
    <row r="132" spans="1:15" s="3" customFormat="1" x14ac:dyDescent="0.2">
      <c r="A132" s="139"/>
      <c r="B132" s="150" t="s">
        <v>504</v>
      </c>
      <c r="C132" s="150" t="s">
        <v>505</v>
      </c>
      <c r="D132" s="243" t="s">
        <v>3</v>
      </c>
      <c r="E132" s="303" t="s">
        <v>32</v>
      </c>
      <c r="F132" s="150" t="s">
        <v>504</v>
      </c>
      <c r="G132" s="150" t="s">
        <v>505</v>
      </c>
      <c r="H132" s="204" t="s">
        <v>3</v>
      </c>
      <c r="I132" s="160" t="s">
        <v>32</v>
      </c>
      <c r="J132" s="244" t="s">
        <v>504</v>
      </c>
      <c r="K132" s="244" t="s">
        <v>505</v>
      </c>
      <c r="L132" s="245" t="s">
        <v>3</v>
      </c>
      <c r="M132" s="160" t="s">
        <v>32</v>
      </c>
      <c r="N132" s="146"/>
      <c r="O132" s="146"/>
    </row>
    <row r="133" spans="1:15" s="3" customFormat="1" x14ac:dyDescent="0.2">
      <c r="A133" s="934"/>
      <c r="B133" s="154"/>
      <c r="C133" s="154"/>
      <c r="D133" s="245" t="s">
        <v>4</v>
      </c>
      <c r="E133" s="154" t="s">
        <v>33</v>
      </c>
      <c r="F133" s="159"/>
      <c r="G133" s="159"/>
      <c r="H133" s="204" t="s">
        <v>4</v>
      </c>
      <c r="I133" s="154" t="s">
        <v>33</v>
      </c>
      <c r="J133" s="154"/>
      <c r="K133" s="154"/>
      <c r="L133" s="148" t="s">
        <v>4</v>
      </c>
      <c r="M133" s="154" t="s">
        <v>33</v>
      </c>
      <c r="N133" s="146"/>
      <c r="O133" s="146"/>
    </row>
    <row r="134" spans="1:15" s="3" customFormat="1" ht="15.75" x14ac:dyDescent="0.2">
      <c r="A134" s="14" t="s">
        <v>323</v>
      </c>
      <c r="B134" s="234"/>
      <c r="C134" s="307"/>
      <c r="D134" s="348"/>
      <c r="E134" s="11"/>
      <c r="F134" s="314"/>
      <c r="G134" s="315"/>
      <c r="H134" s="428"/>
      <c r="I134" s="23"/>
      <c r="J134" s="316"/>
      <c r="K134" s="316"/>
      <c r="L134" s="424"/>
      <c r="M134" s="11"/>
      <c r="N134" s="146"/>
      <c r="O134" s="146"/>
    </row>
    <row r="135" spans="1:15" s="3" customFormat="1" ht="15.75" x14ac:dyDescent="0.2">
      <c r="A135" s="13" t="s">
        <v>324</v>
      </c>
      <c r="B135" s="234"/>
      <c r="C135" s="307"/>
      <c r="D135" s="169"/>
      <c r="E135" s="11"/>
      <c r="F135" s="234"/>
      <c r="G135" s="307"/>
      <c r="H135" s="429"/>
      <c r="I135" s="23"/>
      <c r="J135" s="306"/>
      <c r="K135" s="306"/>
      <c r="L135" s="425"/>
      <c r="M135" s="11"/>
      <c r="N135" s="146"/>
      <c r="O135" s="146"/>
    </row>
    <row r="136" spans="1:15" s="3" customFormat="1" ht="15.75" x14ac:dyDescent="0.2">
      <c r="A136" s="13" t="s">
        <v>325</v>
      </c>
      <c r="B136" s="234"/>
      <c r="C136" s="307"/>
      <c r="D136" s="169"/>
      <c r="E136" s="11"/>
      <c r="F136" s="234"/>
      <c r="G136" s="307"/>
      <c r="H136" s="429"/>
      <c r="I136" s="23"/>
      <c r="J136" s="306"/>
      <c r="K136" s="306"/>
      <c r="L136" s="425"/>
      <c r="M136" s="11"/>
      <c r="N136" s="146"/>
      <c r="O136" s="146"/>
    </row>
    <row r="137" spans="1:15" s="3" customFormat="1" ht="15.75" x14ac:dyDescent="0.2">
      <c r="A137" s="40" t="s">
        <v>326</v>
      </c>
      <c r="B137" s="274"/>
      <c r="C137" s="313"/>
      <c r="D137" s="167"/>
      <c r="E137" s="9"/>
      <c r="F137" s="274"/>
      <c r="G137" s="313"/>
      <c r="H137" s="430"/>
      <c r="I137" s="35"/>
      <c r="J137" s="312"/>
      <c r="K137" s="312"/>
      <c r="L137" s="426"/>
      <c r="M137" s="35"/>
      <c r="N137" s="146"/>
      <c r="O137" s="146"/>
    </row>
    <row r="138" spans="1:15" s="3" customFormat="1" x14ac:dyDescent="0.2">
      <c r="A138" s="166"/>
      <c r="B138" s="32"/>
      <c r="C138" s="32"/>
      <c r="D138" s="157"/>
      <c r="E138" s="157"/>
      <c r="F138" s="32"/>
      <c r="G138" s="32"/>
      <c r="H138" s="157"/>
      <c r="I138" s="157"/>
      <c r="J138" s="32"/>
      <c r="K138" s="32"/>
      <c r="L138" s="157"/>
      <c r="M138" s="157"/>
      <c r="N138" s="146"/>
      <c r="O138" s="146"/>
    </row>
    <row r="139" spans="1:15" x14ac:dyDescent="0.2">
      <c r="A139" s="166"/>
      <c r="B139" s="32"/>
      <c r="C139" s="32"/>
      <c r="D139" s="157"/>
      <c r="E139" s="157"/>
      <c r="F139" s="32"/>
      <c r="G139" s="32"/>
      <c r="H139" s="157"/>
      <c r="I139" s="157"/>
      <c r="J139" s="32"/>
      <c r="K139" s="32"/>
      <c r="L139" s="157"/>
      <c r="M139" s="157"/>
      <c r="N139" s="146"/>
    </row>
    <row r="140" spans="1:15" x14ac:dyDescent="0.2">
      <c r="A140" s="166"/>
      <c r="B140" s="32"/>
      <c r="C140" s="32"/>
      <c r="D140" s="157"/>
      <c r="E140" s="157"/>
      <c r="F140" s="32"/>
      <c r="G140" s="32"/>
      <c r="H140" s="157"/>
      <c r="I140" s="157"/>
      <c r="J140" s="32"/>
      <c r="K140" s="32"/>
      <c r="L140" s="157"/>
      <c r="M140" s="157"/>
      <c r="N140" s="146"/>
    </row>
    <row r="141" spans="1:15" x14ac:dyDescent="0.2">
      <c r="A141" s="144"/>
      <c r="B141" s="144"/>
      <c r="C141" s="144"/>
      <c r="D141" s="144"/>
      <c r="E141" s="144"/>
      <c r="F141" s="144"/>
      <c r="G141" s="144"/>
      <c r="H141" s="144"/>
      <c r="I141" s="144"/>
      <c r="J141" s="144"/>
      <c r="K141" s="144"/>
      <c r="L141" s="144"/>
      <c r="M141" s="144"/>
      <c r="N141" s="144"/>
    </row>
    <row r="142" spans="1:15" ht="15.75" x14ac:dyDescent="0.25">
      <c r="B142" s="140"/>
      <c r="C142" s="140"/>
      <c r="D142" s="140"/>
      <c r="E142" s="140"/>
      <c r="F142" s="140"/>
      <c r="G142" s="140"/>
      <c r="H142" s="140"/>
      <c r="I142" s="140"/>
      <c r="J142" s="140"/>
      <c r="K142" s="140"/>
      <c r="L142" s="140"/>
      <c r="M142" s="140"/>
      <c r="N142" s="140"/>
    </row>
    <row r="143" spans="1:15" ht="15.75" x14ac:dyDescent="0.25">
      <c r="B143" s="155"/>
      <c r="C143" s="155"/>
      <c r="D143" s="155"/>
      <c r="E143" s="155"/>
      <c r="F143" s="155"/>
      <c r="G143" s="155"/>
      <c r="H143" s="155"/>
      <c r="I143" s="155"/>
      <c r="J143" s="155"/>
      <c r="K143" s="155"/>
      <c r="L143" s="155"/>
      <c r="M143" s="155"/>
      <c r="N143" s="155"/>
      <c r="O143" s="152"/>
    </row>
    <row r="144" spans="1:15" ht="15.75" x14ac:dyDescent="0.25">
      <c r="B144" s="155"/>
      <c r="C144" s="155"/>
      <c r="D144" s="155"/>
      <c r="E144" s="155"/>
      <c r="F144" s="155"/>
      <c r="G144" s="155"/>
      <c r="H144" s="155"/>
      <c r="I144" s="155"/>
      <c r="J144" s="155"/>
      <c r="K144" s="155"/>
      <c r="L144" s="155"/>
      <c r="M144" s="155"/>
      <c r="N144" s="155"/>
      <c r="O144" s="152"/>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726" priority="132">
      <formula>kvartal &lt; 4</formula>
    </cfRule>
  </conditionalFormatting>
  <conditionalFormatting sqref="B30">
    <cfRule type="expression" dxfId="725" priority="130">
      <formula>kvartal &lt; 4</formula>
    </cfRule>
  </conditionalFormatting>
  <conditionalFormatting sqref="B31">
    <cfRule type="expression" dxfId="724" priority="129">
      <formula>kvartal &lt; 4</formula>
    </cfRule>
  </conditionalFormatting>
  <conditionalFormatting sqref="B32:B33">
    <cfRule type="expression" dxfId="723" priority="128">
      <formula>kvartal &lt; 4</formula>
    </cfRule>
  </conditionalFormatting>
  <conditionalFormatting sqref="C30">
    <cfRule type="expression" dxfId="722" priority="127">
      <formula>kvartal &lt; 4</formula>
    </cfRule>
  </conditionalFormatting>
  <conditionalFormatting sqref="C31">
    <cfRule type="expression" dxfId="721" priority="126">
      <formula>kvartal &lt; 4</formula>
    </cfRule>
  </conditionalFormatting>
  <conditionalFormatting sqref="C32:C33">
    <cfRule type="expression" dxfId="720" priority="125">
      <formula>kvartal &lt; 4</formula>
    </cfRule>
  </conditionalFormatting>
  <conditionalFormatting sqref="B23:C26">
    <cfRule type="expression" dxfId="719" priority="124">
      <formula>kvartal &lt; 4</formula>
    </cfRule>
  </conditionalFormatting>
  <conditionalFormatting sqref="F23:G26">
    <cfRule type="expression" dxfId="718" priority="120">
      <formula>kvartal &lt; 4</formula>
    </cfRule>
  </conditionalFormatting>
  <conditionalFormatting sqref="F30">
    <cfRule type="expression" dxfId="717" priority="113">
      <formula>kvartal &lt; 4</formula>
    </cfRule>
  </conditionalFormatting>
  <conditionalFormatting sqref="F31">
    <cfRule type="expression" dxfId="716" priority="112">
      <formula>kvartal &lt; 4</formula>
    </cfRule>
  </conditionalFormatting>
  <conditionalFormatting sqref="F32:F33">
    <cfRule type="expression" dxfId="715" priority="111">
      <formula>kvartal &lt; 4</formula>
    </cfRule>
  </conditionalFormatting>
  <conditionalFormatting sqref="G30">
    <cfRule type="expression" dxfId="714" priority="110">
      <formula>kvartal &lt; 4</formula>
    </cfRule>
  </conditionalFormatting>
  <conditionalFormatting sqref="G31">
    <cfRule type="expression" dxfId="713" priority="109">
      <formula>kvartal &lt; 4</formula>
    </cfRule>
  </conditionalFormatting>
  <conditionalFormatting sqref="G32:G33">
    <cfRule type="expression" dxfId="712" priority="108">
      <formula>kvartal &lt; 4</formula>
    </cfRule>
  </conditionalFormatting>
  <conditionalFormatting sqref="B27">
    <cfRule type="expression" dxfId="711" priority="107">
      <formula>kvartal &lt; 4</formula>
    </cfRule>
  </conditionalFormatting>
  <conditionalFormatting sqref="C27">
    <cfRule type="expression" dxfId="710" priority="106">
      <formula>kvartal &lt; 4</formula>
    </cfRule>
  </conditionalFormatting>
  <conditionalFormatting sqref="F27">
    <cfRule type="expression" dxfId="709" priority="105">
      <formula>kvartal &lt; 4</formula>
    </cfRule>
  </conditionalFormatting>
  <conditionalFormatting sqref="G27">
    <cfRule type="expression" dxfId="708" priority="104">
      <formula>kvartal &lt; 4</formula>
    </cfRule>
  </conditionalFormatting>
  <conditionalFormatting sqref="B69">
    <cfRule type="expression" dxfId="707" priority="100">
      <formula>kvartal &lt; 4</formula>
    </cfRule>
  </conditionalFormatting>
  <conditionalFormatting sqref="C69">
    <cfRule type="expression" dxfId="706" priority="99">
      <formula>kvartal &lt; 4</formula>
    </cfRule>
  </conditionalFormatting>
  <conditionalFormatting sqref="B72">
    <cfRule type="expression" dxfId="705" priority="98">
      <formula>kvartal &lt; 4</formula>
    </cfRule>
  </conditionalFormatting>
  <conditionalFormatting sqref="C72">
    <cfRule type="expression" dxfId="704" priority="97">
      <formula>kvartal &lt; 4</formula>
    </cfRule>
  </conditionalFormatting>
  <conditionalFormatting sqref="B80">
    <cfRule type="expression" dxfId="703" priority="96">
      <formula>kvartal &lt; 4</formula>
    </cfRule>
  </conditionalFormatting>
  <conditionalFormatting sqref="C80">
    <cfRule type="expression" dxfId="702" priority="95">
      <formula>kvartal &lt; 4</formula>
    </cfRule>
  </conditionalFormatting>
  <conditionalFormatting sqref="B83">
    <cfRule type="expression" dxfId="701" priority="94">
      <formula>kvartal &lt; 4</formula>
    </cfRule>
  </conditionalFormatting>
  <conditionalFormatting sqref="C83">
    <cfRule type="expression" dxfId="700" priority="93">
      <formula>kvartal &lt; 4</formula>
    </cfRule>
  </conditionalFormatting>
  <conditionalFormatting sqref="B90">
    <cfRule type="expression" dxfId="699" priority="84">
      <formula>kvartal &lt; 4</formula>
    </cfRule>
  </conditionalFormatting>
  <conditionalFormatting sqref="C90">
    <cfRule type="expression" dxfId="698" priority="83">
      <formula>kvartal &lt; 4</formula>
    </cfRule>
  </conditionalFormatting>
  <conditionalFormatting sqref="B93">
    <cfRule type="expression" dxfId="697" priority="82">
      <formula>kvartal &lt; 4</formula>
    </cfRule>
  </conditionalFormatting>
  <conditionalFormatting sqref="C93">
    <cfRule type="expression" dxfId="696" priority="81">
      <formula>kvartal &lt; 4</formula>
    </cfRule>
  </conditionalFormatting>
  <conditionalFormatting sqref="B101">
    <cfRule type="expression" dxfId="695" priority="80">
      <formula>kvartal &lt; 4</formula>
    </cfRule>
  </conditionalFormatting>
  <conditionalFormatting sqref="C101">
    <cfRule type="expression" dxfId="694" priority="79">
      <formula>kvartal &lt; 4</formula>
    </cfRule>
  </conditionalFormatting>
  <conditionalFormatting sqref="B104">
    <cfRule type="expression" dxfId="693" priority="78">
      <formula>kvartal &lt; 4</formula>
    </cfRule>
  </conditionalFormatting>
  <conditionalFormatting sqref="C104">
    <cfRule type="expression" dxfId="692" priority="77">
      <formula>kvartal &lt; 4</formula>
    </cfRule>
  </conditionalFormatting>
  <conditionalFormatting sqref="B115">
    <cfRule type="expression" dxfId="691" priority="76">
      <formula>kvartal &lt; 4</formula>
    </cfRule>
  </conditionalFormatting>
  <conditionalFormatting sqref="C115">
    <cfRule type="expression" dxfId="690" priority="75">
      <formula>kvartal &lt; 4</formula>
    </cfRule>
  </conditionalFormatting>
  <conditionalFormatting sqref="B123">
    <cfRule type="expression" dxfId="689" priority="74">
      <formula>kvartal &lt; 4</formula>
    </cfRule>
  </conditionalFormatting>
  <conditionalFormatting sqref="C123">
    <cfRule type="expression" dxfId="688" priority="73">
      <formula>kvartal &lt; 4</formula>
    </cfRule>
  </conditionalFormatting>
  <conditionalFormatting sqref="F70">
    <cfRule type="expression" dxfId="687" priority="72">
      <formula>kvartal &lt; 4</formula>
    </cfRule>
  </conditionalFormatting>
  <conditionalFormatting sqref="G70">
    <cfRule type="expression" dxfId="686" priority="71">
      <formula>kvartal &lt; 4</formula>
    </cfRule>
  </conditionalFormatting>
  <conditionalFormatting sqref="F71:G71">
    <cfRule type="expression" dxfId="685" priority="70">
      <formula>kvartal &lt; 4</formula>
    </cfRule>
  </conditionalFormatting>
  <conditionalFormatting sqref="F73:G74">
    <cfRule type="expression" dxfId="684" priority="69">
      <formula>kvartal &lt; 4</formula>
    </cfRule>
  </conditionalFormatting>
  <conditionalFormatting sqref="F81:G82">
    <cfRule type="expression" dxfId="683" priority="68">
      <formula>kvartal &lt; 4</formula>
    </cfRule>
  </conditionalFormatting>
  <conditionalFormatting sqref="F84:G85">
    <cfRule type="expression" dxfId="682" priority="67">
      <formula>kvartal &lt; 4</formula>
    </cfRule>
  </conditionalFormatting>
  <conditionalFormatting sqref="F91:G92">
    <cfRule type="expression" dxfId="681" priority="62">
      <formula>kvartal &lt; 4</formula>
    </cfRule>
  </conditionalFormatting>
  <conditionalFormatting sqref="F94:G95">
    <cfRule type="expression" dxfId="680" priority="61">
      <formula>kvartal &lt; 4</formula>
    </cfRule>
  </conditionalFormatting>
  <conditionalFormatting sqref="F102:G103">
    <cfRule type="expression" dxfId="679" priority="60">
      <formula>kvartal &lt; 4</formula>
    </cfRule>
  </conditionalFormatting>
  <conditionalFormatting sqref="F105:G106">
    <cfRule type="expression" dxfId="678" priority="59">
      <formula>kvartal &lt; 4</formula>
    </cfRule>
  </conditionalFormatting>
  <conditionalFormatting sqref="F115">
    <cfRule type="expression" dxfId="677" priority="58">
      <formula>kvartal &lt; 4</formula>
    </cfRule>
  </conditionalFormatting>
  <conditionalFormatting sqref="G115">
    <cfRule type="expression" dxfId="676" priority="57">
      <formula>kvartal &lt; 4</formula>
    </cfRule>
  </conditionalFormatting>
  <conditionalFormatting sqref="F123:G123">
    <cfRule type="expression" dxfId="675" priority="56">
      <formula>kvartal &lt; 4</formula>
    </cfRule>
  </conditionalFormatting>
  <conditionalFormatting sqref="F69:G69">
    <cfRule type="expression" dxfId="674" priority="55">
      <formula>kvartal &lt; 4</formula>
    </cfRule>
  </conditionalFormatting>
  <conditionalFormatting sqref="F72:G72">
    <cfRule type="expression" dxfId="673" priority="54">
      <formula>kvartal &lt; 4</formula>
    </cfRule>
  </conditionalFormatting>
  <conditionalFormatting sqref="F80:G80">
    <cfRule type="expression" dxfId="672" priority="53">
      <formula>kvartal &lt; 4</formula>
    </cfRule>
  </conditionalFormatting>
  <conditionalFormatting sqref="F83:G83">
    <cfRule type="expression" dxfId="671" priority="52">
      <formula>kvartal &lt; 4</formula>
    </cfRule>
  </conditionalFormatting>
  <conditionalFormatting sqref="F90:G90">
    <cfRule type="expression" dxfId="670" priority="46">
      <formula>kvartal &lt; 4</formula>
    </cfRule>
  </conditionalFormatting>
  <conditionalFormatting sqref="F93">
    <cfRule type="expression" dxfId="669" priority="45">
      <formula>kvartal &lt; 4</formula>
    </cfRule>
  </conditionalFormatting>
  <conditionalFormatting sqref="G93">
    <cfRule type="expression" dxfId="668" priority="44">
      <formula>kvartal &lt; 4</formula>
    </cfRule>
  </conditionalFormatting>
  <conditionalFormatting sqref="F101">
    <cfRule type="expression" dxfId="667" priority="43">
      <formula>kvartal &lt; 4</formula>
    </cfRule>
  </conditionalFormatting>
  <conditionalFormatting sqref="G101">
    <cfRule type="expression" dxfId="666" priority="42">
      <formula>kvartal &lt; 4</formula>
    </cfRule>
  </conditionalFormatting>
  <conditionalFormatting sqref="G104">
    <cfRule type="expression" dxfId="665" priority="41">
      <formula>kvartal &lt; 4</formula>
    </cfRule>
  </conditionalFormatting>
  <conditionalFormatting sqref="F104">
    <cfRule type="expression" dxfId="664" priority="40">
      <formula>kvartal &lt; 4</formula>
    </cfRule>
  </conditionalFormatting>
  <conditionalFormatting sqref="J80:K82">
    <cfRule type="expression" dxfId="663" priority="37">
      <formula>kvartal &lt; 4</formula>
    </cfRule>
  </conditionalFormatting>
  <conditionalFormatting sqref="J101:K103">
    <cfRule type="expression" dxfId="662" priority="33">
      <formula>kvartal &lt; 4</formula>
    </cfRule>
  </conditionalFormatting>
  <conditionalFormatting sqref="J123:K123">
    <cfRule type="expression" dxfId="661" priority="31">
      <formula>kvartal &lt; 4</formula>
    </cfRule>
  </conditionalFormatting>
  <conditionalFormatting sqref="A23:A26">
    <cfRule type="expression" dxfId="660" priority="15">
      <formula>kvartal &lt; 4</formula>
    </cfRule>
  </conditionalFormatting>
  <conditionalFormatting sqref="A30:A33">
    <cfRule type="expression" dxfId="659" priority="13">
      <formula>kvartal &lt; 4</formula>
    </cfRule>
  </conditionalFormatting>
  <conditionalFormatting sqref="A50:A52">
    <cfRule type="expression" dxfId="658" priority="12">
      <formula>kvartal &lt; 4</formula>
    </cfRule>
  </conditionalFormatting>
  <conditionalFormatting sqref="A69:A74">
    <cfRule type="expression" dxfId="657" priority="10">
      <formula>kvartal &lt; 4</formula>
    </cfRule>
  </conditionalFormatting>
  <conditionalFormatting sqref="A80:A85">
    <cfRule type="expression" dxfId="656" priority="9">
      <formula>kvartal &lt; 4</formula>
    </cfRule>
  </conditionalFormatting>
  <conditionalFormatting sqref="A90:A95">
    <cfRule type="expression" dxfId="655" priority="6">
      <formula>kvartal &lt; 4</formula>
    </cfRule>
  </conditionalFormatting>
  <conditionalFormatting sqref="A101:A106">
    <cfRule type="expression" dxfId="654" priority="5">
      <formula>kvartal &lt; 4</formula>
    </cfRule>
  </conditionalFormatting>
  <conditionalFormatting sqref="A115">
    <cfRule type="expression" dxfId="653" priority="4">
      <formula>kvartal &lt; 4</formula>
    </cfRule>
  </conditionalFormatting>
  <conditionalFormatting sqref="A123">
    <cfRule type="expression" dxfId="652" priority="3">
      <formula>kvartal &lt; 4</formula>
    </cfRule>
  </conditionalFormatting>
  <conditionalFormatting sqref="A27">
    <cfRule type="expression" dxfId="651" priority="2">
      <formula>kvartal &lt; 4</formula>
    </cfRule>
  </conditionalFormatting>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6"/>
  <dimension ref="A1:O144"/>
  <sheetViews>
    <sheetView showGridLines="0" zoomScale="90" zoomScaleNormal="90" workbookViewId="0"/>
  </sheetViews>
  <sheetFormatPr baseColWidth="10" defaultColWidth="11.42578125" defaultRowHeight="12.75" x14ac:dyDescent="0.2"/>
  <cols>
    <col min="1" max="1" width="41.5703125" style="147" customWidth="1"/>
    <col min="2" max="2" width="10.85546875" style="147" customWidth="1"/>
    <col min="3" max="3" width="11" style="147" customWidth="1"/>
    <col min="4" max="5" width="8.7109375" style="147" customWidth="1"/>
    <col min="6" max="7" width="10.85546875" style="147" customWidth="1"/>
    <col min="8" max="9" width="8.7109375" style="147" customWidth="1"/>
    <col min="10" max="11" width="10.85546875" style="147" customWidth="1"/>
    <col min="12" max="13" width="8.7109375" style="147" customWidth="1"/>
    <col min="14" max="14" width="11.42578125" style="147"/>
    <col min="15" max="15" width="3" style="146" bestFit="1" customWidth="1"/>
    <col min="16" max="16384" width="11.42578125" style="1"/>
  </cols>
  <sheetData>
    <row r="1" spans="1:15" x14ac:dyDescent="0.2">
      <c r="A1" s="170" t="s">
        <v>152</v>
      </c>
      <c r="B1" s="932"/>
      <c r="C1" s="247" t="s">
        <v>107</v>
      </c>
      <c r="D1" s="25"/>
      <c r="E1" s="25"/>
      <c r="F1" s="25"/>
      <c r="G1" s="25"/>
      <c r="H1" s="25"/>
      <c r="I1" s="25"/>
      <c r="J1" s="25"/>
      <c r="K1" s="25"/>
      <c r="L1" s="25"/>
      <c r="M1" s="25"/>
      <c r="O1" s="423"/>
    </row>
    <row r="2" spans="1:15" ht="15.75" x14ac:dyDescent="0.25">
      <c r="A2" s="163" t="s">
        <v>31</v>
      </c>
      <c r="B2" s="965"/>
      <c r="C2" s="965"/>
      <c r="D2" s="965"/>
      <c r="E2" s="297"/>
      <c r="F2" s="965"/>
      <c r="G2" s="965"/>
      <c r="H2" s="965"/>
      <c r="I2" s="297"/>
      <c r="J2" s="965"/>
      <c r="K2" s="965"/>
      <c r="L2" s="965"/>
      <c r="M2" s="297"/>
    </row>
    <row r="3" spans="1:15" ht="15.75" x14ac:dyDescent="0.25">
      <c r="A3" s="161"/>
      <c r="B3" s="297"/>
      <c r="C3" s="297"/>
      <c r="D3" s="297"/>
      <c r="E3" s="297"/>
      <c r="F3" s="297"/>
      <c r="G3" s="297"/>
      <c r="H3" s="297"/>
      <c r="I3" s="297"/>
      <c r="J3" s="297"/>
      <c r="K3" s="297"/>
      <c r="L3" s="297"/>
      <c r="M3" s="297"/>
    </row>
    <row r="4" spans="1:15" x14ac:dyDescent="0.2">
      <c r="A4" s="142"/>
      <c r="B4" s="960" t="s">
        <v>0</v>
      </c>
      <c r="C4" s="961"/>
      <c r="D4" s="961"/>
      <c r="E4" s="299"/>
      <c r="F4" s="960" t="s">
        <v>1</v>
      </c>
      <c r="G4" s="961"/>
      <c r="H4" s="961"/>
      <c r="I4" s="302"/>
      <c r="J4" s="960" t="s">
        <v>2</v>
      </c>
      <c r="K4" s="961"/>
      <c r="L4" s="961"/>
      <c r="M4" s="302"/>
    </row>
    <row r="5" spans="1:15" x14ac:dyDescent="0.2">
      <c r="A5" s="156"/>
      <c r="B5" s="150" t="s">
        <v>504</v>
      </c>
      <c r="C5" s="150" t="s">
        <v>505</v>
      </c>
      <c r="D5" s="243" t="s">
        <v>3</v>
      </c>
      <c r="E5" s="303" t="s">
        <v>32</v>
      </c>
      <c r="F5" s="150" t="s">
        <v>504</v>
      </c>
      <c r="G5" s="150" t="s">
        <v>505</v>
      </c>
      <c r="H5" s="243" t="s">
        <v>3</v>
      </c>
      <c r="I5" s="160" t="s">
        <v>32</v>
      </c>
      <c r="J5" s="150" t="s">
        <v>504</v>
      </c>
      <c r="K5" s="150" t="s">
        <v>505</v>
      </c>
      <c r="L5" s="243" t="s">
        <v>3</v>
      </c>
      <c r="M5" s="160" t="s">
        <v>32</v>
      </c>
      <c r="O5" s="931"/>
    </row>
    <row r="6" spans="1:15" x14ac:dyDescent="0.2">
      <c r="A6" s="933"/>
      <c r="B6" s="154"/>
      <c r="C6" s="154"/>
      <c r="D6" s="245" t="s">
        <v>4</v>
      </c>
      <c r="E6" s="154" t="s">
        <v>33</v>
      </c>
      <c r="F6" s="159"/>
      <c r="G6" s="159"/>
      <c r="H6" s="243" t="s">
        <v>4</v>
      </c>
      <c r="I6" s="154" t="s">
        <v>33</v>
      </c>
      <c r="J6" s="159"/>
      <c r="K6" s="159"/>
      <c r="L6" s="243" t="s">
        <v>4</v>
      </c>
      <c r="M6" s="154" t="s">
        <v>33</v>
      </c>
    </row>
    <row r="7" spans="1:15" ht="15.75" x14ac:dyDescent="0.2">
      <c r="A7" s="14" t="s">
        <v>26</v>
      </c>
      <c r="B7" s="304"/>
      <c r="C7" s="305"/>
      <c r="D7" s="348"/>
      <c r="E7" s="11"/>
      <c r="F7" s="304"/>
      <c r="G7" s="305"/>
      <c r="H7" s="348"/>
      <c r="I7" s="158"/>
      <c r="J7" s="306"/>
      <c r="K7" s="307"/>
      <c r="L7" s="424"/>
      <c r="M7" s="11"/>
    </row>
    <row r="8" spans="1:15" ht="15.75" x14ac:dyDescent="0.2">
      <c r="A8" s="20" t="s">
        <v>28</v>
      </c>
      <c r="B8" s="279"/>
      <c r="C8" s="280"/>
      <c r="D8" s="164"/>
      <c r="E8" s="26"/>
      <c r="F8" s="283"/>
      <c r="G8" s="284"/>
      <c r="H8" s="164"/>
      <c r="I8" s="174"/>
      <c r="J8" s="232"/>
      <c r="K8" s="285"/>
      <c r="L8" s="164"/>
      <c r="M8" s="26"/>
    </row>
    <row r="9" spans="1:15" ht="15.75" x14ac:dyDescent="0.2">
      <c r="A9" s="20" t="s">
        <v>27</v>
      </c>
      <c r="B9" s="279"/>
      <c r="C9" s="280"/>
      <c r="D9" s="164"/>
      <c r="E9" s="26"/>
      <c r="F9" s="283"/>
      <c r="G9" s="284"/>
      <c r="H9" s="164"/>
      <c r="I9" s="174"/>
      <c r="J9" s="232"/>
      <c r="K9" s="285"/>
      <c r="L9" s="164"/>
      <c r="M9" s="26"/>
    </row>
    <row r="10" spans="1:15" ht="15.75" x14ac:dyDescent="0.2">
      <c r="A10" s="13" t="s">
        <v>25</v>
      </c>
      <c r="B10" s="308"/>
      <c r="C10" s="309"/>
      <c r="D10" s="169"/>
      <c r="E10" s="11"/>
      <c r="F10" s="308"/>
      <c r="G10" s="309"/>
      <c r="H10" s="169"/>
      <c r="I10" s="158"/>
      <c r="J10" s="306"/>
      <c r="K10" s="307"/>
      <c r="L10" s="425"/>
      <c r="M10" s="11"/>
    </row>
    <row r="11" spans="1:15" s="42" customFormat="1" ht="15.75" x14ac:dyDescent="0.2">
      <c r="A11" s="13" t="s">
        <v>24</v>
      </c>
      <c r="B11" s="308"/>
      <c r="C11" s="309"/>
      <c r="D11" s="169"/>
      <c r="E11" s="11"/>
      <c r="F11" s="308"/>
      <c r="G11" s="309"/>
      <c r="H11" s="169"/>
      <c r="I11" s="158"/>
      <c r="J11" s="306"/>
      <c r="K11" s="307"/>
      <c r="L11" s="425"/>
      <c r="M11" s="11"/>
      <c r="N11" s="141"/>
      <c r="O11" s="146"/>
    </row>
    <row r="12" spans="1:15" s="42" customFormat="1" ht="15.75" x14ac:dyDescent="0.2">
      <c r="A12" s="40" t="s">
        <v>23</v>
      </c>
      <c r="B12" s="310"/>
      <c r="C12" s="311"/>
      <c r="D12" s="167"/>
      <c r="E12" s="35"/>
      <c r="F12" s="310"/>
      <c r="G12" s="311"/>
      <c r="H12" s="167"/>
      <c r="I12" s="167"/>
      <c r="J12" s="312"/>
      <c r="K12" s="313"/>
      <c r="L12" s="426"/>
      <c r="M12" s="35"/>
      <c r="N12" s="141"/>
      <c r="O12" s="146"/>
    </row>
    <row r="13" spans="1:15" s="42" customFormat="1" x14ac:dyDescent="0.2">
      <c r="A13" s="166"/>
      <c r="B13" s="143"/>
      <c r="C13" s="32"/>
      <c r="D13" s="157"/>
      <c r="E13" s="157"/>
      <c r="F13" s="143"/>
      <c r="G13" s="32"/>
      <c r="H13" s="157"/>
      <c r="I13" s="157"/>
      <c r="J13" s="47"/>
      <c r="K13" s="47"/>
      <c r="L13" s="157"/>
      <c r="M13" s="157"/>
      <c r="N13" s="141"/>
      <c r="O13" s="423"/>
    </row>
    <row r="14" spans="1:15" x14ac:dyDescent="0.2">
      <c r="A14" s="151" t="s">
        <v>296</v>
      </c>
      <c r="B14" s="25"/>
    </row>
    <row r="15" spans="1:15" x14ac:dyDescent="0.2">
      <c r="F15" s="144"/>
      <c r="G15" s="144"/>
      <c r="H15" s="144"/>
      <c r="I15" s="144"/>
      <c r="J15" s="144"/>
      <c r="K15" s="144"/>
      <c r="L15" s="144"/>
      <c r="M15" s="144"/>
    </row>
    <row r="16" spans="1:15" s="3" customFormat="1" ht="15.75" x14ac:dyDescent="0.25">
      <c r="A16" s="162"/>
      <c r="B16" s="146"/>
      <c r="C16" s="152"/>
      <c r="D16" s="152"/>
      <c r="E16" s="152"/>
      <c r="F16" s="152"/>
      <c r="G16" s="152"/>
      <c r="H16" s="152"/>
      <c r="I16" s="152"/>
      <c r="J16" s="152"/>
      <c r="K16" s="152"/>
      <c r="L16" s="152"/>
      <c r="M16" s="152"/>
      <c r="N16" s="146"/>
      <c r="O16" s="146"/>
    </row>
    <row r="17" spans="1:15" ht="15.75" x14ac:dyDescent="0.25">
      <c r="A17" s="145" t="s">
        <v>293</v>
      </c>
      <c r="B17" s="155"/>
      <c r="C17" s="155"/>
      <c r="D17" s="149"/>
      <c r="E17" s="149"/>
      <c r="F17" s="155"/>
      <c r="G17" s="155"/>
      <c r="H17" s="155"/>
      <c r="I17" s="155"/>
      <c r="J17" s="155"/>
      <c r="K17" s="155"/>
      <c r="L17" s="155"/>
      <c r="M17" s="155"/>
    </row>
    <row r="18" spans="1:15" ht="15.75" x14ac:dyDescent="0.25">
      <c r="B18" s="963"/>
      <c r="C18" s="963"/>
      <c r="D18" s="963"/>
      <c r="E18" s="297"/>
      <c r="F18" s="963"/>
      <c r="G18" s="963"/>
      <c r="H18" s="963"/>
      <c r="I18" s="297"/>
      <c r="J18" s="963"/>
      <c r="K18" s="963"/>
      <c r="L18" s="963"/>
      <c r="M18" s="297"/>
    </row>
    <row r="19" spans="1:15" x14ac:dyDescent="0.2">
      <c r="A19" s="142"/>
      <c r="B19" s="960" t="s">
        <v>0</v>
      </c>
      <c r="C19" s="961"/>
      <c r="D19" s="961"/>
      <c r="E19" s="299"/>
      <c r="F19" s="960" t="s">
        <v>1</v>
      </c>
      <c r="G19" s="961"/>
      <c r="H19" s="961"/>
      <c r="I19" s="302"/>
      <c r="J19" s="960" t="s">
        <v>2</v>
      </c>
      <c r="K19" s="961"/>
      <c r="L19" s="961"/>
      <c r="M19" s="302"/>
    </row>
    <row r="20" spans="1:15" x14ac:dyDescent="0.2">
      <c r="A20" s="139" t="s">
        <v>5</v>
      </c>
      <c r="B20" s="240" t="s">
        <v>504</v>
      </c>
      <c r="C20" s="240" t="s">
        <v>505</v>
      </c>
      <c r="D20" s="160" t="s">
        <v>3</v>
      </c>
      <c r="E20" s="303" t="s">
        <v>32</v>
      </c>
      <c r="F20" s="240" t="s">
        <v>504</v>
      </c>
      <c r="G20" s="240" t="s">
        <v>505</v>
      </c>
      <c r="H20" s="160" t="s">
        <v>3</v>
      </c>
      <c r="I20" s="160" t="s">
        <v>32</v>
      </c>
      <c r="J20" s="240" t="s">
        <v>504</v>
      </c>
      <c r="K20" s="240" t="s">
        <v>505</v>
      </c>
      <c r="L20" s="160" t="s">
        <v>3</v>
      </c>
      <c r="M20" s="160" t="s">
        <v>32</v>
      </c>
    </row>
    <row r="21" spans="1:15" x14ac:dyDescent="0.2">
      <c r="A21" s="934"/>
      <c r="B21" s="154"/>
      <c r="C21" s="154"/>
      <c r="D21" s="245" t="s">
        <v>4</v>
      </c>
      <c r="E21" s="154" t="s">
        <v>33</v>
      </c>
      <c r="F21" s="159"/>
      <c r="G21" s="159"/>
      <c r="H21" s="243" t="s">
        <v>4</v>
      </c>
      <c r="I21" s="154" t="s">
        <v>33</v>
      </c>
      <c r="J21" s="159"/>
      <c r="K21" s="159"/>
      <c r="L21" s="154" t="s">
        <v>4</v>
      </c>
      <c r="M21" s="154" t="s">
        <v>33</v>
      </c>
    </row>
    <row r="22" spans="1:15" ht="15.75" x14ac:dyDescent="0.2">
      <c r="A22" s="14" t="s">
        <v>26</v>
      </c>
      <c r="B22" s="314"/>
      <c r="C22" s="314"/>
      <c r="D22" s="348"/>
      <c r="E22" s="11"/>
      <c r="F22" s="314"/>
      <c r="G22" s="314"/>
      <c r="H22" s="348"/>
      <c r="I22" s="11"/>
      <c r="J22" s="314"/>
      <c r="K22" s="314"/>
      <c r="L22" s="424"/>
      <c r="M22" s="23"/>
    </row>
    <row r="23" spans="1:15" ht="15.75" x14ac:dyDescent="0.2">
      <c r="A23" s="294" t="s">
        <v>305</v>
      </c>
      <c r="B23" s="288"/>
      <c r="C23" s="288"/>
      <c r="D23" s="164"/>
      <c r="E23" s="414"/>
      <c r="F23" s="288"/>
      <c r="G23" s="288"/>
      <c r="H23" s="164"/>
      <c r="I23" s="414"/>
      <c r="J23" s="288"/>
      <c r="K23" s="288"/>
      <c r="L23" s="164"/>
      <c r="M23" s="22"/>
    </row>
    <row r="24" spans="1:15" ht="15.75" x14ac:dyDescent="0.2">
      <c r="A24" s="294" t="s">
        <v>306</v>
      </c>
      <c r="B24" s="288"/>
      <c r="C24" s="288"/>
      <c r="D24" s="164"/>
      <c r="E24" s="414"/>
      <c r="F24" s="288"/>
      <c r="G24" s="288"/>
      <c r="H24" s="164"/>
      <c r="I24" s="414"/>
      <c r="J24" s="288"/>
      <c r="K24" s="288"/>
      <c r="L24" s="164"/>
      <c r="M24" s="22"/>
    </row>
    <row r="25" spans="1:15" ht="15.75" x14ac:dyDescent="0.2">
      <c r="A25" s="294" t="s">
        <v>406</v>
      </c>
      <c r="B25" s="288"/>
      <c r="C25" s="288"/>
      <c r="D25" s="164"/>
      <c r="E25" s="414"/>
      <c r="F25" s="288"/>
      <c r="G25" s="288"/>
      <c r="H25" s="164"/>
      <c r="I25" s="414"/>
      <c r="J25" s="288"/>
      <c r="K25" s="288"/>
      <c r="L25" s="164"/>
      <c r="M25" s="22"/>
    </row>
    <row r="26" spans="1:15" ht="15.75" x14ac:dyDescent="0.2">
      <c r="A26" s="294" t="s">
        <v>307</v>
      </c>
      <c r="B26" s="288"/>
      <c r="C26" s="288"/>
      <c r="D26" s="164"/>
      <c r="E26" s="414"/>
      <c r="F26" s="288"/>
      <c r="G26" s="288"/>
      <c r="H26" s="164"/>
      <c r="I26" s="414"/>
      <c r="J26" s="288"/>
      <c r="K26" s="288"/>
      <c r="L26" s="164"/>
      <c r="M26" s="22"/>
    </row>
    <row r="27" spans="1:15" x14ac:dyDescent="0.2">
      <c r="A27" s="294" t="s">
        <v>11</v>
      </c>
      <c r="B27" s="288"/>
      <c r="C27" s="288"/>
      <c r="D27" s="164"/>
      <c r="E27" s="414"/>
      <c r="F27" s="288"/>
      <c r="G27" s="288"/>
      <c r="H27" s="164"/>
      <c r="I27" s="414"/>
      <c r="J27" s="288"/>
      <c r="K27" s="288"/>
      <c r="L27" s="164"/>
      <c r="M27" s="22"/>
    </row>
    <row r="28" spans="1:15" ht="15.75" x14ac:dyDescent="0.2">
      <c r="A28" s="48" t="s">
        <v>297</v>
      </c>
      <c r="B28" s="43"/>
      <c r="C28" s="285"/>
      <c r="D28" s="164"/>
      <c r="E28" s="26"/>
      <c r="F28" s="232"/>
      <c r="G28" s="285"/>
      <c r="H28" s="164"/>
      <c r="I28" s="26"/>
      <c r="J28" s="43"/>
      <c r="K28" s="43"/>
      <c r="L28" s="253"/>
      <c r="M28" s="22"/>
    </row>
    <row r="29" spans="1:15" s="3" customFormat="1" ht="15.75" x14ac:dyDescent="0.2">
      <c r="A29" s="13" t="s">
        <v>25</v>
      </c>
      <c r="B29" s="234"/>
      <c r="C29" s="234"/>
      <c r="D29" s="169"/>
      <c r="E29" s="11"/>
      <c r="F29" s="234"/>
      <c r="G29" s="234"/>
      <c r="H29" s="169"/>
      <c r="I29" s="11"/>
      <c r="J29" s="234"/>
      <c r="K29" s="234"/>
      <c r="L29" s="425"/>
      <c r="M29" s="23"/>
      <c r="N29" s="146"/>
      <c r="O29" s="146"/>
    </row>
    <row r="30" spans="1:15" s="3" customFormat="1" ht="15.75" x14ac:dyDescent="0.2">
      <c r="A30" s="294" t="s">
        <v>305</v>
      </c>
      <c r="B30" s="288"/>
      <c r="C30" s="288"/>
      <c r="D30" s="164"/>
      <c r="E30" s="414"/>
      <c r="F30" s="288"/>
      <c r="G30" s="288"/>
      <c r="H30" s="164"/>
      <c r="I30" s="414"/>
      <c r="J30" s="288"/>
      <c r="K30" s="288"/>
      <c r="L30" s="164"/>
      <c r="M30" s="22"/>
      <c r="N30" s="146"/>
      <c r="O30" s="146"/>
    </row>
    <row r="31" spans="1:15" s="3" customFormat="1" ht="15.75" x14ac:dyDescent="0.2">
      <c r="A31" s="294" t="s">
        <v>306</v>
      </c>
      <c r="B31" s="288"/>
      <c r="C31" s="288"/>
      <c r="D31" s="164"/>
      <c r="E31" s="414"/>
      <c r="F31" s="288"/>
      <c r="G31" s="288"/>
      <c r="H31" s="164"/>
      <c r="I31" s="414"/>
      <c r="J31" s="288"/>
      <c r="K31" s="288"/>
      <c r="L31" s="164"/>
      <c r="M31" s="22"/>
      <c r="N31" s="146"/>
      <c r="O31" s="146"/>
    </row>
    <row r="32" spans="1:15" ht="15.75" x14ac:dyDescent="0.2">
      <c r="A32" s="294" t="s">
        <v>406</v>
      </c>
      <c r="B32" s="288"/>
      <c r="C32" s="288"/>
      <c r="D32" s="164"/>
      <c r="E32" s="414"/>
      <c r="F32" s="288"/>
      <c r="G32" s="288"/>
      <c r="H32" s="164"/>
      <c r="I32" s="414"/>
      <c r="J32" s="288"/>
      <c r="K32" s="288"/>
      <c r="L32" s="164"/>
      <c r="M32" s="22"/>
    </row>
    <row r="33" spans="1:15" ht="15.75" x14ac:dyDescent="0.2">
      <c r="A33" s="294" t="s">
        <v>307</v>
      </c>
      <c r="B33" s="288"/>
      <c r="C33" s="288"/>
      <c r="D33" s="164"/>
      <c r="E33" s="414"/>
      <c r="F33" s="288"/>
      <c r="G33" s="288"/>
      <c r="H33" s="164"/>
      <c r="I33" s="414"/>
      <c r="J33" s="288"/>
      <c r="K33" s="288"/>
      <c r="L33" s="164"/>
      <c r="M33" s="22"/>
    </row>
    <row r="34" spans="1:15" ht="15.75" x14ac:dyDescent="0.2">
      <c r="A34" s="13" t="s">
        <v>24</v>
      </c>
      <c r="B34" s="234"/>
      <c r="C34" s="307"/>
      <c r="D34" s="169"/>
      <c r="E34" s="11"/>
      <c r="F34" s="306"/>
      <c r="G34" s="307"/>
      <c r="H34" s="169"/>
      <c r="I34" s="11"/>
      <c r="J34" s="234"/>
      <c r="K34" s="234"/>
      <c r="L34" s="425"/>
      <c r="M34" s="23"/>
    </row>
    <row r="35" spans="1:15" ht="15.75" x14ac:dyDescent="0.2">
      <c r="A35" s="13" t="s">
        <v>23</v>
      </c>
      <c r="B35" s="234"/>
      <c r="C35" s="307"/>
      <c r="D35" s="169"/>
      <c r="E35" s="11"/>
      <c r="F35" s="306"/>
      <c r="G35" s="307"/>
      <c r="H35" s="169"/>
      <c r="I35" s="11"/>
      <c r="J35" s="234"/>
      <c r="K35" s="234"/>
      <c r="L35" s="425"/>
      <c r="M35" s="23"/>
    </row>
    <row r="36" spans="1:15" ht="15.75" x14ac:dyDescent="0.2">
      <c r="A36" s="12" t="s">
        <v>308</v>
      </c>
      <c r="B36" s="234"/>
      <c r="C36" s="307"/>
      <c r="D36" s="169"/>
      <c r="E36" s="11"/>
      <c r="F36" s="317"/>
      <c r="G36" s="318"/>
      <c r="H36" s="169"/>
      <c r="I36" s="431"/>
      <c r="J36" s="234"/>
      <c r="K36" s="234"/>
      <c r="L36" s="425"/>
      <c r="M36" s="23"/>
    </row>
    <row r="37" spans="1:15" ht="15.75" x14ac:dyDescent="0.2">
      <c r="A37" s="12" t="s">
        <v>309</v>
      </c>
      <c r="B37" s="234"/>
      <c r="C37" s="307"/>
      <c r="D37" s="169"/>
      <c r="E37" s="11"/>
      <c r="F37" s="317"/>
      <c r="G37" s="319"/>
      <c r="H37" s="169"/>
      <c r="I37" s="431"/>
      <c r="J37" s="234"/>
      <c r="K37" s="234"/>
      <c r="L37" s="425"/>
      <c r="M37" s="23"/>
    </row>
    <row r="38" spans="1:15" ht="15.75" x14ac:dyDescent="0.2">
      <c r="A38" s="12" t="s">
        <v>310</v>
      </c>
      <c r="B38" s="234"/>
      <c r="C38" s="307"/>
      <c r="D38" s="169"/>
      <c r="E38" s="11"/>
      <c r="F38" s="317"/>
      <c r="G38" s="318"/>
      <c r="H38" s="169"/>
      <c r="I38" s="431"/>
      <c r="J38" s="234"/>
      <c r="K38" s="234"/>
      <c r="L38" s="425"/>
      <c r="M38" s="23"/>
    </row>
    <row r="39" spans="1:15" ht="15.75" x14ac:dyDescent="0.2">
      <c r="A39" s="18" t="s">
        <v>311</v>
      </c>
      <c r="B39" s="274"/>
      <c r="C39" s="313"/>
      <c r="D39" s="167"/>
      <c r="E39" s="11"/>
      <c r="F39" s="320"/>
      <c r="G39" s="321"/>
      <c r="H39" s="167"/>
      <c r="I39" s="35"/>
      <c r="J39" s="234"/>
      <c r="K39" s="234"/>
      <c r="L39" s="426"/>
      <c r="M39" s="35"/>
    </row>
    <row r="40" spans="1:15" ht="15.75" x14ac:dyDescent="0.25">
      <c r="A40" s="46"/>
      <c r="B40" s="252"/>
      <c r="C40" s="252"/>
      <c r="D40" s="964"/>
      <c r="E40" s="964"/>
      <c r="F40" s="964"/>
      <c r="G40" s="964"/>
      <c r="H40" s="964"/>
      <c r="I40" s="964"/>
      <c r="J40" s="964"/>
      <c r="K40" s="964"/>
      <c r="L40" s="964"/>
      <c r="M40" s="300"/>
    </row>
    <row r="41" spans="1:15" x14ac:dyDescent="0.2">
      <c r="A41" s="153"/>
    </row>
    <row r="42" spans="1:15" ht="15.75" x14ac:dyDescent="0.25">
      <c r="A42" s="145" t="s">
        <v>294</v>
      </c>
      <c r="B42" s="965"/>
      <c r="C42" s="965"/>
      <c r="D42" s="965"/>
      <c r="E42" s="297"/>
      <c r="F42" s="966"/>
      <c r="G42" s="966"/>
      <c r="H42" s="966"/>
      <c r="I42" s="300"/>
      <c r="J42" s="966"/>
      <c r="K42" s="966"/>
      <c r="L42" s="966"/>
      <c r="M42" s="300"/>
    </row>
    <row r="43" spans="1:15" ht="15.75" x14ac:dyDescent="0.25">
      <c r="A43" s="161"/>
      <c r="B43" s="301"/>
      <c r="C43" s="301"/>
      <c r="D43" s="301"/>
      <c r="E43" s="301"/>
      <c r="F43" s="300"/>
      <c r="G43" s="300"/>
      <c r="H43" s="300"/>
      <c r="I43" s="300"/>
      <c r="J43" s="300"/>
      <c r="K43" s="300"/>
      <c r="L43" s="300"/>
      <c r="M43" s="300"/>
    </row>
    <row r="44" spans="1:15" ht="15.75" x14ac:dyDescent="0.25">
      <c r="A44" s="246"/>
      <c r="B44" s="960" t="s">
        <v>0</v>
      </c>
      <c r="C44" s="961"/>
      <c r="D44" s="961"/>
      <c r="E44" s="241"/>
      <c r="F44" s="300"/>
      <c r="G44" s="300"/>
      <c r="H44" s="300"/>
      <c r="I44" s="300"/>
      <c r="J44" s="300"/>
      <c r="K44" s="300"/>
      <c r="L44" s="300"/>
      <c r="M44" s="300"/>
    </row>
    <row r="45" spans="1:15" s="3" customFormat="1" x14ac:dyDescent="0.2">
      <c r="A45" s="139"/>
      <c r="B45" s="171" t="s">
        <v>504</v>
      </c>
      <c r="C45" s="171" t="s">
        <v>505</v>
      </c>
      <c r="D45" s="160" t="s">
        <v>3</v>
      </c>
      <c r="E45" s="160" t="s">
        <v>32</v>
      </c>
      <c r="F45" s="173"/>
      <c r="G45" s="173"/>
      <c r="H45" s="172"/>
      <c r="I45" s="172"/>
      <c r="J45" s="173"/>
      <c r="K45" s="173"/>
      <c r="L45" s="172"/>
      <c r="M45" s="172"/>
      <c r="N45" s="146"/>
      <c r="O45" s="146"/>
    </row>
    <row r="46" spans="1:15" s="3" customFormat="1" x14ac:dyDescent="0.2">
      <c r="A46" s="934"/>
      <c r="B46" s="242"/>
      <c r="C46" s="242"/>
      <c r="D46" s="243" t="s">
        <v>4</v>
      </c>
      <c r="E46" s="154" t="s">
        <v>33</v>
      </c>
      <c r="F46" s="172"/>
      <c r="G46" s="172"/>
      <c r="H46" s="172"/>
      <c r="I46" s="172"/>
      <c r="J46" s="172"/>
      <c r="K46" s="172"/>
      <c r="L46" s="172"/>
      <c r="M46" s="172"/>
      <c r="N46" s="146"/>
      <c r="O46" s="146"/>
    </row>
    <row r="47" spans="1:15" s="3" customFormat="1" ht="15.75" x14ac:dyDescent="0.2">
      <c r="A47" s="14" t="s">
        <v>26</v>
      </c>
      <c r="B47" s="308">
        <f>SUM(B48:B49)</f>
        <v>0</v>
      </c>
      <c r="C47" s="309">
        <f>SUM(C48:C49)</f>
        <v>32800</v>
      </c>
      <c r="D47" s="424" t="str">
        <f t="shared" ref="D47:D48" si="0">IF(B47=0, "    ---- ", IF(ABS(ROUND(100/B47*C47-100,1))&lt;999,ROUND(100/B47*C47-100,1),IF(ROUND(100/B47*C47-100,1)&gt;999,999,-999)))</f>
        <v xml:space="preserve">    ---- </v>
      </c>
      <c r="E47" s="11">
        <f>IFERROR(100/'Skjema total MA'!C47*C47,0)</f>
        <v>0.86121242913795526</v>
      </c>
      <c r="F47" s="143"/>
      <c r="G47" s="32"/>
      <c r="H47" s="157"/>
      <c r="I47" s="157"/>
      <c r="J47" s="36"/>
      <c r="K47" s="36"/>
      <c r="L47" s="157"/>
      <c r="M47" s="157"/>
      <c r="N47" s="146"/>
      <c r="O47" s="146"/>
    </row>
    <row r="48" spans="1:15" s="3" customFormat="1" ht="15.75" x14ac:dyDescent="0.2">
      <c r="A48" s="37" t="s">
        <v>312</v>
      </c>
      <c r="B48" s="279">
        <v>0</v>
      </c>
      <c r="C48" s="280">
        <v>32800</v>
      </c>
      <c r="D48" s="253" t="str">
        <f t="shared" si="0"/>
        <v xml:space="preserve">    ---- </v>
      </c>
      <c r="E48" s="26">
        <f>IFERROR(100/'Skjema total MA'!C48*C48,0)</f>
        <v>1.6006573655563452</v>
      </c>
      <c r="F48" s="143"/>
      <c r="G48" s="32"/>
      <c r="H48" s="143"/>
      <c r="I48" s="143"/>
      <c r="J48" s="32"/>
      <c r="K48" s="32"/>
      <c r="L48" s="157"/>
      <c r="M48" s="157"/>
      <c r="N48" s="146"/>
      <c r="O48" s="146"/>
    </row>
    <row r="49" spans="1:15" s="3" customFormat="1" ht="15.75" x14ac:dyDescent="0.2">
      <c r="A49" s="37" t="s">
        <v>313</v>
      </c>
      <c r="B49" s="43"/>
      <c r="C49" s="285"/>
      <c r="D49" s="253"/>
      <c r="E49" s="26"/>
      <c r="F49" s="143"/>
      <c r="G49" s="32"/>
      <c r="H49" s="143"/>
      <c r="I49" s="143"/>
      <c r="J49" s="36"/>
      <c r="K49" s="36"/>
      <c r="L49" s="157"/>
      <c r="M49" s="157"/>
      <c r="N49" s="146"/>
      <c r="O49" s="146"/>
    </row>
    <row r="50" spans="1:15" s="3" customFormat="1" x14ac:dyDescent="0.2">
      <c r="A50" s="294" t="s">
        <v>6</v>
      </c>
      <c r="B50" s="288"/>
      <c r="C50" s="289"/>
      <c r="D50" s="253"/>
      <c r="E50" s="22"/>
      <c r="F50" s="143"/>
      <c r="G50" s="32"/>
      <c r="H50" s="143"/>
      <c r="I50" s="143"/>
      <c r="J50" s="32"/>
      <c r="K50" s="32"/>
      <c r="L50" s="157"/>
      <c r="M50" s="157"/>
      <c r="N50" s="146"/>
      <c r="O50" s="146"/>
    </row>
    <row r="51" spans="1:15" s="3" customFormat="1" x14ac:dyDescent="0.2">
      <c r="A51" s="294" t="s">
        <v>7</v>
      </c>
      <c r="B51" s="288"/>
      <c r="C51" s="289"/>
      <c r="D51" s="253"/>
      <c r="E51" s="22"/>
      <c r="F51" s="143"/>
      <c r="G51" s="32"/>
      <c r="H51" s="143"/>
      <c r="I51" s="143"/>
      <c r="J51" s="32"/>
      <c r="K51" s="32"/>
      <c r="L51" s="157"/>
      <c r="M51" s="157"/>
      <c r="N51" s="146"/>
      <c r="O51" s="146"/>
    </row>
    <row r="52" spans="1:15" s="3" customFormat="1" x14ac:dyDescent="0.2">
      <c r="A52" s="294" t="s">
        <v>8</v>
      </c>
      <c r="B52" s="288"/>
      <c r="C52" s="289"/>
      <c r="D52" s="253"/>
      <c r="E52" s="22"/>
      <c r="F52" s="143"/>
      <c r="G52" s="32"/>
      <c r="H52" s="143"/>
      <c r="I52" s="143"/>
      <c r="J52" s="32"/>
      <c r="K52" s="32"/>
      <c r="L52" s="157"/>
      <c r="M52" s="157"/>
      <c r="N52" s="146"/>
      <c r="O52" s="146"/>
    </row>
    <row r="53" spans="1:15" s="3" customFormat="1" ht="15.75" x14ac:dyDescent="0.2">
      <c r="A53" s="38" t="s">
        <v>314</v>
      </c>
      <c r="B53" s="308"/>
      <c r="C53" s="309"/>
      <c r="D53" s="425"/>
      <c r="E53" s="11"/>
      <c r="F53" s="143"/>
      <c r="G53" s="32"/>
      <c r="H53" s="143"/>
      <c r="I53" s="143"/>
      <c r="J53" s="32"/>
      <c r="K53" s="32"/>
      <c r="L53" s="157"/>
      <c r="M53" s="157"/>
      <c r="N53" s="146"/>
      <c r="O53" s="146"/>
    </row>
    <row r="54" spans="1:15" s="3" customFormat="1" ht="15.75" x14ac:dyDescent="0.2">
      <c r="A54" s="37" t="s">
        <v>312</v>
      </c>
      <c r="B54" s="279"/>
      <c r="C54" s="280"/>
      <c r="D54" s="253"/>
      <c r="E54" s="26"/>
      <c r="F54" s="143"/>
      <c r="G54" s="32"/>
      <c r="H54" s="143"/>
      <c r="I54" s="143"/>
      <c r="J54" s="32"/>
      <c r="K54" s="32"/>
      <c r="L54" s="157"/>
      <c r="M54" s="157"/>
      <c r="N54" s="146"/>
      <c r="O54" s="146"/>
    </row>
    <row r="55" spans="1:15" s="3" customFormat="1" ht="15.75" x14ac:dyDescent="0.2">
      <c r="A55" s="37" t="s">
        <v>313</v>
      </c>
      <c r="B55" s="279"/>
      <c r="C55" s="280"/>
      <c r="D55" s="253"/>
      <c r="E55" s="26"/>
      <c r="F55" s="143"/>
      <c r="G55" s="32"/>
      <c r="H55" s="143"/>
      <c r="I55" s="143"/>
      <c r="J55" s="32"/>
      <c r="K55" s="32"/>
      <c r="L55" s="157"/>
      <c r="M55" s="157"/>
      <c r="N55" s="146"/>
      <c r="O55" s="146"/>
    </row>
    <row r="56" spans="1:15" s="3" customFormat="1" ht="15.75" x14ac:dyDescent="0.2">
      <c r="A56" s="38" t="s">
        <v>315</v>
      </c>
      <c r="B56" s="308"/>
      <c r="C56" s="309"/>
      <c r="D56" s="425"/>
      <c r="E56" s="11"/>
      <c r="F56" s="143"/>
      <c r="G56" s="32"/>
      <c r="H56" s="143"/>
      <c r="I56" s="143"/>
      <c r="J56" s="32"/>
      <c r="K56" s="32"/>
      <c r="L56" s="157"/>
      <c r="M56" s="157"/>
      <c r="N56" s="146"/>
      <c r="O56" s="146"/>
    </row>
    <row r="57" spans="1:15" s="3" customFormat="1" ht="15.75" x14ac:dyDescent="0.2">
      <c r="A57" s="37" t="s">
        <v>312</v>
      </c>
      <c r="B57" s="279"/>
      <c r="C57" s="280"/>
      <c r="D57" s="253"/>
      <c r="E57" s="26"/>
      <c r="F57" s="143"/>
      <c r="G57" s="32"/>
      <c r="H57" s="143"/>
      <c r="I57" s="143"/>
      <c r="J57" s="32"/>
      <c r="K57" s="32"/>
      <c r="L57" s="157"/>
      <c r="M57" s="157"/>
      <c r="N57" s="146"/>
      <c r="O57" s="146"/>
    </row>
    <row r="58" spans="1:15" s="3" customFormat="1" ht="15.75" x14ac:dyDescent="0.2">
      <c r="A58" s="45" t="s">
        <v>313</v>
      </c>
      <c r="B58" s="281"/>
      <c r="C58" s="282"/>
      <c r="D58" s="254"/>
      <c r="E58" s="21"/>
      <c r="F58" s="143"/>
      <c r="G58" s="32"/>
      <c r="H58" s="143"/>
      <c r="I58" s="143"/>
      <c r="J58" s="32"/>
      <c r="K58" s="32"/>
      <c r="L58" s="157"/>
      <c r="M58" s="157"/>
      <c r="N58" s="146"/>
      <c r="O58" s="146"/>
    </row>
    <row r="59" spans="1:15" s="3" customFormat="1" ht="15.75" x14ac:dyDescent="0.25">
      <c r="A59" s="162"/>
      <c r="B59" s="152"/>
      <c r="C59" s="152"/>
      <c r="D59" s="152"/>
      <c r="E59" s="152"/>
      <c r="F59" s="140"/>
      <c r="G59" s="140"/>
      <c r="H59" s="140"/>
      <c r="I59" s="140"/>
      <c r="J59" s="140"/>
      <c r="K59" s="140"/>
      <c r="L59" s="140"/>
      <c r="M59" s="140"/>
      <c r="N59" s="146"/>
      <c r="O59" s="146"/>
    </row>
    <row r="60" spans="1:15" x14ac:dyDescent="0.2">
      <c r="A60" s="153"/>
    </row>
    <row r="61" spans="1:15" ht="15.75" x14ac:dyDescent="0.25">
      <c r="A61" s="145" t="s">
        <v>295</v>
      </c>
      <c r="C61" s="25"/>
      <c r="D61" s="25"/>
      <c r="E61" s="25"/>
      <c r="F61" s="25"/>
      <c r="G61" s="25"/>
      <c r="H61" s="25"/>
      <c r="I61" s="25"/>
      <c r="J61" s="25"/>
      <c r="K61" s="25"/>
      <c r="L61" s="25"/>
      <c r="M61" s="25"/>
    </row>
    <row r="62" spans="1:15" ht="15.75" x14ac:dyDescent="0.25">
      <c r="B62" s="963"/>
      <c r="C62" s="963"/>
      <c r="D62" s="963"/>
      <c r="E62" s="297"/>
      <c r="F62" s="963"/>
      <c r="G62" s="963"/>
      <c r="H62" s="963"/>
      <c r="I62" s="297"/>
      <c r="J62" s="963"/>
      <c r="K62" s="963"/>
      <c r="L62" s="963"/>
      <c r="M62" s="297"/>
    </row>
    <row r="63" spans="1:15" x14ac:dyDescent="0.2">
      <c r="A63" s="142"/>
      <c r="B63" s="960" t="s">
        <v>0</v>
      </c>
      <c r="C63" s="961"/>
      <c r="D63" s="962"/>
      <c r="E63" s="298"/>
      <c r="F63" s="961" t="s">
        <v>1</v>
      </c>
      <c r="G63" s="961"/>
      <c r="H63" s="961"/>
      <c r="I63" s="302"/>
      <c r="J63" s="960" t="s">
        <v>2</v>
      </c>
      <c r="K63" s="961"/>
      <c r="L63" s="961"/>
      <c r="M63" s="302"/>
    </row>
    <row r="64" spans="1:15" x14ac:dyDescent="0.2">
      <c r="A64" s="139"/>
      <c r="B64" s="150" t="s">
        <v>504</v>
      </c>
      <c r="C64" s="150" t="s">
        <v>505</v>
      </c>
      <c r="D64" s="243" t="s">
        <v>3</v>
      </c>
      <c r="E64" s="303" t="s">
        <v>32</v>
      </c>
      <c r="F64" s="150" t="s">
        <v>504</v>
      </c>
      <c r="G64" s="150" t="s">
        <v>505</v>
      </c>
      <c r="H64" s="243" t="s">
        <v>3</v>
      </c>
      <c r="I64" s="303" t="s">
        <v>32</v>
      </c>
      <c r="J64" s="150" t="s">
        <v>504</v>
      </c>
      <c r="K64" s="150" t="s">
        <v>505</v>
      </c>
      <c r="L64" s="243" t="s">
        <v>3</v>
      </c>
      <c r="M64" s="160" t="s">
        <v>32</v>
      </c>
    </row>
    <row r="65" spans="1:15" x14ac:dyDescent="0.2">
      <c r="A65" s="934"/>
      <c r="B65" s="154"/>
      <c r="C65" s="154"/>
      <c r="D65" s="245" t="s">
        <v>4</v>
      </c>
      <c r="E65" s="154" t="s">
        <v>33</v>
      </c>
      <c r="F65" s="159"/>
      <c r="G65" s="159"/>
      <c r="H65" s="243" t="s">
        <v>4</v>
      </c>
      <c r="I65" s="154" t="s">
        <v>33</v>
      </c>
      <c r="J65" s="159"/>
      <c r="K65" s="204"/>
      <c r="L65" s="154" t="s">
        <v>4</v>
      </c>
      <c r="M65" s="154" t="s">
        <v>33</v>
      </c>
    </row>
    <row r="66" spans="1:15" ht="15.75" x14ac:dyDescent="0.2">
      <c r="A66" s="14" t="s">
        <v>26</v>
      </c>
      <c r="B66" s="350"/>
      <c r="C66" s="350"/>
      <c r="D66" s="348"/>
      <c r="E66" s="11"/>
      <c r="F66" s="350"/>
      <c r="G66" s="350"/>
      <c r="H66" s="348"/>
      <c r="I66" s="11"/>
      <c r="J66" s="307"/>
      <c r="K66" s="314"/>
      <c r="L66" s="425"/>
      <c r="M66" s="11"/>
    </row>
    <row r="67" spans="1:15" x14ac:dyDescent="0.2">
      <c r="A67" s="416" t="s">
        <v>9</v>
      </c>
      <c r="B67" s="43"/>
      <c r="C67" s="143"/>
      <c r="D67" s="164"/>
      <c r="E67" s="26"/>
      <c r="F67" s="232"/>
      <c r="G67" s="143"/>
      <c r="H67" s="164"/>
      <c r="I67" s="26"/>
      <c r="J67" s="285"/>
      <c r="K67" s="43"/>
      <c r="L67" s="253"/>
      <c r="M67" s="26"/>
    </row>
    <row r="68" spans="1:15" x14ac:dyDescent="0.2">
      <c r="A68" s="20" t="s">
        <v>10</v>
      </c>
      <c r="B68" s="290"/>
      <c r="C68" s="291"/>
      <c r="D68" s="164"/>
      <c r="E68" s="26"/>
      <c r="F68" s="290"/>
      <c r="G68" s="291"/>
      <c r="H68" s="164"/>
      <c r="I68" s="26"/>
      <c r="J68" s="285"/>
      <c r="K68" s="43"/>
      <c r="L68" s="253"/>
      <c r="M68" s="26"/>
    </row>
    <row r="69" spans="1:15" ht="15.75" x14ac:dyDescent="0.2">
      <c r="A69" s="294" t="s">
        <v>316</v>
      </c>
      <c r="B69" s="279"/>
      <c r="C69" s="279"/>
      <c r="D69" s="164"/>
      <c r="E69" s="414"/>
      <c r="F69" s="279"/>
      <c r="G69" s="279"/>
      <c r="H69" s="164"/>
      <c r="I69" s="414"/>
      <c r="J69" s="288"/>
      <c r="K69" s="288"/>
      <c r="L69" s="164"/>
      <c r="M69" s="22"/>
    </row>
    <row r="70" spans="1:15" x14ac:dyDescent="0.2">
      <c r="A70" s="294" t="s">
        <v>12</v>
      </c>
      <c r="B70" s="292"/>
      <c r="C70" s="293"/>
      <c r="D70" s="164"/>
      <c r="E70" s="414"/>
      <c r="F70" s="279"/>
      <c r="G70" s="279"/>
      <c r="H70" s="164"/>
      <c r="I70" s="414"/>
      <c r="J70" s="288"/>
      <c r="K70" s="288"/>
      <c r="L70" s="164"/>
      <c r="M70" s="22"/>
    </row>
    <row r="71" spans="1:15" x14ac:dyDescent="0.2">
      <c r="A71" s="294" t="s">
        <v>13</v>
      </c>
      <c r="B71" s="233"/>
      <c r="C71" s="287"/>
      <c r="D71" s="164"/>
      <c r="E71" s="414"/>
      <c r="F71" s="279"/>
      <c r="G71" s="279"/>
      <c r="H71" s="164"/>
      <c r="I71" s="414"/>
      <c r="J71" s="288"/>
      <c r="K71" s="288"/>
      <c r="L71" s="164"/>
      <c r="M71" s="22"/>
    </row>
    <row r="72" spans="1:15" ht="15.75" x14ac:dyDescent="0.2">
      <c r="A72" s="294" t="s">
        <v>317</v>
      </c>
      <c r="B72" s="279"/>
      <c r="C72" s="279"/>
      <c r="D72" s="164"/>
      <c r="E72" s="414"/>
      <c r="F72" s="279"/>
      <c r="G72" s="279"/>
      <c r="H72" s="164"/>
      <c r="I72" s="414"/>
      <c r="J72" s="288"/>
      <c r="K72" s="288"/>
      <c r="L72" s="164"/>
      <c r="M72" s="22"/>
    </row>
    <row r="73" spans="1:15" x14ac:dyDescent="0.2">
      <c r="A73" s="294" t="s">
        <v>12</v>
      </c>
      <c r="B73" s="233"/>
      <c r="C73" s="287"/>
      <c r="D73" s="164"/>
      <c r="E73" s="414"/>
      <c r="F73" s="279"/>
      <c r="G73" s="279"/>
      <c r="H73" s="164"/>
      <c r="I73" s="414"/>
      <c r="J73" s="288"/>
      <c r="K73" s="288"/>
      <c r="L73" s="164"/>
      <c r="M73" s="22"/>
    </row>
    <row r="74" spans="1:15" s="3" customFormat="1" x14ac:dyDescent="0.2">
      <c r="A74" s="294" t="s">
        <v>13</v>
      </c>
      <c r="B74" s="233"/>
      <c r="C74" s="287"/>
      <c r="D74" s="164"/>
      <c r="E74" s="414"/>
      <c r="F74" s="279"/>
      <c r="G74" s="279"/>
      <c r="H74" s="164"/>
      <c r="I74" s="414"/>
      <c r="J74" s="288"/>
      <c r="K74" s="288"/>
      <c r="L74" s="164"/>
      <c r="M74" s="22"/>
      <c r="N74" s="146"/>
      <c r="O74" s="146"/>
    </row>
    <row r="75" spans="1:15" s="3" customFormat="1" x14ac:dyDescent="0.2">
      <c r="A75" s="20" t="s">
        <v>395</v>
      </c>
      <c r="B75" s="232"/>
      <c r="C75" s="143"/>
      <c r="D75" s="164"/>
      <c r="E75" s="26"/>
      <c r="F75" s="232"/>
      <c r="G75" s="143"/>
      <c r="H75" s="164"/>
      <c r="I75" s="26"/>
      <c r="J75" s="285"/>
      <c r="K75" s="43"/>
      <c r="L75" s="253"/>
      <c r="M75" s="26"/>
      <c r="N75" s="146"/>
      <c r="O75" s="146"/>
    </row>
    <row r="76" spans="1:15" s="3" customFormat="1" x14ac:dyDescent="0.2">
      <c r="A76" s="20" t="s">
        <v>394</v>
      </c>
      <c r="B76" s="232"/>
      <c r="C76" s="143"/>
      <c r="D76" s="164"/>
      <c r="E76" s="26"/>
      <c r="F76" s="232"/>
      <c r="G76" s="143"/>
      <c r="H76" s="164"/>
      <c r="I76" s="26"/>
      <c r="J76" s="285"/>
      <c r="K76" s="43"/>
      <c r="L76" s="253"/>
      <c r="M76" s="26"/>
      <c r="N76" s="146"/>
      <c r="O76" s="146"/>
    </row>
    <row r="77" spans="1:15" ht="15.75" x14ac:dyDescent="0.2">
      <c r="A77" s="20" t="s">
        <v>318</v>
      </c>
      <c r="B77" s="232"/>
      <c r="C77" s="232"/>
      <c r="D77" s="164"/>
      <c r="E77" s="26"/>
      <c r="F77" s="232"/>
      <c r="G77" s="143"/>
      <c r="H77" s="164"/>
      <c r="I77" s="26"/>
      <c r="J77" s="285"/>
      <c r="K77" s="43"/>
      <c r="L77" s="253"/>
      <c r="M77" s="26"/>
    </row>
    <row r="78" spans="1:15" x14ac:dyDescent="0.2">
      <c r="A78" s="20" t="s">
        <v>9</v>
      </c>
      <c r="B78" s="232"/>
      <c r="C78" s="143"/>
      <c r="D78" s="164"/>
      <c r="E78" s="26"/>
      <c r="F78" s="232"/>
      <c r="G78" s="143"/>
      <c r="H78" s="164"/>
      <c r="I78" s="26"/>
      <c r="J78" s="285"/>
      <c r="K78" s="43"/>
      <c r="L78" s="253"/>
      <c r="M78" s="26"/>
    </row>
    <row r="79" spans="1:15" x14ac:dyDescent="0.2">
      <c r="A79" s="20" t="s">
        <v>10</v>
      </c>
      <c r="B79" s="290"/>
      <c r="C79" s="291"/>
      <c r="D79" s="164"/>
      <c r="E79" s="26"/>
      <c r="F79" s="290"/>
      <c r="G79" s="291"/>
      <c r="H79" s="164"/>
      <c r="I79" s="26"/>
      <c r="J79" s="285"/>
      <c r="K79" s="43"/>
      <c r="L79" s="253"/>
      <c r="M79" s="26"/>
    </row>
    <row r="80" spans="1:15" ht="15.75" x14ac:dyDescent="0.2">
      <c r="A80" s="294" t="s">
        <v>316</v>
      </c>
      <c r="B80" s="279"/>
      <c r="C80" s="279"/>
      <c r="D80" s="164"/>
      <c r="E80" s="414"/>
      <c r="F80" s="279"/>
      <c r="G80" s="279"/>
      <c r="H80" s="164"/>
      <c r="I80" s="414"/>
      <c r="J80" s="288"/>
      <c r="K80" s="288"/>
      <c r="L80" s="164"/>
      <c r="M80" s="22"/>
    </row>
    <row r="81" spans="1:13" x14ac:dyDescent="0.2">
      <c r="A81" s="294" t="s">
        <v>12</v>
      </c>
      <c r="B81" s="233"/>
      <c r="C81" s="287"/>
      <c r="D81" s="164"/>
      <c r="E81" s="414"/>
      <c r="F81" s="279"/>
      <c r="G81" s="279"/>
      <c r="H81" s="164"/>
      <c r="I81" s="414"/>
      <c r="J81" s="288"/>
      <c r="K81" s="288"/>
      <c r="L81" s="164"/>
      <c r="M81" s="22"/>
    </row>
    <row r="82" spans="1:13" x14ac:dyDescent="0.2">
      <c r="A82" s="294" t="s">
        <v>13</v>
      </c>
      <c r="B82" s="233"/>
      <c r="C82" s="287"/>
      <c r="D82" s="164"/>
      <c r="E82" s="414"/>
      <c r="F82" s="279"/>
      <c r="G82" s="279"/>
      <c r="H82" s="164"/>
      <c r="I82" s="414"/>
      <c r="J82" s="288"/>
      <c r="K82" s="288"/>
      <c r="L82" s="164"/>
      <c r="M82" s="22"/>
    </row>
    <row r="83" spans="1:13" ht="15.75" x14ac:dyDescent="0.2">
      <c r="A83" s="294" t="s">
        <v>317</v>
      </c>
      <c r="B83" s="279"/>
      <c r="C83" s="279"/>
      <c r="D83" s="164"/>
      <c r="E83" s="414"/>
      <c r="F83" s="279"/>
      <c r="G83" s="279"/>
      <c r="H83" s="164"/>
      <c r="I83" s="414"/>
      <c r="J83" s="288"/>
      <c r="K83" s="288"/>
      <c r="L83" s="164"/>
      <c r="M83" s="22"/>
    </row>
    <row r="84" spans="1:13" x14ac:dyDescent="0.2">
      <c r="A84" s="294" t="s">
        <v>12</v>
      </c>
      <c r="B84" s="233"/>
      <c r="C84" s="287"/>
      <c r="D84" s="164"/>
      <c r="E84" s="414"/>
      <c r="F84" s="279"/>
      <c r="G84" s="279"/>
      <c r="H84" s="164"/>
      <c r="I84" s="414"/>
      <c r="J84" s="288"/>
      <c r="K84" s="288"/>
      <c r="L84" s="164"/>
      <c r="M84" s="22"/>
    </row>
    <row r="85" spans="1:13" x14ac:dyDescent="0.2">
      <c r="A85" s="294" t="s">
        <v>13</v>
      </c>
      <c r="B85" s="233"/>
      <c r="C85" s="287"/>
      <c r="D85" s="164"/>
      <c r="E85" s="414"/>
      <c r="F85" s="279"/>
      <c r="G85" s="279"/>
      <c r="H85" s="164"/>
      <c r="I85" s="414"/>
      <c r="J85" s="288"/>
      <c r="K85" s="288"/>
      <c r="L85" s="164"/>
      <c r="M85" s="22"/>
    </row>
    <row r="86" spans="1:13" ht="15.75" x14ac:dyDescent="0.2">
      <c r="A86" s="20" t="s">
        <v>327</v>
      </c>
      <c r="B86" s="232"/>
      <c r="C86" s="143"/>
      <c r="D86" s="164"/>
      <c r="E86" s="26"/>
      <c r="F86" s="232"/>
      <c r="G86" s="143"/>
      <c r="H86" s="164"/>
      <c r="I86" s="26"/>
      <c r="J86" s="285"/>
      <c r="K86" s="43"/>
      <c r="L86" s="253"/>
      <c r="M86" s="26"/>
    </row>
    <row r="87" spans="1:13" ht="15.75" x14ac:dyDescent="0.2">
      <c r="A87" s="13" t="s">
        <v>25</v>
      </c>
      <c r="B87" s="350"/>
      <c r="C87" s="350"/>
      <c r="D87" s="169"/>
      <c r="E87" s="11"/>
      <c r="F87" s="350"/>
      <c r="G87" s="350"/>
      <c r="H87" s="169"/>
      <c r="I87" s="11"/>
      <c r="J87" s="307"/>
      <c r="K87" s="234"/>
      <c r="L87" s="425"/>
      <c r="M87" s="11"/>
    </row>
    <row r="88" spans="1:13" x14ac:dyDescent="0.2">
      <c r="A88" s="20" t="s">
        <v>9</v>
      </c>
      <c r="B88" s="232"/>
      <c r="C88" s="143"/>
      <c r="D88" s="164"/>
      <c r="E88" s="26"/>
      <c r="F88" s="232"/>
      <c r="G88" s="143"/>
      <c r="H88" s="164"/>
      <c r="I88" s="26"/>
      <c r="J88" s="285"/>
      <c r="K88" s="43"/>
      <c r="L88" s="253"/>
      <c r="M88" s="26"/>
    </row>
    <row r="89" spans="1:13" x14ac:dyDescent="0.2">
      <c r="A89" s="20" t="s">
        <v>10</v>
      </c>
      <c r="B89" s="232"/>
      <c r="C89" s="143"/>
      <c r="D89" s="164"/>
      <c r="E89" s="26"/>
      <c r="F89" s="232"/>
      <c r="G89" s="143"/>
      <c r="H89" s="164"/>
      <c r="I89" s="26"/>
      <c r="J89" s="285"/>
      <c r="K89" s="43"/>
      <c r="L89" s="253"/>
      <c r="M89" s="26"/>
    </row>
    <row r="90" spans="1:13" ht="15.75" x14ac:dyDescent="0.2">
      <c r="A90" s="294" t="s">
        <v>316</v>
      </c>
      <c r="B90" s="279"/>
      <c r="C90" s="279"/>
      <c r="D90" s="164"/>
      <c r="E90" s="414"/>
      <c r="F90" s="279"/>
      <c r="G90" s="279"/>
      <c r="H90" s="164"/>
      <c r="I90" s="414"/>
      <c r="J90" s="288"/>
      <c r="K90" s="288"/>
      <c r="L90" s="164"/>
      <c r="M90" s="22"/>
    </row>
    <row r="91" spans="1:13" x14ac:dyDescent="0.2">
      <c r="A91" s="294" t="s">
        <v>12</v>
      </c>
      <c r="B91" s="233"/>
      <c r="C91" s="287"/>
      <c r="D91" s="164"/>
      <c r="E91" s="414"/>
      <c r="F91" s="279"/>
      <c r="G91" s="279"/>
      <c r="H91" s="164"/>
      <c r="I91" s="414"/>
      <c r="J91" s="288"/>
      <c r="K91" s="288"/>
      <c r="L91" s="164"/>
      <c r="M91" s="22"/>
    </row>
    <row r="92" spans="1:13" x14ac:dyDescent="0.2">
      <c r="A92" s="294" t="s">
        <v>13</v>
      </c>
      <c r="B92" s="233"/>
      <c r="C92" s="287"/>
      <c r="D92" s="164"/>
      <c r="E92" s="414"/>
      <c r="F92" s="279"/>
      <c r="G92" s="279"/>
      <c r="H92" s="164"/>
      <c r="I92" s="414"/>
      <c r="J92" s="288"/>
      <c r="K92" s="288"/>
      <c r="L92" s="164"/>
      <c r="M92" s="22"/>
    </row>
    <row r="93" spans="1:13" ht="15.75" x14ac:dyDescent="0.2">
      <c r="A93" s="294" t="s">
        <v>317</v>
      </c>
      <c r="B93" s="279"/>
      <c r="C93" s="279"/>
      <c r="D93" s="164"/>
      <c r="E93" s="414"/>
      <c r="F93" s="279"/>
      <c r="G93" s="279"/>
      <c r="H93" s="164"/>
      <c r="I93" s="414"/>
      <c r="J93" s="288"/>
      <c r="K93" s="288"/>
      <c r="L93" s="164"/>
      <c r="M93" s="22"/>
    </row>
    <row r="94" spans="1:13" x14ac:dyDescent="0.2">
      <c r="A94" s="294" t="s">
        <v>12</v>
      </c>
      <c r="B94" s="233"/>
      <c r="C94" s="287"/>
      <c r="D94" s="164"/>
      <c r="E94" s="414"/>
      <c r="F94" s="279"/>
      <c r="G94" s="279"/>
      <c r="H94" s="164"/>
      <c r="I94" s="414"/>
      <c r="J94" s="288"/>
      <c r="K94" s="288"/>
      <c r="L94" s="164"/>
      <c r="M94" s="22"/>
    </row>
    <row r="95" spans="1:13" x14ac:dyDescent="0.2">
      <c r="A95" s="294" t="s">
        <v>13</v>
      </c>
      <c r="B95" s="233"/>
      <c r="C95" s="287"/>
      <c r="D95" s="164"/>
      <c r="E95" s="414"/>
      <c r="F95" s="279"/>
      <c r="G95" s="279"/>
      <c r="H95" s="164"/>
      <c r="I95" s="414"/>
      <c r="J95" s="288"/>
      <c r="K95" s="288"/>
      <c r="L95" s="164"/>
      <c r="M95" s="22"/>
    </row>
    <row r="96" spans="1:13" x14ac:dyDescent="0.2">
      <c r="A96" s="20" t="s">
        <v>393</v>
      </c>
      <c r="B96" s="232"/>
      <c r="C96" s="143"/>
      <c r="D96" s="164"/>
      <c r="E96" s="26"/>
      <c r="F96" s="232"/>
      <c r="G96" s="143"/>
      <c r="H96" s="164"/>
      <c r="I96" s="26"/>
      <c r="J96" s="285"/>
      <c r="K96" s="43"/>
      <c r="L96" s="253"/>
      <c r="M96" s="26"/>
    </row>
    <row r="97" spans="1:13" x14ac:dyDescent="0.2">
      <c r="A97" s="20" t="s">
        <v>392</v>
      </c>
      <c r="B97" s="232"/>
      <c r="C97" s="143"/>
      <c r="D97" s="164"/>
      <c r="E97" s="26"/>
      <c r="F97" s="232"/>
      <c r="G97" s="143"/>
      <c r="H97" s="164"/>
      <c r="I97" s="26"/>
      <c r="J97" s="285"/>
      <c r="K97" s="43"/>
      <c r="L97" s="253"/>
      <c r="M97" s="26"/>
    </row>
    <row r="98" spans="1:13" ht="15.75" x14ac:dyDescent="0.2">
      <c r="A98" s="20" t="s">
        <v>318</v>
      </c>
      <c r="B98" s="232"/>
      <c r="C98" s="232"/>
      <c r="D98" s="164"/>
      <c r="E98" s="26"/>
      <c r="F98" s="290"/>
      <c r="G98" s="290"/>
      <c r="H98" s="164"/>
      <c r="I98" s="26"/>
      <c r="J98" s="285"/>
      <c r="K98" s="43"/>
      <c r="L98" s="253"/>
      <c r="M98" s="26"/>
    </row>
    <row r="99" spans="1:13" x14ac:dyDescent="0.2">
      <c r="A99" s="20" t="s">
        <v>9</v>
      </c>
      <c r="B99" s="290"/>
      <c r="C99" s="291"/>
      <c r="D99" s="164"/>
      <c r="E99" s="26"/>
      <c r="F99" s="232"/>
      <c r="G99" s="143"/>
      <c r="H99" s="164"/>
      <c r="I99" s="26"/>
      <c r="J99" s="285"/>
      <c r="K99" s="43"/>
      <c r="L99" s="253"/>
      <c r="M99" s="26"/>
    </row>
    <row r="100" spans="1:13" x14ac:dyDescent="0.2">
      <c r="A100" s="20" t="s">
        <v>10</v>
      </c>
      <c r="B100" s="290"/>
      <c r="C100" s="291"/>
      <c r="D100" s="164"/>
      <c r="E100" s="26"/>
      <c r="F100" s="232"/>
      <c r="G100" s="232"/>
      <c r="H100" s="164"/>
      <c r="I100" s="26"/>
      <c r="J100" s="285"/>
      <c r="K100" s="43"/>
      <c r="L100" s="253"/>
      <c r="M100" s="26"/>
    </row>
    <row r="101" spans="1:13" ht="15.75" x14ac:dyDescent="0.2">
      <c r="A101" s="294" t="s">
        <v>316</v>
      </c>
      <c r="B101" s="279"/>
      <c r="C101" s="279"/>
      <c r="D101" s="164"/>
      <c r="E101" s="414"/>
      <c r="F101" s="279"/>
      <c r="G101" s="279"/>
      <c r="H101" s="164"/>
      <c r="I101" s="414"/>
      <c r="J101" s="288"/>
      <c r="K101" s="288"/>
      <c r="L101" s="164"/>
      <c r="M101" s="22"/>
    </row>
    <row r="102" spans="1:13" x14ac:dyDescent="0.2">
      <c r="A102" s="294" t="s">
        <v>12</v>
      </c>
      <c r="B102" s="233"/>
      <c r="C102" s="287"/>
      <c r="D102" s="164"/>
      <c r="E102" s="414"/>
      <c r="F102" s="279"/>
      <c r="G102" s="279"/>
      <c r="H102" s="164"/>
      <c r="I102" s="414"/>
      <c r="J102" s="288"/>
      <c r="K102" s="288"/>
      <c r="L102" s="164"/>
      <c r="M102" s="22"/>
    </row>
    <row r="103" spans="1:13" x14ac:dyDescent="0.2">
      <c r="A103" s="294" t="s">
        <v>13</v>
      </c>
      <c r="B103" s="233"/>
      <c r="C103" s="287"/>
      <c r="D103" s="164"/>
      <c r="E103" s="414"/>
      <c r="F103" s="279"/>
      <c r="G103" s="279"/>
      <c r="H103" s="164"/>
      <c r="I103" s="414"/>
      <c r="J103" s="288"/>
      <c r="K103" s="288"/>
      <c r="L103" s="164"/>
      <c r="M103" s="22"/>
    </row>
    <row r="104" spans="1:13" ht="15.75" x14ac:dyDescent="0.2">
      <c r="A104" s="294" t="s">
        <v>317</v>
      </c>
      <c r="B104" s="279"/>
      <c r="C104" s="279"/>
      <c r="D104" s="164"/>
      <c r="E104" s="414"/>
      <c r="F104" s="279"/>
      <c r="G104" s="279"/>
      <c r="H104" s="164"/>
      <c r="I104" s="414"/>
      <c r="J104" s="288"/>
      <c r="K104" s="288"/>
      <c r="L104" s="164"/>
      <c r="M104" s="22"/>
    </row>
    <row r="105" spans="1:13" x14ac:dyDescent="0.2">
      <c r="A105" s="294" t="s">
        <v>12</v>
      </c>
      <c r="B105" s="233"/>
      <c r="C105" s="287"/>
      <c r="D105" s="164"/>
      <c r="E105" s="414"/>
      <c r="F105" s="279"/>
      <c r="G105" s="279"/>
      <c r="H105" s="164"/>
      <c r="I105" s="414"/>
      <c r="J105" s="288"/>
      <c r="K105" s="288"/>
      <c r="L105" s="164"/>
      <c r="M105" s="22"/>
    </row>
    <row r="106" spans="1:13" x14ac:dyDescent="0.2">
      <c r="A106" s="294" t="s">
        <v>13</v>
      </c>
      <c r="B106" s="233"/>
      <c r="C106" s="287"/>
      <c r="D106" s="164"/>
      <c r="E106" s="414"/>
      <c r="F106" s="279"/>
      <c r="G106" s="279"/>
      <c r="H106" s="164"/>
      <c r="I106" s="414"/>
      <c r="J106" s="288"/>
      <c r="K106" s="288"/>
      <c r="L106" s="164"/>
      <c r="M106" s="22"/>
    </row>
    <row r="107" spans="1:13" ht="15.75" x14ac:dyDescent="0.2">
      <c r="A107" s="20" t="s">
        <v>327</v>
      </c>
      <c r="B107" s="232"/>
      <c r="C107" s="143"/>
      <c r="D107" s="164"/>
      <c r="E107" s="26"/>
      <c r="F107" s="232"/>
      <c r="G107" s="143"/>
      <c r="H107" s="164"/>
      <c r="I107" s="26"/>
      <c r="J107" s="285"/>
      <c r="K107" s="43"/>
      <c r="L107" s="253"/>
      <c r="M107" s="26"/>
    </row>
    <row r="108" spans="1:13" ht="15.75" x14ac:dyDescent="0.2">
      <c r="A108" s="20" t="s">
        <v>328</v>
      </c>
      <c r="B108" s="232"/>
      <c r="C108" s="232"/>
      <c r="D108" s="164"/>
      <c r="E108" s="26"/>
      <c r="F108" s="232"/>
      <c r="G108" s="232"/>
      <c r="H108" s="164"/>
      <c r="I108" s="26"/>
      <c r="J108" s="285"/>
      <c r="K108" s="43"/>
      <c r="L108" s="253"/>
      <c r="M108" s="26"/>
    </row>
    <row r="109" spans="1:13" ht="15.75" x14ac:dyDescent="0.2">
      <c r="A109" s="20" t="s">
        <v>320</v>
      </c>
      <c r="B109" s="232"/>
      <c r="C109" s="232"/>
      <c r="D109" s="164"/>
      <c r="E109" s="26"/>
      <c r="F109" s="232"/>
      <c r="G109" s="232"/>
      <c r="H109" s="164"/>
      <c r="I109" s="26"/>
      <c r="J109" s="285"/>
      <c r="K109" s="43"/>
      <c r="L109" s="253"/>
      <c r="M109" s="26"/>
    </row>
    <row r="110" spans="1:13" ht="15.75" x14ac:dyDescent="0.2">
      <c r="A110" s="20" t="s">
        <v>321</v>
      </c>
      <c r="B110" s="232"/>
      <c r="C110" s="232"/>
      <c r="D110" s="164"/>
      <c r="E110" s="26"/>
      <c r="F110" s="232"/>
      <c r="G110" s="232"/>
      <c r="H110" s="164"/>
      <c r="I110" s="26"/>
      <c r="J110" s="285"/>
      <c r="K110" s="43"/>
      <c r="L110" s="253"/>
      <c r="M110" s="26"/>
    </row>
    <row r="111" spans="1:13" ht="15.75" x14ac:dyDescent="0.2">
      <c r="A111" s="13" t="s">
        <v>24</v>
      </c>
      <c r="B111" s="306"/>
      <c r="C111" s="157"/>
      <c r="D111" s="169"/>
      <c r="E111" s="11"/>
      <c r="F111" s="306"/>
      <c r="G111" s="157"/>
      <c r="H111" s="169"/>
      <c r="I111" s="11"/>
      <c r="J111" s="307"/>
      <c r="K111" s="234"/>
      <c r="L111" s="425"/>
      <c r="M111" s="11"/>
    </row>
    <row r="112" spans="1:13" x14ac:dyDescent="0.2">
      <c r="A112" s="20" t="s">
        <v>9</v>
      </c>
      <c r="B112" s="232"/>
      <c r="C112" s="143"/>
      <c r="D112" s="164"/>
      <c r="E112" s="26"/>
      <c r="F112" s="232"/>
      <c r="G112" s="143"/>
      <c r="H112" s="164"/>
      <c r="I112" s="26"/>
      <c r="J112" s="285"/>
      <c r="K112" s="43"/>
      <c r="L112" s="253"/>
      <c r="M112" s="26"/>
    </row>
    <row r="113" spans="1:14" x14ac:dyDescent="0.2">
      <c r="A113" s="20" t="s">
        <v>10</v>
      </c>
      <c r="B113" s="232"/>
      <c r="C113" s="143"/>
      <c r="D113" s="164"/>
      <c r="E113" s="26"/>
      <c r="F113" s="232"/>
      <c r="G113" s="143"/>
      <c r="H113" s="164"/>
      <c r="I113" s="26"/>
      <c r="J113" s="285"/>
      <c r="K113" s="43"/>
      <c r="L113" s="253"/>
      <c r="M113" s="26"/>
    </row>
    <row r="114" spans="1:14" x14ac:dyDescent="0.2">
      <c r="A114" s="20" t="s">
        <v>29</v>
      </c>
      <c r="B114" s="232"/>
      <c r="C114" s="143"/>
      <c r="D114" s="164"/>
      <c r="E114" s="26"/>
      <c r="F114" s="232"/>
      <c r="G114" s="143"/>
      <c r="H114" s="164"/>
      <c r="I114" s="26"/>
      <c r="J114" s="285"/>
      <c r="K114" s="43"/>
      <c r="L114" s="253"/>
      <c r="M114" s="26"/>
    </row>
    <row r="115" spans="1:14" x14ac:dyDescent="0.2">
      <c r="A115" s="294" t="s">
        <v>15</v>
      </c>
      <c r="B115" s="279"/>
      <c r="C115" s="279"/>
      <c r="D115" s="164"/>
      <c r="E115" s="414"/>
      <c r="F115" s="279"/>
      <c r="G115" s="279"/>
      <c r="H115" s="164"/>
      <c r="I115" s="414"/>
      <c r="J115" s="288"/>
      <c r="K115" s="288"/>
      <c r="L115" s="164"/>
      <c r="M115" s="22"/>
    </row>
    <row r="116" spans="1:14" ht="15.75" x14ac:dyDescent="0.2">
      <c r="A116" s="20" t="s">
        <v>329</v>
      </c>
      <c r="B116" s="232"/>
      <c r="C116" s="232"/>
      <c r="D116" s="164"/>
      <c r="E116" s="26"/>
      <c r="F116" s="232"/>
      <c r="G116" s="232"/>
      <c r="H116" s="164"/>
      <c r="I116" s="26"/>
      <c r="J116" s="285"/>
      <c r="K116" s="43"/>
      <c r="L116" s="253"/>
      <c r="M116" s="26"/>
    </row>
    <row r="117" spans="1:14" ht="15.75" x14ac:dyDescent="0.2">
      <c r="A117" s="20" t="s">
        <v>322</v>
      </c>
      <c r="B117" s="232"/>
      <c r="C117" s="232"/>
      <c r="D117" s="164"/>
      <c r="E117" s="26"/>
      <c r="F117" s="232"/>
      <c r="G117" s="232"/>
      <c r="H117" s="164"/>
      <c r="I117" s="26"/>
      <c r="J117" s="285"/>
      <c r="K117" s="43"/>
      <c r="L117" s="253"/>
      <c r="M117" s="26"/>
    </row>
    <row r="118" spans="1:14" ht="15.75" x14ac:dyDescent="0.2">
      <c r="A118" s="20" t="s">
        <v>321</v>
      </c>
      <c r="B118" s="232"/>
      <c r="C118" s="232"/>
      <c r="D118" s="164"/>
      <c r="E118" s="26"/>
      <c r="F118" s="232"/>
      <c r="G118" s="232"/>
      <c r="H118" s="164"/>
      <c r="I118" s="26"/>
      <c r="J118" s="285"/>
      <c r="K118" s="43"/>
      <c r="L118" s="253"/>
      <c r="M118" s="26"/>
    </row>
    <row r="119" spans="1:14" ht="15.75" x14ac:dyDescent="0.2">
      <c r="A119" s="13" t="s">
        <v>23</v>
      </c>
      <c r="B119" s="306"/>
      <c r="C119" s="157"/>
      <c r="D119" s="169"/>
      <c r="E119" s="11"/>
      <c r="F119" s="306"/>
      <c r="G119" s="157"/>
      <c r="H119" s="169"/>
      <c r="I119" s="11"/>
      <c r="J119" s="307"/>
      <c r="K119" s="234"/>
      <c r="L119" s="425"/>
      <c r="M119" s="11"/>
    </row>
    <row r="120" spans="1:14" x14ac:dyDescent="0.2">
      <c r="A120" s="20" t="s">
        <v>9</v>
      </c>
      <c r="B120" s="232"/>
      <c r="C120" s="143"/>
      <c r="D120" s="164"/>
      <c r="E120" s="26"/>
      <c r="F120" s="232"/>
      <c r="G120" s="143"/>
      <c r="H120" s="164"/>
      <c r="I120" s="26"/>
      <c r="J120" s="285"/>
      <c r="K120" s="43"/>
      <c r="L120" s="253"/>
      <c r="M120" s="26"/>
    </row>
    <row r="121" spans="1:14" x14ac:dyDescent="0.2">
      <c r="A121" s="20" t="s">
        <v>10</v>
      </c>
      <c r="B121" s="232"/>
      <c r="C121" s="143"/>
      <c r="D121" s="164"/>
      <c r="E121" s="26"/>
      <c r="F121" s="232"/>
      <c r="G121" s="143"/>
      <c r="H121" s="164"/>
      <c r="I121" s="26"/>
      <c r="J121" s="285"/>
      <c r="K121" s="43"/>
      <c r="L121" s="253"/>
      <c r="M121" s="26"/>
    </row>
    <row r="122" spans="1:14" x14ac:dyDescent="0.2">
      <c r="A122" s="20" t="s">
        <v>29</v>
      </c>
      <c r="B122" s="232"/>
      <c r="C122" s="143"/>
      <c r="D122" s="164"/>
      <c r="E122" s="26"/>
      <c r="F122" s="232"/>
      <c r="G122" s="143"/>
      <c r="H122" s="164"/>
      <c r="I122" s="26"/>
      <c r="J122" s="285"/>
      <c r="K122" s="43"/>
      <c r="L122" s="253"/>
      <c r="M122" s="26"/>
    </row>
    <row r="123" spans="1:14" x14ac:dyDescent="0.2">
      <c r="A123" s="294" t="s">
        <v>14</v>
      </c>
      <c r="B123" s="279"/>
      <c r="C123" s="279"/>
      <c r="D123" s="164"/>
      <c r="E123" s="414"/>
      <c r="F123" s="279"/>
      <c r="G123" s="279"/>
      <c r="H123" s="164"/>
      <c r="I123" s="414"/>
      <c r="J123" s="288"/>
      <c r="K123" s="288"/>
      <c r="L123" s="164"/>
      <c r="M123" s="22"/>
    </row>
    <row r="124" spans="1:14" ht="15.75" x14ac:dyDescent="0.2">
      <c r="A124" s="20" t="s">
        <v>319</v>
      </c>
      <c r="B124" s="232"/>
      <c r="C124" s="232"/>
      <c r="D124" s="164"/>
      <c r="E124" s="26"/>
      <c r="F124" s="232"/>
      <c r="G124" s="232"/>
      <c r="H124" s="164"/>
      <c r="I124" s="26"/>
      <c r="J124" s="285"/>
      <c r="K124" s="43"/>
      <c r="L124" s="253"/>
      <c r="M124" s="26"/>
    </row>
    <row r="125" spans="1:14" ht="15.75" x14ac:dyDescent="0.2">
      <c r="A125" s="20" t="s">
        <v>320</v>
      </c>
      <c r="B125" s="232"/>
      <c r="C125" s="232"/>
      <c r="D125" s="164"/>
      <c r="E125" s="26"/>
      <c r="F125" s="232"/>
      <c r="G125" s="232"/>
      <c r="H125" s="164"/>
      <c r="I125" s="26"/>
      <c r="J125" s="285"/>
      <c r="K125" s="43"/>
      <c r="L125" s="253"/>
      <c r="M125" s="26"/>
    </row>
    <row r="126" spans="1:14" ht="15.75" x14ac:dyDescent="0.2">
      <c r="A126" s="10" t="s">
        <v>321</v>
      </c>
      <c r="B126" s="44"/>
      <c r="C126" s="44"/>
      <c r="D126" s="165"/>
      <c r="E126" s="415"/>
      <c r="F126" s="44"/>
      <c r="G126" s="44"/>
      <c r="H126" s="165"/>
      <c r="I126" s="21"/>
      <c r="J126" s="286"/>
      <c r="K126" s="44"/>
      <c r="L126" s="254"/>
      <c r="M126" s="21"/>
    </row>
    <row r="127" spans="1:14" x14ac:dyDescent="0.2">
      <c r="A127" s="153"/>
      <c r="L127" s="25"/>
      <c r="M127" s="25"/>
      <c r="N127" s="25"/>
    </row>
    <row r="128" spans="1:14" x14ac:dyDescent="0.2">
      <c r="L128" s="25"/>
      <c r="M128" s="25"/>
      <c r="N128" s="25"/>
    </row>
    <row r="129" spans="1:15" ht="15.75" x14ac:dyDescent="0.25">
      <c r="A129" s="163" t="s">
        <v>30</v>
      </c>
    </row>
    <row r="130" spans="1:15" ht="15.75" x14ac:dyDescent="0.25">
      <c r="B130" s="963"/>
      <c r="C130" s="963"/>
      <c r="D130" s="963"/>
      <c r="E130" s="297"/>
      <c r="F130" s="963"/>
      <c r="G130" s="963"/>
      <c r="H130" s="963"/>
      <c r="I130" s="297"/>
      <c r="J130" s="963"/>
      <c r="K130" s="963"/>
      <c r="L130" s="963"/>
      <c r="M130" s="297"/>
    </row>
    <row r="131" spans="1:15" s="3" customFormat="1" x14ac:dyDescent="0.2">
      <c r="A131" s="142"/>
      <c r="B131" s="960" t="s">
        <v>0</v>
      </c>
      <c r="C131" s="961"/>
      <c r="D131" s="961"/>
      <c r="E131" s="299"/>
      <c r="F131" s="960" t="s">
        <v>1</v>
      </c>
      <c r="G131" s="961"/>
      <c r="H131" s="961"/>
      <c r="I131" s="302"/>
      <c r="J131" s="960" t="s">
        <v>2</v>
      </c>
      <c r="K131" s="961"/>
      <c r="L131" s="961"/>
      <c r="M131" s="302"/>
      <c r="N131" s="146"/>
      <c r="O131" s="146"/>
    </row>
    <row r="132" spans="1:15" s="3" customFormat="1" x14ac:dyDescent="0.2">
      <c r="A132" s="139"/>
      <c r="B132" s="150" t="s">
        <v>504</v>
      </c>
      <c r="C132" s="150" t="s">
        <v>505</v>
      </c>
      <c r="D132" s="243" t="s">
        <v>3</v>
      </c>
      <c r="E132" s="303" t="s">
        <v>32</v>
      </c>
      <c r="F132" s="150" t="s">
        <v>504</v>
      </c>
      <c r="G132" s="150" t="s">
        <v>505</v>
      </c>
      <c r="H132" s="204" t="s">
        <v>3</v>
      </c>
      <c r="I132" s="160" t="s">
        <v>32</v>
      </c>
      <c r="J132" s="244" t="s">
        <v>504</v>
      </c>
      <c r="K132" s="244" t="s">
        <v>505</v>
      </c>
      <c r="L132" s="245" t="s">
        <v>3</v>
      </c>
      <c r="M132" s="160" t="s">
        <v>32</v>
      </c>
      <c r="N132" s="146"/>
      <c r="O132" s="146"/>
    </row>
    <row r="133" spans="1:15" s="3" customFormat="1" x14ac:dyDescent="0.2">
      <c r="A133" s="934"/>
      <c r="B133" s="154"/>
      <c r="C133" s="154"/>
      <c r="D133" s="245" t="s">
        <v>4</v>
      </c>
      <c r="E133" s="154" t="s">
        <v>33</v>
      </c>
      <c r="F133" s="159"/>
      <c r="G133" s="159"/>
      <c r="H133" s="204" t="s">
        <v>4</v>
      </c>
      <c r="I133" s="154" t="s">
        <v>33</v>
      </c>
      <c r="J133" s="154"/>
      <c r="K133" s="154"/>
      <c r="L133" s="148" t="s">
        <v>4</v>
      </c>
      <c r="M133" s="154" t="s">
        <v>33</v>
      </c>
      <c r="N133" s="146"/>
      <c r="O133" s="146"/>
    </row>
    <row r="134" spans="1:15" s="3" customFormat="1" ht="15.75" x14ac:dyDescent="0.2">
      <c r="A134" s="14" t="s">
        <v>323</v>
      </c>
      <c r="B134" s="234">
        <v>4018088</v>
      </c>
      <c r="C134" s="307">
        <v>4116493</v>
      </c>
      <c r="D134" s="348">
        <f t="shared" ref="D134:D135" si="1">IF(B134=0, "    ---- ", IF(ABS(ROUND(100/B134*C134-100,1))&lt;999,ROUND(100/B134*C134-100,1),IF(ROUND(100/B134*C134-100,1)&gt;999,999,-999)))</f>
        <v>2.4</v>
      </c>
      <c r="E134" s="11">
        <f>IFERROR(100/'Skjema total MA'!C134*C134,0)</f>
        <v>11.344514583758789</v>
      </c>
      <c r="F134" s="314"/>
      <c r="G134" s="315"/>
      <c r="H134" s="428"/>
      <c r="I134" s="23"/>
      <c r="J134" s="316">
        <f t="shared" ref="J134:K135" si="2">SUM(B134,F134)</f>
        <v>4018088</v>
      </c>
      <c r="K134" s="316">
        <f t="shared" si="2"/>
        <v>4116493</v>
      </c>
      <c r="L134" s="424">
        <f t="shared" ref="L134:L135" si="3">IF(J134=0, "    ---- ", IF(ABS(ROUND(100/J134*K134-100,1))&lt;999,ROUND(100/J134*K134-100,1),IF(ROUND(100/J134*K134-100,1)&gt;999,999,-999)))</f>
        <v>2.4</v>
      </c>
      <c r="M134" s="11">
        <f>IFERROR(100/'Skjema total MA'!I134*K134,0)</f>
        <v>11.303946221639185</v>
      </c>
      <c r="N134" s="146"/>
      <c r="O134" s="146"/>
    </row>
    <row r="135" spans="1:15" s="3" customFormat="1" ht="15.75" x14ac:dyDescent="0.2">
      <c r="A135" s="13" t="s">
        <v>324</v>
      </c>
      <c r="B135" s="234">
        <v>64732970</v>
      </c>
      <c r="C135" s="307">
        <v>70125745</v>
      </c>
      <c r="D135" s="169">
        <f t="shared" si="1"/>
        <v>8.3000000000000007</v>
      </c>
      <c r="E135" s="11">
        <f>IFERROR(100/'Skjema total MA'!C135*C135,0)</f>
        <v>13.554454510898042</v>
      </c>
      <c r="F135" s="234"/>
      <c r="G135" s="307"/>
      <c r="H135" s="429"/>
      <c r="I135" s="23"/>
      <c r="J135" s="306">
        <f t="shared" si="2"/>
        <v>64732970</v>
      </c>
      <c r="K135" s="306">
        <f t="shared" si="2"/>
        <v>70125745</v>
      </c>
      <c r="L135" s="425">
        <f t="shared" si="3"/>
        <v>8.3000000000000007</v>
      </c>
      <c r="M135" s="11">
        <f>IFERROR(100/'Skjema total MA'!I135*K135,0)</f>
        <v>13.49254306304174</v>
      </c>
      <c r="N135" s="146"/>
      <c r="O135" s="146"/>
    </row>
    <row r="136" spans="1:15" s="3" customFormat="1" ht="15.75" x14ac:dyDescent="0.2">
      <c r="A136" s="13" t="s">
        <v>325</v>
      </c>
      <c r="B136" s="234"/>
      <c r="C136" s="307"/>
      <c r="D136" s="169"/>
      <c r="E136" s="11"/>
      <c r="F136" s="234"/>
      <c r="G136" s="307"/>
      <c r="H136" s="429"/>
      <c r="I136" s="23"/>
      <c r="J136" s="306"/>
      <c r="K136" s="306"/>
      <c r="L136" s="425"/>
      <c r="M136" s="11"/>
      <c r="N136" s="146"/>
      <c r="O136" s="146"/>
    </row>
    <row r="137" spans="1:15" s="3" customFormat="1" ht="15.75" x14ac:dyDescent="0.2">
      <c r="A137" s="40" t="s">
        <v>326</v>
      </c>
      <c r="B137" s="274"/>
      <c r="C137" s="313"/>
      <c r="D137" s="167"/>
      <c r="E137" s="9"/>
      <c r="F137" s="274"/>
      <c r="G137" s="313"/>
      <c r="H137" s="430"/>
      <c r="I137" s="35"/>
      <c r="J137" s="312"/>
      <c r="K137" s="312"/>
      <c r="L137" s="426"/>
      <c r="M137" s="35"/>
      <c r="N137" s="146"/>
      <c r="O137" s="146"/>
    </row>
    <row r="138" spans="1:15" s="3" customFormat="1" x14ac:dyDescent="0.2">
      <c r="A138" s="166"/>
      <c r="B138" s="32"/>
      <c r="C138" s="32"/>
      <c r="D138" s="157"/>
      <c r="E138" s="157"/>
      <c r="F138" s="32"/>
      <c r="G138" s="32"/>
      <c r="H138" s="157"/>
      <c r="I138" s="157"/>
      <c r="J138" s="32"/>
      <c r="K138" s="32"/>
      <c r="L138" s="157"/>
      <c r="M138" s="157"/>
      <c r="N138" s="146"/>
      <c r="O138" s="146"/>
    </row>
    <row r="139" spans="1:15" x14ac:dyDescent="0.2">
      <c r="A139" s="166"/>
      <c r="B139" s="32"/>
      <c r="C139" s="32"/>
      <c r="D139" s="157"/>
      <c r="E139" s="157"/>
      <c r="F139" s="32"/>
      <c r="G139" s="32"/>
      <c r="H139" s="157"/>
      <c r="I139" s="157"/>
      <c r="J139" s="32"/>
      <c r="K139" s="32"/>
      <c r="L139" s="157"/>
      <c r="M139" s="157"/>
      <c r="N139" s="146"/>
    </row>
    <row r="140" spans="1:15" x14ac:dyDescent="0.2">
      <c r="A140" s="166"/>
      <c r="B140" s="32"/>
      <c r="C140" s="32"/>
      <c r="D140" s="157"/>
      <c r="E140" s="157"/>
      <c r="F140" s="32"/>
      <c r="G140" s="32"/>
      <c r="H140" s="157"/>
      <c r="I140" s="157"/>
      <c r="J140" s="32"/>
      <c r="K140" s="32"/>
      <c r="L140" s="157"/>
      <c r="M140" s="157"/>
      <c r="N140" s="146"/>
    </row>
    <row r="141" spans="1:15" x14ac:dyDescent="0.2">
      <c r="A141" s="144"/>
      <c r="B141" s="144"/>
      <c r="C141" s="144"/>
      <c r="D141" s="144"/>
      <c r="E141" s="144"/>
      <c r="F141" s="144"/>
      <c r="G141" s="144"/>
      <c r="H141" s="144"/>
      <c r="I141" s="144"/>
      <c r="J141" s="144"/>
      <c r="K141" s="144"/>
      <c r="L141" s="144"/>
      <c r="M141" s="144"/>
      <c r="N141" s="144"/>
    </row>
    <row r="142" spans="1:15" ht="15.75" x14ac:dyDescent="0.25">
      <c r="B142" s="140"/>
      <c r="C142" s="140"/>
      <c r="D142" s="140"/>
      <c r="E142" s="140"/>
      <c r="F142" s="140"/>
      <c r="G142" s="140"/>
      <c r="H142" s="140"/>
      <c r="I142" s="140"/>
      <c r="J142" s="140"/>
      <c r="K142" s="140"/>
      <c r="L142" s="140"/>
      <c r="M142" s="140"/>
      <c r="N142" s="140"/>
    </row>
    <row r="143" spans="1:15" ht="15.75" x14ac:dyDescent="0.25">
      <c r="B143" s="155"/>
      <c r="C143" s="155"/>
      <c r="D143" s="155"/>
      <c r="E143" s="155"/>
      <c r="F143" s="155"/>
      <c r="G143" s="155"/>
      <c r="H143" s="155"/>
      <c r="I143" s="155"/>
      <c r="J143" s="155"/>
      <c r="K143" s="155"/>
      <c r="L143" s="155"/>
      <c r="M143" s="155"/>
      <c r="N143" s="155"/>
      <c r="O143" s="152"/>
    </row>
    <row r="144" spans="1:15" ht="15.75" x14ac:dyDescent="0.25">
      <c r="B144" s="155"/>
      <c r="C144" s="155"/>
      <c r="D144" s="155"/>
      <c r="E144" s="155"/>
      <c r="F144" s="155"/>
      <c r="G144" s="155"/>
      <c r="H144" s="155"/>
      <c r="I144" s="155"/>
      <c r="J144" s="155"/>
      <c r="K144" s="155"/>
      <c r="L144" s="155"/>
      <c r="M144" s="155"/>
      <c r="N144" s="155"/>
      <c r="O144" s="152"/>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650" priority="132">
      <formula>kvartal &lt; 4</formula>
    </cfRule>
  </conditionalFormatting>
  <conditionalFormatting sqref="B30">
    <cfRule type="expression" dxfId="649" priority="130">
      <formula>kvartal &lt; 4</formula>
    </cfRule>
  </conditionalFormatting>
  <conditionalFormatting sqref="B31">
    <cfRule type="expression" dxfId="648" priority="129">
      <formula>kvartal &lt; 4</formula>
    </cfRule>
  </conditionalFormatting>
  <conditionalFormatting sqref="B32:B33">
    <cfRule type="expression" dxfId="647" priority="128">
      <formula>kvartal &lt; 4</formula>
    </cfRule>
  </conditionalFormatting>
  <conditionalFormatting sqref="C30">
    <cfRule type="expression" dxfId="646" priority="127">
      <formula>kvartal &lt; 4</formula>
    </cfRule>
  </conditionalFormatting>
  <conditionalFormatting sqref="C31">
    <cfRule type="expression" dxfId="645" priority="126">
      <formula>kvartal &lt; 4</formula>
    </cfRule>
  </conditionalFormatting>
  <conditionalFormatting sqref="C32:C33">
    <cfRule type="expression" dxfId="644" priority="125">
      <formula>kvartal &lt; 4</formula>
    </cfRule>
  </conditionalFormatting>
  <conditionalFormatting sqref="B23:C26">
    <cfRule type="expression" dxfId="643" priority="124">
      <formula>kvartal &lt; 4</formula>
    </cfRule>
  </conditionalFormatting>
  <conditionalFormatting sqref="F23:G26">
    <cfRule type="expression" dxfId="642" priority="120">
      <formula>kvartal &lt; 4</formula>
    </cfRule>
  </conditionalFormatting>
  <conditionalFormatting sqref="F30">
    <cfRule type="expression" dxfId="641" priority="113">
      <formula>kvartal &lt; 4</formula>
    </cfRule>
  </conditionalFormatting>
  <conditionalFormatting sqref="F31">
    <cfRule type="expression" dxfId="640" priority="112">
      <formula>kvartal &lt; 4</formula>
    </cfRule>
  </conditionalFormatting>
  <conditionalFormatting sqref="F32:F33">
    <cfRule type="expression" dxfId="639" priority="111">
      <formula>kvartal &lt; 4</formula>
    </cfRule>
  </conditionalFormatting>
  <conditionalFormatting sqref="G30">
    <cfRule type="expression" dxfId="638" priority="110">
      <formula>kvartal &lt; 4</formula>
    </cfRule>
  </conditionalFormatting>
  <conditionalFormatting sqref="G31">
    <cfRule type="expression" dxfId="637" priority="109">
      <formula>kvartal &lt; 4</formula>
    </cfRule>
  </conditionalFormatting>
  <conditionalFormatting sqref="G32:G33">
    <cfRule type="expression" dxfId="636" priority="108">
      <formula>kvartal &lt; 4</formula>
    </cfRule>
  </conditionalFormatting>
  <conditionalFormatting sqref="B27">
    <cfRule type="expression" dxfId="635" priority="107">
      <formula>kvartal &lt; 4</formula>
    </cfRule>
  </conditionalFormatting>
  <conditionalFormatting sqref="C27">
    <cfRule type="expression" dxfId="634" priority="106">
      <formula>kvartal &lt; 4</formula>
    </cfRule>
  </conditionalFormatting>
  <conditionalFormatting sqref="F27">
    <cfRule type="expression" dxfId="633" priority="105">
      <formula>kvartal &lt; 4</formula>
    </cfRule>
  </conditionalFormatting>
  <conditionalFormatting sqref="G27">
    <cfRule type="expression" dxfId="632" priority="104">
      <formula>kvartal &lt; 4</formula>
    </cfRule>
  </conditionalFormatting>
  <conditionalFormatting sqref="J23:K27">
    <cfRule type="expression" dxfId="631" priority="103">
      <formula>kvartal &lt; 4</formula>
    </cfRule>
  </conditionalFormatting>
  <conditionalFormatting sqref="J30:K33">
    <cfRule type="expression" dxfId="630" priority="101">
      <formula>kvartal &lt; 4</formula>
    </cfRule>
  </conditionalFormatting>
  <conditionalFormatting sqref="B69">
    <cfRule type="expression" dxfId="629" priority="100">
      <formula>kvartal &lt; 4</formula>
    </cfRule>
  </conditionalFormatting>
  <conditionalFormatting sqref="C69">
    <cfRule type="expression" dxfId="628" priority="99">
      <formula>kvartal &lt; 4</formula>
    </cfRule>
  </conditionalFormatting>
  <conditionalFormatting sqref="B72">
    <cfRule type="expression" dxfId="627" priority="98">
      <formula>kvartal &lt; 4</formula>
    </cfRule>
  </conditionalFormatting>
  <conditionalFormatting sqref="C72">
    <cfRule type="expression" dxfId="626" priority="97">
      <formula>kvartal &lt; 4</formula>
    </cfRule>
  </conditionalFormatting>
  <conditionalFormatting sqref="B80">
    <cfRule type="expression" dxfId="625" priority="96">
      <formula>kvartal &lt; 4</formula>
    </cfRule>
  </conditionalFormatting>
  <conditionalFormatting sqref="C80">
    <cfRule type="expression" dxfId="624" priority="95">
      <formula>kvartal &lt; 4</formula>
    </cfRule>
  </conditionalFormatting>
  <conditionalFormatting sqref="B83">
    <cfRule type="expression" dxfId="623" priority="94">
      <formula>kvartal &lt; 4</formula>
    </cfRule>
  </conditionalFormatting>
  <conditionalFormatting sqref="C83">
    <cfRule type="expression" dxfId="622" priority="93">
      <formula>kvartal &lt; 4</formula>
    </cfRule>
  </conditionalFormatting>
  <conditionalFormatting sqref="B90">
    <cfRule type="expression" dxfId="621" priority="84">
      <formula>kvartal &lt; 4</formula>
    </cfRule>
  </conditionalFormatting>
  <conditionalFormatting sqref="C90">
    <cfRule type="expression" dxfId="620" priority="83">
      <formula>kvartal &lt; 4</formula>
    </cfRule>
  </conditionalFormatting>
  <conditionalFormatting sqref="B93">
    <cfRule type="expression" dxfId="619" priority="82">
      <formula>kvartal &lt; 4</formula>
    </cfRule>
  </conditionalFormatting>
  <conditionalFormatting sqref="C93">
    <cfRule type="expression" dxfId="618" priority="81">
      <formula>kvartal &lt; 4</formula>
    </cfRule>
  </conditionalFormatting>
  <conditionalFormatting sqref="B101">
    <cfRule type="expression" dxfId="617" priority="80">
      <formula>kvartal &lt; 4</formula>
    </cfRule>
  </conditionalFormatting>
  <conditionalFormatting sqref="C101">
    <cfRule type="expression" dxfId="616" priority="79">
      <formula>kvartal &lt; 4</formula>
    </cfRule>
  </conditionalFormatting>
  <conditionalFormatting sqref="B104">
    <cfRule type="expression" dxfId="615" priority="78">
      <formula>kvartal &lt; 4</formula>
    </cfRule>
  </conditionalFormatting>
  <conditionalFormatting sqref="C104">
    <cfRule type="expression" dxfId="614" priority="77">
      <formula>kvartal &lt; 4</formula>
    </cfRule>
  </conditionalFormatting>
  <conditionalFormatting sqref="B115">
    <cfRule type="expression" dxfId="613" priority="76">
      <formula>kvartal &lt; 4</formula>
    </cfRule>
  </conditionalFormatting>
  <conditionalFormatting sqref="C115">
    <cfRule type="expression" dxfId="612" priority="75">
      <formula>kvartal &lt; 4</formula>
    </cfRule>
  </conditionalFormatting>
  <conditionalFormatting sqref="B123">
    <cfRule type="expression" dxfId="611" priority="74">
      <formula>kvartal &lt; 4</formula>
    </cfRule>
  </conditionalFormatting>
  <conditionalFormatting sqref="C123">
    <cfRule type="expression" dxfId="610" priority="73">
      <formula>kvartal &lt; 4</formula>
    </cfRule>
  </conditionalFormatting>
  <conditionalFormatting sqref="F70">
    <cfRule type="expression" dxfId="609" priority="72">
      <formula>kvartal &lt; 4</formula>
    </cfRule>
  </conditionalFormatting>
  <conditionalFormatting sqref="G70">
    <cfRule type="expression" dxfId="608" priority="71">
      <formula>kvartal &lt; 4</formula>
    </cfRule>
  </conditionalFormatting>
  <conditionalFormatting sqref="F71:G71">
    <cfRule type="expression" dxfId="607" priority="70">
      <formula>kvartal &lt; 4</formula>
    </cfRule>
  </conditionalFormatting>
  <conditionalFormatting sqref="F73:G74">
    <cfRule type="expression" dxfId="606" priority="69">
      <formula>kvartal &lt; 4</formula>
    </cfRule>
  </conditionalFormatting>
  <conditionalFormatting sqref="F81:G82">
    <cfRule type="expression" dxfId="605" priority="68">
      <formula>kvartal &lt; 4</formula>
    </cfRule>
  </conditionalFormatting>
  <conditionalFormatting sqref="F84:G85">
    <cfRule type="expression" dxfId="604" priority="67">
      <formula>kvartal &lt; 4</formula>
    </cfRule>
  </conditionalFormatting>
  <conditionalFormatting sqref="F91:G92">
    <cfRule type="expression" dxfId="603" priority="62">
      <formula>kvartal &lt; 4</formula>
    </cfRule>
  </conditionalFormatting>
  <conditionalFormatting sqref="F94:G95">
    <cfRule type="expression" dxfId="602" priority="61">
      <formula>kvartal &lt; 4</formula>
    </cfRule>
  </conditionalFormatting>
  <conditionalFormatting sqref="F102:G103">
    <cfRule type="expression" dxfId="601" priority="60">
      <formula>kvartal &lt; 4</formula>
    </cfRule>
  </conditionalFormatting>
  <conditionalFormatting sqref="F105:G106">
    <cfRule type="expression" dxfId="600" priority="59">
      <formula>kvartal &lt; 4</formula>
    </cfRule>
  </conditionalFormatting>
  <conditionalFormatting sqref="F115">
    <cfRule type="expression" dxfId="599" priority="58">
      <formula>kvartal &lt; 4</formula>
    </cfRule>
  </conditionalFormatting>
  <conditionalFormatting sqref="G115">
    <cfRule type="expression" dxfId="598" priority="57">
      <formula>kvartal &lt; 4</formula>
    </cfRule>
  </conditionalFormatting>
  <conditionalFormatting sqref="F123:G123">
    <cfRule type="expression" dxfId="597" priority="56">
      <formula>kvartal &lt; 4</formula>
    </cfRule>
  </conditionalFormatting>
  <conditionalFormatting sqref="F69:G69">
    <cfRule type="expression" dxfId="596" priority="55">
      <formula>kvartal &lt; 4</formula>
    </cfRule>
  </conditionalFormatting>
  <conditionalFormatting sqref="F72:G72">
    <cfRule type="expression" dxfId="595" priority="54">
      <formula>kvartal &lt; 4</formula>
    </cfRule>
  </conditionalFormatting>
  <conditionalFormatting sqref="F80:G80">
    <cfRule type="expression" dxfId="594" priority="53">
      <formula>kvartal &lt; 4</formula>
    </cfRule>
  </conditionalFormatting>
  <conditionalFormatting sqref="F83:G83">
    <cfRule type="expression" dxfId="593" priority="52">
      <formula>kvartal &lt; 4</formula>
    </cfRule>
  </conditionalFormatting>
  <conditionalFormatting sqref="F90:G90">
    <cfRule type="expression" dxfId="592" priority="46">
      <formula>kvartal &lt; 4</formula>
    </cfRule>
  </conditionalFormatting>
  <conditionalFormatting sqref="F93">
    <cfRule type="expression" dxfId="591" priority="45">
      <formula>kvartal &lt; 4</formula>
    </cfRule>
  </conditionalFormatting>
  <conditionalFormatting sqref="G93">
    <cfRule type="expression" dxfId="590" priority="44">
      <formula>kvartal &lt; 4</formula>
    </cfRule>
  </conditionalFormatting>
  <conditionalFormatting sqref="F101">
    <cfRule type="expression" dxfId="589" priority="43">
      <formula>kvartal &lt; 4</formula>
    </cfRule>
  </conditionalFormatting>
  <conditionalFormatting sqref="G101">
    <cfRule type="expression" dxfId="588" priority="42">
      <formula>kvartal &lt; 4</formula>
    </cfRule>
  </conditionalFormatting>
  <conditionalFormatting sqref="G104">
    <cfRule type="expression" dxfId="587" priority="41">
      <formula>kvartal &lt; 4</formula>
    </cfRule>
  </conditionalFormatting>
  <conditionalFormatting sqref="F104">
    <cfRule type="expression" dxfId="586" priority="40">
      <formula>kvartal &lt; 4</formula>
    </cfRule>
  </conditionalFormatting>
  <conditionalFormatting sqref="J69:K73">
    <cfRule type="expression" dxfId="585" priority="39">
      <formula>kvartal &lt; 4</formula>
    </cfRule>
  </conditionalFormatting>
  <conditionalFormatting sqref="J74:K74">
    <cfRule type="expression" dxfId="584" priority="38">
      <formula>kvartal &lt; 4</formula>
    </cfRule>
  </conditionalFormatting>
  <conditionalFormatting sqref="J80:K85">
    <cfRule type="expression" dxfId="583" priority="37">
      <formula>kvartal &lt; 4</formula>
    </cfRule>
  </conditionalFormatting>
  <conditionalFormatting sqref="J90:K95">
    <cfRule type="expression" dxfId="582" priority="34">
      <formula>kvartal &lt; 4</formula>
    </cfRule>
  </conditionalFormatting>
  <conditionalFormatting sqref="J101:K106">
    <cfRule type="expression" dxfId="581" priority="33">
      <formula>kvartal &lt; 4</formula>
    </cfRule>
  </conditionalFormatting>
  <conditionalFormatting sqref="J115:K115">
    <cfRule type="expression" dxfId="580" priority="32">
      <formula>kvartal &lt; 4</formula>
    </cfRule>
  </conditionalFormatting>
  <conditionalFormatting sqref="J123:K123">
    <cfRule type="expression" dxfId="579" priority="31">
      <formula>kvartal &lt; 4</formula>
    </cfRule>
  </conditionalFormatting>
  <conditionalFormatting sqref="A23:A26">
    <cfRule type="expression" dxfId="578" priority="15">
      <formula>kvartal &lt; 4</formula>
    </cfRule>
  </conditionalFormatting>
  <conditionalFormatting sqref="A30:A33">
    <cfRule type="expression" dxfId="577" priority="13">
      <formula>kvartal &lt; 4</formula>
    </cfRule>
  </conditionalFormatting>
  <conditionalFormatting sqref="A50:A52">
    <cfRule type="expression" dxfId="576" priority="12">
      <formula>kvartal &lt; 4</formula>
    </cfRule>
  </conditionalFormatting>
  <conditionalFormatting sqref="A69:A74">
    <cfRule type="expression" dxfId="575" priority="10">
      <formula>kvartal &lt; 4</formula>
    </cfRule>
  </conditionalFormatting>
  <conditionalFormatting sqref="A80:A85">
    <cfRule type="expression" dxfId="574" priority="9">
      <formula>kvartal &lt; 4</formula>
    </cfRule>
  </conditionalFormatting>
  <conditionalFormatting sqref="A90:A95">
    <cfRule type="expression" dxfId="573" priority="6">
      <formula>kvartal &lt; 4</formula>
    </cfRule>
  </conditionalFormatting>
  <conditionalFormatting sqref="A101:A106">
    <cfRule type="expression" dxfId="572" priority="5">
      <formula>kvartal &lt; 4</formula>
    </cfRule>
  </conditionalFormatting>
  <conditionalFormatting sqref="A115">
    <cfRule type="expression" dxfId="571" priority="4">
      <formula>kvartal &lt; 4</formula>
    </cfRule>
  </conditionalFormatting>
  <conditionalFormatting sqref="A123">
    <cfRule type="expression" dxfId="570" priority="3">
      <formula>kvartal &lt; 4</formula>
    </cfRule>
  </conditionalFormatting>
  <conditionalFormatting sqref="A27">
    <cfRule type="expression" dxfId="569" priority="2">
      <formula>kvartal &lt; 4</formula>
    </cfRule>
  </conditionalFormatting>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7"/>
  <dimension ref="A1:O144"/>
  <sheetViews>
    <sheetView showGridLines="0" zoomScale="90" zoomScaleNormal="90" workbookViewId="0"/>
  </sheetViews>
  <sheetFormatPr baseColWidth="10" defaultColWidth="11.42578125" defaultRowHeight="12.75" x14ac:dyDescent="0.2"/>
  <cols>
    <col min="1" max="1" width="41.5703125" style="147" customWidth="1"/>
    <col min="2" max="2" width="10.85546875" style="147" customWidth="1"/>
    <col min="3" max="3" width="11" style="147" customWidth="1"/>
    <col min="4" max="5" width="8.7109375" style="147" customWidth="1"/>
    <col min="6" max="7" width="10.85546875" style="147" customWidth="1"/>
    <col min="8" max="9" width="8.7109375" style="147" customWidth="1"/>
    <col min="10" max="11" width="10.85546875" style="147" customWidth="1"/>
    <col min="12" max="13" width="8.7109375" style="147" customWidth="1"/>
    <col min="14" max="14" width="11.42578125" style="147"/>
    <col min="15" max="15" width="3" style="146" bestFit="1" customWidth="1"/>
    <col min="16" max="16384" width="11.42578125" style="1"/>
  </cols>
  <sheetData>
    <row r="1" spans="1:15" x14ac:dyDescent="0.2">
      <c r="A1" s="170" t="s">
        <v>152</v>
      </c>
      <c r="B1" s="932"/>
      <c r="C1" s="247" t="s">
        <v>78</v>
      </c>
      <c r="D1" s="25"/>
      <c r="E1" s="25"/>
      <c r="F1" s="25"/>
      <c r="G1" s="25"/>
      <c r="H1" s="25"/>
      <c r="I1" s="25"/>
      <c r="J1" s="25"/>
      <c r="K1" s="25"/>
      <c r="L1" s="25"/>
      <c r="M1" s="25"/>
      <c r="O1" s="423"/>
    </row>
    <row r="2" spans="1:15" ht="15.75" x14ac:dyDescent="0.25">
      <c r="A2" s="163" t="s">
        <v>31</v>
      </c>
      <c r="B2" s="965"/>
      <c r="C2" s="965"/>
      <c r="D2" s="965"/>
      <c r="E2" s="297"/>
      <c r="F2" s="965"/>
      <c r="G2" s="965"/>
      <c r="H2" s="965"/>
      <c r="I2" s="297"/>
      <c r="J2" s="965"/>
      <c r="K2" s="965"/>
      <c r="L2" s="965"/>
      <c r="M2" s="297"/>
    </row>
    <row r="3" spans="1:15" ht="15.75" x14ac:dyDescent="0.25">
      <c r="A3" s="161"/>
      <c r="B3" s="297"/>
      <c r="C3" s="297"/>
      <c r="D3" s="297"/>
      <c r="E3" s="297"/>
      <c r="F3" s="297"/>
      <c r="G3" s="297"/>
      <c r="H3" s="297"/>
      <c r="I3" s="297"/>
      <c r="J3" s="297"/>
      <c r="K3" s="297"/>
      <c r="L3" s="297"/>
      <c r="M3" s="297"/>
    </row>
    <row r="4" spans="1:15" x14ac:dyDescent="0.2">
      <c r="A4" s="142"/>
      <c r="B4" s="960" t="s">
        <v>0</v>
      </c>
      <c r="C4" s="961"/>
      <c r="D4" s="961"/>
      <c r="E4" s="299"/>
      <c r="F4" s="960" t="s">
        <v>1</v>
      </c>
      <c r="G4" s="961"/>
      <c r="H4" s="961"/>
      <c r="I4" s="302"/>
      <c r="J4" s="960" t="s">
        <v>2</v>
      </c>
      <c r="K4" s="961"/>
      <c r="L4" s="961"/>
      <c r="M4" s="302"/>
    </row>
    <row r="5" spans="1:15" x14ac:dyDescent="0.2">
      <c r="A5" s="156"/>
      <c r="B5" s="150" t="s">
        <v>504</v>
      </c>
      <c r="C5" s="150" t="s">
        <v>505</v>
      </c>
      <c r="D5" s="243" t="s">
        <v>3</v>
      </c>
      <c r="E5" s="303" t="s">
        <v>32</v>
      </c>
      <c r="F5" s="150" t="s">
        <v>504</v>
      </c>
      <c r="G5" s="150" t="s">
        <v>505</v>
      </c>
      <c r="H5" s="243" t="s">
        <v>3</v>
      </c>
      <c r="I5" s="160" t="s">
        <v>32</v>
      </c>
      <c r="J5" s="150" t="s">
        <v>504</v>
      </c>
      <c r="K5" s="150" t="s">
        <v>505</v>
      </c>
      <c r="L5" s="243" t="s">
        <v>3</v>
      </c>
      <c r="M5" s="160" t="s">
        <v>32</v>
      </c>
      <c r="O5" s="931"/>
    </row>
    <row r="6" spans="1:15" x14ac:dyDescent="0.2">
      <c r="A6" s="933"/>
      <c r="B6" s="154"/>
      <c r="C6" s="154"/>
      <c r="D6" s="245" t="s">
        <v>4</v>
      </c>
      <c r="E6" s="154" t="s">
        <v>33</v>
      </c>
      <c r="F6" s="159"/>
      <c r="G6" s="159"/>
      <c r="H6" s="243" t="s">
        <v>4</v>
      </c>
      <c r="I6" s="154" t="s">
        <v>33</v>
      </c>
      <c r="J6" s="159"/>
      <c r="K6" s="159"/>
      <c r="L6" s="243" t="s">
        <v>4</v>
      </c>
      <c r="M6" s="154" t="s">
        <v>33</v>
      </c>
    </row>
    <row r="7" spans="1:15" ht="15.75" x14ac:dyDescent="0.2">
      <c r="A7" s="14" t="s">
        <v>26</v>
      </c>
      <c r="B7" s="304"/>
      <c r="C7" s="305"/>
      <c r="D7" s="348"/>
      <c r="E7" s="11"/>
      <c r="F7" s="304">
        <v>171895</v>
      </c>
      <c r="G7" s="305">
        <v>122667</v>
      </c>
      <c r="H7" s="348">
        <f>IF(F7=0, "    ---- ", IF(ABS(ROUND(100/F7*G7-100,1))&lt;999,ROUND(100/F7*G7-100,1),IF(ROUND(100/F7*G7-100,1)&gt;999,999,-999)))</f>
        <v>-28.6</v>
      </c>
      <c r="I7" s="158">
        <f>IFERROR(100/'Skjema total MA'!F7*G7,0)</f>
        <v>1.3927406594591027</v>
      </c>
      <c r="J7" s="306">
        <v>171895</v>
      </c>
      <c r="K7" s="307">
        <v>122667</v>
      </c>
      <c r="L7" s="424">
        <f>IF(J7=0, "    ---- ", IF(ABS(ROUND(100/J7*K7-100,1))&lt;999,ROUND(100/J7*K7-100,1),IF(ROUND(100/J7*K7-100,1)&gt;999,999,-999)))</f>
        <v>-28.6</v>
      </c>
      <c r="M7" s="11">
        <f>IFERROR(100/'Skjema total MA'!I7*K7,0)</f>
        <v>0.91057559741545113</v>
      </c>
    </row>
    <row r="8" spans="1:15" ht="15.75" x14ac:dyDescent="0.2">
      <c r="A8" s="20" t="s">
        <v>28</v>
      </c>
      <c r="B8" s="279"/>
      <c r="C8" s="280"/>
      <c r="D8" s="164"/>
      <c r="E8" s="26"/>
      <c r="F8" s="283"/>
      <c r="G8" s="284"/>
      <c r="H8" s="164"/>
      <c r="I8" s="174"/>
      <c r="J8" s="232"/>
      <c r="K8" s="285"/>
      <c r="L8" s="164"/>
      <c r="M8" s="26"/>
    </row>
    <row r="9" spans="1:15" ht="15.75" x14ac:dyDescent="0.2">
      <c r="A9" s="20" t="s">
        <v>27</v>
      </c>
      <c r="B9" s="279"/>
      <c r="C9" s="280"/>
      <c r="D9" s="164"/>
      <c r="E9" s="26"/>
      <c r="F9" s="283"/>
      <c r="G9" s="284"/>
      <c r="H9" s="164"/>
      <c r="I9" s="174"/>
      <c r="J9" s="232"/>
      <c r="K9" s="285"/>
      <c r="L9" s="164"/>
      <c r="M9" s="26"/>
    </row>
    <row r="10" spans="1:15" ht="15.75" x14ac:dyDescent="0.2">
      <c r="A10" s="13" t="s">
        <v>25</v>
      </c>
      <c r="B10" s="308"/>
      <c r="C10" s="309"/>
      <c r="D10" s="169"/>
      <c r="E10" s="11"/>
      <c r="F10" s="308">
        <v>751634</v>
      </c>
      <c r="G10" s="309">
        <v>785113</v>
      </c>
      <c r="H10" s="169">
        <f t="shared" ref="H10:H12" si="0">IF(F10=0, "    ---- ", IF(ABS(ROUND(100/F10*G10-100,1))&lt;999,ROUND(100/F10*G10-100,1),IF(ROUND(100/F10*G10-100,1)&gt;999,999,-999)))</f>
        <v>4.5</v>
      </c>
      <c r="I10" s="158">
        <f>IFERROR(100/'Skjema total MA'!F10*G10,0)</f>
        <v>1.856927128748221</v>
      </c>
      <c r="J10" s="306">
        <v>751634</v>
      </c>
      <c r="K10" s="307">
        <v>785113</v>
      </c>
      <c r="L10" s="425">
        <f t="shared" ref="L10:L12" si="1">IF(J10=0, "    ---- ", IF(ABS(ROUND(100/J10*K10-100,1))&lt;999,ROUND(100/J10*K10-100,1),IF(ROUND(100/J10*K10-100,1)&gt;999,999,-999)))</f>
        <v>4.5</v>
      </c>
      <c r="M10" s="11">
        <f>IFERROR(100/'Skjema total MA'!I10*K10,0)</f>
        <v>1.1838552810502614</v>
      </c>
    </row>
    <row r="11" spans="1:15" s="42" customFormat="1" ht="15.75" x14ac:dyDescent="0.2">
      <c r="A11" s="13" t="s">
        <v>24</v>
      </c>
      <c r="B11" s="308"/>
      <c r="C11" s="309"/>
      <c r="D11" s="169"/>
      <c r="E11" s="11"/>
      <c r="F11" s="308">
        <v>7321</v>
      </c>
      <c r="G11" s="309">
        <v>9549.5589999999993</v>
      </c>
      <c r="H11" s="169">
        <f t="shared" si="0"/>
        <v>30.4</v>
      </c>
      <c r="I11" s="158">
        <f>IFERROR(100/'Skjema total MA'!F11*G11,0)</f>
        <v>3.6150262695012803</v>
      </c>
      <c r="J11" s="306">
        <v>7321</v>
      </c>
      <c r="K11" s="307">
        <v>9549.5589999999993</v>
      </c>
      <c r="L11" s="425">
        <f t="shared" si="1"/>
        <v>30.4</v>
      </c>
      <c r="M11" s="11">
        <f>IFERROR(100/'Skjema total MA'!I11*K11,0)</f>
        <v>2.6549494393529458</v>
      </c>
      <c r="N11" s="141"/>
      <c r="O11" s="146"/>
    </row>
    <row r="12" spans="1:15" s="42" customFormat="1" ht="15.75" x14ac:dyDescent="0.2">
      <c r="A12" s="40" t="s">
        <v>23</v>
      </c>
      <c r="B12" s="310"/>
      <c r="C12" s="311"/>
      <c r="D12" s="167"/>
      <c r="E12" s="35"/>
      <c r="F12" s="310">
        <v>795</v>
      </c>
      <c r="G12" s="311">
        <v>4202</v>
      </c>
      <c r="H12" s="167">
        <f t="shared" si="0"/>
        <v>428.6</v>
      </c>
      <c r="I12" s="167">
        <f>IFERROR(100/'Skjema total MA'!F12*G12,0)</f>
        <v>2.3417442282964385</v>
      </c>
      <c r="J12" s="312">
        <v>795</v>
      </c>
      <c r="K12" s="313">
        <v>4202</v>
      </c>
      <c r="L12" s="426">
        <f t="shared" si="1"/>
        <v>428.6</v>
      </c>
      <c r="M12" s="35">
        <f>IFERROR(100/'Skjema total MA'!I12*K12,0)</f>
        <v>2.0171481943430662</v>
      </c>
      <c r="N12" s="141"/>
      <c r="O12" s="146"/>
    </row>
    <row r="13" spans="1:15" s="42" customFormat="1" x14ac:dyDescent="0.2">
      <c r="A13" s="166"/>
      <c r="B13" s="143"/>
      <c r="C13" s="32"/>
      <c r="D13" s="157"/>
      <c r="E13" s="157"/>
      <c r="F13" s="143"/>
      <c r="G13" s="32"/>
      <c r="H13" s="157"/>
      <c r="I13" s="157"/>
      <c r="J13" s="47"/>
      <c r="K13" s="47"/>
      <c r="L13" s="157"/>
      <c r="M13" s="157"/>
      <c r="N13" s="141"/>
      <c r="O13" s="423"/>
    </row>
    <row r="14" spans="1:15" x14ac:dyDescent="0.2">
      <c r="A14" s="151" t="s">
        <v>296</v>
      </c>
      <c r="B14" s="25"/>
    </row>
    <row r="15" spans="1:15" x14ac:dyDescent="0.2">
      <c r="F15" s="144"/>
      <c r="G15" s="144"/>
      <c r="H15" s="144"/>
      <c r="I15" s="144"/>
      <c r="J15" s="144"/>
      <c r="K15" s="144"/>
      <c r="L15" s="144"/>
      <c r="M15" s="144"/>
    </row>
    <row r="16" spans="1:15" s="3" customFormat="1" ht="15.75" x14ac:dyDescent="0.25">
      <c r="A16" s="162"/>
      <c r="B16" s="146"/>
      <c r="C16" s="152"/>
      <c r="D16" s="152"/>
      <c r="E16" s="152"/>
      <c r="F16" s="152"/>
      <c r="G16" s="152"/>
      <c r="H16" s="152"/>
      <c r="I16" s="152"/>
      <c r="J16" s="152"/>
      <c r="K16" s="152"/>
      <c r="L16" s="152"/>
      <c r="M16" s="152"/>
      <c r="N16" s="146"/>
      <c r="O16" s="146"/>
    </row>
    <row r="17" spans="1:15" ht="15.75" x14ac:dyDescent="0.25">
      <c r="A17" s="145" t="s">
        <v>293</v>
      </c>
      <c r="B17" s="155"/>
      <c r="C17" s="155"/>
      <c r="D17" s="149"/>
      <c r="E17" s="149"/>
      <c r="F17" s="155"/>
      <c r="G17" s="155"/>
      <c r="H17" s="155"/>
      <c r="I17" s="155"/>
      <c r="J17" s="155"/>
      <c r="K17" s="155"/>
      <c r="L17" s="155"/>
      <c r="M17" s="155"/>
    </row>
    <row r="18" spans="1:15" ht="15.75" x14ac:dyDescent="0.25">
      <c r="B18" s="963"/>
      <c r="C18" s="963"/>
      <c r="D18" s="963"/>
      <c r="E18" s="297"/>
      <c r="F18" s="963"/>
      <c r="G18" s="963"/>
      <c r="H18" s="963"/>
      <c r="I18" s="297"/>
      <c r="J18" s="963"/>
      <c r="K18" s="963"/>
      <c r="L18" s="963"/>
      <c r="M18" s="297"/>
    </row>
    <row r="19" spans="1:15" x14ac:dyDescent="0.2">
      <c r="A19" s="142"/>
      <c r="B19" s="960" t="s">
        <v>0</v>
      </c>
      <c r="C19" s="961"/>
      <c r="D19" s="961"/>
      <c r="E19" s="299"/>
      <c r="F19" s="960" t="s">
        <v>1</v>
      </c>
      <c r="G19" s="961"/>
      <c r="H19" s="961"/>
      <c r="I19" s="302"/>
      <c r="J19" s="960" t="s">
        <v>2</v>
      </c>
      <c r="K19" s="961"/>
      <c r="L19" s="961"/>
      <c r="M19" s="302"/>
    </row>
    <row r="20" spans="1:15" x14ac:dyDescent="0.2">
      <c r="A20" s="139" t="s">
        <v>5</v>
      </c>
      <c r="B20" s="240" t="s">
        <v>504</v>
      </c>
      <c r="C20" s="240" t="s">
        <v>505</v>
      </c>
      <c r="D20" s="160" t="s">
        <v>3</v>
      </c>
      <c r="E20" s="303" t="s">
        <v>32</v>
      </c>
      <c r="F20" s="240" t="s">
        <v>504</v>
      </c>
      <c r="G20" s="240" t="s">
        <v>505</v>
      </c>
      <c r="H20" s="160" t="s">
        <v>3</v>
      </c>
      <c r="I20" s="160" t="s">
        <v>32</v>
      </c>
      <c r="J20" s="240" t="s">
        <v>504</v>
      </c>
      <c r="K20" s="240" t="s">
        <v>505</v>
      </c>
      <c r="L20" s="160" t="s">
        <v>3</v>
      </c>
      <c r="M20" s="160" t="s">
        <v>32</v>
      </c>
    </row>
    <row r="21" spans="1:15" x14ac:dyDescent="0.2">
      <c r="A21" s="934"/>
      <c r="B21" s="154"/>
      <c r="C21" s="154"/>
      <c r="D21" s="245" t="s">
        <v>4</v>
      </c>
      <c r="E21" s="154" t="s">
        <v>33</v>
      </c>
      <c r="F21" s="159"/>
      <c r="G21" s="159"/>
      <c r="H21" s="243" t="s">
        <v>4</v>
      </c>
      <c r="I21" s="154" t="s">
        <v>33</v>
      </c>
      <c r="J21" s="159"/>
      <c r="K21" s="159"/>
      <c r="L21" s="154" t="s">
        <v>4</v>
      </c>
      <c r="M21" s="154" t="s">
        <v>33</v>
      </c>
    </row>
    <row r="22" spans="1:15" ht="15.75" x14ac:dyDescent="0.2">
      <c r="A22" s="14" t="s">
        <v>26</v>
      </c>
      <c r="B22" s="314"/>
      <c r="C22" s="314"/>
      <c r="D22" s="348"/>
      <c r="E22" s="11"/>
      <c r="F22" s="314">
        <f>F23+F24+F25+F26</f>
        <v>1129</v>
      </c>
      <c r="G22" s="314">
        <f>G23+G24+G25+G26</f>
        <v>46219.92</v>
      </c>
      <c r="H22" s="348">
        <f t="shared" ref="H22:H35" si="2">IF(F22=0, "    ---- ", IF(ABS(ROUND(100/F22*G22-100,1))&lt;999,ROUND(100/F22*G22-100,1),IF(ROUND(100/F22*G22-100,1)&gt;999,999,-999)))</f>
        <v>999</v>
      </c>
      <c r="I22" s="11">
        <f>IFERROR(100/'Skjema total MA'!F22*G22,0)</f>
        <v>3.9833060380556344</v>
      </c>
      <c r="J22" s="314">
        <f t="shared" ref="J22:K35" si="3">SUM(B22,F22)</f>
        <v>1129</v>
      </c>
      <c r="K22" s="314">
        <f t="shared" si="3"/>
        <v>46219.92</v>
      </c>
      <c r="L22" s="424">
        <f t="shared" ref="L22:L35" si="4">IF(J22=0, "    ---- ", IF(ABS(ROUND(100/J22*K22-100,1))&lt;999,ROUND(100/J22*K22-100,1),IF(ROUND(100/J22*K22-100,1)&gt;999,999,-999)))</f>
        <v>999</v>
      </c>
      <c r="M22" s="23">
        <f>IFERROR(100/'Skjema total MA'!I22*K22,0)</f>
        <v>1.6555988095341578</v>
      </c>
    </row>
    <row r="23" spans="1:15" ht="15.75" x14ac:dyDescent="0.2">
      <c r="A23" s="294" t="s">
        <v>305</v>
      </c>
      <c r="B23" s="288"/>
      <c r="C23" s="288"/>
      <c r="D23" s="164"/>
      <c r="E23" s="414"/>
      <c r="F23" s="288">
        <v>1129</v>
      </c>
      <c r="G23" s="288">
        <v>760</v>
      </c>
      <c r="H23" s="253">
        <f t="shared" si="2"/>
        <v>-32.700000000000003</v>
      </c>
      <c r="I23" s="414">
        <f>IFERROR(100/'Skjema total MA'!F23*G23,0)</f>
        <v>0.49473252954167468</v>
      </c>
      <c r="J23" s="285">
        <f t="shared" si="3"/>
        <v>1129</v>
      </c>
      <c r="K23" s="43">
        <f t="shared" si="3"/>
        <v>760</v>
      </c>
      <c r="L23" s="253">
        <f t="shared" si="4"/>
        <v>-32.700000000000003</v>
      </c>
      <c r="M23" s="22">
        <f>IFERROR(100/'Skjema total MA'!I23*K23,0)</f>
        <v>4.4302915653511174E-2</v>
      </c>
    </row>
    <row r="24" spans="1:15" ht="15.75" x14ac:dyDescent="0.2">
      <c r="A24" s="294" t="s">
        <v>306</v>
      </c>
      <c r="B24" s="288"/>
      <c r="C24" s="288"/>
      <c r="D24" s="164"/>
      <c r="E24" s="414"/>
      <c r="F24" s="288"/>
      <c r="G24" s="288"/>
      <c r="H24" s="164"/>
      <c r="I24" s="414"/>
      <c r="J24" s="288"/>
      <c r="K24" s="288"/>
      <c r="L24" s="164"/>
      <c r="M24" s="22"/>
    </row>
    <row r="25" spans="1:15" ht="15.75" x14ac:dyDescent="0.2">
      <c r="A25" s="294" t="s">
        <v>406</v>
      </c>
      <c r="B25" s="288"/>
      <c r="C25" s="288"/>
      <c r="D25" s="164"/>
      <c r="E25" s="414"/>
      <c r="F25" s="288"/>
      <c r="G25" s="288"/>
      <c r="H25" s="164"/>
      <c r="I25" s="414"/>
      <c r="J25" s="288"/>
      <c r="K25" s="288"/>
      <c r="L25" s="164"/>
      <c r="M25" s="22"/>
    </row>
    <row r="26" spans="1:15" ht="15.75" x14ac:dyDescent="0.2">
      <c r="A26" s="294" t="s">
        <v>307</v>
      </c>
      <c r="B26" s="288"/>
      <c r="C26" s="288"/>
      <c r="D26" s="164"/>
      <c r="E26" s="414"/>
      <c r="F26" s="288">
        <v>0</v>
      </c>
      <c r="G26" s="288">
        <v>45459.92</v>
      </c>
      <c r="H26" s="253" t="str">
        <f t="shared" ref="H26" si="5">IF(F26=0, "    ---- ", IF(ABS(ROUND(100/F26*G26-100,1))&lt;999,ROUND(100/F26*G26-100,1),IF(ROUND(100/F26*G26-100,1)&gt;999,999,-999)))</f>
        <v xml:space="preserve">    ---- </v>
      </c>
      <c r="I26" s="414">
        <f>IFERROR(100/'Skjema total MA'!F26*G26,0)</f>
        <v>5.6606414163487289</v>
      </c>
      <c r="J26" s="285">
        <f t="shared" ref="J26" si="6">SUM(B26,F26)</f>
        <v>0</v>
      </c>
      <c r="K26" s="43">
        <f t="shared" ref="K26" si="7">SUM(C26,G26)</f>
        <v>45459.92</v>
      </c>
      <c r="L26" s="253" t="str">
        <f t="shared" ref="L26" si="8">IF(J26=0, "    ---- ", IF(ABS(ROUND(100/J26*K26-100,1))&lt;999,ROUND(100/J26*K26-100,1),IF(ROUND(100/J26*K26-100,1)&gt;999,999,-999)))</f>
        <v xml:space="preserve">    ---- </v>
      </c>
      <c r="M26" s="22">
        <f>IFERROR(100/'Skjema total MA'!I26*K26,0)</f>
        <v>5.6606414163487289</v>
      </c>
    </row>
    <row r="27" spans="1:15" x14ac:dyDescent="0.2">
      <c r="A27" s="294" t="s">
        <v>11</v>
      </c>
      <c r="B27" s="288"/>
      <c r="C27" s="288"/>
      <c r="D27" s="164"/>
      <c r="E27" s="414"/>
      <c r="F27" s="288"/>
      <c r="G27" s="288"/>
      <c r="H27" s="164"/>
      <c r="I27" s="414"/>
      <c r="J27" s="288"/>
      <c r="K27" s="288"/>
      <c r="L27" s="164"/>
      <c r="M27" s="22"/>
    </row>
    <row r="28" spans="1:15" ht="15.75" x14ac:dyDescent="0.2">
      <c r="A28" s="48" t="s">
        <v>297</v>
      </c>
      <c r="B28" s="43"/>
      <c r="C28" s="285"/>
      <c r="D28" s="164"/>
      <c r="E28" s="26"/>
      <c r="F28" s="232"/>
      <c r="G28" s="285"/>
      <c r="H28" s="164"/>
      <c r="I28" s="26"/>
      <c r="J28" s="43"/>
      <c r="K28" s="43"/>
      <c r="L28" s="253"/>
      <c r="M28" s="22"/>
    </row>
    <row r="29" spans="1:15" s="3" customFormat="1" ht="15.75" x14ac:dyDescent="0.2">
      <c r="A29" s="13" t="s">
        <v>25</v>
      </c>
      <c r="B29" s="234"/>
      <c r="C29" s="234"/>
      <c r="D29" s="169"/>
      <c r="E29" s="11"/>
      <c r="F29" s="234">
        <f>F30+F31+F32+F33</f>
        <v>849443</v>
      </c>
      <c r="G29" s="234">
        <f>G30+G31+G32+G33</f>
        <v>912522</v>
      </c>
      <c r="H29" s="169">
        <f t="shared" si="2"/>
        <v>7.4</v>
      </c>
      <c r="I29" s="11">
        <f>IFERROR(100/'Skjema total MA'!F29*G29,0)</f>
        <v>4.4060437454011767</v>
      </c>
      <c r="J29" s="234">
        <f t="shared" si="3"/>
        <v>849443</v>
      </c>
      <c r="K29" s="234">
        <f t="shared" si="3"/>
        <v>912522</v>
      </c>
      <c r="L29" s="425">
        <f t="shared" si="4"/>
        <v>7.4</v>
      </c>
      <c r="M29" s="23">
        <f>IFERROR(100/'Skjema total MA'!I29*K29,0)</f>
        <v>1.3007183667322895</v>
      </c>
      <c r="N29" s="146"/>
      <c r="O29" s="146"/>
    </row>
    <row r="30" spans="1:15" s="3" customFormat="1" ht="15.75" x14ac:dyDescent="0.2">
      <c r="A30" s="294" t="s">
        <v>305</v>
      </c>
      <c r="B30" s="288"/>
      <c r="C30" s="288"/>
      <c r="D30" s="164"/>
      <c r="E30" s="414"/>
      <c r="F30" s="288">
        <v>129470</v>
      </c>
      <c r="G30" s="288">
        <v>131692</v>
      </c>
      <c r="H30" s="253">
        <f t="shared" si="2"/>
        <v>1.7</v>
      </c>
      <c r="I30" s="414">
        <f>IFERROR(100/'Skjema total MA'!F30*G30,0)</f>
        <v>2.9266565052057336</v>
      </c>
      <c r="J30" s="285">
        <f t="shared" si="3"/>
        <v>129470</v>
      </c>
      <c r="K30" s="43">
        <f t="shared" si="3"/>
        <v>131692</v>
      </c>
      <c r="L30" s="253">
        <f t="shared" si="4"/>
        <v>1.7</v>
      </c>
      <c r="M30" s="22">
        <f>IFERROR(100/'Skjema total MA'!I30*K30,0)</f>
        <v>0.75852522895418073</v>
      </c>
      <c r="N30" s="146"/>
      <c r="O30" s="146"/>
    </row>
    <row r="31" spans="1:15" s="3" customFormat="1" ht="15.75" x14ac:dyDescent="0.2">
      <c r="A31" s="294" t="s">
        <v>306</v>
      </c>
      <c r="B31" s="288"/>
      <c r="C31" s="288"/>
      <c r="D31" s="164"/>
      <c r="E31" s="414"/>
      <c r="F31" s="288">
        <v>719973</v>
      </c>
      <c r="G31" s="288">
        <v>735124</v>
      </c>
      <c r="H31" s="253">
        <f t="shared" si="2"/>
        <v>2.1</v>
      </c>
      <c r="I31" s="414">
        <f>IFERROR(100/'Skjema total MA'!F31*G31,0)</f>
        <v>6.5305529587165037</v>
      </c>
      <c r="J31" s="285">
        <f t="shared" si="3"/>
        <v>719973</v>
      </c>
      <c r="K31" s="43">
        <f t="shared" si="3"/>
        <v>735124</v>
      </c>
      <c r="L31" s="253">
        <f t="shared" ref="L31" si="9">IF(J31=0, "    ---- ", IF(ABS(ROUND(100/J31*K31-100,1))&lt;999,ROUND(100/J31*K31-100,1),IF(ROUND(100/J31*K31-100,1)&gt;999,999,-999)))</f>
        <v>2.1</v>
      </c>
      <c r="M31" s="22">
        <f>IFERROR(100/'Skjema total MA'!I31*K31,0)</f>
        <v>1.5829568015434259</v>
      </c>
      <c r="N31" s="146"/>
      <c r="O31" s="146"/>
    </row>
    <row r="32" spans="1:15" ht="15.75" x14ac:dyDescent="0.2">
      <c r="A32" s="294" t="s">
        <v>406</v>
      </c>
      <c r="B32" s="288"/>
      <c r="C32" s="288"/>
      <c r="D32" s="164"/>
      <c r="E32" s="414"/>
      <c r="F32" s="288"/>
      <c r="G32" s="288"/>
      <c r="H32" s="164"/>
      <c r="I32" s="414"/>
      <c r="J32" s="288"/>
      <c r="K32" s="288"/>
      <c r="L32" s="164"/>
      <c r="M32" s="22"/>
    </row>
    <row r="33" spans="1:15" ht="15.75" x14ac:dyDescent="0.2">
      <c r="A33" s="294" t="s">
        <v>307</v>
      </c>
      <c r="B33" s="288"/>
      <c r="C33" s="288"/>
      <c r="D33" s="164"/>
      <c r="E33" s="414"/>
      <c r="F33" s="288">
        <v>0</v>
      </c>
      <c r="G33" s="288">
        <v>45706</v>
      </c>
      <c r="H33" s="253" t="str">
        <f t="shared" ref="H33" si="10">IF(F33=0, "    ---- ", IF(ABS(ROUND(100/F33*G33-100,1))&lt;999,ROUND(100/F33*G33-100,1),IF(ROUND(100/F33*G33-100,1)&gt;999,999,-999)))</f>
        <v xml:space="preserve">    ---- </v>
      </c>
      <c r="I33" s="414">
        <f>IFERROR(100/'Skjema total MA'!F34*G33,0)</f>
        <v>252.22507647117104</v>
      </c>
      <c r="J33" s="285">
        <f t="shared" ref="J33" si="11">SUM(B33,F33)</f>
        <v>0</v>
      </c>
      <c r="K33" s="43">
        <f t="shared" ref="K33" si="12">SUM(C33,G33)</f>
        <v>45706</v>
      </c>
      <c r="L33" s="253" t="str">
        <f t="shared" ref="L33" si="13">IF(J33=0, "    ---- ", IF(ABS(ROUND(100/J33*K33-100,1))&lt;999,ROUND(100/J33*K33-100,1),IF(ROUND(100/J33*K33-100,1)&gt;999,999,-999)))</f>
        <v xml:space="preserve">    ---- </v>
      </c>
      <c r="M33" s="22">
        <f>IFERROR(100/'Skjema total MA'!I34*K33,0)</f>
        <v>77.39992118220357</v>
      </c>
    </row>
    <row r="34" spans="1:15" ht="15.75" x14ac:dyDescent="0.2">
      <c r="A34" s="13" t="s">
        <v>24</v>
      </c>
      <c r="B34" s="234"/>
      <c r="C34" s="307"/>
      <c r="D34" s="169"/>
      <c r="E34" s="11"/>
      <c r="F34" s="306">
        <v>8129</v>
      </c>
      <c r="G34" s="307">
        <v>7776.2539999999999</v>
      </c>
      <c r="H34" s="169">
        <f t="shared" si="2"/>
        <v>-4.3</v>
      </c>
      <c r="I34" s="11">
        <f>IFERROR(100/'Skjema total MA'!F34*G34,0)</f>
        <v>42.912664853832091</v>
      </c>
      <c r="J34" s="234">
        <f t="shared" si="3"/>
        <v>8129</v>
      </c>
      <c r="K34" s="234">
        <f t="shared" si="3"/>
        <v>7776.2539999999999</v>
      </c>
      <c r="L34" s="425">
        <f t="shared" si="4"/>
        <v>-4.3</v>
      </c>
      <c r="M34" s="23">
        <f>IFERROR(100/'Skjema total MA'!I34*K34,0)</f>
        <v>13.168543444904286</v>
      </c>
    </row>
    <row r="35" spans="1:15" ht="15.75" x14ac:dyDescent="0.2">
      <c r="A35" s="13" t="s">
        <v>23</v>
      </c>
      <c r="B35" s="234"/>
      <c r="C35" s="307"/>
      <c r="D35" s="169"/>
      <c r="E35" s="11"/>
      <c r="F35" s="306">
        <v>3383</v>
      </c>
      <c r="G35" s="307">
        <v>18739</v>
      </c>
      <c r="H35" s="169">
        <f t="shared" si="2"/>
        <v>453.9</v>
      </c>
      <c r="I35" s="11">
        <f>IFERROR(100/'Skjema total MA'!F35*G35,0)</f>
        <v>20.390103317390164</v>
      </c>
      <c r="J35" s="234">
        <f t="shared" si="3"/>
        <v>3383</v>
      </c>
      <c r="K35" s="234">
        <f t="shared" si="3"/>
        <v>18739</v>
      </c>
      <c r="L35" s="425">
        <f t="shared" si="4"/>
        <v>453.9</v>
      </c>
      <c r="M35" s="23">
        <f>IFERROR(100/'Skjema total MA'!I35*K35,0)</f>
        <v>71.344680200063834</v>
      </c>
    </row>
    <row r="36" spans="1:15" ht="15.75" x14ac:dyDescent="0.2">
      <c r="A36" s="12" t="s">
        <v>308</v>
      </c>
      <c r="B36" s="234"/>
      <c r="C36" s="307"/>
      <c r="D36" s="169"/>
      <c r="E36" s="11"/>
      <c r="F36" s="317"/>
      <c r="G36" s="318"/>
      <c r="H36" s="169"/>
      <c r="I36" s="431"/>
      <c r="J36" s="234"/>
      <c r="K36" s="234"/>
      <c r="L36" s="425"/>
      <c r="M36" s="23"/>
    </row>
    <row r="37" spans="1:15" ht="15.75" x14ac:dyDescent="0.2">
      <c r="A37" s="12" t="s">
        <v>309</v>
      </c>
      <c r="B37" s="234"/>
      <c r="C37" s="307"/>
      <c r="D37" s="169"/>
      <c r="E37" s="11"/>
      <c r="F37" s="317"/>
      <c r="G37" s="319"/>
      <c r="H37" s="169"/>
      <c r="I37" s="431"/>
      <c r="J37" s="234"/>
      <c r="K37" s="234"/>
      <c r="L37" s="425"/>
      <c r="M37" s="23"/>
    </row>
    <row r="38" spans="1:15" ht="15.75" x14ac:dyDescent="0.2">
      <c r="A38" s="12" t="s">
        <v>310</v>
      </c>
      <c r="B38" s="234"/>
      <c r="C38" s="307"/>
      <c r="D38" s="169"/>
      <c r="E38" s="11"/>
      <c r="F38" s="317"/>
      <c r="G38" s="318"/>
      <c r="H38" s="169"/>
      <c r="I38" s="431"/>
      <c r="J38" s="234"/>
      <c r="K38" s="234"/>
      <c r="L38" s="425"/>
      <c r="M38" s="23"/>
    </row>
    <row r="39" spans="1:15" ht="15.75" x14ac:dyDescent="0.2">
      <c r="A39" s="18" t="s">
        <v>311</v>
      </c>
      <c r="B39" s="274"/>
      <c r="C39" s="313"/>
      <c r="D39" s="167"/>
      <c r="E39" s="11"/>
      <c r="F39" s="320"/>
      <c r="G39" s="321"/>
      <c r="H39" s="167"/>
      <c r="I39" s="35"/>
      <c r="J39" s="234"/>
      <c r="K39" s="234"/>
      <c r="L39" s="426"/>
      <c r="M39" s="35"/>
    </row>
    <row r="40" spans="1:15" ht="15.75" x14ac:dyDescent="0.25">
      <c r="A40" s="46"/>
      <c r="B40" s="252"/>
      <c r="C40" s="252"/>
      <c r="D40" s="964"/>
      <c r="E40" s="964"/>
      <c r="F40" s="964"/>
      <c r="G40" s="964"/>
      <c r="H40" s="964"/>
      <c r="I40" s="964"/>
      <c r="J40" s="964"/>
      <c r="K40" s="964"/>
      <c r="L40" s="964"/>
      <c r="M40" s="300"/>
    </row>
    <row r="41" spans="1:15" x14ac:dyDescent="0.2">
      <c r="A41" s="153"/>
    </row>
    <row r="42" spans="1:15" ht="15.75" x14ac:dyDescent="0.25">
      <c r="A42" s="145" t="s">
        <v>294</v>
      </c>
      <c r="B42" s="965"/>
      <c r="C42" s="965"/>
      <c r="D42" s="965"/>
      <c r="E42" s="297"/>
      <c r="F42" s="966"/>
      <c r="G42" s="966"/>
      <c r="H42" s="966"/>
      <c r="I42" s="300"/>
      <c r="J42" s="966"/>
      <c r="K42" s="966"/>
      <c r="L42" s="966"/>
      <c r="M42" s="300"/>
    </row>
    <row r="43" spans="1:15" ht="15.75" x14ac:dyDescent="0.25">
      <c r="A43" s="161"/>
      <c r="B43" s="301"/>
      <c r="C43" s="301"/>
      <c r="D43" s="301"/>
      <c r="E43" s="301"/>
      <c r="F43" s="300"/>
      <c r="G43" s="300"/>
      <c r="H43" s="300"/>
      <c r="I43" s="300"/>
      <c r="J43" s="300"/>
      <c r="K43" s="300"/>
      <c r="L43" s="300"/>
      <c r="M43" s="300"/>
    </row>
    <row r="44" spans="1:15" ht="15.75" x14ac:dyDescent="0.25">
      <c r="A44" s="246"/>
      <c r="B44" s="960" t="s">
        <v>0</v>
      </c>
      <c r="C44" s="961"/>
      <c r="D44" s="961"/>
      <c r="E44" s="241"/>
      <c r="F44" s="300"/>
      <c r="G44" s="300"/>
      <c r="H44" s="300"/>
      <c r="I44" s="300"/>
      <c r="J44" s="300"/>
      <c r="K44" s="300"/>
      <c r="L44" s="300"/>
      <c r="M44" s="300"/>
    </row>
    <row r="45" spans="1:15" s="3" customFormat="1" x14ac:dyDescent="0.2">
      <c r="A45" s="139"/>
      <c r="B45" s="171" t="s">
        <v>504</v>
      </c>
      <c r="C45" s="171" t="s">
        <v>505</v>
      </c>
      <c r="D45" s="160" t="s">
        <v>3</v>
      </c>
      <c r="E45" s="160" t="s">
        <v>32</v>
      </c>
      <c r="F45" s="173"/>
      <c r="G45" s="173"/>
      <c r="H45" s="172"/>
      <c r="I45" s="172"/>
      <c r="J45" s="173"/>
      <c r="K45" s="173"/>
      <c r="L45" s="172"/>
      <c r="M45" s="172"/>
      <c r="N45" s="146"/>
      <c r="O45" s="146"/>
    </row>
    <row r="46" spans="1:15" s="3" customFormat="1" x14ac:dyDescent="0.2">
      <c r="A46" s="934"/>
      <c r="B46" s="242"/>
      <c r="C46" s="242"/>
      <c r="D46" s="243" t="s">
        <v>4</v>
      </c>
      <c r="E46" s="154" t="s">
        <v>33</v>
      </c>
      <c r="F46" s="172"/>
      <c r="G46" s="172"/>
      <c r="H46" s="172"/>
      <c r="I46" s="172"/>
      <c r="J46" s="172"/>
      <c r="K46" s="172"/>
      <c r="L46" s="172"/>
      <c r="M46" s="172"/>
      <c r="N46" s="146"/>
      <c r="O46" s="146"/>
    </row>
    <row r="47" spans="1:15" s="3" customFormat="1" ht="15.75" x14ac:dyDescent="0.2">
      <c r="A47" s="14" t="s">
        <v>26</v>
      </c>
      <c r="B47" s="308"/>
      <c r="C47" s="309"/>
      <c r="D47" s="424"/>
      <c r="E47" s="11"/>
      <c r="F47" s="143"/>
      <c r="G47" s="32"/>
      <c r="H47" s="157"/>
      <c r="I47" s="157"/>
      <c r="J47" s="36"/>
      <c r="K47" s="36"/>
      <c r="L47" s="157"/>
      <c r="M47" s="157"/>
      <c r="N47" s="146"/>
      <c r="O47" s="146"/>
    </row>
    <row r="48" spans="1:15" s="3" customFormat="1" ht="15.75" x14ac:dyDescent="0.2">
      <c r="A48" s="37" t="s">
        <v>312</v>
      </c>
      <c r="B48" s="279"/>
      <c r="C48" s="280"/>
      <c r="D48" s="253"/>
      <c r="E48" s="26"/>
      <c r="F48" s="143"/>
      <c r="G48" s="32"/>
      <c r="H48" s="143"/>
      <c r="I48" s="143"/>
      <c r="J48" s="32"/>
      <c r="K48" s="32"/>
      <c r="L48" s="157"/>
      <c r="M48" s="157"/>
      <c r="N48" s="146"/>
      <c r="O48" s="146"/>
    </row>
    <row r="49" spans="1:15" s="3" customFormat="1" ht="15.75" x14ac:dyDescent="0.2">
      <c r="A49" s="37" t="s">
        <v>313</v>
      </c>
      <c r="B49" s="43"/>
      <c r="C49" s="285"/>
      <c r="D49" s="253"/>
      <c r="E49" s="26"/>
      <c r="F49" s="143"/>
      <c r="G49" s="32"/>
      <c r="H49" s="143"/>
      <c r="I49" s="143"/>
      <c r="J49" s="36"/>
      <c r="K49" s="36"/>
      <c r="L49" s="157"/>
      <c r="M49" s="157"/>
      <c r="N49" s="146"/>
      <c r="O49" s="146"/>
    </row>
    <row r="50" spans="1:15" s="3" customFormat="1" x14ac:dyDescent="0.2">
      <c r="A50" s="294" t="s">
        <v>6</v>
      </c>
      <c r="B50" s="288"/>
      <c r="C50" s="289"/>
      <c r="D50" s="253"/>
      <c r="E50" s="22"/>
      <c r="F50" s="143"/>
      <c r="G50" s="32"/>
      <c r="H50" s="143"/>
      <c r="I50" s="143"/>
      <c r="J50" s="32"/>
      <c r="K50" s="32"/>
      <c r="L50" s="157"/>
      <c r="M50" s="157"/>
      <c r="N50" s="146"/>
      <c r="O50" s="146"/>
    </row>
    <row r="51" spans="1:15" s="3" customFormat="1" x14ac:dyDescent="0.2">
      <c r="A51" s="294" t="s">
        <v>7</v>
      </c>
      <c r="B51" s="288"/>
      <c r="C51" s="289"/>
      <c r="D51" s="253"/>
      <c r="E51" s="22"/>
      <c r="F51" s="143"/>
      <c r="G51" s="32"/>
      <c r="H51" s="143"/>
      <c r="I51" s="143"/>
      <c r="J51" s="32"/>
      <c r="K51" s="32"/>
      <c r="L51" s="157"/>
      <c r="M51" s="157"/>
      <c r="N51" s="146"/>
      <c r="O51" s="146"/>
    </row>
    <row r="52" spans="1:15" s="3" customFormat="1" x14ac:dyDescent="0.2">
      <c r="A52" s="294" t="s">
        <v>8</v>
      </c>
      <c r="B52" s="288"/>
      <c r="C52" s="289"/>
      <c r="D52" s="253"/>
      <c r="E52" s="22"/>
      <c r="F52" s="143"/>
      <c r="G52" s="32"/>
      <c r="H52" s="143"/>
      <c r="I52" s="143"/>
      <c r="J52" s="32"/>
      <c r="K52" s="32"/>
      <c r="L52" s="157"/>
      <c r="M52" s="157"/>
      <c r="N52" s="146"/>
      <c r="O52" s="146"/>
    </row>
    <row r="53" spans="1:15" s="3" customFormat="1" ht="15.75" x14ac:dyDescent="0.2">
      <c r="A53" s="38" t="s">
        <v>314</v>
      </c>
      <c r="B53" s="308"/>
      <c r="C53" s="309"/>
      <c r="D53" s="425"/>
      <c r="E53" s="11"/>
      <c r="F53" s="143"/>
      <c r="G53" s="32"/>
      <c r="H53" s="143"/>
      <c r="I53" s="143"/>
      <c r="J53" s="32"/>
      <c r="K53" s="32"/>
      <c r="L53" s="157"/>
      <c r="M53" s="157"/>
      <c r="N53" s="146"/>
      <c r="O53" s="146"/>
    </row>
    <row r="54" spans="1:15" s="3" customFormat="1" ht="15.75" x14ac:dyDescent="0.2">
      <c r="A54" s="37" t="s">
        <v>312</v>
      </c>
      <c r="B54" s="279"/>
      <c r="C54" s="280"/>
      <c r="D54" s="253"/>
      <c r="E54" s="26"/>
      <c r="F54" s="143"/>
      <c r="G54" s="32"/>
      <c r="H54" s="143"/>
      <c r="I54" s="143"/>
      <c r="J54" s="32"/>
      <c r="K54" s="32"/>
      <c r="L54" s="157"/>
      <c r="M54" s="157"/>
      <c r="N54" s="146"/>
      <c r="O54" s="146"/>
    </row>
    <row r="55" spans="1:15" s="3" customFormat="1" ht="15.75" x14ac:dyDescent="0.2">
      <c r="A55" s="37" t="s">
        <v>313</v>
      </c>
      <c r="B55" s="279"/>
      <c r="C55" s="280"/>
      <c r="D55" s="253"/>
      <c r="E55" s="26"/>
      <c r="F55" s="143"/>
      <c r="G55" s="32"/>
      <c r="H55" s="143"/>
      <c r="I55" s="143"/>
      <c r="J55" s="32"/>
      <c r="K55" s="32"/>
      <c r="L55" s="157"/>
      <c r="M55" s="157"/>
      <c r="N55" s="146"/>
      <c r="O55" s="146"/>
    </row>
    <row r="56" spans="1:15" s="3" customFormat="1" ht="15.75" x14ac:dyDescent="0.2">
      <c r="A56" s="38" t="s">
        <v>315</v>
      </c>
      <c r="B56" s="308"/>
      <c r="C56" s="309"/>
      <c r="D56" s="425"/>
      <c r="E56" s="11"/>
      <c r="F56" s="143"/>
      <c r="G56" s="32"/>
      <c r="H56" s="143"/>
      <c r="I56" s="143"/>
      <c r="J56" s="32"/>
      <c r="K56" s="32"/>
      <c r="L56" s="157"/>
      <c r="M56" s="157"/>
      <c r="N56" s="146"/>
      <c r="O56" s="146"/>
    </row>
    <row r="57" spans="1:15" s="3" customFormat="1" ht="15.75" x14ac:dyDescent="0.2">
      <c r="A57" s="37" t="s">
        <v>312</v>
      </c>
      <c r="B57" s="279"/>
      <c r="C57" s="280"/>
      <c r="D57" s="253"/>
      <c r="E57" s="26"/>
      <c r="F57" s="143"/>
      <c r="G57" s="32"/>
      <c r="H57" s="143"/>
      <c r="I57" s="143"/>
      <c r="J57" s="32"/>
      <c r="K57" s="32"/>
      <c r="L57" s="157"/>
      <c r="M57" s="157"/>
      <c r="N57" s="146"/>
      <c r="O57" s="146"/>
    </row>
    <row r="58" spans="1:15" s="3" customFormat="1" ht="15.75" x14ac:dyDescent="0.2">
      <c r="A58" s="45" t="s">
        <v>313</v>
      </c>
      <c r="B58" s="281"/>
      <c r="C58" s="282"/>
      <c r="D58" s="254"/>
      <c r="E58" s="21"/>
      <c r="F58" s="143"/>
      <c r="G58" s="32"/>
      <c r="H58" s="143"/>
      <c r="I58" s="143"/>
      <c r="J58" s="32"/>
      <c r="K58" s="32"/>
      <c r="L58" s="157"/>
      <c r="M58" s="157"/>
      <c r="N58" s="146"/>
      <c r="O58" s="146"/>
    </row>
    <row r="59" spans="1:15" s="3" customFormat="1" ht="15.75" x14ac:dyDescent="0.25">
      <c r="A59" s="162"/>
      <c r="B59" s="152"/>
      <c r="C59" s="152"/>
      <c r="D59" s="152"/>
      <c r="E59" s="152"/>
      <c r="F59" s="140"/>
      <c r="G59" s="140"/>
      <c r="H59" s="140"/>
      <c r="I59" s="140"/>
      <c r="J59" s="140"/>
      <c r="K59" s="140"/>
      <c r="L59" s="140"/>
      <c r="M59" s="140"/>
      <c r="N59" s="146"/>
      <c r="O59" s="146"/>
    </row>
    <row r="60" spans="1:15" x14ac:dyDescent="0.2">
      <c r="A60" s="153"/>
    </row>
    <row r="61" spans="1:15" ht="15.75" x14ac:dyDescent="0.25">
      <c r="A61" s="145" t="s">
        <v>295</v>
      </c>
      <c r="C61" s="25"/>
      <c r="D61" s="25"/>
      <c r="E61" s="25"/>
      <c r="F61" s="25"/>
      <c r="G61" s="25"/>
      <c r="H61" s="25"/>
      <c r="I61" s="25"/>
      <c r="J61" s="25"/>
      <c r="K61" s="25"/>
      <c r="L61" s="25"/>
      <c r="M61" s="25"/>
    </row>
    <row r="62" spans="1:15" ht="15.75" x14ac:dyDescent="0.25">
      <c r="B62" s="963"/>
      <c r="C62" s="963"/>
      <c r="D62" s="963"/>
      <c r="E62" s="297"/>
      <c r="F62" s="963"/>
      <c r="G62" s="963"/>
      <c r="H62" s="963"/>
      <c r="I62" s="297"/>
      <c r="J62" s="963"/>
      <c r="K62" s="963"/>
      <c r="L62" s="963"/>
      <c r="M62" s="297"/>
    </row>
    <row r="63" spans="1:15" x14ac:dyDescent="0.2">
      <c r="A63" s="142"/>
      <c r="B63" s="960" t="s">
        <v>0</v>
      </c>
      <c r="C63" s="961"/>
      <c r="D63" s="962"/>
      <c r="E63" s="298"/>
      <c r="F63" s="961" t="s">
        <v>1</v>
      </c>
      <c r="G63" s="961"/>
      <c r="H63" s="961"/>
      <c r="I63" s="302"/>
      <c r="J63" s="960" t="s">
        <v>2</v>
      </c>
      <c r="K63" s="961"/>
      <c r="L63" s="961"/>
      <c r="M63" s="302"/>
    </row>
    <row r="64" spans="1:15" x14ac:dyDescent="0.2">
      <c r="A64" s="139"/>
      <c r="B64" s="150" t="s">
        <v>504</v>
      </c>
      <c r="C64" s="150" t="s">
        <v>505</v>
      </c>
      <c r="D64" s="243" t="s">
        <v>3</v>
      </c>
      <c r="E64" s="303" t="s">
        <v>32</v>
      </c>
      <c r="F64" s="150" t="s">
        <v>504</v>
      </c>
      <c r="G64" s="150" t="s">
        <v>505</v>
      </c>
      <c r="H64" s="243" t="s">
        <v>3</v>
      </c>
      <c r="I64" s="303" t="s">
        <v>32</v>
      </c>
      <c r="J64" s="150" t="s">
        <v>504</v>
      </c>
      <c r="K64" s="150" t="s">
        <v>505</v>
      </c>
      <c r="L64" s="243" t="s">
        <v>3</v>
      </c>
      <c r="M64" s="160" t="s">
        <v>32</v>
      </c>
    </row>
    <row r="65" spans="1:15" x14ac:dyDescent="0.2">
      <c r="A65" s="934"/>
      <c r="B65" s="154"/>
      <c r="C65" s="154"/>
      <c r="D65" s="245" t="s">
        <v>4</v>
      </c>
      <c r="E65" s="154" t="s">
        <v>33</v>
      </c>
      <c r="F65" s="159"/>
      <c r="G65" s="159"/>
      <c r="H65" s="243" t="s">
        <v>4</v>
      </c>
      <c r="I65" s="154" t="s">
        <v>33</v>
      </c>
      <c r="J65" s="159"/>
      <c r="K65" s="204"/>
      <c r="L65" s="154" t="s">
        <v>4</v>
      </c>
      <c r="M65" s="154" t="s">
        <v>33</v>
      </c>
    </row>
    <row r="66" spans="1:15" ht="15.75" x14ac:dyDescent="0.2">
      <c r="A66" s="14" t="s">
        <v>26</v>
      </c>
      <c r="B66" s="350"/>
      <c r="C66" s="350"/>
      <c r="D66" s="348"/>
      <c r="E66" s="11"/>
      <c r="F66" s="350">
        <f>F67+F68+F75+F76</f>
        <v>86</v>
      </c>
      <c r="G66" s="350">
        <f>G67+G68+G75+G76</f>
        <v>176</v>
      </c>
      <c r="H66" s="348">
        <f t="shared" ref="H66:H111" si="14">IF(F66=0, "    ---- ", IF(ABS(ROUND(100/F66*G66-100,1))&lt;999,ROUND(100/F66*G66-100,1),IF(ROUND(100/F66*G66-100,1)&gt;999,999,-999)))</f>
        <v>104.7</v>
      </c>
      <c r="I66" s="11">
        <f>IFERROR(100/'Skjema total MA'!F66*G66,0)</f>
        <v>6.5900696865319754E-4</v>
      </c>
      <c r="J66" s="307">
        <f t="shared" ref="J66:K86" si="15">SUM(B66,F66)</f>
        <v>86</v>
      </c>
      <c r="K66" s="314">
        <f t="shared" si="15"/>
        <v>176</v>
      </c>
      <c r="L66" s="425">
        <f t="shared" ref="L66:L111" si="16">IF(J66=0, "    ---- ", IF(ABS(ROUND(100/J66*K66-100,1))&lt;999,ROUND(100/J66*K66-100,1),IF(ROUND(100/J66*K66-100,1)&gt;999,999,-999)))</f>
        <v>104.7</v>
      </c>
      <c r="M66" s="11">
        <f>IFERROR(100/'Skjema total MA'!I66*K66,0)</f>
        <v>4.8137505687710842E-4</v>
      </c>
    </row>
    <row r="67" spans="1:15" x14ac:dyDescent="0.2">
      <c r="A67" s="416" t="s">
        <v>9</v>
      </c>
      <c r="B67" s="43"/>
      <c r="C67" s="143"/>
      <c r="D67" s="164"/>
      <c r="E67" s="26"/>
      <c r="F67" s="232"/>
      <c r="G67" s="143"/>
      <c r="H67" s="164"/>
      <c r="I67" s="26"/>
      <c r="J67" s="285"/>
      <c r="K67" s="43"/>
      <c r="L67" s="253"/>
      <c r="M67" s="26"/>
    </row>
    <row r="68" spans="1:15" x14ac:dyDescent="0.2">
      <c r="A68" s="20" t="s">
        <v>10</v>
      </c>
      <c r="B68" s="290"/>
      <c r="C68" s="291"/>
      <c r="D68" s="164"/>
      <c r="E68" s="26"/>
      <c r="F68" s="290">
        <v>86</v>
      </c>
      <c r="G68" s="291">
        <v>176</v>
      </c>
      <c r="H68" s="164">
        <f t="shared" si="14"/>
        <v>104.7</v>
      </c>
      <c r="I68" s="26">
        <f>IFERROR(100/'Skjema total MA'!F68*G68,0)</f>
        <v>6.6643460059219515E-4</v>
      </c>
      <c r="J68" s="285">
        <f t="shared" si="15"/>
        <v>86</v>
      </c>
      <c r="K68" s="43">
        <f t="shared" si="15"/>
        <v>176</v>
      </c>
      <c r="L68" s="253">
        <f t="shared" si="16"/>
        <v>104.7</v>
      </c>
      <c r="M68" s="26">
        <f>IFERROR(100/'Skjema total MA'!I68*K68,0)</f>
        <v>6.6244176358795756E-4</v>
      </c>
    </row>
    <row r="69" spans="1:15" ht="15.75" x14ac:dyDescent="0.2">
      <c r="A69" s="294" t="s">
        <v>316</v>
      </c>
      <c r="B69" s="279"/>
      <c r="C69" s="279"/>
      <c r="D69" s="164"/>
      <c r="E69" s="414"/>
      <c r="F69" s="279"/>
      <c r="G69" s="279"/>
      <c r="H69" s="164"/>
      <c r="I69" s="414"/>
      <c r="J69" s="288"/>
      <c r="K69" s="288"/>
      <c r="L69" s="164"/>
      <c r="M69" s="22"/>
    </row>
    <row r="70" spans="1:15" x14ac:dyDescent="0.2">
      <c r="A70" s="294" t="s">
        <v>12</v>
      </c>
      <c r="B70" s="292"/>
      <c r="C70" s="293"/>
      <c r="D70" s="164"/>
      <c r="E70" s="414"/>
      <c r="F70" s="279"/>
      <c r="G70" s="279"/>
      <c r="H70" s="164"/>
      <c r="I70" s="414"/>
      <c r="J70" s="288"/>
      <c r="K70" s="288"/>
      <c r="L70" s="164"/>
      <c r="M70" s="22"/>
    </row>
    <row r="71" spans="1:15" x14ac:dyDescent="0.2">
      <c r="A71" s="294" t="s">
        <v>13</v>
      </c>
      <c r="B71" s="233"/>
      <c r="C71" s="287"/>
      <c r="D71" s="164"/>
      <c r="E71" s="414"/>
      <c r="F71" s="279"/>
      <c r="G71" s="279"/>
      <c r="H71" s="164"/>
      <c r="I71" s="414"/>
      <c r="J71" s="288"/>
      <c r="K71" s="288"/>
      <c r="L71" s="164"/>
      <c r="M71" s="22"/>
    </row>
    <row r="72" spans="1:15" ht="15.75" x14ac:dyDescent="0.2">
      <c r="A72" s="294" t="s">
        <v>317</v>
      </c>
      <c r="B72" s="279"/>
      <c r="C72" s="279"/>
      <c r="D72" s="164"/>
      <c r="E72" s="414"/>
      <c r="F72" s="279">
        <v>86</v>
      </c>
      <c r="G72" s="279">
        <v>176</v>
      </c>
      <c r="H72" s="253">
        <f t="shared" ref="H72:H73" si="17">IF(F72=0, "    ---- ", IF(ABS(ROUND(100/F72*G72-100,1))&lt;999,ROUND(100/F72*G72-100,1),IF(ROUND(100/F72*G72-100,1)&gt;999,999,-999)))</f>
        <v>104.7</v>
      </c>
      <c r="I72" s="414">
        <f>IFERROR(100/'Skjema total MA'!F72*G72,0)</f>
        <v>6.6653498996200721E-4</v>
      </c>
      <c r="J72" s="285">
        <f t="shared" ref="J72:J73" si="18">SUM(B72,F72)</f>
        <v>86</v>
      </c>
      <c r="K72" s="43">
        <f t="shared" ref="K72:K73" si="19">SUM(C72,G72)</f>
        <v>176</v>
      </c>
      <c r="L72" s="253">
        <f t="shared" ref="L72:L73" si="20">IF(J72=0, "    ---- ", IF(ABS(ROUND(100/J72*K72-100,1))&lt;999,ROUND(100/J72*K72-100,1),IF(ROUND(100/J72*K72-100,1)&gt;999,999,-999)))</f>
        <v>104.7</v>
      </c>
      <c r="M72" s="22">
        <f>IFERROR(100/'Skjema total MA'!I72*K72,0)</f>
        <v>6.6299638863518632E-4</v>
      </c>
    </row>
    <row r="73" spans="1:15" x14ac:dyDescent="0.2">
      <c r="A73" s="294" t="s">
        <v>12</v>
      </c>
      <c r="B73" s="233"/>
      <c r="C73" s="287"/>
      <c r="D73" s="164"/>
      <c r="E73" s="414"/>
      <c r="F73" s="279">
        <v>86</v>
      </c>
      <c r="G73" s="279">
        <v>176</v>
      </c>
      <c r="H73" s="253">
        <f t="shared" si="17"/>
        <v>104.7</v>
      </c>
      <c r="I73" s="414">
        <f>IFERROR(100/'Skjema total MA'!F73*G73,0)</f>
        <v>5.2912066084459371E-2</v>
      </c>
      <c r="J73" s="285">
        <f t="shared" si="18"/>
        <v>86</v>
      </c>
      <c r="K73" s="43">
        <f t="shared" si="19"/>
        <v>176</v>
      </c>
      <c r="L73" s="253">
        <f t="shared" si="20"/>
        <v>104.7</v>
      </c>
      <c r="M73" s="22">
        <f>IFERROR(100/'Skjema total MA'!I73*K73,0)</f>
        <v>5.2912066084459371E-2</v>
      </c>
    </row>
    <row r="74" spans="1:15" s="3" customFormat="1" x14ac:dyDescent="0.2">
      <c r="A74" s="294" t="s">
        <v>13</v>
      </c>
      <c r="B74" s="233"/>
      <c r="C74" s="287"/>
      <c r="D74" s="164"/>
      <c r="E74" s="414"/>
      <c r="F74" s="279"/>
      <c r="G74" s="279"/>
      <c r="H74" s="164"/>
      <c r="I74" s="414"/>
      <c r="J74" s="288"/>
      <c r="K74" s="288"/>
      <c r="L74" s="164"/>
      <c r="M74" s="22"/>
      <c r="N74" s="146"/>
      <c r="O74" s="146"/>
    </row>
    <row r="75" spans="1:15" s="3" customFormat="1" x14ac:dyDescent="0.2">
      <c r="A75" s="20" t="s">
        <v>395</v>
      </c>
      <c r="B75" s="232"/>
      <c r="C75" s="143"/>
      <c r="D75" s="164"/>
      <c r="E75" s="26"/>
      <c r="F75" s="232"/>
      <c r="G75" s="143"/>
      <c r="H75" s="164"/>
      <c r="I75" s="26"/>
      <c r="J75" s="285"/>
      <c r="K75" s="43"/>
      <c r="L75" s="253"/>
      <c r="M75" s="26"/>
      <c r="N75" s="146"/>
      <c r="O75" s="146"/>
    </row>
    <row r="76" spans="1:15" s="3" customFormat="1" x14ac:dyDescent="0.2">
      <c r="A76" s="20" t="s">
        <v>394</v>
      </c>
      <c r="B76" s="232"/>
      <c r="C76" s="143"/>
      <c r="D76" s="164"/>
      <c r="E76" s="26"/>
      <c r="F76" s="232"/>
      <c r="G76" s="143"/>
      <c r="H76" s="164"/>
      <c r="I76" s="26"/>
      <c r="J76" s="285"/>
      <c r="K76" s="43"/>
      <c r="L76" s="253"/>
      <c r="M76" s="26"/>
      <c r="N76" s="146"/>
      <c r="O76" s="146"/>
    </row>
    <row r="77" spans="1:15" ht="15.75" x14ac:dyDescent="0.2">
      <c r="A77" s="20" t="s">
        <v>318</v>
      </c>
      <c r="B77" s="232"/>
      <c r="C77" s="232"/>
      <c r="D77" s="164"/>
      <c r="E77" s="26"/>
      <c r="F77" s="232"/>
      <c r="G77" s="143"/>
      <c r="H77" s="164"/>
      <c r="I77" s="26"/>
      <c r="J77" s="285"/>
      <c r="K77" s="43"/>
      <c r="L77" s="253"/>
      <c r="M77" s="26"/>
    </row>
    <row r="78" spans="1:15" x14ac:dyDescent="0.2">
      <c r="A78" s="20" t="s">
        <v>9</v>
      </c>
      <c r="B78" s="232"/>
      <c r="C78" s="143"/>
      <c r="D78" s="164"/>
      <c r="E78" s="26"/>
      <c r="F78" s="232"/>
      <c r="G78" s="143"/>
      <c r="H78" s="164"/>
      <c r="I78" s="26"/>
      <c r="J78" s="285"/>
      <c r="K78" s="43"/>
      <c r="L78" s="253"/>
      <c r="M78" s="26"/>
    </row>
    <row r="79" spans="1:15" x14ac:dyDescent="0.2">
      <c r="A79" s="20" t="s">
        <v>10</v>
      </c>
      <c r="B79" s="290"/>
      <c r="C79" s="291"/>
      <c r="D79" s="164"/>
      <c r="E79" s="26"/>
      <c r="F79" s="290"/>
      <c r="G79" s="291"/>
      <c r="H79" s="164"/>
      <c r="I79" s="26"/>
      <c r="J79" s="285"/>
      <c r="K79" s="43"/>
      <c r="L79" s="253"/>
      <c r="M79" s="26"/>
    </row>
    <row r="80" spans="1:15" ht="15.75" x14ac:dyDescent="0.2">
      <c r="A80" s="294" t="s">
        <v>316</v>
      </c>
      <c r="B80" s="279"/>
      <c r="C80" s="279"/>
      <c r="D80" s="164"/>
      <c r="E80" s="414"/>
      <c r="F80" s="279"/>
      <c r="G80" s="279"/>
      <c r="H80" s="164"/>
      <c r="I80" s="414"/>
      <c r="J80" s="288"/>
      <c r="K80" s="288"/>
      <c r="L80" s="164"/>
      <c r="M80" s="22"/>
    </row>
    <row r="81" spans="1:13" x14ac:dyDescent="0.2">
      <c r="A81" s="294" t="s">
        <v>12</v>
      </c>
      <c r="B81" s="233"/>
      <c r="C81" s="287"/>
      <c r="D81" s="164"/>
      <c r="E81" s="414"/>
      <c r="F81" s="279"/>
      <c r="G81" s="279"/>
      <c r="H81" s="164"/>
      <c r="I81" s="414"/>
      <c r="J81" s="288"/>
      <c r="K81" s="288"/>
      <c r="L81" s="164"/>
      <c r="M81" s="22"/>
    </row>
    <row r="82" spans="1:13" x14ac:dyDescent="0.2">
      <c r="A82" s="294" t="s">
        <v>13</v>
      </c>
      <c r="B82" s="233"/>
      <c r="C82" s="287"/>
      <c r="D82" s="164"/>
      <c r="E82" s="414"/>
      <c r="F82" s="279"/>
      <c r="G82" s="279"/>
      <c r="H82" s="164"/>
      <c r="I82" s="414"/>
      <c r="J82" s="288"/>
      <c r="K82" s="288"/>
      <c r="L82" s="164"/>
      <c r="M82" s="22"/>
    </row>
    <row r="83" spans="1:13" ht="15.75" x14ac:dyDescent="0.2">
      <c r="A83" s="294" t="s">
        <v>317</v>
      </c>
      <c r="B83" s="279"/>
      <c r="C83" s="279"/>
      <c r="D83" s="164"/>
      <c r="E83" s="414"/>
      <c r="F83" s="279"/>
      <c r="G83" s="279"/>
      <c r="H83" s="164"/>
      <c r="I83" s="414"/>
      <c r="J83" s="288"/>
      <c r="K83" s="288"/>
      <c r="L83" s="164"/>
      <c r="M83" s="22"/>
    </row>
    <row r="84" spans="1:13" x14ac:dyDescent="0.2">
      <c r="A84" s="294" t="s">
        <v>12</v>
      </c>
      <c r="B84" s="233"/>
      <c r="C84" s="287"/>
      <c r="D84" s="164"/>
      <c r="E84" s="414"/>
      <c r="F84" s="279"/>
      <c r="G84" s="279"/>
      <c r="H84" s="164"/>
      <c r="I84" s="414"/>
      <c r="J84" s="288"/>
      <c r="K84" s="288"/>
      <c r="L84" s="164"/>
      <c r="M84" s="22"/>
    </row>
    <row r="85" spans="1:13" x14ac:dyDescent="0.2">
      <c r="A85" s="294" t="s">
        <v>13</v>
      </c>
      <c r="B85" s="233"/>
      <c r="C85" s="287"/>
      <c r="D85" s="164"/>
      <c r="E85" s="414"/>
      <c r="F85" s="279"/>
      <c r="G85" s="279"/>
      <c r="H85" s="164"/>
      <c r="I85" s="414"/>
      <c r="J85" s="288"/>
      <c r="K85" s="288"/>
      <c r="L85" s="164"/>
      <c r="M85" s="22"/>
    </row>
    <row r="86" spans="1:13" ht="15.75" x14ac:dyDescent="0.2">
      <c r="A86" s="20" t="s">
        <v>327</v>
      </c>
      <c r="B86" s="232"/>
      <c r="C86" s="143"/>
      <c r="D86" s="164"/>
      <c r="E86" s="26"/>
      <c r="F86" s="232">
        <v>86</v>
      </c>
      <c r="G86" s="143">
        <v>176</v>
      </c>
      <c r="H86" s="164">
        <f t="shared" si="14"/>
        <v>104.7</v>
      </c>
      <c r="I86" s="26">
        <f>IFERROR(100/'Skjema total MA'!F86*G86,0)</f>
        <v>1.3387143249737132</v>
      </c>
      <c r="J86" s="285">
        <f t="shared" si="15"/>
        <v>86</v>
      </c>
      <c r="K86" s="43">
        <f t="shared" si="15"/>
        <v>176</v>
      </c>
      <c r="L86" s="253">
        <f t="shared" si="16"/>
        <v>104.7</v>
      </c>
      <c r="M86" s="26">
        <f>IFERROR(100/'Skjema total MA'!I86*K86,0)</f>
        <v>8.2561925323112795E-2</v>
      </c>
    </row>
    <row r="87" spans="1:13" ht="15.75" x14ac:dyDescent="0.2">
      <c r="A87" s="13" t="s">
        <v>25</v>
      </c>
      <c r="B87" s="350"/>
      <c r="C87" s="350"/>
      <c r="D87" s="169"/>
      <c r="E87" s="11"/>
      <c r="F87" s="350">
        <f>F88+F89+F96+F97</f>
        <v>162923</v>
      </c>
      <c r="G87" s="350">
        <f>G88+G89+G96+G97</f>
        <v>384552</v>
      </c>
      <c r="H87" s="169">
        <f t="shared" si="14"/>
        <v>136</v>
      </c>
      <c r="I87" s="11">
        <f>IFERROR(100/'Skjema total MA'!F87*G87,0)</f>
        <v>0.17188556636370098</v>
      </c>
      <c r="J87" s="307">
        <f t="shared" ref="J87:K111" si="21">SUM(B87,F87)</f>
        <v>162923</v>
      </c>
      <c r="K87" s="234">
        <f t="shared" si="21"/>
        <v>384552</v>
      </c>
      <c r="L87" s="425">
        <f t="shared" si="16"/>
        <v>136</v>
      </c>
      <c r="M87" s="11">
        <f>IFERROR(100/'Skjema total MA'!I87*K87,0)</f>
        <v>6.3552759528509389E-2</v>
      </c>
    </row>
    <row r="88" spans="1:13" x14ac:dyDescent="0.2">
      <c r="A88" s="20" t="s">
        <v>9</v>
      </c>
      <c r="B88" s="232"/>
      <c r="C88" s="143"/>
      <c r="D88" s="164"/>
      <c r="E88" s="26"/>
      <c r="F88" s="232"/>
      <c r="G88" s="143"/>
      <c r="H88" s="164"/>
      <c r="I88" s="26"/>
      <c r="J88" s="285"/>
      <c r="K88" s="43"/>
      <c r="L88" s="253"/>
      <c r="M88" s="26"/>
    </row>
    <row r="89" spans="1:13" x14ac:dyDescent="0.2">
      <c r="A89" s="20" t="s">
        <v>10</v>
      </c>
      <c r="B89" s="232"/>
      <c r="C89" s="143"/>
      <c r="D89" s="164"/>
      <c r="E89" s="26"/>
      <c r="F89" s="232">
        <v>162923</v>
      </c>
      <c r="G89" s="143">
        <v>384552</v>
      </c>
      <c r="H89" s="164">
        <f t="shared" si="14"/>
        <v>136</v>
      </c>
      <c r="I89" s="26">
        <f>IFERROR(100/'Skjema total MA'!F89*G89,0)</f>
        <v>0.17242423202134211</v>
      </c>
      <c r="J89" s="285">
        <f t="shared" si="21"/>
        <v>162923</v>
      </c>
      <c r="K89" s="43">
        <f t="shared" si="21"/>
        <v>384552</v>
      </c>
      <c r="L89" s="253">
        <f t="shared" si="16"/>
        <v>136</v>
      </c>
      <c r="M89" s="26">
        <f>IFERROR(100/'Skjema total MA'!I89*K89,0)</f>
        <v>0.17050173943518901</v>
      </c>
    </row>
    <row r="90" spans="1:13" ht="15.75" x14ac:dyDescent="0.2">
      <c r="A90" s="294" t="s">
        <v>316</v>
      </c>
      <c r="B90" s="279"/>
      <c r="C90" s="279"/>
      <c r="D90" s="164"/>
      <c r="E90" s="414"/>
      <c r="F90" s="279"/>
      <c r="G90" s="279"/>
      <c r="H90" s="164"/>
      <c r="I90" s="414"/>
      <c r="J90" s="288"/>
      <c r="K90" s="288"/>
      <c r="L90" s="164"/>
      <c r="M90" s="22"/>
    </row>
    <row r="91" spans="1:13" x14ac:dyDescent="0.2">
      <c r="A91" s="294" t="s">
        <v>12</v>
      </c>
      <c r="B91" s="233"/>
      <c r="C91" s="287"/>
      <c r="D91" s="164"/>
      <c r="E91" s="414"/>
      <c r="F91" s="279"/>
      <c r="G91" s="279"/>
      <c r="H91" s="164"/>
      <c r="I91" s="414"/>
      <c r="J91" s="288"/>
      <c r="K91" s="288"/>
      <c r="L91" s="164"/>
      <c r="M91" s="22"/>
    </row>
    <row r="92" spans="1:13" x14ac:dyDescent="0.2">
      <c r="A92" s="294" t="s">
        <v>13</v>
      </c>
      <c r="B92" s="233"/>
      <c r="C92" s="287"/>
      <c r="D92" s="164"/>
      <c r="E92" s="414"/>
      <c r="F92" s="279"/>
      <c r="G92" s="279"/>
      <c r="H92" s="164"/>
      <c r="I92" s="414"/>
      <c r="J92" s="288"/>
      <c r="K92" s="288"/>
      <c r="L92" s="164"/>
      <c r="M92" s="22"/>
    </row>
    <row r="93" spans="1:13" ht="15.75" x14ac:dyDescent="0.2">
      <c r="A93" s="294" t="s">
        <v>317</v>
      </c>
      <c r="B93" s="279"/>
      <c r="C93" s="279"/>
      <c r="D93" s="164"/>
      <c r="E93" s="414"/>
      <c r="F93" s="279">
        <v>162923</v>
      </c>
      <c r="G93" s="279">
        <v>384552</v>
      </c>
      <c r="H93" s="253">
        <f t="shared" ref="H93:H94" si="22">IF(F93=0, "    ---- ", IF(ABS(ROUND(100/F93*G93-100,1))&lt;999,ROUND(100/F93*G93-100,1),IF(ROUND(100/F93*G93-100,1)&gt;999,999,-999)))</f>
        <v>136</v>
      </c>
      <c r="I93" s="414">
        <f>IFERROR(100/'Skjema total MA'!F93*G93,0)</f>
        <v>0.17254013483523756</v>
      </c>
      <c r="J93" s="285">
        <f t="shared" ref="J93:J94" si="23">SUM(B93,F93)</f>
        <v>162923</v>
      </c>
      <c r="K93" s="43">
        <f t="shared" ref="K93:K94" si="24">SUM(C93,G93)</f>
        <v>384552</v>
      </c>
      <c r="L93" s="253">
        <f t="shared" ref="L93:L94" si="25">IF(J93=0, "    ---- ", IF(ABS(ROUND(100/J93*K93-100,1))&lt;999,ROUND(100/J93*K93-100,1),IF(ROUND(100/J93*K93-100,1)&gt;999,999,-999)))</f>
        <v>136</v>
      </c>
      <c r="M93" s="22">
        <f>IFERROR(100/'Skjema total MA'!I93*K93,0)</f>
        <v>0.17061507122624583</v>
      </c>
    </row>
    <row r="94" spans="1:13" x14ac:dyDescent="0.2">
      <c r="A94" s="294" t="s">
        <v>12</v>
      </c>
      <c r="B94" s="233"/>
      <c r="C94" s="287"/>
      <c r="D94" s="164"/>
      <c r="E94" s="414"/>
      <c r="F94" s="279">
        <v>162923</v>
      </c>
      <c r="G94" s="279">
        <v>384552</v>
      </c>
      <c r="H94" s="253">
        <f t="shared" si="22"/>
        <v>136</v>
      </c>
      <c r="I94" s="414">
        <f>IFERROR(100/'Skjema total MA'!F94*G94,0)</f>
        <v>11.651050573300454</v>
      </c>
      <c r="J94" s="285">
        <f t="shared" si="23"/>
        <v>162923</v>
      </c>
      <c r="K94" s="43">
        <f t="shared" si="24"/>
        <v>384552</v>
      </c>
      <c r="L94" s="253">
        <f t="shared" si="25"/>
        <v>136</v>
      </c>
      <c r="M94" s="22">
        <f>IFERROR(100/'Skjema total MA'!I94*K94,0)</f>
        <v>11.651050573300454</v>
      </c>
    </row>
    <row r="95" spans="1:13" x14ac:dyDescent="0.2">
      <c r="A95" s="294" t="s">
        <v>13</v>
      </c>
      <c r="B95" s="233"/>
      <c r="C95" s="287"/>
      <c r="D95" s="164"/>
      <c r="E95" s="414"/>
      <c r="F95" s="279"/>
      <c r="G95" s="279"/>
      <c r="H95" s="164"/>
      <c r="I95" s="414"/>
      <c r="J95" s="288"/>
      <c r="K95" s="288"/>
      <c r="L95" s="164"/>
      <c r="M95" s="22"/>
    </row>
    <row r="96" spans="1:13" x14ac:dyDescent="0.2">
      <c r="A96" s="20" t="s">
        <v>393</v>
      </c>
      <c r="B96" s="232"/>
      <c r="C96" s="143"/>
      <c r="D96" s="164"/>
      <c r="E96" s="26"/>
      <c r="F96" s="232"/>
      <c r="G96" s="143"/>
      <c r="H96" s="164"/>
      <c r="I96" s="26"/>
      <c r="J96" s="285"/>
      <c r="K96" s="43"/>
      <c r="L96" s="253"/>
      <c r="M96" s="26"/>
    </row>
    <row r="97" spans="1:13" x14ac:dyDescent="0.2">
      <c r="A97" s="20" t="s">
        <v>392</v>
      </c>
      <c r="B97" s="232"/>
      <c r="C97" s="143"/>
      <c r="D97" s="164"/>
      <c r="E97" s="26"/>
      <c r="F97" s="232"/>
      <c r="G97" s="143"/>
      <c r="H97" s="164"/>
      <c r="I97" s="26"/>
      <c r="J97" s="285"/>
      <c r="K97" s="43"/>
      <c r="L97" s="253"/>
      <c r="M97" s="26"/>
    </row>
    <row r="98" spans="1:13" ht="15.75" x14ac:dyDescent="0.2">
      <c r="A98" s="20" t="s">
        <v>318</v>
      </c>
      <c r="B98" s="232"/>
      <c r="C98" s="232"/>
      <c r="D98" s="164"/>
      <c r="E98" s="26"/>
      <c r="F98" s="290"/>
      <c r="G98" s="290"/>
      <c r="H98" s="164"/>
      <c r="I98" s="26"/>
      <c r="J98" s="285"/>
      <c r="K98" s="43"/>
      <c r="L98" s="253"/>
      <c r="M98" s="26"/>
    </row>
    <row r="99" spans="1:13" x14ac:dyDescent="0.2">
      <c r="A99" s="20" t="s">
        <v>9</v>
      </c>
      <c r="B99" s="290"/>
      <c r="C99" s="291"/>
      <c r="D99" s="164"/>
      <c r="E99" s="26"/>
      <c r="F99" s="232"/>
      <c r="G99" s="143"/>
      <c r="H99" s="164"/>
      <c r="I99" s="26"/>
      <c r="J99" s="285"/>
      <c r="K99" s="43"/>
      <c r="L99" s="253"/>
      <c r="M99" s="26"/>
    </row>
    <row r="100" spans="1:13" x14ac:dyDescent="0.2">
      <c r="A100" s="20" t="s">
        <v>10</v>
      </c>
      <c r="B100" s="290"/>
      <c r="C100" s="291"/>
      <c r="D100" s="164"/>
      <c r="E100" s="26"/>
      <c r="F100" s="232"/>
      <c r="G100" s="232"/>
      <c r="H100" s="164"/>
      <c r="I100" s="26"/>
      <c r="J100" s="285"/>
      <c r="K100" s="43"/>
      <c r="L100" s="253"/>
      <c r="M100" s="26"/>
    </row>
    <row r="101" spans="1:13" ht="15.75" x14ac:dyDescent="0.2">
      <c r="A101" s="294" t="s">
        <v>316</v>
      </c>
      <c r="B101" s="279"/>
      <c r="C101" s="279"/>
      <c r="D101" s="164"/>
      <c r="E101" s="414"/>
      <c r="F101" s="279"/>
      <c r="G101" s="279"/>
      <c r="H101" s="164"/>
      <c r="I101" s="414"/>
      <c r="J101" s="288"/>
      <c r="K101" s="288"/>
      <c r="L101" s="164"/>
      <c r="M101" s="22"/>
    </row>
    <row r="102" spans="1:13" x14ac:dyDescent="0.2">
      <c r="A102" s="294" t="s">
        <v>12</v>
      </c>
      <c r="B102" s="233"/>
      <c r="C102" s="287"/>
      <c r="D102" s="164"/>
      <c r="E102" s="414"/>
      <c r="F102" s="279"/>
      <c r="G102" s="279"/>
      <c r="H102" s="164"/>
      <c r="I102" s="414"/>
      <c r="J102" s="288"/>
      <c r="K102" s="288"/>
      <c r="L102" s="164"/>
      <c r="M102" s="22"/>
    </row>
    <row r="103" spans="1:13" x14ac:dyDescent="0.2">
      <c r="A103" s="294" t="s">
        <v>13</v>
      </c>
      <c r="B103" s="233"/>
      <c r="C103" s="287"/>
      <c r="D103" s="164"/>
      <c r="E103" s="414"/>
      <c r="F103" s="279"/>
      <c r="G103" s="279"/>
      <c r="H103" s="164"/>
      <c r="I103" s="414"/>
      <c r="J103" s="288"/>
      <c r="K103" s="288"/>
      <c r="L103" s="164"/>
      <c r="M103" s="22"/>
    </row>
    <row r="104" spans="1:13" ht="15.75" x14ac:dyDescent="0.2">
      <c r="A104" s="294" t="s">
        <v>317</v>
      </c>
      <c r="B104" s="279"/>
      <c r="C104" s="279"/>
      <c r="D104" s="164"/>
      <c r="E104" s="414"/>
      <c r="F104" s="279"/>
      <c r="G104" s="279"/>
      <c r="H104" s="164"/>
      <c r="I104" s="414"/>
      <c r="J104" s="288"/>
      <c r="K104" s="288"/>
      <c r="L104" s="164"/>
      <c r="M104" s="22"/>
    </row>
    <row r="105" spans="1:13" x14ac:dyDescent="0.2">
      <c r="A105" s="294" t="s">
        <v>12</v>
      </c>
      <c r="B105" s="233"/>
      <c r="C105" s="287"/>
      <c r="D105" s="164"/>
      <c r="E105" s="414"/>
      <c r="F105" s="279"/>
      <c r="G105" s="279"/>
      <c r="H105" s="164"/>
      <c r="I105" s="414"/>
      <c r="J105" s="288"/>
      <c r="K105" s="288"/>
      <c r="L105" s="164"/>
      <c r="M105" s="22"/>
    </row>
    <row r="106" spans="1:13" x14ac:dyDescent="0.2">
      <c r="A106" s="294" t="s">
        <v>13</v>
      </c>
      <c r="B106" s="233"/>
      <c r="C106" s="287"/>
      <c r="D106" s="164"/>
      <c r="E106" s="414"/>
      <c r="F106" s="279"/>
      <c r="G106" s="279"/>
      <c r="H106" s="164"/>
      <c r="I106" s="414"/>
      <c r="J106" s="288"/>
      <c r="K106" s="288"/>
      <c r="L106" s="164"/>
      <c r="M106" s="22"/>
    </row>
    <row r="107" spans="1:13" ht="15.75" x14ac:dyDescent="0.2">
      <c r="A107" s="20" t="s">
        <v>327</v>
      </c>
      <c r="B107" s="232"/>
      <c r="C107" s="143"/>
      <c r="D107" s="164"/>
      <c r="E107" s="26"/>
      <c r="F107" s="232">
        <v>162923</v>
      </c>
      <c r="G107" s="143">
        <v>384552</v>
      </c>
      <c r="H107" s="164">
        <f t="shared" si="14"/>
        <v>136</v>
      </c>
      <c r="I107" s="26">
        <f>IFERROR(100/'Skjema total MA'!F107*G107,0)</f>
        <v>64.600195133316362</v>
      </c>
      <c r="J107" s="285">
        <f t="shared" si="21"/>
        <v>162923</v>
      </c>
      <c r="K107" s="43">
        <f t="shared" si="21"/>
        <v>384552</v>
      </c>
      <c r="L107" s="253">
        <f t="shared" si="16"/>
        <v>136</v>
      </c>
      <c r="M107" s="26">
        <f>IFERROR(100/'Skjema total MA'!I107*K107,0)</f>
        <v>8.4146182604293074</v>
      </c>
    </row>
    <row r="108" spans="1:13" ht="15.75" x14ac:dyDescent="0.2">
      <c r="A108" s="20" t="s">
        <v>328</v>
      </c>
      <c r="B108" s="232"/>
      <c r="C108" s="232"/>
      <c r="D108" s="164"/>
      <c r="E108" s="26"/>
      <c r="F108" s="232"/>
      <c r="G108" s="232"/>
      <c r="H108" s="164"/>
      <c r="I108" s="26"/>
      <c r="J108" s="285"/>
      <c r="K108" s="43"/>
      <c r="L108" s="253"/>
      <c r="M108" s="26"/>
    </row>
    <row r="109" spans="1:13" ht="15.75" x14ac:dyDescent="0.2">
      <c r="A109" s="20" t="s">
        <v>320</v>
      </c>
      <c r="B109" s="232"/>
      <c r="C109" s="232"/>
      <c r="D109" s="164"/>
      <c r="E109" s="26"/>
      <c r="F109" s="232">
        <v>162923</v>
      </c>
      <c r="G109" s="232">
        <v>206083</v>
      </c>
      <c r="H109" s="164">
        <f t="shared" si="14"/>
        <v>26.5</v>
      </c>
      <c r="I109" s="26">
        <f>IFERROR(100/'Skjema total MA'!F109*G109,0)</f>
        <v>0.28081989433850035</v>
      </c>
      <c r="J109" s="285">
        <f t="shared" si="21"/>
        <v>162923</v>
      </c>
      <c r="K109" s="43">
        <f t="shared" si="21"/>
        <v>206083</v>
      </c>
      <c r="L109" s="253">
        <f t="shared" si="16"/>
        <v>26.5</v>
      </c>
      <c r="M109" s="26">
        <f>IFERROR(100/'Skjema total MA'!I109*K109,0)</f>
        <v>0.27784969463903292</v>
      </c>
    </row>
    <row r="110" spans="1:13" ht="15.75" x14ac:dyDescent="0.2">
      <c r="A110" s="20" t="s">
        <v>321</v>
      </c>
      <c r="B110" s="232"/>
      <c r="C110" s="232"/>
      <c r="D110" s="164"/>
      <c r="E110" s="26"/>
      <c r="F110" s="232"/>
      <c r="G110" s="232"/>
      <c r="H110" s="164"/>
      <c r="I110" s="26"/>
      <c r="J110" s="285"/>
      <c r="K110" s="43"/>
      <c r="L110" s="253"/>
      <c r="M110" s="26"/>
    </row>
    <row r="111" spans="1:13" ht="15.75" x14ac:dyDescent="0.2">
      <c r="A111" s="13" t="s">
        <v>24</v>
      </c>
      <c r="B111" s="306"/>
      <c r="C111" s="157"/>
      <c r="D111" s="169"/>
      <c r="E111" s="11"/>
      <c r="F111" s="306">
        <f>SUM(F112:F114)</f>
        <v>76983</v>
      </c>
      <c r="G111" s="157">
        <f>SUM(G112:G114)</f>
        <v>102278.88400000001</v>
      </c>
      <c r="H111" s="169">
        <f t="shared" si="14"/>
        <v>32.9</v>
      </c>
      <c r="I111" s="11">
        <f>IFERROR(100/'Skjema total MA'!F111*G111,0)</f>
        <v>1.0656675953650649</v>
      </c>
      <c r="J111" s="307">
        <f t="shared" si="21"/>
        <v>76983</v>
      </c>
      <c r="K111" s="234">
        <f t="shared" si="21"/>
        <v>102278.88400000001</v>
      </c>
      <c r="L111" s="425">
        <f t="shared" si="16"/>
        <v>32.9</v>
      </c>
      <c r="M111" s="11">
        <f>IFERROR(100/'Skjema total MA'!I111*K111,0)</f>
        <v>1.0078314015166578</v>
      </c>
    </row>
    <row r="112" spans="1:13" x14ac:dyDescent="0.2">
      <c r="A112" s="20" t="s">
        <v>9</v>
      </c>
      <c r="B112" s="232"/>
      <c r="C112" s="143"/>
      <c r="D112" s="164"/>
      <c r="E112" s="26"/>
      <c r="F112" s="232"/>
      <c r="G112" s="143"/>
      <c r="H112" s="164"/>
      <c r="I112" s="26"/>
      <c r="J112" s="285"/>
      <c r="K112" s="43"/>
      <c r="L112" s="253"/>
      <c r="M112" s="26"/>
    </row>
    <row r="113" spans="1:14" x14ac:dyDescent="0.2">
      <c r="A113" s="20" t="s">
        <v>10</v>
      </c>
      <c r="B113" s="232"/>
      <c r="C113" s="143"/>
      <c r="D113" s="164"/>
      <c r="E113" s="26"/>
      <c r="F113" s="232">
        <v>76983</v>
      </c>
      <c r="G113" s="143">
        <v>102278.88400000001</v>
      </c>
      <c r="H113" s="164">
        <f t="shared" ref="H113:H121" si="26">IF(F113=0, "    ---- ", IF(ABS(ROUND(100/F113*G113-100,1))&lt;999,ROUND(100/F113*G113-100,1),IF(ROUND(100/F113*G113-100,1)&gt;999,999,-999)))</f>
        <v>32.9</v>
      </c>
      <c r="I113" s="26">
        <f>IFERROR(100/'Skjema total MA'!F113*G113,0)</f>
        <v>1.0658011894839785</v>
      </c>
      <c r="J113" s="285">
        <f t="shared" ref="J113:K121" si="27">SUM(B113,F113)</f>
        <v>76983</v>
      </c>
      <c r="K113" s="43">
        <f t="shared" si="27"/>
        <v>102278.88400000001</v>
      </c>
      <c r="L113" s="253">
        <f t="shared" ref="L113:L121" si="28">IF(J113=0, "    ---- ", IF(ABS(ROUND(100/J113*K113-100,1))&lt;999,ROUND(100/J113*K113-100,1),IF(ROUND(100/J113*K113-100,1)&gt;999,999,-999)))</f>
        <v>32.9</v>
      </c>
      <c r="M113" s="26">
        <f>IFERROR(100/'Skjema total MA'!I113*K113,0)</f>
        <v>1.0654880989678781</v>
      </c>
    </row>
    <row r="114" spans="1:14" x14ac:dyDescent="0.2">
      <c r="A114" s="20" t="s">
        <v>29</v>
      </c>
      <c r="B114" s="232"/>
      <c r="C114" s="143"/>
      <c r="D114" s="164"/>
      <c r="E114" s="26"/>
      <c r="F114" s="232"/>
      <c r="G114" s="143"/>
      <c r="H114" s="164"/>
      <c r="I114" s="26"/>
      <c r="J114" s="285"/>
      <c r="K114" s="43"/>
      <c r="L114" s="253"/>
      <c r="M114" s="26"/>
    </row>
    <row r="115" spans="1:14" x14ac:dyDescent="0.2">
      <c r="A115" s="294" t="s">
        <v>15</v>
      </c>
      <c r="B115" s="279"/>
      <c r="C115" s="279"/>
      <c r="D115" s="164"/>
      <c r="E115" s="414"/>
      <c r="F115" s="279"/>
      <c r="G115" s="279"/>
      <c r="H115" s="164"/>
      <c r="I115" s="414"/>
      <c r="J115" s="288"/>
      <c r="K115" s="288"/>
      <c r="L115" s="164"/>
      <c r="M115" s="22"/>
    </row>
    <row r="116" spans="1:14" ht="15.75" x14ac:dyDescent="0.2">
      <c r="A116" s="20" t="s">
        <v>329</v>
      </c>
      <c r="B116" s="232"/>
      <c r="C116" s="232"/>
      <c r="D116" s="164"/>
      <c r="E116" s="26"/>
      <c r="F116" s="232"/>
      <c r="G116" s="232"/>
      <c r="H116" s="164"/>
      <c r="I116" s="26"/>
      <c r="J116" s="285"/>
      <c r="K116" s="43"/>
      <c r="L116" s="253"/>
      <c r="M116" s="26"/>
    </row>
    <row r="117" spans="1:14" ht="15.75" x14ac:dyDescent="0.2">
      <c r="A117" s="20" t="s">
        <v>322</v>
      </c>
      <c r="B117" s="232"/>
      <c r="C117" s="232"/>
      <c r="D117" s="164"/>
      <c r="E117" s="26"/>
      <c r="F117" s="232">
        <v>76983</v>
      </c>
      <c r="G117" s="232">
        <v>102279.88400000001</v>
      </c>
      <c r="H117" s="164">
        <f t="shared" si="26"/>
        <v>32.9</v>
      </c>
      <c r="I117" s="26">
        <f>IFERROR(100/'Skjema total MA'!F117*G117,0)</f>
        <v>5.290724560603647</v>
      </c>
      <c r="J117" s="285">
        <f t="shared" si="27"/>
        <v>76983</v>
      </c>
      <c r="K117" s="43">
        <f t="shared" si="27"/>
        <v>102279.88400000001</v>
      </c>
      <c r="L117" s="253">
        <f t="shared" si="28"/>
        <v>32.9</v>
      </c>
      <c r="M117" s="26">
        <f>IFERROR(100/'Skjema total MA'!I117*K117,0)</f>
        <v>5.2881958581706181</v>
      </c>
    </row>
    <row r="118" spans="1:14" ht="15.75" x14ac:dyDescent="0.2">
      <c r="A118" s="20" t="s">
        <v>321</v>
      </c>
      <c r="B118" s="232"/>
      <c r="C118" s="232"/>
      <c r="D118" s="164"/>
      <c r="E118" s="26"/>
      <c r="F118" s="232"/>
      <c r="G118" s="232"/>
      <c r="H118" s="164"/>
      <c r="I118" s="26"/>
      <c r="J118" s="285"/>
      <c r="K118" s="43"/>
      <c r="L118" s="253"/>
      <c r="M118" s="26"/>
    </row>
    <row r="119" spans="1:14" ht="15.75" x14ac:dyDescent="0.2">
      <c r="A119" s="13" t="s">
        <v>23</v>
      </c>
      <c r="B119" s="306"/>
      <c r="C119" s="157"/>
      <c r="D119" s="169"/>
      <c r="E119" s="11"/>
      <c r="F119" s="306">
        <f>SUM(F120:F122)</f>
        <v>695</v>
      </c>
      <c r="G119" s="157">
        <f>SUM(G120:G122)</f>
        <v>863</v>
      </c>
      <c r="H119" s="169">
        <f t="shared" si="26"/>
        <v>24.2</v>
      </c>
      <c r="I119" s="11">
        <f>IFERROR(100/'Skjema total MA'!F119*G119,0)</f>
        <v>8.8488757213899833E-3</v>
      </c>
      <c r="J119" s="307">
        <f t="shared" si="27"/>
        <v>695</v>
      </c>
      <c r="K119" s="234">
        <f t="shared" si="27"/>
        <v>863</v>
      </c>
      <c r="L119" s="425">
        <f t="shared" si="28"/>
        <v>24.2</v>
      </c>
      <c r="M119" s="11">
        <f>IFERROR(100/'Skjema total MA'!I119*K119,0)</f>
        <v>8.4595168707405667E-3</v>
      </c>
    </row>
    <row r="120" spans="1:14" x14ac:dyDescent="0.2">
      <c r="A120" s="20" t="s">
        <v>9</v>
      </c>
      <c r="B120" s="232"/>
      <c r="C120" s="143"/>
      <c r="D120" s="164"/>
      <c r="E120" s="26"/>
      <c r="F120" s="232"/>
      <c r="G120" s="143"/>
      <c r="H120" s="164"/>
      <c r="I120" s="26"/>
      <c r="J120" s="285"/>
      <c r="K120" s="43"/>
      <c r="L120" s="253"/>
      <c r="M120" s="26"/>
    </row>
    <row r="121" spans="1:14" x14ac:dyDescent="0.2">
      <c r="A121" s="20" t="s">
        <v>10</v>
      </c>
      <c r="B121" s="232"/>
      <c r="C121" s="143"/>
      <c r="D121" s="164"/>
      <c r="E121" s="26"/>
      <c r="F121" s="232">
        <v>695</v>
      </c>
      <c r="G121" s="143">
        <v>863</v>
      </c>
      <c r="H121" s="164">
        <f t="shared" si="26"/>
        <v>24.2</v>
      </c>
      <c r="I121" s="26">
        <f>IFERROR(100/'Skjema total MA'!F121*G121,0)</f>
        <v>8.8488757213899833E-3</v>
      </c>
      <c r="J121" s="285">
        <f t="shared" si="27"/>
        <v>695</v>
      </c>
      <c r="K121" s="43">
        <f t="shared" si="27"/>
        <v>863</v>
      </c>
      <c r="L121" s="253">
        <f t="shared" si="28"/>
        <v>24.2</v>
      </c>
      <c r="M121" s="26">
        <f>IFERROR(100/'Skjema total MA'!I121*K121,0)</f>
        <v>8.8151010379666946E-3</v>
      </c>
    </row>
    <row r="122" spans="1:14" x14ac:dyDescent="0.2">
      <c r="A122" s="20" t="s">
        <v>29</v>
      </c>
      <c r="B122" s="232"/>
      <c r="C122" s="143"/>
      <c r="D122" s="164"/>
      <c r="E122" s="26"/>
      <c r="F122" s="232"/>
      <c r="G122" s="143"/>
      <c r="H122" s="164"/>
      <c r="I122" s="26"/>
      <c r="J122" s="285"/>
      <c r="K122" s="43"/>
      <c r="L122" s="253"/>
      <c r="M122" s="26"/>
    </row>
    <row r="123" spans="1:14" x14ac:dyDescent="0.2">
      <c r="A123" s="294" t="s">
        <v>14</v>
      </c>
      <c r="B123" s="279"/>
      <c r="C123" s="279"/>
      <c r="D123" s="164"/>
      <c r="E123" s="414"/>
      <c r="F123" s="279"/>
      <c r="G123" s="279"/>
      <c r="H123" s="164"/>
      <c r="I123" s="414"/>
      <c r="J123" s="288"/>
      <c r="K123" s="288"/>
      <c r="L123" s="164"/>
      <c r="M123" s="22"/>
    </row>
    <row r="124" spans="1:14" ht="15.75" x14ac:dyDescent="0.2">
      <c r="A124" s="20" t="s">
        <v>319</v>
      </c>
      <c r="B124" s="232"/>
      <c r="C124" s="232"/>
      <c r="D124" s="164"/>
      <c r="E124" s="26"/>
      <c r="F124" s="232"/>
      <c r="G124" s="232"/>
      <c r="H124" s="164"/>
      <c r="I124" s="26"/>
      <c r="J124" s="285"/>
      <c r="K124" s="43"/>
      <c r="L124" s="253"/>
      <c r="M124" s="26"/>
    </row>
    <row r="125" spans="1:14" ht="15.75" x14ac:dyDescent="0.2">
      <c r="A125" s="20" t="s">
        <v>320</v>
      </c>
      <c r="B125" s="232"/>
      <c r="C125" s="232"/>
      <c r="D125" s="164"/>
      <c r="E125" s="26"/>
      <c r="F125" s="232"/>
      <c r="G125" s="232"/>
      <c r="H125" s="164"/>
      <c r="I125" s="26"/>
      <c r="J125" s="285"/>
      <c r="K125" s="43"/>
      <c r="L125" s="253"/>
      <c r="M125" s="26"/>
    </row>
    <row r="126" spans="1:14" ht="15.75" x14ac:dyDescent="0.2">
      <c r="A126" s="10" t="s">
        <v>321</v>
      </c>
      <c r="B126" s="44"/>
      <c r="C126" s="44"/>
      <c r="D126" s="165"/>
      <c r="E126" s="415"/>
      <c r="F126" s="44"/>
      <c r="G126" s="44"/>
      <c r="H126" s="165"/>
      <c r="I126" s="21"/>
      <c r="J126" s="286"/>
      <c r="K126" s="44"/>
      <c r="L126" s="254"/>
      <c r="M126" s="21"/>
    </row>
    <row r="127" spans="1:14" x14ac:dyDescent="0.2">
      <c r="A127" s="153"/>
      <c r="L127" s="25"/>
      <c r="M127" s="25"/>
      <c r="N127" s="25"/>
    </row>
    <row r="128" spans="1:14" x14ac:dyDescent="0.2">
      <c r="L128" s="25"/>
      <c r="M128" s="25"/>
      <c r="N128" s="25"/>
    </row>
    <row r="129" spans="1:15" ht="15.75" x14ac:dyDescent="0.25">
      <c r="A129" s="163" t="s">
        <v>30</v>
      </c>
    </row>
    <row r="130" spans="1:15" ht="15.75" x14ac:dyDescent="0.25">
      <c r="B130" s="963"/>
      <c r="C130" s="963"/>
      <c r="D130" s="963"/>
      <c r="E130" s="297"/>
      <c r="F130" s="963"/>
      <c r="G130" s="963"/>
      <c r="H130" s="963"/>
      <c r="I130" s="297"/>
      <c r="J130" s="963"/>
      <c r="K130" s="963"/>
      <c r="L130" s="963"/>
      <c r="M130" s="297"/>
    </row>
    <row r="131" spans="1:15" s="3" customFormat="1" x14ac:dyDescent="0.2">
      <c r="A131" s="142"/>
      <c r="B131" s="960" t="s">
        <v>0</v>
      </c>
      <c r="C131" s="961"/>
      <c r="D131" s="961"/>
      <c r="E131" s="299"/>
      <c r="F131" s="960" t="s">
        <v>1</v>
      </c>
      <c r="G131" s="961"/>
      <c r="H131" s="961"/>
      <c r="I131" s="302"/>
      <c r="J131" s="960" t="s">
        <v>2</v>
      </c>
      <c r="K131" s="961"/>
      <c r="L131" s="961"/>
      <c r="M131" s="302"/>
      <c r="N131" s="146"/>
      <c r="O131" s="146"/>
    </row>
    <row r="132" spans="1:15" s="3" customFormat="1" x14ac:dyDescent="0.2">
      <c r="A132" s="139"/>
      <c r="B132" s="150" t="s">
        <v>504</v>
      </c>
      <c r="C132" s="150" t="s">
        <v>505</v>
      </c>
      <c r="D132" s="243" t="s">
        <v>3</v>
      </c>
      <c r="E132" s="303" t="s">
        <v>32</v>
      </c>
      <c r="F132" s="150" t="s">
        <v>504</v>
      </c>
      <c r="G132" s="150" t="s">
        <v>505</v>
      </c>
      <c r="H132" s="204" t="s">
        <v>3</v>
      </c>
      <c r="I132" s="160" t="s">
        <v>32</v>
      </c>
      <c r="J132" s="244" t="s">
        <v>504</v>
      </c>
      <c r="K132" s="244" t="s">
        <v>505</v>
      </c>
      <c r="L132" s="245" t="s">
        <v>3</v>
      </c>
      <c r="M132" s="160" t="s">
        <v>32</v>
      </c>
      <c r="N132" s="146"/>
      <c r="O132" s="146"/>
    </row>
    <row r="133" spans="1:15" s="3" customFormat="1" x14ac:dyDescent="0.2">
      <c r="A133" s="934"/>
      <c r="B133" s="154"/>
      <c r="C133" s="154"/>
      <c r="D133" s="245" t="s">
        <v>4</v>
      </c>
      <c r="E133" s="154" t="s">
        <v>33</v>
      </c>
      <c r="F133" s="159"/>
      <c r="G133" s="159"/>
      <c r="H133" s="204" t="s">
        <v>4</v>
      </c>
      <c r="I133" s="154" t="s">
        <v>33</v>
      </c>
      <c r="J133" s="154"/>
      <c r="K133" s="154"/>
      <c r="L133" s="148" t="s">
        <v>4</v>
      </c>
      <c r="M133" s="154" t="s">
        <v>33</v>
      </c>
      <c r="N133" s="146"/>
      <c r="O133" s="146"/>
    </row>
    <row r="134" spans="1:15" s="3" customFormat="1" ht="15.75" x14ac:dyDescent="0.2">
      <c r="A134" s="14" t="s">
        <v>323</v>
      </c>
      <c r="B134" s="234"/>
      <c r="C134" s="307"/>
      <c r="D134" s="348"/>
      <c r="E134" s="11"/>
      <c r="F134" s="314"/>
      <c r="G134" s="315"/>
      <c r="H134" s="428"/>
      <c r="I134" s="23"/>
      <c r="J134" s="316"/>
      <c r="K134" s="316"/>
      <c r="L134" s="424"/>
      <c r="M134" s="11"/>
      <c r="N134" s="146"/>
      <c r="O134" s="146"/>
    </row>
    <row r="135" spans="1:15" s="3" customFormat="1" ht="15.75" x14ac:dyDescent="0.2">
      <c r="A135" s="13" t="s">
        <v>324</v>
      </c>
      <c r="B135" s="234"/>
      <c r="C135" s="307"/>
      <c r="D135" s="169"/>
      <c r="E135" s="11"/>
      <c r="F135" s="234"/>
      <c r="G135" s="307"/>
      <c r="H135" s="429"/>
      <c r="I135" s="23"/>
      <c r="J135" s="306"/>
      <c r="K135" s="306"/>
      <c r="L135" s="425"/>
      <c r="M135" s="11"/>
      <c r="N135" s="146"/>
      <c r="O135" s="146"/>
    </row>
    <row r="136" spans="1:15" s="3" customFormat="1" ht="15.75" x14ac:dyDescent="0.2">
      <c r="A136" s="13" t="s">
        <v>325</v>
      </c>
      <c r="B136" s="234"/>
      <c r="C136" s="307"/>
      <c r="D136" s="169"/>
      <c r="E136" s="11"/>
      <c r="F136" s="234"/>
      <c r="G136" s="307"/>
      <c r="H136" s="429"/>
      <c r="I136" s="23"/>
      <c r="J136" s="306"/>
      <c r="K136" s="306"/>
      <c r="L136" s="425"/>
      <c r="M136" s="11"/>
      <c r="N136" s="146"/>
      <c r="O136" s="146"/>
    </row>
    <row r="137" spans="1:15" s="3" customFormat="1" ht="15.75" x14ac:dyDescent="0.2">
      <c r="A137" s="40" t="s">
        <v>326</v>
      </c>
      <c r="B137" s="274"/>
      <c r="C137" s="313"/>
      <c r="D137" s="167"/>
      <c r="E137" s="9"/>
      <c r="F137" s="274"/>
      <c r="G137" s="313"/>
      <c r="H137" s="430"/>
      <c r="I137" s="35"/>
      <c r="J137" s="312"/>
      <c r="K137" s="312"/>
      <c r="L137" s="426"/>
      <c r="M137" s="35"/>
      <c r="N137" s="146"/>
      <c r="O137" s="146"/>
    </row>
    <row r="138" spans="1:15" s="3" customFormat="1" x14ac:dyDescent="0.2">
      <c r="A138" s="166"/>
      <c r="B138" s="32"/>
      <c r="C138" s="32"/>
      <c r="D138" s="157"/>
      <c r="E138" s="157"/>
      <c r="F138" s="32"/>
      <c r="G138" s="32"/>
      <c r="H138" s="157"/>
      <c r="I138" s="157"/>
      <c r="J138" s="32"/>
      <c r="K138" s="32"/>
      <c r="L138" s="157"/>
      <c r="M138" s="157"/>
      <c r="N138" s="146"/>
      <c r="O138" s="146"/>
    </row>
    <row r="139" spans="1:15" x14ac:dyDescent="0.2">
      <c r="A139" s="166"/>
      <c r="B139" s="32"/>
      <c r="C139" s="32"/>
      <c r="D139" s="157"/>
      <c r="E139" s="157"/>
      <c r="F139" s="32"/>
      <c r="G139" s="32"/>
      <c r="H139" s="157"/>
      <c r="I139" s="157"/>
      <c r="J139" s="32"/>
      <c r="K139" s="32"/>
      <c r="L139" s="157"/>
      <c r="M139" s="157"/>
      <c r="N139" s="146"/>
    </row>
    <row r="140" spans="1:15" x14ac:dyDescent="0.2">
      <c r="A140" s="166"/>
      <c r="B140" s="32"/>
      <c r="C140" s="32"/>
      <c r="D140" s="157"/>
      <c r="E140" s="157"/>
      <c r="F140" s="32"/>
      <c r="G140" s="32"/>
      <c r="H140" s="157"/>
      <c r="I140" s="157"/>
      <c r="J140" s="32"/>
      <c r="K140" s="32"/>
      <c r="L140" s="157"/>
      <c r="M140" s="157"/>
      <c r="N140" s="146"/>
    </row>
    <row r="141" spans="1:15" x14ac:dyDescent="0.2">
      <c r="A141" s="144"/>
      <c r="B141" s="144"/>
      <c r="C141" s="144"/>
      <c r="D141" s="144"/>
      <c r="E141" s="144"/>
      <c r="F141" s="144"/>
      <c r="G141" s="144"/>
      <c r="H141" s="144"/>
      <c r="I141" s="144"/>
      <c r="J141" s="144"/>
      <c r="K141" s="144"/>
      <c r="L141" s="144"/>
      <c r="M141" s="144"/>
      <c r="N141" s="144"/>
    </row>
    <row r="142" spans="1:15" ht="15.75" x14ac:dyDescent="0.25">
      <c r="B142" s="140"/>
      <c r="C142" s="140"/>
      <c r="D142" s="140"/>
      <c r="E142" s="140"/>
      <c r="F142" s="140"/>
      <c r="G142" s="140"/>
      <c r="H142" s="140"/>
      <c r="I142" s="140"/>
      <c r="J142" s="140"/>
      <c r="K142" s="140"/>
      <c r="L142" s="140"/>
      <c r="M142" s="140"/>
      <c r="N142" s="140"/>
    </row>
    <row r="143" spans="1:15" ht="15.75" x14ac:dyDescent="0.25">
      <c r="B143" s="155"/>
      <c r="C143" s="155"/>
      <c r="D143" s="155"/>
      <c r="E143" s="155"/>
      <c r="F143" s="155"/>
      <c r="G143" s="155"/>
      <c r="H143" s="155"/>
      <c r="I143" s="155"/>
      <c r="J143" s="155"/>
      <c r="K143" s="155"/>
      <c r="L143" s="155"/>
      <c r="M143" s="155"/>
      <c r="N143" s="155"/>
      <c r="O143" s="152"/>
    </row>
    <row r="144" spans="1:15" ht="15.75" x14ac:dyDescent="0.25">
      <c r="B144" s="155"/>
      <c r="C144" s="155"/>
      <c r="D144" s="155"/>
      <c r="E144" s="155"/>
      <c r="F144" s="155"/>
      <c r="G144" s="155"/>
      <c r="H144" s="155"/>
      <c r="I144" s="155"/>
      <c r="J144" s="155"/>
      <c r="K144" s="155"/>
      <c r="L144" s="155"/>
      <c r="M144" s="155"/>
      <c r="N144" s="155"/>
      <c r="O144" s="152"/>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568" priority="132">
      <formula>kvartal &lt; 4</formula>
    </cfRule>
  </conditionalFormatting>
  <conditionalFormatting sqref="B30">
    <cfRule type="expression" dxfId="567" priority="130">
      <formula>kvartal &lt; 4</formula>
    </cfRule>
  </conditionalFormatting>
  <conditionalFormatting sqref="B31">
    <cfRule type="expression" dxfId="566" priority="129">
      <formula>kvartal &lt; 4</formula>
    </cfRule>
  </conditionalFormatting>
  <conditionalFormatting sqref="B32:B33">
    <cfRule type="expression" dxfId="565" priority="128">
      <formula>kvartal &lt; 4</formula>
    </cfRule>
  </conditionalFormatting>
  <conditionalFormatting sqref="C30">
    <cfRule type="expression" dxfId="564" priority="127">
      <formula>kvartal &lt; 4</formula>
    </cfRule>
  </conditionalFormatting>
  <conditionalFormatting sqref="C31">
    <cfRule type="expression" dxfId="563" priority="126">
      <formula>kvartal &lt; 4</formula>
    </cfRule>
  </conditionalFormatting>
  <conditionalFormatting sqref="C32:C33">
    <cfRule type="expression" dxfId="562" priority="125">
      <formula>kvartal &lt; 4</formula>
    </cfRule>
  </conditionalFormatting>
  <conditionalFormatting sqref="B23:C26">
    <cfRule type="expression" dxfId="561" priority="124">
      <formula>kvartal &lt; 4</formula>
    </cfRule>
  </conditionalFormatting>
  <conditionalFormatting sqref="F23:G26">
    <cfRule type="expression" dxfId="560" priority="120">
      <formula>kvartal &lt; 4</formula>
    </cfRule>
  </conditionalFormatting>
  <conditionalFormatting sqref="F30">
    <cfRule type="expression" dxfId="559" priority="113">
      <formula>kvartal &lt; 4</formula>
    </cfRule>
  </conditionalFormatting>
  <conditionalFormatting sqref="F31">
    <cfRule type="expression" dxfId="558" priority="112">
      <formula>kvartal &lt; 4</formula>
    </cfRule>
  </conditionalFormatting>
  <conditionalFormatting sqref="F32:F33">
    <cfRule type="expression" dxfId="557" priority="111">
      <formula>kvartal &lt; 4</formula>
    </cfRule>
  </conditionalFormatting>
  <conditionalFormatting sqref="G30">
    <cfRule type="expression" dxfId="556" priority="110">
      <formula>kvartal &lt; 4</formula>
    </cfRule>
  </conditionalFormatting>
  <conditionalFormatting sqref="G31">
    <cfRule type="expression" dxfId="555" priority="109">
      <formula>kvartal &lt; 4</formula>
    </cfRule>
  </conditionalFormatting>
  <conditionalFormatting sqref="G32:G33">
    <cfRule type="expression" dxfId="554" priority="108">
      <formula>kvartal &lt; 4</formula>
    </cfRule>
  </conditionalFormatting>
  <conditionalFormatting sqref="B27">
    <cfRule type="expression" dxfId="553" priority="107">
      <formula>kvartal &lt; 4</formula>
    </cfRule>
  </conditionalFormatting>
  <conditionalFormatting sqref="C27">
    <cfRule type="expression" dxfId="552" priority="106">
      <formula>kvartal &lt; 4</formula>
    </cfRule>
  </conditionalFormatting>
  <conditionalFormatting sqref="F27">
    <cfRule type="expression" dxfId="551" priority="105">
      <formula>kvartal &lt; 4</formula>
    </cfRule>
  </conditionalFormatting>
  <conditionalFormatting sqref="G27">
    <cfRule type="expression" dxfId="550" priority="104">
      <formula>kvartal &lt; 4</formula>
    </cfRule>
  </conditionalFormatting>
  <conditionalFormatting sqref="J24:K25 J27:K27">
    <cfRule type="expression" dxfId="549" priority="103">
      <formula>kvartal &lt; 4</formula>
    </cfRule>
  </conditionalFormatting>
  <conditionalFormatting sqref="J32:K32">
    <cfRule type="expression" dxfId="548" priority="101">
      <formula>kvartal &lt; 4</formula>
    </cfRule>
  </conditionalFormatting>
  <conditionalFormatting sqref="B69">
    <cfRule type="expression" dxfId="547" priority="100">
      <formula>kvartal &lt; 4</formula>
    </cfRule>
  </conditionalFormatting>
  <conditionalFormatting sqref="C69">
    <cfRule type="expression" dxfId="546" priority="99">
      <formula>kvartal &lt; 4</formula>
    </cfRule>
  </conditionalFormatting>
  <conditionalFormatting sqref="B72">
    <cfRule type="expression" dxfId="545" priority="98">
      <formula>kvartal &lt; 4</formula>
    </cfRule>
  </conditionalFormatting>
  <conditionalFormatting sqref="C72">
    <cfRule type="expression" dxfId="544" priority="97">
      <formula>kvartal &lt; 4</formula>
    </cfRule>
  </conditionalFormatting>
  <conditionalFormatting sqref="B80">
    <cfRule type="expression" dxfId="543" priority="96">
      <formula>kvartal &lt; 4</formula>
    </cfRule>
  </conditionalFormatting>
  <conditionalFormatting sqref="C80">
    <cfRule type="expression" dxfId="542" priority="95">
      <formula>kvartal &lt; 4</formula>
    </cfRule>
  </conditionalFormatting>
  <conditionalFormatting sqref="B83">
    <cfRule type="expression" dxfId="541" priority="94">
      <formula>kvartal &lt; 4</formula>
    </cfRule>
  </conditionalFormatting>
  <conditionalFormatting sqref="C83">
    <cfRule type="expression" dxfId="540" priority="93">
      <formula>kvartal &lt; 4</formula>
    </cfRule>
  </conditionalFormatting>
  <conditionalFormatting sqref="B90">
    <cfRule type="expression" dxfId="539" priority="84">
      <formula>kvartal &lt; 4</formula>
    </cfRule>
  </conditionalFormatting>
  <conditionalFormatting sqref="C90">
    <cfRule type="expression" dxfId="538" priority="83">
      <formula>kvartal &lt; 4</formula>
    </cfRule>
  </conditionalFormatting>
  <conditionalFormatting sqref="B93">
    <cfRule type="expression" dxfId="537" priority="82">
      <formula>kvartal &lt; 4</formula>
    </cfRule>
  </conditionalFormatting>
  <conditionalFormatting sqref="C93">
    <cfRule type="expression" dxfId="536" priority="81">
      <formula>kvartal &lt; 4</formula>
    </cfRule>
  </conditionalFormatting>
  <conditionalFormatting sqref="B101">
    <cfRule type="expression" dxfId="535" priority="80">
      <formula>kvartal &lt; 4</formula>
    </cfRule>
  </conditionalFormatting>
  <conditionalFormatting sqref="C101">
    <cfRule type="expression" dxfId="534" priority="79">
      <formula>kvartal &lt; 4</formula>
    </cfRule>
  </conditionalFormatting>
  <conditionalFormatting sqref="B104">
    <cfRule type="expression" dxfId="533" priority="78">
      <formula>kvartal &lt; 4</formula>
    </cfRule>
  </conditionalFormatting>
  <conditionalFormatting sqref="C104">
    <cfRule type="expression" dxfId="532" priority="77">
      <formula>kvartal &lt; 4</formula>
    </cfRule>
  </conditionalFormatting>
  <conditionalFormatting sqref="B115">
    <cfRule type="expression" dxfId="531" priority="76">
      <formula>kvartal &lt; 4</formula>
    </cfRule>
  </conditionalFormatting>
  <conditionalFormatting sqref="C115">
    <cfRule type="expression" dxfId="530" priority="75">
      <formula>kvartal &lt; 4</formula>
    </cfRule>
  </conditionalFormatting>
  <conditionalFormatting sqref="B123">
    <cfRule type="expression" dxfId="529" priority="74">
      <formula>kvartal &lt; 4</formula>
    </cfRule>
  </conditionalFormatting>
  <conditionalFormatting sqref="C123">
    <cfRule type="expression" dxfId="528" priority="73">
      <formula>kvartal &lt; 4</formula>
    </cfRule>
  </conditionalFormatting>
  <conditionalFormatting sqref="F70">
    <cfRule type="expression" dxfId="527" priority="72">
      <formula>kvartal &lt; 4</formula>
    </cfRule>
  </conditionalFormatting>
  <conditionalFormatting sqref="G70">
    <cfRule type="expression" dxfId="526" priority="71">
      <formula>kvartal &lt; 4</formula>
    </cfRule>
  </conditionalFormatting>
  <conditionalFormatting sqref="F71:G71">
    <cfRule type="expression" dxfId="525" priority="70">
      <formula>kvartal &lt; 4</formula>
    </cfRule>
  </conditionalFormatting>
  <conditionalFormatting sqref="F73:G74">
    <cfRule type="expression" dxfId="524" priority="69">
      <formula>kvartal &lt; 4</formula>
    </cfRule>
  </conditionalFormatting>
  <conditionalFormatting sqref="F81:G82">
    <cfRule type="expression" dxfId="523" priority="68">
      <formula>kvartal &lt; 4</formula>
    </cfRule>
  </conditionalFormatting>
  <conditionalFormatting sqref="F84:G85">
    <cfRule type="expression" dxfId="522" priority="67">
      <formula>kvartal &lt; 4</formula>
    </cfRule>
  </conditionalFormatting>
  <conditionalFormatting sqref="F91:G92">
    <cfRule type="expression" dxfId="521" priority="62">
      <formula>kvartal &lt; 4</formula>
    </cfRule>
  </conditionalFormatting>
  <conditionalFormatting sqref="F94:G95">
    <cfRule type="expression" dxfId="520" priority="61">
      <formula>kvartal &lt; 4</formula>
    </cfRule>
  </conditionalFormatting>
  <conditionalFormatting sqref="F102:G103">
    <cfRule type="expression" dxfId="519" priority="60">
      <formula>kvartal &lt; 4</formula>
    </cfRule>
  </conditionalFormatting>
  <conditionalFormatting sqref="F105:G106">
    <cfRule type="expression" dxfId="518" priority="59">
      <formula>kvartal &lt; 4</formula>
    </cfRule>
  </conditionalFormatting>
  <conditionalFormatting sqref="F115">
    <cfRule type="expression" dxfId="517" priority="58">
      <formula>kvartal &lt; 4</formula>
    </cfRule>
  </conditionalFormatting>
  <conditionalFormatting sqref="G115">
    <cfRule type="expression" dxfId="516" priority="57">
      <formula>kvartal &lt; 4</formula>
    </cfRule>
  </conditionalFormatting>
  <conditionalFormatting sqref="F123:G123">
    <cfRule type="expression" dxfId="515" priority="56">
      <formula>kvartal &lt; 4</formula>
    </cfRule>
  </conditionalFormatting>
  <conditionalFormatting sqref="F69:G69">
    <cfRule type="expression" dxfId="514" priority="55">
      <formula>kvartal &lt; 4</formula>
    </cfRule>
  </conditionalFormatting>
  <conditionalFormatting sqref="F72:G72">
    <cfRule type="expression" dxfId="513" priority="54">
      <formula>kvartal &lt; 4</formula>
    </cfRule>
  </conditionalFormatting>
  <conditionalFormatting sqref="F80:G80">
    <cfRule type="expression" dxfId="512" priority="53">
      <formula>kvartal &lt; 4</formula>
    </cfRule>
  </conditionalFormatting>
  <conditionalFormatting sqref="F83:G83">
    <cfRule type="expression" dxfId="511" priority="52">
      <formula>kvartal &lt; 4</formula>
    </cfRule>
  </conditionalFormatting>
  <conditionalFormatting sqref="F90:G90">
    <cfRule type="expression" dxfId="510" priority="46">
      <formula>kvartal &lt; 4</formula>
    </cfRule>
  </conditionalFormatting>
  <conditionalFormatting sqref="F93">
    <cfRule type="expression" dxfId="509" priority="45">
      <formula>kvartal &lt; 4</formula>
    </cfRule>
  </conditionalFormatting>
  <conditionalFormatting sqref="G93">
    <cfRule type="expression" dxfId="508" priority="44">
      <formula>kvartal &lt; 4</formula>
    </cfRule>
  </conditionalFormatting>
  <conditionalFormatting sqref="F101">
    <cfRule type="expression" dxfId="507" priority="43">
      <formula>kvartal &lt; 4</formula>
    </cfRule>
  </conditionalFormatting>
  <conditionalFormatting sqref="G101">
    <cfRule type="expression" dxfId="506" priority="42">
      <formula>kvartal &lt; 4</formula>
    </cfRule>
  </conditionalFormatting>
  <conditionalFormatting sqref="G104">
    <cfRule type="expression" dxfId="505" priority="41">
      <formula>kvartal &lt; 4</formula>
    </cfRule>
  </conditionalFormatting>
  <conditionalFormatting sqref="F104">
    <cfRule type="expression" dxfId="504" priority="40">
      <formula>kvartal &lt; 4</formula>
    </cfRule>
  </conditionalFormatting>
  <conditionalFormatting sqref="J69:K71">
    <cfRule type="expression" dxfId="503" priority="39">
      <formula>kvartal &lt; 4</formula>
    </cfRule>
  </conditionalFormatting>
  <conditionalFormatting sqref="J74:K74">
    <cfRule type="expression" dxfId="502" priority="38">
      <formula>kvartal &lt; 4</formula>
    </cfRule>
  </conditionalFormatting>
  <conditionalFormatting sqref="J80:K85">
    <cfRule type="expression" dxfId="501" priority="37">
      <formula>kvartal &lt; 4</formula>
    </cfRule>
  </conditionalFormatting>
  <conditionalFormatting sqref="J90:K92 J95:K95">
    <cfRule type="expression" dxfId="500" priority="34">
      <formula>kvartal &lt; 4</formula>
    </cfRule>
  </conditionalFormatting>
  <conditionalFormatting sqref="J101:K106">
    <cfRule type="expression" dxfId="499" priority="33">
      <formula>kvartal &lt; 4</formula>
    </cfRule>
  </conditionalFormatting>
  <conditionalFormatting sqref="J115:K115">
    <cfRule type="expression" dxfId="498" priority="32">
      <formula>kvartal &lt; 4</formula>
    </cfRule>
  </conditionalFormatting>
  <conditionalFormatting sqref="J123:K123">
    <cfRule type="expression" dxfId="497" priority="31">
      <formula>kvartal &lt; 4</formula>
    </cfRule>
  </conditionalFormatting>
  <conditionalFormatting sqref="A23:A26">
    <cfRule type="expression" dxfId="496" priority="15">
      <formula>kvartal &lt; 4</formula>
    </cfRule>
  </conditionalFormatting>
  <conditionalFormatting sqref="A30:A33">
    <cfRule type="expression" dxfId="495" priority="13">
      <formula>kvartal &lt; 4</formula>
    </cfRule>
  </conditionalFormatting>
  <conditionalFormatting sqref="A50:A52">
    <cfRule type="expression" dxfId="494" priority="12">
      <formula>kvartal &lt; 4</formula>
    </cfRule>
  </conditionalFormatting>
  <conditionalFormatting sqref="A69:A74">
    <cfRule type="expression" dxfId="493" priority="10">
      <formula>kvartal &lt; 4</formula>
    </cfRule>
  </conditionalFormatting>
  <conditionalFormatting sqref="A80:A85">
    <cfRule type="expression" dxfId="492" priority="9">
      <formula>kvartal &lt; 4</formula>
    </cfRule>
  </conditionalFormatting>
  <conditionalFormatting sqref="A90:A95">
    <cfRule type="expression" dxfId="491" priority="6">
      <formula>kvartal &lt; 4</formula>
    </cfRule>
  </conditionalFormatting>
  <conditionalFormatting sqref="A101:A106">
    <cfRule type="expression" dxfId="490" priority="5">
      <formula>kvartal &lt; 4</formula>
    </cfRule>
  </conditionalFormatting>
  <conditionalFormatting sqref="A115">
    <cfRule type="expression" dxfId="489" priority="4">
      <formula>kvartal &lt; 4</formula>
    </cfRule>
  </conditionalFormatting>
  <conditionalFormatting sqref="A123">
    <cfRule type="expression" dxfId="488" priority="3">
      <formula>kvartal &lt; 4</formula>
    </cfRule>
  </conditionalFormatting>
  <conditionalFormatting sqref="A27">
    <cfRule type="expression" dxfId="487" priority="2">
      <formula>kvartal &lt; 4</formula>
    </cfRule>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8"/>
  <dimension ref="A1:O144"/>
  <sheetViews>
    <sheetView showGridLines="0" zoomScale="90" zoomScaleNormal="90" workbookViewId="0"/>
  </sheetViews>
  <sheetFormatPr baseColWidth="10" defaultColWidth="11.42578125" defaultRowHeight="12.75" x14ac:dyDescent="0.2"/>
  <cols>
    <col min="1" max="1" width="41.5703125" style="147" customWidth="1"/>
    <col min="2" max="2" width="10.85546875" style="147" customWidth="1"/>
    <col min="3" max="3" width="11" style="147" customWidth="1"/>
    <col min="4" max="5" width="8.7109375" style="147" customWidth="1"/>
    <col min="6" max="7" width="10.85546875" style="147" customWidth="1"/>
    <col min="8" max="9" width="8.7109375" style="147" customWidth="1"/>
    <col min="10" max="11" width="10.85546875" style="147" customWidth="1"/>
    <col min="12" max="13" width="8.7109375" style="147" customWidth="1"/>
    <col min="14" max="14" width="11.42578125" style="147"/>
    <col min="15" max="15" width="3" style="146" bestFit="1" customWidth="1"/>
    <col min="16" max="16384" width="11.42578125" style="1"/>
  </cols>
  <sheetData>
    <row r="1" spans="1:15" x14ac:dyDescent="0.2">
      <c r="A1" s="170" t="s">
        <v>152</v>
      </c>
      <c r="B1" s="932"/>
      <c r="C1" s="247" t="s">
        <v>147</v>
      </c>
      <c r="D1" s="25"/>
      <c r="E1" s="25"/>
      <c r="F1" s="25"/>
      <c r="G1" s="25"/>
      <c r="H1" s="25"/>
      <c r="I1" s="25"/>
      <c r="J1" s="25"/>
      <c r="K1" s="25"/>
      <c r="L1" s="25"/>
      <c r="M1" s="25"/>
      <c r="O1" s="423"/>
    </row>
    <row r="2" spans="1:15" ht="15.75" x14ac:dyDescent="0.25">
      <c r="A2" s="163" t="s">
        <v>31</v>
      </c>
      <c r="B2" s="965"/>
      <c r="C2" s="965"/>
      <c r="D2" s="965"/>
      <c r="E2" s="297"/>
      <c r="F2" s="965"/>
      <c r="G2" s="965"/>
      <c r="H2" s="965"/>
      <c r="I2" s="297"/>
      <c r="J2" s="965"/>
      <c r="K2" s="965"/>
      <c r="L2" s="965"/>
      <c r="M2" s="297"/>
    </row>
    <row r="3" spans="1:15" ht="15.75" x14ac:dyDescent="0.25">
      <c r="A3" s="161"/>
      <c r="B3" s="297"/>
      <c r="C3" s="297"/>
      <c r="D3" s="297"/>
      <c r="E3" s="297"/>
      <c r="F3" s="297"/>
      <c r="G3" s="297"/>
      <c r="H3" s="297"/>
      <c r="I3" s="297"/>
      <c r="J3" s="297"/>
      <c r="K3" s="297"/>
      <c r="L3" s="297"/>
      <c r="M3" s="297"/>
    </row>
    <row r="4" spans="1:15" x14ac:dyDescent="0.2">
      <c r="A4" s="142"/>
      <c r="B4" s="960" t="s">
        <v>0</v>
      </c>
      <c r="C4" s="961"/>
      <c r="D4" s="961"/>
      <c r="E4" s="299"/>
      <c r="F4" s="960" t="s">
        <v>1</v>
      </c>
      <c r="G4" s="961"/>
      <c r="H4" s="961"/>
      <c r="I4" s="302"/>
      <c r="J4" s="960" t="s">
        <v>2</v>
      </c>
      <c r="K4" s="961"/>
      <c r="L4" s="961"/>
      <c r="M4" s="302"/>
    </row>
    <row r="5" spans="1:15" x14ac:dyDescent="0.2">
      <c r="A5" s="156"/>
      <c r="B5" s="150" t="s">
        <v>504</v>
      </c>
      <c r="C5" s="150" t="s">
        <v>505</v>
      </c>
      <c r="D5" s="243" t="s">
        <v>3</v>
      </c>
      <c r="E5" s="303" t="s">
        <v>32</v>
      </c>
      <c r="F5" s="150" t="s">
        <v>504</v>
      </c>
      <c r="G5" s="150" t="s">
        <v>505</v>
      </c>
      <c r="H5" s="243" t="s">
        <v>3</v>
      </c>
      <c r="I5" s="160" t="s">
        <v>32</v>
      </c>
      <c r="J5" s="150" t="s">
        <v>504</v>
      </c>
      <c r="K5" s="150" t="s">
        <v>505</v>
      </c>
      <c r="L5" s="243" t="s">
        <v>3</v>
      </c>
      <c r="M5" s="160" t="s">
        <v>32</v>
      </c>
      <c r="O5" s="931"/>
    </row>
    <row r="6" spans="1:15" x14ac:dyDescent="0.2">
      <c r="A6" s="933"/>
      <c r="B6" s="154"/>
      <c r="C6" s="154"/>
      <c r="D6" s="245" t="s">
        <v>4</v>
      </c>
      <c r="E6" s="154" t="s">
        <v>33</v>
      </c>
      <c r="F6" s="159"/>
      <c r="G6" s="159"/>
      <c r="H6" s="243" t="s">
        <v>4</v>
      </c>
      <c r="I6" s="154" t="s">
        <v>33</v>
      </c>
      <c r="J6" s="159"/>
      <c r="K6" s="159"/>
      <c r="L6" s="243" t="s">
        <v>4</v>
      </c>
      <c r="M6" s="154" t="s">
        <v>33</v>
      </c>
    </row>
    <row r="7" spans="1:15" ht="15.75" x14ac:dyDescent="0.2">
      <c r="A7" s="14" t="s">
        <v>26</v>
      </c>
      <c r="B7" s="304"/>
      <c r="C7" s="305"/>
      <c r="D7" s="348"/>
      <c r="E7" s="11"/>
      <c r="F7" s="304"/>
      <c r="G7" s="305"/>
      <c r="H7" s="348"/>
      <c r="I7" s="158"/>
      <c r="J7" s="306"/>
      <c r="K7" s="307"/>
      <c r="L7" s="424"/>
      <c r="M7" s="11"/>
    </row>
    <row r="8" spans="1:15" ht="15.75" x14ac:dyDescent="0.2">
      <c r="A8" s="20" t="s">
        <v>28</v>
      </c>
      <c r="B8" s="279"/>
      <c r="C8" s="280"/>
      <c r="D8" s="164"/>
      <c r="E8" s="26"/>
      <c r="F8" s="283"/>
      <c r="G8" s="284"/>
      <c r="H8" s="164"/>
      <c r="I8" s="174"/>
      <c r="J8" s="232"/>
      <c r="K8" s="285"/>
      <c r="L8" s="164"/>
      <c r="M8" s="26"/>
    </row>
    <row r="9" spans="1:15" ht="15.75" x14ac:dyDescent="0.2">
      <c r="A9" s="20" t="s">
        <v>27</v>
      </c>
      <c r="B9" s="279"/>
      <c r="C9" s="280"/>
      <c r="D9" s="164"/>
      <c r="E9" s="26"/>
      <c r="F9" s="283"/>
      <c r="G9" s="284"/>
      <c r="H9" s="164"/>
      <c r="I9" s="174"/>
      <c r="J9" s="232"/>
      <c r="K9" s="285"/>
      <c r="L9" s="164"/>
      <c r="M9" s="26"/>
    </row>
    <row r="10" spans="1:15" ht="15.75" x14ac:dyDescent="0.2">
      <c r="A10" s="13" t="s">
        <v>25</v>
      </c>
      <c r="B10" s="308"/>
      <c r="C10" s="309"/>
      <c r="D10" s="169"/>
      <c r="E10" s="11"/>
      <c r="F10" s="308"/>
      <c r="G10" s="309"/>
      <c r="H10" s="169"/>
      <c r="I10" s="158"/>
      <c r="J10" s="306"/>
      <c r="K10" s="307"/>
      <c r="L10" s="425"/>
      <c r="M10" s="11"/>
    </row>
    <row r="11" spans="1:15" s="42" customFormat="1" ht="15.75" x14ac:dyDescent="0.2">
      <c r="A11" s="13" t="s">
        <v>24</v>
      </c>
      <c r="B11" s="308"/>
      <c r="C11" s="309"/>
      <c r="D11" s="169"/>
      <c r="E11" s="11"/>
      <c r="F11" s="308"/>
      <c r="G11" s="309"/>
      <c r="H11" s="169"/>
      <c r="I11" s="158"/>
      <c r="J11" s="306"/>
      <c r="K11" s="307"/>
      <c r="L11" s="425"/>
      <c r="M11" s="11"/>
      <c r="N11" s="141"/>
      <c r="O11" s="146"/>
    </row>
    <row r="12" spans="1:15" s="42" customFormat="1" ht="15.75" x14ac:dyDescent="0.2">
      <c r="A12" s="40" t="s">
        <v>23</v>
      </c>
      <c r="B12" s="310"/>
      <c r="C12" s="311"/>
      <c r="D12" s="167"/>
      <c r="E12" s="35"/>
      <c r="F12" s="310"/>
      <c r="G12" s="311"/>
      <c r="H12" s="167"/>
      <c r="I12" s="167"/>
      <c r="J12" s="312"/>
      <c r="K12" s="313"/>
      <c r="L12" s="426"/>
      <c r="M12" s="35"/>
      <c r="N12" s="141"/>
      <c r="O12" s="146"/>
    </row>
    <row r="13" spans="1:15" s="42" customFormat="1" x14ac:dyDescent="0.2">
      <c r="A13" s="166"/>
      <c r="B13" s="143"/>
      <c r="C13" s="32"/>
      <c r="D13" s="157"/>
      <c r="E13" s="157"/>
      <c r="F13" s="143"/>
      <c r="G13" s="32"/>
      <c r="H13" s="157"/>
      <c r="I13" s="157"/>
      <c r="J13" s="47"/>
      <c r="K13" s="47"/>
      <c r="L13" s="157"/>
      <c r="M13" s="157"/>
      <c r="N13" s="141"/>
      <c r="O13" s="423"/>
    </row>
    <row r="14" spans="1:15" x14ac:dyDescent="0.2">
      <c r="A14" s="151" t="s">
        <v>296</v>
      </c>
      <c r="B14" s="25"/>
    </row>
    <row r="15" spans="1:15" x14ac:dyDescent="0.2">
      <c r="F15" s="144"/>
      <c r="G15" s="144"/>
      <c r="H15" s="144"/>
      <c r="I15" s="144"/>
      <c r="J15" s="144"/>
      <c r="K15" s="144"/>
      <c r="L15" s="144"/>
      <c r="M15" s="144"/>
    </row>
    <row r="16" spans="1:15" s="3" customFormat="1" ht="15.75" x14ac:dyDescent="0.25">
      <c r="A16" s="162"/>
      <c r="B16" s="146"/>
      <c r="C16" s="152"/>
      <c r="D16" s="152"/>
      <c r="E16" s="152"/>
      <c r="F16" s="152"/>
      <c r="G16" s="152"/>
      <c r="H16" s="152"/>
      <c r="I16" s="152"/>
      <c r="J16" s="152"/>
      <c r="K16" s="152"/>
      <c r="L16" s="152"/>
      <c r="M16" s="152"/>
      <c r="N16" s="146"/>
      <c r="O16" s="146"/>
    </row>
    <row r="17" spans="1:15" ht="15.75" x14ac:dyDescent="0.25">
      <c r="A17" s="145" t="s">
        <v>293</v>
      </c>
      <c r="B17" s="155"/>
      <c r="C17" s="155"/>
      <c r="D17" s="149"/>
      <c r="E17" s="149"/>
      <c r="F17" s="155"/>
      <c r="G17" s="155"/>
      <c r="H17" s="155"/>
      <c r="I17" s="155"/>
      <c r="J17" s="155"/>
      <c r="K17" s="155"/>
      <c r="L17" s="155"/>
      <c r="M17" s="155"/>
    </row>
    <row r="18" spans="1:15" ht="15.75" x14ac:dyDescent="0.25">
      <c r="B18" s="963"/>
      <c r="C18" s="963"/>
      <c r="D18" s="963"/>
      <c r="E18" s="297"/>
      <c r="F18" s="963"/>
      <c r="G18" s="963"/>
      <c r="H18" s="963"/>
      <c r="I18" s="297"/>
      <c r="J18" s="963"/>
      <c r="K18" s="963"/>
      <c r="L18" s="963"/>
      <c r="M18" s="297"/>
    </row>
    <row r="19" spans="1:15" x14ac:dyDescent="0.2">
      <c r="A19" s="142"/>
      <c r="B19" s="960" t="s">
        <v>0</v>
      </c>
      <c r="C19" s="961"/>
      <c r="D19" s="961"/>
      <c r="E19" s="299"/>
      <c r="F19" s="960" t="s">
        <v>1</v>
      </c>
      <c r="G19" s="961"/>
      <c r="H19" s="961"/>
      <c r="I19" s="302"/>
      <c r="J19" s="960" t="s">
        <v>2</v>
      </c>
      <c r="K19" s="961"/>
      <c r="L19" s="961"/>
      <c r="M19" s="302"/>
    </row>
    <row r="20" spans="1:15" x14ac:dyDescent="0.2">
      <c r="A20" s="139" t="s">
        <v>5</v>
      </c>
      <c r="B20" s="240" t="s">
        <v>504</v>
      </c>
      <c r="C20" s="240" t="s">
        <v>505</v>
      </c>
      <c r="D20" s="160" t="s">
        <v>3</v>
      </c>
      <c r="E20" s="303" t="s">
        <v>32</v>
      </c>
      <c r="F20" s="240" t="s">
        <v>504</v>
      </c>
      <c r="G20" s="240" t="s">
        <v>505</v>
      </c>
      <c r="H20" s="160" t="s">
        <v>3</v>
      </c>
      <c r="I20" s="160" t="s">
        <v>32</v>
      </c>
      <c r="J20" s="240" t="s">
        <v>504</v>
      </c>
      <c r="K20" s="240" t="s">
        <v>505</v>
      </c>
      <c r="L20" s="160" t="s">
        <v>3</v>
      </c>
      <c r="M20" s="160" t="s">
        <v>32</v>
      </c>
    </row>
    <row r="21" spans="1:15" x14ac:dyDescent="0.2">
      <c r="A21" s="934"/>
      <c r="B21" s="154"/>
      <c r="C21" s="154"/>
      <c r="D21" s="245" t="s">
        <v>4</v>
      </c>
      <c r="E21" s="154" t="s">
        <v>33</v>
      </c>
      <c r="F21" s="159"/>
      <c r="G21" s="159"/>
      <c r="H21" s="243" t="s">
        <v>4</v>
      </c>
      <c r="I21" s="154" t="s">
        <v>33</v>
      </c>
      <c r="J21" s="159"/>
      <c r="K21" s="159"/>
      <c r="L21" s="154" t="s">
        <v>4</v>
      </c>
      <c r="M21" s="154" t="s">
        <v>33</v>
      </c>
    </row>
    <row r="22" spans="1:15" ht="15.75" x14ac:dyDescent="0.2">
      <c r="A22" s="14" t="s">
        <v>26</v>
      </c>
      <c r="B22" s="314"/>
      <c r="C22" s="314"/>
      <c r="D22" s="348"/>
      <c r="E22" s="11"/>
      <c r="F22" s="314"/>
      <c r="G22" s="314"/>
      <c r="H22" s="348"/>
      <c r="I22" s="11"/>
      <c r="J22" s="314"/>
      <c r="K22" s="314"/>
      <c r="L22" s="424"/>
      <c r="M22" s="23"/>
    </row>
    <row r="23" spans="1:15" ht="15.75" x14ac:dyDescent="0.2">
      <c r="A23" s="294" t="s">
        <v>305</v>
      </c>
      <c r="B23" s="288"/>
      <c r="C23" s="288"/>
      <c r="D23" s="164"/>
      <c r="E23" s="414"/>
      <c r="F23" s="288"/>
      <c r="G23" s="288"/>
      <c r="H23" s="164"/>
      <c r="I23" s="414"/>
      <c r="J23" s="288"/>
      <c r="K23" s="288"/>
      <c r="L23" s="164"/>
      <c r="M23" s="22"/>
    </row>
    <row r="24" spans="1:15" ht="15.75" x14ac:dyDescent="0.2">
      <c r="A24" s="294" t="s">
        <v>306</v>
      </c>
      <c r="B24" s="288"/>
      <c r="C24" s="288"/>
      <c r="D24" s="164"/>
      <c r="E24" s="414"/>
      <c r="F24" s="288"/>
      <c r="G24" s="288"/>
      <c r="H24" s="164"/>
      <c r="I24" s="414"/>
      <c r="J24" s="288"/>
      <c r="K24" s="288"/>
      <c r="L24" s="164"/>
      <c r="M24" s="22"/>
    </row>
    <row r="25" spans="1:15" ht="15.75" x14ac:dyDescent="0.2">
      <c r="A25" s="294" t="s">
        <v>406</v>
      </c>
      <c r="B25" s="288"/>
      <c r="C25" s="288"/>
      <c r="D25" s="164"/>
      <c r="E25" s="414"/>
      <c r="F25" s="288"/>
      <c r="G25" s="288"/>
      <c r="H25" s="164"/>
      <c r="I25" s="414"/>
      <c r="J25" s="288"/>
      <c r="K25" s="288"/>
      <c r="L25" s="164"/>
      <c r="M25" s="22"/>
    </row>
    <row r="26" spans="1:15" ht="15.75" x14ac:dyDescent="0.2">
      <c r="A26" s="294" t="s">
        <v>307</v>
      </c>
      <c r="B26" s="288"/>
      <c r="C26" s="288"/>
      <c r="D26" s="164"/>
      <c r="E26" s="414"/>
      <c r="F26" s="288"/>
      <c r="G26" s="288"/>
      <c r="H26" s="164"/>
      <c r="I26" s="414"/>
      <c r="J26" s="288"/>
      <c r="K26" s="288"/>
      <c r="L26" s="164"/>
      <c r="M26" s="22"/>
    </row>
    <row r="27" spans="1:15" x14ac:dyDescent="0.2">
      <c r="A27" s="294" t="s">
        <v>11</v>
      </c>
      <c r="B27" s="288"/>
      <c r="C27" s="288"/>
      <c r="D27" s="164"/>
      <c r="E27" s="414"/>
      <c r="F27" s="288"/>
      <c r="G27" s="288"/>
      <c r="H27" s="164"/>
      <c r="I27" s="414"/>
      <c r="J27" s="288"/>
      <c r="K27" s="288"/>
      <c r="L27" s="164"/>
      <c r="M27" s="22"/>
    </row>
    <row r="28" spans="1:15" ht="15.75" x14ac:dyDescent="0.2">
      <c r="A28" s="48" t="s">
        <v>297</v>
      </c>
      <c r="B28" s="43"/>
      <c r="C28" s="285"/>
      <c r="D28" s="164"/>
      <c r="E28" s="26"/>
      <c r="F28" s="232"/>
      <c r="G28" s="285"/>
      <c r="H28" s="164"/>
      <c r="I28" s="26"/>
      <c r="J28" s="43"/>
      <c r="K28" s="43"/>
      <c r="L28" s="253"/>
      <c r="M28" s="22"/>
    </row>
    <row r="29" spans="1:15" s="3" customFormat="1" ht="15.75" x14ac:dyDescent="0.2">
      <c r="A29" s="13" t="s">
        <v>25</v>
      </c>
      <c r="B29" s="234"/>
      <c r="C29" s="234"/>
      <c r="D29" s="169"/>
      <c r="E29" s="11"/>
      <c r="F29" s="234"/>
      <c r="G29" s="234"/>
      <c r="H29" s="169"/>
      <c r="I29" s="11"/>
      <c r="J29" s="234"/>
      <c r="K29" s="234"/>
      <c r="L29" s="425"/>
      <c r="M29" s="23"/>
      <c r="N29" s="146"/>
      <c r="O29" s="146"/>
    </row>
    <row r="30" spans="1:15" s="3" customFormat="1" ht="15.75" x14ac:dyDescent="0.2">
      <c r="A30" s="294" t="s">
        <v>305</v>
      </c>
      <c r="B30" s="288"/>
      <c r="C30" s="288"/>
      <c r="D30" s="164"/>
      <c r="E30" s="414"/>
      <c r="F30" s="288"/>
      <c r="G30" s="288"/>
      <c r="H30" s="164"/>
      <c r="I30" s="414"/>
      <c r="J30" s="288"/>
      <c r="K30" s="288"/>
      <c r="L30" s="164"/>
      <c r="M30" s="22"/>
      <c r="N30" s="146"/>
      <c r="O30" s="146"/>
    </row>
    <row r="31" spans="1:15" s="3" customFormat="1" ht="15.75" x14ac:dyDescent="0.2">
      <c r="A31" s="294" t="s">
        <v>306</v>
      </c>
      <c r="B31" s="288"/>
      <c r="C31" s="288"/>
      <c r="D31" s="164"/>
      <c r="E31" s="414"/>
      <c r="F31" s="288"/>
      <c r="G31" s="288"/>
      <c r="H31" s="164"/>
      <c r="I31" s="414"/>
      <c r="J31" s="288"/>
      <c r="K31" s="288"/>
      <c r="L31" s="164"/>
      <c r="M31" s="22"/>
      <c r="N31" s="146"/>
      <c r="O31" s="146"/>
    </row>
    <row r="32" spans="1:15" ht="15.75" x14ac:dyDescent="0.2">
      <c r="A32" s="294" t="s">
        <v>406</v>
      </c>
      <c r="B32" s="288"/>
      <c r="C32" s="288"/>
      <c r="D32" s="164"/>
      <c r="E32" s="414"/>
      <c r="F32" s="288"/>
      <c r="G32" s="288"/>
      <c r="H32" s="164"/>
      <c r="I32" s="414"/>
      <c r="J32" s="288"/>
      <c r="K32" s="288"/>
      <c r="L32" s="164"/>
      <c r="M32" s="22"/>
    </row>
    <row r="33" spans="1:15" ht="15.75" x14ac:dyDescent="0.2">
      <c r="A33" s="294" t="s">
        <v>307</v>
      </c>
      <c r="B33" s="288"/>
      <c r="C33" s="288"/>
      <c r="D33" s="164"/>
      <c r="E33" s="414"/>
      <c r="F33" s="288"/>
      <c r="G33" s="288"/>
      <c r="H33" s="164"/>
      <c r="I33" s="414"/>
      <c r="J33" s="288"/>
      <c r="K33" s="288"/>
      <c r="L33" s="164"/>
      <c r="M33" s="22"/>
    </row>
    <row r="34" spans="1:15" ht="15.75" x14ac:dyDescent="0.2">
      <c r="A34" s="13" t="s">
        <v>24</v>
      </c>
      <c r="B34" s="234"/>
      <c r="C34" s="307"/>
      <c r="D34" s="169"/>
      <c r="E34" s="11"/>
      <c r="F34" s="306"/>
      <c r="G34" s="307"/>
      <c r="H34" s="169"/>
      <c r="I34" s="11"/>
      <c r="J34" s="234"/>
      <c r="K34" s="234"/>
      <c r="L34" s="425"/>
      <c r="M34" s="23"/>
    </row>
    <row r="35" spans="1:15" ht="15.75" x14ac:dyDescent="0.2">
      <c r="A35" s="13" t="s">
        <v>23</v>
      </c>
      <c r="B35" s="234"/>
      <c r="C35" s="307"/>
      <c r="D35" s="169"/>
      <c r="E35" s="11"/>
      <c r="F35" s="306"/>
      <c r="G35" s="307"/>
      <c r="H35" s="169"/>
      <c r="I35" s="11"/>
      <c r="J35" s="234"/>
      <c r="K35" s="234"/>
      <c r="L35" s="425"/>
      <c r="M35" s="23"/>
    </row>
    <row r="36" spans="1:15" ht="15.75" x14ac:dyDescent="0.2">
      <c r="A36" s="12" t="s">
        <v>308</v>
      </c>
      <c r="B36" s="234"/>
      <c r="C36" s="307"/>
      <c r="D36" s="169"/>
      <c r="E36" s="11"/>
      <c r="F36" s="317"/>
      <c r="G36" s="318"/>
      <c r="H36" s="169"/>
      <c r="I36" s="431"/>
      <c r="J36" s="234"/>
      <c r="K36" s="234"/>
      <c r="L36" s="425"/>
      <c r="M36" s="23"/>
    </row>
    <row r="37" spans="1:15" ht="15.75" x14ac:dyDescent="0.2">
      <c r="A37" s="12" t="s">
        <v>309</v>
      </c>
      <c r="B37" s="234"/>
      <c r="C37" s="307"/>
      <c r="D37" s="169"/>
      <c r="E37" s="11"/>
      <c r="F37" s="317"/>
      <c r="G37" s="319"/>
      <c r="H37" s="169"/>
      <c r="I37" s="431"/>
      <c r="J37" s="234"/>
      <c r="K37" s="234"/>
      <c r="L37" s="425"/>
      <c r="M37" s="23"/>
    </row>
    <row r="38" spans="1:15" ht="15.75" x14ac:dyDescent="0.2">
      <c r="A38" s="12" t="s">
        <v>310</v>
      </c>
      <c r="B38" s="234"/>
      <c r="C38" s="307"/>
      <c r="D38" s="169"/>
      <c r="E38" s="11"/>
      <c r="F38" s="317"/>
      <c r="G38" s="318"/>
      <c r="H38" s="169"/>
      <c r="I38" s="431"/>
      <c r="J38" s="234"/>
      <c r="K38" s="234"/>
      <c r="L38" s="425"/>
      <c r="M38" s="23"/>
    </row>
    <row r="39" spans="1:15" ht="15.75" x14ac:dyDescent="0.2">
      <c r="A39" s="18" t="s">
        <v>311</v>
      </c>
      <c r="B39" s="274"/>
      <c r="C39" s="313"/>
      <c r="D39" s="167"/>
      <c r="E39" s="11"/>
      <c r="F39" s="320"/>
      <c r="G39" s="321"/>
      <c r="H39" s="167"/>
      <c r="I39" s="35"/>
      <c r="J39" s="234"/>
      <c r="K39" s="234"/>
      <c r="L39" s="426"/>
      <c r="M39" s="35"/>
    </row>
    <row r="40" spans="1:15" ht="15.75" x14ac:dyDescent="0.25">
      <c r="A40" s="46"/>
      <c r="B40" s="252"/>
      <c r="C40" s="252"/>
      <c r="D40" s="964"/>
      <c r="E40" s="964"/>
      <c r="F40" s="964"/>
      <c r="G40" s="964"/>
      <c r="H40" s="964"/>
      <c r="I40" s="964"/>
      <c r="J40" s="964"/>
      <c r="K40" s="964"/>
      <c r="L40" s="964"/>
      <c r="M40" s="300"/>
    </row>
    <row r="41" spans="1:15" x14ac:dyDescent="0.2">
      <c r="A41" s="153"/>
    </row>
    <row r="42" spans="1:15" ht="15.75" x14ac:dyDescent="0.25">
      <c r="A42" s="145" t="s">
        <v>294</v>
      </c>
      <c r="B42" s="965"/>
      <c r="C42" s="965"/>
      <c r="D42" s="965"/>
      <c r="E42" s="297"/>
      <c r="F42" s="966"/>
      <c r="G42" s="966"/>
      <c r="H42" s="966"/>
      <c r="I42" s="300"/>
      <c r="J42" s="966"/>
      <c r="K42" s="966"/>
      <c r="L42" s="966"/>
      <c r="M42" s="300"/>
    </row>
    <row r="43" spans="1:15" ht="15.75" x14ac:dyDescent="0.25">
      <c r="A43" s="161"/>
      <c r="B43" s="301"/>
      <c r="C43" s="301"/>
      <c r="D43" s="301"/>
      <c r="E43" s="301"/>
      <c r="F43" s="300"/>
      <c r="G43" s="300"/>
      <c r="H43" s="300"/>
      <c r="I43" s="300"/>
      <c r="J43" s="300"/>
      <c r="K43" s="300"/>
      <c r="L43" s="300"/>
      <c r="M43" s="300"/>
    </row>
    <row r="44" spans="1:15" ht="15.75" x14ac:dyDescent="0.25">
      <c r="A44" s="246"/>
      <c r="B44" s="960" t="s">
        <v>0</v>
      </c>
      <c r="C44" s="961"/>
      <c r="D44" s="961"/>
      <c r="E44" s="241"/>
      <c r="F44" s="300"/>
      <c r="G44" s="300"/>
      <c r="H44" s="300"/>
      <c r="I44" s="300"/>
      <c r="J44" s="300"/>
      <c r="K44" s="300"/>
      <c r="L44" s="300"/>
      <c r="M44" s="300"/>
    </row>
    <row r="45" spans="1:15" s="3" customFormat="1" x14ac:dyDescent="0.2">
      <c r="A45" s="139"/>
      <c r="B45" s="171" t="s">
        <v>504</v>
      </c>
      <c r="C45" s="171" t="s">
        <v>505</v>
      </c>
      <c r="D45" s="160" t="s">
        <v>3</v>
      </c>
      <c r="E45" s="160" t="s">
        <v>32</v>
      </c>
      <c r="F45" s="173"/>
      <c r="G45" s="173"/>
      <c r="H45" s="172"/>
      <c r="I45" s="172"/>
      <c r="J45" s="173"/>
      <c r="K45" s="173"/>
      <c r="L45" s="172"/>
      <c r="M45" s="172"/>
      <c r="N45" s="146"/>
      <c r="O45" s="146"/>
    </row>
    <row r="46" spans="1:15" s="3" customFormat="1" x14ac:dyDescent="0.2">
      <c r="A46" s="934"/>
      <c r="B46" s="242"/>
      <c r="C46" s="242"/>
      <c r="D46" s="243" t="s">
        <v>4</v>
      </c>
      <c r="E46" s="154" t="s">
        <v>33</v>
      </c>
      <c r="F46" s="172"/>
      <c r="G46" s="172"/>
      <c r="H46" s="172"/>
      <c r="I46" s="172"/>
      <c r="J46" s="172"/>
      <c r="K46" s="172"/>
      <c r="L46" s="172"/>
      <c r="M46" s="172"/>
      <c r="N46" s="146"/>
      <c r="O46" s="146"/>
    </row>
    <row r="47" spans="1:15" s="3" customFormat="1" ht="15.75" x14ac:dyDescent="0.2">
      <c r="A47" s="14" t="s">
        <v>26</v>
      </c>
      <c r="B47" s="308"/>
      <c r="C47" s="309"/>
      <c r="D47" s="424"/>
      <c r="E47" s="11"/>
      <c r="F47" s="143"/>
      <c r="G47" s="32"/>
      <c r="H47" s="157"/>
      <c r="I47" s="157"/>
      <c r="J47" s="36"/>
      <c r="K47" s="36"/>
      <c r="L47" s="157"/>
      <c r="M47" s="157"/>
      <c r="N47" s="146"/>
      <c r="O47" s="146"/>
    </row>
    <row r="48" spans="1:15" s="3" customFormat="1" ht="15.75" x14ac:dyDescent="0.2">
      <c r="A48" s="37" t="s">
        <v>312</v>
      </c>
      <c r="B48" s="279"/>
      <c r="C48" s="280"/>
      <c r="D48" s="253"/>
      <c r="E48" s="26"/>
      <c r="F48" s="143"/>
      <c r="G48" s="32"/>
      <c r="H48" s="143"/>
      <c r="I48" s="143"/>
      <c r="J48" s="32"/>
      <c r="K48" s="32"/>
      <c r="L48" s="157"/>
      <c r="M48" s="157"/>
      <c r="N48" s="146"/>
      <c r="O48" s="146"/>
    </row>
    <row r="49" spans="1:15" s="3" customFormat="1" ht="15.75" x14ac:dyDescent="0.2">
      <c r="A49" s="37" t="s">
        <v>313</v>
      </c>
      <c r="B49" s="43"/>
      <c r="C49" s="285"/>
      <c r="D49" s="253"/>
      <c r="E49" s="26"/>
      <c r="F49" s="143"/>
      <c r="G49" s="32"/>
      <c r="H49" s="143"/>
      <c r="I49" s="143"/>
      <c r="J49" s="36"/>
      <c r="K49" s="36"/>
      <c r="L49" s="157"/>
      <c r="M49" s="157"/>
      <c r="N49" s="146"/>
      <c r="O49" s="146"/>
    </row>
    <row r="50" spans="1:15" s="3" customFormat="1" x14ac:dyDescent="0.2">
      <c r="A50" s="294" t="s">
        <v>6</v>
      </c>
      <c r="B50" s="288"/>
      <c r="C50" s="289"/>
      <c r="D50" s="253"/>
      <c r="E50" s="22"/>
      <c r="F50" s="143"/>
      <c r="G50" s="32"/>
      <c r="H50" s="143"/>
      <c r="I50" s="143"/>
      <c r="J50" s="32"/>
      <c r="K50" s="32"/>
      <c r="L50" s="157"/>
      <c r="M50" s="157"/>
      <c r="N50" s="146"/>
      <c r="O50" s="146"/>
    </row>
    <row r="51" spans="1:15" s="3" customFormat="1" x14ac:dyDescent="0.2">
      <c r="A51" s="294" t="s">
        <v>7</v>
      </c>
      <c r="B51" s="288"/>
      <c r="C51" s="289"/>
      <c r="D51" s="253"/>
      <c r="E51" s="22"/>
      <c r="F51" s="143"/>
      <c r="G51" s="32"/>
      <c r="H51" s="143"/>
      <c r="I51" s="143"/>
      <c r="J51" s="32"/>
      <c r="K51" s="32"/>
      <c r="L51" s="157"/>
      <c r="M51" s="157"/>
      <c r="N51" s="146"/>
      <c r="O51" s="146"/>
    </row>
    <row r="52" spans="1:15" s="3" customFormat="1" x14ac:dyDescent="0.2">
      <c r="A52" s="294" t="s">
        <v>8</v>
      </c>
      <c r="B52" s="288"/>
      <c r="C52" s="289"/>
      <c r="D52" s="253"/>
      <c r="E52" s="22"/>
      <c r="F52" s="143"/>
      <c r="G52" s="32"/>
      <c r="H52" s="143"/>
      <c r="I52" s="143"/>
      <c r="J52" s="32"/>
      <c r="K52" s="32"/>
      <c r="L52" s="157"/>
      <c r="M52" s="157"/>
      <c r="N52" s="146"/>
      <c r="O52" s="146"/>
    </row>
    <row r="53" spans="1:15" s="3" customFormat="1" ht="15.75" x14ac:dyDescent="0.2">
      <c r="A53" s="38" t="s">
        <v>314</v>
      </c>
      <c r="B53" s="308"/>
      <c r="C53" s="309"/>
      <c r="D53" s="425"/>
      <c r="E53" s="11"/>
      <c r="F53" s="143"/>
      <c r="G53" s="32"/>
      <c r="H53" s="143"/>
      <c r="I53" s="143"/>
      <c r="J53" s="32"/>
      <c r="K53" s="32"/>
      <c r="L53" s="157"/>
      <c r="M53" s="157"/>
      <c r="N53" s="146"/>
      <c r="O53" s="146"/>
    </row>
    <row r="54" spans="1:15" s="3" customFormat="1" ht="15.75" x14ac:dyDescent="0.2">
      <c r="A54" s="37" t="s">
        <v>312</v>
      </c>
      <c r="B54" s="279"/>
      <c r="C54" s="280"/>
      <c r="D54" s="253"/>
      <c r="E54" s="26"/>
      <c r="F54" s="143"/>
      <c r="G54" s="32"/>
      <c r="H54" s="143"/>
      <c r="I54" s="143"/>
      <c r="J54" s="32"/>
      <c r="K54" s="32"/>
      <c r="L54" s="157"/>
      <c r="M54" s="157"/>
      <c r="N54" s="146"/>
      <c r="O54" s="146"/>
    </row>
    <row r="55" spans="1:15" s="3" customFormat="1" ht="15.75" x14ac:dyDescent="0.2">
      <c r="A55" s="37" t="s">
        <v>313</v>
      </c>
      <c r="B55" s="279"/>
      <c r="C55" s="280"/>
      <c r="D55" s="253"/>
      <c r="E55" s="26"/>
      <c r="F55" s="143"/>
      <c r="G55" s="32"/>
      <c r="H55" s="143"/>
      <c r="I55" s="143"/>
      <c r="J55" s="32"/>
      <c r="K55" s="32"/>
      <c r="L55" s="157"/>
      <c r="M55" s="157"/>
      <c r="N55" s="146"/>
      <c r="O55" s="146"/>
    </row>
    <row r="56" spans="1:15" s="3" customFormat="1" ht="15.75" x14ac:dyDescent="0.2">
      <c r="A56" s="38" t="s">
        <v>315</v>
      </c>
      <c r="B56" s="308"/>
      <c r="C56" s="309"/>
      <c r="D56" s="425"/>
      <c r="E56" s="11"/>
      <c r="F56" s="143"/>
      <c r="G56" s="32"/>
      <c r="H56" s="143"/>
      <c r="I56" s="143"/>
      <c r="J56" s="32"/>
      <c r="K56" s="32"/>
      <c r="L56" s="157"/>
      <c r="M56" s="157"/>
      <c r="N56" s="146"/>
      <c r="O56" s="146"/>
    </row>
    <row r="57" spans="1:15" s="3" customFormat="1" ht="15.75" x14ac:dyDescent="0.2">
      <c r="A57" s="37" t="s">
        <v>312</v>
      </c>
      <c r="B57" s="279"/>
      <c r="C57" s="280"/>
      <c r="D57" s="253"/>
      <c r="E57" s="26"/>
      <c r="F57" s="143"/>
      <c r="G57" s="32"/>
      <c r="H57" s="143"/>
      <c r="I57" s="143"/>
      <c r="J57" s="32"/>
      <c r="K57" s="32"/>
      <c r="L57" s="157"/>
      <c r="M57" s="157"/>
      <c r="N57" s="146"/>
      <c r="O57" s="146"/>
    </row>
    <row r="58" spans="1:15" s="3" customFormat="1" ht="15.75" x14ac:dyDescent="0.2">
      <c r="A58" s="45" t="s">
        <v>313</v>
      </c>
      <c r="B58" s="281"/>
      <c r="C58" s="282"/>
      <c r="D58" s="254"/>
      <c r="E58" s="21"/>
      <c r="F58" s="143"/>
      <c r="G58" s="32"/>
      <c r="H58" s="143"/>
      <c r="I58" s="143"/>
      <c r="J58" s="32"/>
      <c r="K58" s="32"/>
      <c r="L58" s="157"/>
      <c r="M58" s="157"/>
      <c r="N58" s="146"/>
      <c r="O58" s="146"/>
    </row>
    <row r="59" spans="1:15" s="3" customFormat="1" ht="15.75" x14ac:dyDescent="0.25">
      <c r="A59" s="162"/>
      <c r="B59" s="152"/>
      <c r="C59" s="152"/>
      <c r="D59" s="152"/>
      <c r="E59" s="152"/>
      <c r="F59" s="140"/>
      <c r="G59" s="140"/>
      <c r="H59" s="140"/>
      <c r="I59" s="140"/>
      <c r="J59" s="140"/>
      <c r="K59" s="140"/>
      <c r="L59" s="140"/>
      <c r="M59" s="140"/>
      <c r="N59" s="146"/>
      <c r="O59" s="146"/>
    </row>
    <row r="60" spans="1:15" x14ac:dyDescent="0.2">
      <c r="A60" s="153"/>
    </row>
    <row r="61" spans="1:15" ht="15.75" x14ac:dyDescent="0.25">
      <c r="A61" s="145" t="s">
        <v>295</v>
      </c>
      <c r="C61" s="25"/>
      <c r="D61" s="25"/>
      <c r="E61" s="25"/>
      <c r="F61" s="25"/>
      <c r="G61" s="25"/>
      <c r="H61" s="25"/>
      <c r="I61" s="25"/>
      <c r="J61" s="25"/>
      <c r="K61" s="25"/>
      <c r="L61" s="25"/>
      <c r="M61" s="25"/>
    </row>
    <row r="62" spans="1:15" ht="15.75" x14ac:dyDescent="0.25">
      <c r="B62" s="963"/>
      <c r="C62" s="963"/>
      <c r="D62" s="963"/>
      <c r="E62" s="297"/>
      <c r="F62" s="963"/>
      <c r="G62" s="963"/>
      <c r="H62" s="963"/>
      <c r="I62" s="297"/>
      <c r="J62" s="963"/>
      <c r="K62" s="963"/>
      <c r="L62" s="963"/>
      <c r="M62" s="297"/>
    </row>
    <row r="63" spans="1:15" x14ac:dyDescent="0.2">
      <c r="A63" s="142"/>
      <c r="B63" s="960" t="s">
        <v>0</v>
      </c>
      <c r="C63" s="961"/>
      <c r="D63" s="962"/>
      <c r="E63" s="298"/>
      <c r="F63" s="961" t="s">
        <v>1</v>
      </c>
      <c r="G63" s="961"/>
      <c r="H63" s="961"/>
      <c r="I63" s="302"/>
      <c r="J63" s="960" t="s">
        <v>2</v>
      </c>
      <c r="K63" s="961"/>
      <c r="L63" s="961"/>
      <c r="M63" s="302"/>
    </row>
    <row r="64" spans="1:15" x14ac:dyDescent="0.2">
      <c r="A64" s="139"/>
      <c r="B64" s="150" t="s">
        <v>504</v>
      </c>
      <c r="C64" s="150" t="s">
        <v>505</v>
      </c>
      <c r="D64" s="243" t="s">
        <v>3</v>
      </c>
      <c r="E64" s="303" t="s">
        <v>32</v>
      </c>
      <c r="F64" s="150" t="s">
        <v>504</v>
      </c>
      <c r="G64" s="150" t="s">
        <v>505</v>
      </c>
      <c r="H64" s="243" t="s">
        <v>3</v>
      </c>
      <c r="I64" s="303" t="s">
        <v>32</v>
      </c>
      <c r="J64" s="150" t="s">
        <v>504</v>
      </c>
      <c r="K64" s="150" t="s">
        <v>505</v>
      </c>
      <c r="L64" s="243" t="s">
        <v>3</v>
      </c>
      <c r="M64" s="160" t="s">
        <v>32</v>
      </c>
    </row>
    <row r="65" spans="1:15" x14ac:dyDescent="0.2">
      <c r="A65" s="934"/>
      <c r="B65" s="154"/>
      <c r="C65" s="154"/>
      <c r="D65" s="245" t="s">
        <v>4</v>
      </c>
      <c r="E65" s="154" t="s">
        <v>33</v>
      </c>
      <c r="F65" s="159"/>
      <c r="G65" s="159"/>
      <c r="H65" s="243" t="s">
        <v>4</v>
      </c>
      <c r="I65" s="154" t="s">
        <v>33</v>
      </c>
      <c r="J65" s="159"/>
      <c r="K65" s="204"/>
      <c r="L65" s="154" t="s">
        <v>4</v>
      </c>
      <c r="M65" s="154" t="s">
        <v>33</v>
      </c>
    </row>
    <row r="66" spans="1:15" ht="15.75" x14ac:dyDescent="0.2">
      <c r="A66" s="14" t="s">
        <v>26</v>
      </c>
      <c r="B66" s="350"/>
      <c r="C66" s="350"/>
      <c r="D66" s="348"/>
      <c r="E66" s="11"/>
      <c r="F66" s="350"/>
      <c r="G66" s="350"/>
      <c r="H66" s="348"/>
      <c r="I66" s="11"/>
      <c r="J66" s="307"/>
      <c r="K66" s="314"/>
      <c r="L66" s="425"/>
      <c r="M66" s="11"/>
    </row>
    <row r="67" spans="1:15" x14ac:dyDescent="0.2">
      <c r="A67" s="416" t="s">
        <v>9</v>
      </c>
      <c r="B67" s="43"/>
      <c r="C67" s="143"/>
      <c r="D67" s="164"/>
      <c r="E67" s="26"/>
      <c r="F67" s="232"/>
      <c r="G67" s="143"/>
      <c r="H67" s="164"/>
      <c r="I67" s="26"/>
      <c r="J67" s="285"/>
      <c r="K67" s="43"/>
      <c r="L67" s="253"/>
      <c r="M67" s="26"/>
    </row>
    <row r="68" spans="1:15" x14ac:dyDescent="0.2">
      <c r="A68" s="20" t="s">
        <v>10</v>
      </c>
      <c r="B68" s="290"/>
      <c r="C68" s="291"/>
      <c r="D68" s="164"/>
      <c r="E68" s="26"/>
      <c r="F68" s="290"/>
      <c r="G68" s="291"/>
      <c r="H68" s="164"/>
      <c r="I68" s="26"/>
      <c r="J68" s="285"/>
      <c r="K68" s="43"/>
      <c r="L68" s="253"/>
      <c r="M68" s="26"/>
    </row>
    <row r="69" spans="1:15" ht="15.75" x14ac:dyDescent="0.2">
      <c r="A69" s="294" t="s">
        <v>316</v>
      </c>
      <c r="B69" s="279"/>
      <c r="C69" s="279"/>
      <c r="D69" s="164"/>
      <c r="E69" s="414"/>
      <c r="F69" s="279"/>
      <c r="G69" s="279"/>
      <c r="H69" s="164"/>
      <c r="I69" s="414"/>
      <c r="J69" s="288"/>
      <c r="K69" s="288"/>
      <c r="L69" s="164"/>
      <c r="M69" s="22"/>
    </row>
    <row r="70" spans="1:15" x14ac:dyDescent="0.2">
      <c r="A70" s="294" t="s">
        <v>12</v>
      </c>
      <c r="B70" s="292"/>
      <c r="C70" s="293"/>
      <c r="D70" s="164"/>
      <c r="E70" s="414"/>
      <c r="F70" s="279"/>
      <c r="G70" s="279"/>
      <c r="H70" s="164"/>
      <c r="I70" s="414"/>
      <c r="J70" s="288"/>
      <c r="K70" s="288"/>
      <c r="L70" s="164"/>
      <c r="M70" s="22"/>
    </row>
    <row r="71" spans="1:15" x14ac:dyDescent="0.2">
      <c r="A71" s="294" t="s">
        <v>13</v>
      </c>
      <c r="B71" s="233"/>
      <c r="C71" s="287"/>
      <c r="D71" s="164"/>
      <c r="E71" s="414"/>
      <c r="F71" s="279"/>
      <c r="G71" s="279"/>
      <c r="H71" s="164"/>
      <c r="I71" s="414"/>
      <c r="J71" s="288"/>
      <c r="K71" s="288"/>
      <c r="L71" s="164"/>
      <c r="M71" s="22"/>
    </row>
    <row r="72" spans="1:15" ht="15.75" x14ac:dyDescent="0.2">
      <c r="A72" s="294" t="s">
        <v>317</v>
      </c>
      <c r="B72" s="279"/>
      <c r="C72" s="279"/>
      <c r="D72" s="164"/>
      <c r="E72" s="414"/>
      <c r="F72" s="279"/>
      <c r="G72" s="279"/>
      <c r="H72" s="164"/>
      <c r="I72" s="414"/>
      <c r="J72" s="288"/>
      <c r="K72" s="288"/>
      <c r="L72" s="164"/>
      <c r="M72" s="22"/>
    </row>
    <row r="73" spans="1:15" x14ac:dyDescent="0.2">
      <c r="A73" s="294" t="s">
        <v>12</v>
      </c>
      <c r="B73" s="233"/>
      <c r="C73" s="287"/>
      <c r="D73" s="164"/>
      <c r="E73" s="414"/>
      <c r="F73" s="279"/>
      <c r="G73" s="279"/>
      <c r="H73" s="164"/>
      <c r="I73" s="414"/>
      <c r="J73" s="288"/>
      <c r="K73" s="288"/>
      <c r="L73" s="164"/>
      <c r="M73" s="22"/>
    </row>
    <row r="74" spans="1:15" s="3" customFormat="1" x14ac:dyDescent="0.2">
      <c r="A74" s="294" t="s">
        <v>13</v>
      </c>
      <c r="B74" s="233"/>
      <c r="C74" s="287"/>
      <c r="D74" s="164"/>
      <c r="E74" s="414"/>
      <c r="F74" s="279"/>
      <c r="G74" s="279"/>
      <c r="H74" s="164"/>
      <c r="I74" s="414"/>
      <c r="J74" s="288"/>
      <c r="K74" s="288"/>
      <c r="L74" s="164"/>
      <c r="M74" s="22"/>
      <c r="N74" s="146"/>
      <c r="O74" s="146"/>
    </row>
    <row r="75" spans="1:15" s="3" customFormat="1" x14ac:dyDescent="0.2">
      <c r="A75" s="20" t="s">
        <v>395</v>
      </c>
      <c r="B75" s="232"/>
      <c r="C75" s="143"/>
      <c r="D75" s="164"/>
      <c r="E75" s="26"/>
      <c r="F75" s="232"/>
      <c r="G75" s="143"/>
      <c r="H75" s="164"/>
      <c r="I75" s="26"/>
      <c r="J75" s="285"/>
      <c r="K75" s="43"/>
      <c r="L75" s="253"/>
      <c r="M75" s="26"/>
      <c r="N75" s="146"/>
      <c r="O75" s="146"/>
    </row>
    <row r="76" spans="1:15" s="3" customFormat="1" x14ac:dyDescent="0.2">
      <c r="A76" s="20" t="s">
        <v>394</v>
      </c>
      <c r="B76" s="232"/>
      <c r="C76" s="143"/>
      <c r="D76" s="164"/>
      <c r="E76" s="26"/>
      <c r="F76" s="232"/>
      <c r="G76" s="143"/>
      <c r="H76" s="164"/>
      <c r="I76" s="26"/>
      <c r="J76" s="285"/>
      <c r="K76" s="43"/>
      <c r="L76" s="253"/>
      <c r="M76" s="26"/>
      <c r="N76" s="146"/>
      <c r="O76" s="146"/>
    </row>
    <row r="77" spans="1:15" ht="15.75" x14ac:dyDescent="0.2">
      <c r="A77" s="20" t="s">
        <v>318</v>
      </c>
      <c r="B77" s="232"/>
      <c r="C77" s="232"/>
      <c r="D77" s="164"/>
      <c r="E77" s="26"/>
      <c r="F77" s="232"/>
      <c r="G77" s="143"/>
      <c r="H77" s="164"/>
      <c r="I77" s="26"/>
      <c r="J77" s="285"/>
      <c r="K77" s="43"/>
      <c r="L77" s="253"/>
      <c r="M77" s="26"/>
    </row>
    <row r="78" spans="1:15" x14ac:dyDescent="0.2">
      <c r="A78" s="20" t="s">
        <v>9</v>
      </c>
      <c r="B78" s="232"/>
      <c r="C78" s="143"/>
      <c r="D78" s="164"/>
      <c r="E78" s="26"/>
      <c r="F78" s="232"/>
      <c r="G78" s="143"/>
      <c r="H78" s="164"/>
      <c r="I78" s="26"/>
      <c r="J78" s="285"/>
      <c r="K78" s="43"/>
      <c r="L78" s="253"/>
      <c r="M78" s="26"/>
    </row>
    <row r="79" spans="1:15" x14ac:dyDescent="0.2">
      <c r="A79" s="20" t="s">
        <v>10</v>
      </c>
      <c r="B79" s="290"/>
      <c r="C79" s="291"/>
      <c r="D79" s="164"/>
      <c r="E79" s="26"/>
      <c r="F79" s="290"/>
      <c r="G79" s="291"/>
      <c r="H79" s="164"/>
      <c r="I79" s="26"/>
      <c r="J79" s="285"/>
      <c r="K79" s="43"/>
      <c r="L79" s="253"/>
      <c r="M79" s="26"/>
    </row>
    <row r="80" spans="1:15" ht="15.75" x14ac:dyDescent="0.2">
      <c r="A80" s="294" t="s">
        <v>316</v>
      </c>
      <c r="B80" s="279"/>
      <c r="C80" s="279"/>
      <c r="D80" s="164"/>
      <c r="E80" s="414"/>
      <c r="F80" s="279"/>
      <c r="G80" s="279"/>
      <c r="H80" s="164"/>
      <c r="I80" s="414"/>
      <c r="J80" s="288"/>
      <c r="K80" s="288"/>
      <c r="L80" s="164"/>
      <c r="M80" s="22"/>
    </row>
    <row r="81" spans="1:13" x14ac:dyDescent="0.2">
      <c r="A81" s="294" t="s">
        <v>12</v>
      </c>
      <c r="B81" s="233"/>
      <c r="C81" s="287"/>
      <c r="D81" s="164"/>
      <c r="E81" s="414"/>
      <c r="F81" s="279"/>
      <c r="G81" s="279"/>
      <c r="H81" s="164"/>
      <c r="I81" s="414"/>
      <c r="J81" s="288"/>
      <c r="K81" s="288"/>
      <c r="L81" s="164"/>
      <c r="M81" s="22"/>
    </row>
    <row r="82" spans="1:13" x14ac:dyDescent="0.2">
      <c r="A82" s="294" t="s">
        <v>13</v>
      </c>
      <c r="B82" s="233"/>
      <c r="C82" s="287"/>
      <c r="D82" s="164"/>
      <c r="E82" s="414"/>
      <c r="F82" s="279"/>
      <c r="G82" s="279"/>
      <c r="H82" s="164"/>
      <c r="I82" s="414"/>
      <c r="J82" s="288"/>
      <c r="K82" s="288"/>
      <c r="L82" s="164"/>
      <c r="M82" s="22"/>
    </row>
    <row r="83" spans="1:13" ht="15.75" x14ac:dyDescent="0.2">
      <c r="A83" s="294" t="s">
        <v>317</v>
      </c>
      <c r="B83" s="279"/>
      <c r="C83" s="279"/>
      <c r="D83" s="164"/>
      <c r="E83" s="414"/>
      <c r="F83" s="279"/>
      <c r="G83" s="279"/>
      <c r="H83" s="164"/>
      <c r="I83" s="414"/>
      <c r="J83" s="288"/>
      <c r="K83" s="288"/>
      <c r="L83" s="164"/>
      <c r="M83" s="22"/>
    </row>
    <row r="84" spans="1:13" x14ac:dyDescent="0.2">
      <c r="A84" s="294" t="s">
        <v>12</v>
      </c>
      <c r="B84" s="233"/>
      <c r="C84" s="287"/>
      <c r="D84" s="164"/>
      <c r="E84" s="414"/>
      <c r="F84" s="279"/>
      <c r="G84" s="279"/>
      <c r="H84" s="164"/>
      <c r="I84" s="414"/>
      <c r="J84" s="288"/>
      <c r="K84" s="288"/>
      <c r="L84" s="164"/>
      <c r="M84" s="22"/>
    </row>
    <row r="85" spans="1:13" x14ac:dyDescent="0.2">
      <c r="A85" s="294" t="s">
        <v>13</v>
      </c>
      <c r="B85" s="233"/>
      <c r="C85" s="287"/>
      <c r="D85" s="164"/>
      <c r="E85" s="414"/>
      <c r="F85" s="279"/>
      <c r="G85" s="279"/>
      <c r="H85" s="164"/>
      <c r="I85" s="414"/>
      <c r="J85" s="288"/>
      <c r="K85" s="288"/>
      <c r="L85" s="164"/>
      <c r="M85" s="22"/>
    </row>
    <row r="86" spans="1:13" ht="15.75" x14ac:dyDescent="0.2">
      <c r="A86" s="20" t="s">
        <v>327</v>
      </c>
      <c r="B86" s="232"/>
      <c r="C86" s="143"/>
      <c r="D86" s="164"/>
      <c r="E86" s="26"/>
      <c r="F86" s="232"/>
      <c r="G86" s="143"/>
      <c r="H86" s="164"/>
      <c r="I86" s="26"/>
      <c r="J86" s="285"/>
      <c r="K86" s="43"/>
      <c r="L86" s="253"/>
      <c r="M86" s="26"/>
    </row>
    <row r="87" spans="1:13" ht="15.75" x14ac:dyDescent="0.2">
      <c r="A87" s="13" t="s">
        <v>25</v>
      </c>
      <c r="B87" s="350"/>
      <c r="C87" s="350"/>
      <c r="D87" s="169"/>
      <c r="E87" s="11"/>
      <c r="F87" s="350"/>
      <c r="G87" s="350"/>
      <c r="H87" s="169"/>
      <c r="I87" s="11"/>
      <c r="J87" s="307"/>
      <c r="K87" s="234"/>
      <c r="L87" s="425"/>
      <c r="M87" s="11"/>
    </row>
    <row r="88" spans="1:13" x14ac:dyDescent="0.2">
      <c r="A88" s="20" t="s">
        <v>9</v>
      </c>
      <c r="B88" s="232"/>
      <c r="C88" s="143"/>
      <c r="D88" s="164"/>
      <c r="E88" s="26"/>
      <c r="F88" s="232"/>
      <c r="G88" s="143"/>
      <c r="H88" s="164"/>
      <c r="I88" s="26"/>
      <c r="J88" s="285"/>
      <c r="K88" s="43"/>
      <c r="L88" s="253"/>
      <c r="M88" s="26"/>
    </row>
    <row r="89" spans="1:13" x14ac:dyDescent="0.2">
      <c r="A89" s="20" t="s">
        <v>10</v>
      </c>
      <c r="B89" s="232"/>
      <c r="C89" s="143"/>
      <c r="D89" s="164"/>
      <c r="E89" s="26"/>
      <c r="F89" s="232"/>
      <c r="G89" s="143"/>
      <c r="H89" s="164"/>
      <c r="I89" s="26"/>
      <c r="J89" s="285"/>
      <c r="K89" s="43"/>
      <c r="L89" s="253"/>
      <c r="M89" s="26"/>
    </row>
    <row r="90" spans="1:13" ht="15.75" x14ac:dyDescent="0.2">
      <c r="A90" s="294" t="s">
        <v>316</v>
      </c>
      <c r="B90" s="279"/>
      <c r="C90" s="279"/>
      <c r="D90" s="164"/>
      <c r="E90" s="414"/>
      <c r="F90" s="279"/>
      <c r="G90" s="279"/>
      <c r="H90" s="164"/>
      <c r="I90" s="414"/>
      <c r="J90" s="288"/>
      <c r="K90" s="288"/>
      <c r="L90" s="164"/>
      <c r="M90" s="22"/>
    </row>
    <row r="91" spans="1:13" x14ac:dyDescent="0.2">
      <c r="A91" s="294" t="s">
        <v>12</v>
      </c>
      <c r="B91" s="233"/>
      <c r="C91" s="287"/>
      <c r="D91" s="164"/>
      <c r="E91" s="414"/>
      <c r="F91" s="279"/>
      <c r="G91" s="279"/>
      <c r="H91" s="164"/>
      <c r="I91" s="414"/>
      <c r="J91" s="288"/>
      <c r="K91" s="288"/>
      <c r="L91" s="164"/>
      <c r="M91" s="22"/>
    </row>
    <row r="92" spans="1:13" x14ac:dyDescent="0.2">
      <c r="A92" s="294" t="s">
        <v>13</v>
      </c>
      <c r="B92" s="233"/>
      <c r="C92" s="287"/>
      <c r="D92" s="164"/>
      <c r="E92" s="414"/>
      <c r="F92" s="279"/>
      <c r="G92" s="279"/>
      <c r="H92" s="164"/>
      <c r="I92" s="414"/>
      <c r="J92" s="288"/>
      <c r="K92" s="288"/>
      <c r="L92" s="164"/>
      <c r="M92" s="22"/>
    </row>
    <row r="93" spans="1:13" ht="15.75" x14ac:dyDescent="0.2">
      <c r="A93" s="294" t="s">
        <v>317</v>
      </c>
      <c r="B93" s="279"/>
      <c r="C93" s="279"/>
      <c r="D93" s="164"/>
      <c r="E93" s="414"/>
      <c r="F93" s="279"/>
      <c r="G93" s="279"/>
      <c r="H93" s="164"/>
      <c r="I93" s="414"/>
      <c r="J93" s="288"/>
      <c r="K93" s="288"/>
      <c r="L93" s="164"/>
      <c r="M93" s="22"/>
    </row>
    <row r="94" spans="1:13" x14ac:dyDescent="0.2">
      <c r="A94" s="294" t="s">
        <v>12</v>
      </c>
      <c r="B94" s="233"/>
      <c r="C94" s="287"/>
      <c r="D94" s="164"/>
      <c r="E94" s="414"/>
      <c r="F94" s="279"/>
      <c r="G94" s="279"/>
      <c r="H94" s="164"/>
      <c r="I94" s="414"/>
      <c r="J94" s="288"/>
      <c r="K94" s="288"/>
      <c r="L94" s="164"/>
      <c r="M94" s="22"/>
    </row>
    <row r="95" spans="1:13" x14ac:dyDescent="0.2">
      <c r="A95" s="294" t="s">
        <v>13</v>
      </c>
      <c r="B95" s="233"/>
      <c r="C95" s="287"/>
      <c r="D95" s="164"/>
      <c r="E95" s="414"/>
      <c r="F95" s="279"/>
      <c r="G95" s="279"/>
      <c r="H95" s="164"/>
      <c r="I95" s="414"/>
      <c r="J95" s="288"/>
      <c r="K95" s="288"/>
      <c r="L95" s="164"/>
      <c r="M95" s="22"/>
    </row>
    <row r="96" spans="1:13" x14ac:dyDescent="0.2">
      <c r="A96" s="20" t="s">
        <v>393</v>
      </c>
      <c r="B96" s="232"/>
      <c r="C96" s="143"/>
      <c r="D96" s="164"/>
      <c r="E96" s="26"/>
      <c r="F96" s="232"/>
      <c r="G96" s="143"/>
      <c r="H96" s="164"/>
      <c r="I96" s="26"/>
      <c r="J96" s="285"/>
      <c r="K96" s="43"/>
      <c r="L96" s="253"/>
      <c r="M96" s="26"/>
    </row>
    <row r="97" spans="1:13" x14ac:dyDescent="0.2">
      <c r="A97" s="20" t="s">
        <v>392</v>
      </c>
      <c r="B97" s="232"/>
      <c r="C97" s="143"/>
      <c r="D97" s="164"/>
      <c r="E97" s="26"/>
      <c r="F97" s="232"/>
      <c r="G97" s="143"/>
      <c r="H97" s="164"/>
      <c r="I97" s="26"/>
      <c r="J97" s="285"/>
      <c r="K97" s="43"/>
      <c r="L97" s="253"/>
      <c r="M97" s="26"/>
    </row>
    <row r="98" spans="1:13" ht="15.75" x14ac:dyDescent="0.2">
      <c r="A98" s="20" t="s">
        <v>318</v>
      </c>
      <c r="B98" s="232"/>
      <c r="C98" s="232"/>
      <c r="D98" s="164"/>
      <c r="E98" s="26"/>
      <c r="F98" s="290"/>
      <c r="G98" s="290"/>
      <c r="H98" s="164"/>
      <c r="I98" s="26"/>
      <c r="J98" s="285"/>
      <c r="K98" s="43"/>
      <c r="L98" s="253"/>
      <c r="M98" s="26"/>
    </row>
    <row r="99" spans="1:13" x14ac:dyDescent="0.2">
      <c r="A99" s="20" t="s">
        <v>9</v>
      </c>
      <c r="B99" s="290"/>
      <c r="C99" s="291"/>
      <c r="D99" s="164"/>
      <c r="E99" s="26"/>
      <c r="F99" s="232"/>
      <c r="G99" s="143"/>
      <c r="H99" s="164"/>
      <c r="I99" s="26"/>
      <c r="J99" s="285"/>
      <c r="K99" s="43"/>
      <c r="L99" s="253"/>
      <c r="M99" s="26"/>
    </row>
    <row r="100" spans="1:13" x14ac:dyDescent="0.2">
      <c r="A100" s="20" t="s">
        <v>10</v>
      </c>
      <c r="B100" s="290"/>
      <c r="C100" s="291"/>
      <c r="D100" s="164"/>
      <c r="E100" s="26"/>
      <c r="F100" s="232"/>
      <c r="G100" s="232"/>
      <c r="H100" s="164"/>
      <c r="I100" s="26"/>
      <c r="J100" s="285"/>
      <c r="K100" s="43"/>
      <c r="L100" s="253"/>
      <c r="M100" s="26"/>
    </row>
    <row r="101" spans="1:13" ht="15.75" x14ac:dyDescent="0.2">
      <c r="A101" s="294" t="s">
        <v>316</v>
      </c>
      <c r="B101" s="279"/>
      <c r="C101" s="279"/>
      <c r="D101" s="164"/>
      <c r="E101" s="414"/>
      <c r="F101" s="279"/>
      <c r="G101" s="279"/>
      <c r="H101" s="164"/>
      <c r="I101" s="414"/>
      <c r="J101" s="288"/>
      <c r="K101" s="288"/>
      <c r="L101" s="164"/>
      <c r="M101" s="22"/>
    </row>
    <row r="102" spans="1:13" x14ac:dyDescent="0.2">
      <c r="A102" s="294" t="s">
        <v>12</v>
      </c>
      <c r="B102" s="233"/>
      <c r="C102" s="287"/>
      <c r="D102" s="164"/>
      <c r="E102" s="414"/>
      <c r="F102" s="279"/>
      <c r="G102" s="279"/>
      <c r="H102" s="164"/>
      <c r="I102" s="414"/>
      <c r="J102" s="288"/>
      <c r="K102" s="288"/>
      <c r="L102" s="164"/>
      <c r="M102" s="22"/>
    </row>
    <row r="103" spans="1:13" x14ac:dyDescent="0.2">
      <c r="A103" s="294" t="s">
        <v>13</v>
      </c>
      <c r="B103" s="233"/>
      <c r="C103" s="287"/>
      <c r="D103" s="164"/>
      <c r="E103" s="414"/>
      <c r="F103" s="279"/>
      <c r="G103" s="279"/>
      <c r="H103" s="164"/>
      <c r="I103" s="414"/>
      <c r="J103" s="288"/>
      <c r="K103" s="288"/>
      <c r="L103" s="164"/>
      <c r="M103" s="22"/>
    </row>
    <row r="104" spans="1:13" ht="15.75" x14ac:dyDescent="0.2">
      <c r="A104" s="294" t="s">
        <v>317</v>
      </c>
      <c r="B104" s="279"/>
      <c r="C104" s="279"/>
      <c r="D104" s="164"/>
      <c r="E104" s="414"/>
      <c r="F104" s="279"/>
      <c r="G104" s="279"/>
      <c r="H104" s="164"/>
      <c r="I104" s="414"/>
      <c r="J104" s="288"/>
      <c r="K104" s="288"/>
      <c r="L104" s="164"/>
      <c r="M104" s="22"/>
    </row>
    <row r="105" spans="1:13" x14ac:dyDescent="0.2">
      <c r="A105" s="294" t="s">
        <v>12</v>
      </c>
      <c r="B105" s="233"/>
      <c r="C105" s="287"/>
      <c r="D105" s="164"/>
      <c r="E105" s="414"/>
      <c r="F105" s="279"/>
      <c r="G105" s="279"/>
      <c r="H105" s="164"/>
      <c r="I105" s="414"/>
      <c r="J105" s="288"/>
      <c r="K105" s="288"/>
      <c r="L105" s="164"/>
      <c r="M105" s="22"/>
    </row>
    <row r="106" spans="1:13" x14ac:dyDescent="0.2">
      <c r="A106" s="294" t="s">
        <v>13</v>
      </c>
      <c r="B106" s="233"/>
      <c r="C106" s="287"/>
      <c r="D106" s="164"/>
      <c r="E106" s="414"/>
      <c r="F106" s="279"/>
      <c r="G106" s="279"/>
      <c r="H106" s="164"/>
      <c r="I106" s="414"/>
      <c r="J106" s="288"/>
      <c r="K106" s="288"/>
      <c r="L106" s="164"/>
      <c r="M106" s="22"/>
    </row>
    <row r="107" spans="1:13" ht="15.75" x14ac:dyDescent="0.2">
      <c r="A107" s="20" t="s">
        <v>327</v>
      </c>
      <c r="B107" s="232"/>
      <c r="C107" s="143"/>
      <c r="D107" s="164"/>
      <c r="E107" s="26"/>
      <c r="F107" s="232"/>
      <c r="G107" s="143"/>
      <c r="H107" s="164"/>
      <c r="I107" s="26"/>
      <c r="J107" s="285"/>
      <c r="K107" s="43"/>
      <c r="L107" s="253"/>
      <c r="M107" s="26"/>
    </row>
    <row r="108" spans="1:13" ht="15.75" x14ac:dyDescent="0.2">
      <c r="A108" s="20" t="s">
        <v>328</v>
      </c>
      <c r="B108" s="232"/>
      <c r="C108" s="232"/>
      <c r="D108" s="164"/>
      <c r="E108" s="26"/>
      <c r="F108" s="232"/>
      <c r="G108" s="232"/>
      <c r="H108" s="164"/>
      <c r="I108" s="26"/>
      <c r="J108" s="285"/>
      <c r="K108" s="43"/>
      <c r="L108" s="253"/>
      <c r="M108" s="26"/>
    </row>
    <row r="109" spans="1:13" ht="15.75" x14ac:dyDescent="0.2">
      <c r="A109" s="20" t="s">
        <v>320</v>
      </c>
      <c r="B109" s="232"/>
      <c r="C109" s="232"/>
      <c r="D109" s="164"/>
      <c r="E109" s="26"/>
      <c r="F109" s="232"/>
      <c r="G109" s="232"/>
      <c r="H109" s="164"/>
      <c r="I109" s="26"/>
      <c r="J109" s="285"/>
      <c r="K109" s="43"/>
      <c r="L109" s="253"/>
      <c r="M109" s="26"/>
    </row>
    <row r="110" spans="1:13" ht="15.75" x14ac:dyDescent="0.2">
      <c r="A110" s="20" t="s">
        <v>321</v>
      </c>
      <c r="B110" s="232"/>
      <c r="C110" s="232"/>
      <c r="D110" s="164"/>
      <c r="E110" s="26"/>
      <c r="F110" s="232"/>
      <c r="G110" s="232"/>
      <c r="H110" s="164"/>
      <c r="I110" s="26"/>
      <c r="J110" s="285"/>
      <c r="K110" s="43"/>
      <c r="L110" s="253"/>
      <c r="M110" s="26"/>
    </row>
    <row r="111" spans="1:13" ht="15.75" x14ac:dyDescent="0.2">
      <c r="A111" s="13" t="s">
        <v>24</v>
      </c>
      <c r="B111" s="306"/>
      <c r="C111" s="157"/>
      <c r="D111" s="169"/>
      <c r="E111" s="11"/>
      <c r="F111" s="306"/>
      <c r="G111" s="157"/>
      <c r="H111" s="169"/>
      <c r="I111" s="11"/>
      <c r="J111" s="307"/>
      <c r="K111" s="234"/>
      <c r="L111" s="425"/>
      <c r="M111" s="11"/>
    </row>
    <row r="112" spans="1:13" x14ac:dyDescent="0.2">
      <c r="A112" s="20" t="s">
        <v>9</v>
      </c>
      <c r="B112" s="232"/>
      <c r="C112" s="143"/>
      <c r="D112" s="164"/>
      <c r="E112" s="26"/>
      <c r="F112" s="232"/>
      <c r="G112" s="143"/>
      <c r="H112" s="164"/>
      <c r="I112" s="26"/>
      <c r="J112" s="285"/>
      <c r="K112" s="43"/>
      <c r="L112" s="253"/>
      <c r="M112" s="26"/>
    </row>
    <row r="113" spans="1:14" x14ac:dyDescent="0.2">
      <c r="A113" s="20" t="s">
        <v>10</v>
      </c>
      <c r="B113" s="232"/>
      <c r="C113" s="143"/>
      <c r="D113" s="164"/>
      <c r="E113" s="26"/>
      <c r="F113" s="232"/>
      <c r="G113" s="143"/>
      <c r="H113" s="164"/>
      <c r="I113" s="26"/>
      <c r="J113" s="285"/>
      <c r="K113" s="43"/>
      <c r="L113" s="253"/>
      <c r="M113" s="26"/>
    </row>
    <row r="114" spans="1:14" x14ac:dyDescent="0.2">
      <c r="A114" s="20" t="s">
        <v>29</v>
      </c>
      <c r="B114" s="232"/>
      <c r="C114" s="143"/>
      <c r="D114" s="164"/>
      <c r="E114" s="26"/>
      <c r="F114" s="232"/>
      <c r="G114" s="143"/>
      <c r="H114" s="164"/>
      <c r="I114" s="26"/>
      <c r="J114" s="285"/>
      <c r="K114" s="43"/>
      <c r="L114" s="253"/>
      <c r="M114" s="26"/>
    </row>
    <row r="115" spans="1:14" x14ac:dyDescent="0.2">
      <c r="A115" s="294" t="s">
        <v>15</v>
      </c>
      <c r="B115" s="279"/>
      <c r="C115" s="279"/>
      <c r="D115" s="164"/>
      <c r="E115" s="414"/>
      <c r="F115" s="279"/>
      <c r="G115" s="279"/>
      <c r="H115" s="164"/>
      <c r="I115" s="414"/>
      <c r="J115" s="288"/>
      <c r="K115" s="288"/>
      <c r="L115" s="164"/>
      <c r="M115" s="22"/>
    </row>
    <row r="116" spans="1:14" ht="15.75" x14ac:dyDescent="0.2">
      <c r="A116" s="20" t="s">
        <v>329</v>
      </c>
      <c r="B116" s="232"/>
      <c r="C116" s="232"/>
      <c r="D116" s="164"/>
      <c r="E116" s="26"/>
      <c r="F116" s="232"/>
      <c r="G116" s="232"/>
      <c r="H116" s="164"/>
      <c r="I116" s="26"/>
      <c r="J116" s="285"/>
      <c r="K116" s="43"/>
      <c r="L116" s="253"/>
      <c r="M116" s="26"/>
    </row>
    <row r="117" spans="1:14" ht="15.75" x14ac:dyDescent="0.2">
      <c r="A117" s="20" t="s">
        <v>322</v>
      </c>
      <c r="B117" s="232"/>
      <c r="C117" s="232"/>
      <c r="D117" s="164"/>
      <c r="E117" s="26"/>
      <c r="F117" s="232"/>
      <c r="G117" s="232"/>
      <c r="H117" s="164"/>
      <c r="I117" s="26"/>
      <c r="J117" s="285"/>
      <c r="K117" s="43"/>
      <c r="L117" s="253"/>
      <c r="M117" s="26"/>
    </row>
    <row r="118" spans="1:14" ht="15.75" x14ac:dyDescent="0.2">
      <c r="A118" s="20" t="s">
        <v>321</v>
      </c>
      <c r="B118" s="232"/>
      <c r="C118" s="232"/>
      <c r="D118" s="164"/>
      <c r="E118" s="26"/>
      <c r="F118" s="232"/>
      <c r="G118" s="232"/>
      <c r="H118" s="164"/>
      <c r="I118" s="26"/>
      <c r="J118" s="285"/>
      <c r="K118" s="43"/>
      <c r="L118" s="253"/>
      <c r="M118" s="26"/>
    </row>
    <row r="119" spans="1:14" ht="15.75" x14ac:dyDescent="0.2">
      <c r="A119" s="13" t="s">
        <v>23</v>
      </c>
      <c r="B119" s="306"/>
      <c r="C119" s="157"/>
      <c r="D119" s="169"/>
      <c r="E119" s="11"/>
      <c r="F119" s="306"/>
      <c r="G119" s="157"/>
      <c r="H119" s="169"/>
      <c r="I119" s="11"/>
      <c r="J119" s="307"/>
      <c r="K119" s="234"/>
      <c r="L119" s="425"/>
      <c r="M119" s="11"/>
    </row>
    <row r="120" spans="1:14" x14ac:dyDescent="0.2">
      <c r="A120" s="20" t="s">
        <v>9</v>
      </c>
      <c r="B120" s="232"/>
      <c r="C120" s="143"/>
      <c r="D120" s="164"/>
      <c r="E120" s="26"/>
      <c r="F120" s="232"/>
      <c r="G120" s="143"/>
      <c r="H120" s="164"/>
      <c r="I120" s="26"/>
      <c r="J120" s="285"/>
      <c r="K120" s="43"/>
      <c r="L120" s="253"/>
      <c r="M120" s="26"/>
    </row>
    <row r="121" spans="1:14" x14ac:dyDescent="0.2">
      <c r="A121" s="20" t="s">
        <v>10</v>
      </c>
      <c r="B121" s="232"/>
      <c r="C121" s="143"/>
      <c r="D121" s="164"/>
      <c r="E121" s="26"/>
      <c r="F121" s="232"/>
      <c r="G121" s="143"/>
      <c r="H121" s="164"/>
      <c r="I121" s="26"/>
      <c r="J121" s="285"/>
      <c r="K121" s="43"/>
      <c r="L121" s="253"/>
      <c r="M121" s="26"/>
    </row>
    <row r="122" spans="1:14" x14ac:dyDescent="0.2">
      <c r="A122" s="20" t="s">
        <v>29</v>
      </c>
      <c r="B122" s="232"/>
      <c r="C122" s="143"/>
      <c r="D122" s="164"/>
      <c r="E122" s="26"/>
      <c r="F122" s="232"/>
      <c r="G122" s="143"/>
      <c r="H122" s="164"/>
      <c r="I122" s="26"/>
      <c r="J122" s="285"/>
      <c r="K122" s="43"/>
      <c r="L122" s="253"/>
      <c r="M122" s="26"/>
    </row>
    <row r="123" spans="1:14" x14ac:dyDescent="0.2">
      <c r="A123" s="294" t="s">
        <v>14</v>
      </c>
      <c r="B123" s="279"/>
      <c r="C123" s="279"/>
      <c r="D123" s="164"/>
      <c r="E123" s="414"/>
      <c r="F123" s="279"/>
      <c r="G123" s="279"/>
      <c r="H123" s="164"/>
      <c r="I123" s="414"/>
      <c r="J123" s="288"/>
      <c r="K123" s="288"/>
      <c r="L123" s="164"/>
      <c r="M123" s="22"/>
    </row>
    <row r="124" spans="1:14" ht="15.75" x14ac:dyDescent="0.2">
      <c r="A124" s="20" t="s">
        <v>319</v>
      </c>
      <c r="B124" s="232"/>
      <c r="C124" s="232"/>
      <c r="D124" s="164"/>
      <c r="E124" s="26"/>
      <c r="F124" s="232"/>
      <c r="G124" s="232"/>
      <c r="H124" s="164"/>
      <c r="I124" s="26"/>
      <c r="J124" s="285"/>
      <c r="K124" s="43"/>
      <c r="L124" s="253"/>
      <c r="M124" s="26"/>
    </row>
    <row r="125" spans="1:14" ht="15.75" x14ac:dyDescent="0.2">
      <c r="A125" s="20" t="s">
        <v>320</v>
      </c>
      <c r="B125" s="232"/>
      <c r="C125" s="232"/>
      <c r="D125" s="164"/>
      <c r="E125" s="26"/>
      <c r="F125" s="232"/>
      <c r="G125" s="232"/>
      <c r="H125" s="164"/>
      <c r="I125" s="26"/>
      <c r="J125" s="285"/>
      <c r="K125" s="43"/>
      <c r="L125" s="253"/>
      <c r="M125" s="26"/>
    </row>
    <row r="126" spans="1:14" ht="15.75" x14ac:dyDescent="0.2">
      <c r="A126" s="10" t="s">
        <v>321</v>
      </c>
      <c r="B126" s="44"/>
      <c r="C126" s="44"/>
      <c r="D126" s="165"/>
      <c r="E126" s="415"/>
      <c r="F126" s="44"/>
      <c r="G126" s="44"/>
      <c r="H126" s="165"/>
      <c r="I126" s="21"/>
      <c r="J126" s="286"/>
      <c r="K126" s="44"/>
      <c r="L126" s="254"/>
      <c r="M126" s="21"/>
    </row>
    <row r="127" spans="1:14" x14ac:dyDescent="0.2">
      <c r="A127" s="153"/>
      <c r="L127" s="25"/>
      <c r="M127" s="25"/>
      <c r="N127" s="25"/>
    </row>
    <row r="128" spans="1:14" x14ac:dyDescent="0.2">
      <c r="L128" s="25"/>
      <c r="M128" s="25"/>
      <c r="N128" s="25"/>
    </row>
    <row r="129" spans="1:15" ht="15.75" x14ac:dyDescent="0.25">
      <c r="A129" s="163" t="s">
        <v>30</v>
      </c>
    </row>
    <row r="130" spans="1:15" ht="15.75" x14ac:dyDescent="0.25">
      <c r="B130" s="963"/>
      <c r="C130" s="963"/>
      <c r="D130" s="963"/>
      <c r="E130" s="297"/>
      <c r="F130" s="963"/>
      <c r="G130" s="963"/>
      <c r="H130" s="963"/>
      <c r="I130" s="297"/>
      <c r="J130" s="963"/>
      <c r="K130" s="963"/>
      <c r="L130" s="963"/>
      <c r="M130" s="297"/>
    </row>
    <row r="131" spans="1:15" s="3" customFormat="1" x14ac:dyDescent="0.2">
      <c r="A131" s="142"/>
      <c r="B131" s="960" t="s">
        <v>0</v>
      </c>
      <c r="C131" s="961"/>
      <c r="D131" s="961"/>
      <c r="E131" s="299"/>
      <c r="F131" s="960" t="s">
        <v>1</v>
      </c>
      <c r="G131" s="961"/>
      <c r="H131" s="961"/>
      <c r="I131" s="302"/>
      <c r="J131" s="960" t="s">
        <v>2</v>
      </c>
      <c r="K131" s="961"/>
      <c r="L131" s="961"/>
      <c r="M131" s="302"/>
      <c r="N131" s="146"/>
      <c r="O131" s="146"/>
    </row>
    <row r="132" spans="1:15" s="3" customFormat="1" x14ac:dyDescent="0.2">
      <c r="A132" s="139"/>
      <c r="B132" s="150" t="s">
        <v>504</v>
      </c>
      <c r="C132" s="150" t="s">
        <v>505</v>
      </c>
      <c r="D132" s="243" t="s">
        <v>3</v>
      </c>
      <c r="E132" s="303" t="s">
        <v>32</v>
      </c>
      <c r="F132" s="150" t="s">
        <v>504</v>
      </c>
      <c r="G132" s="150" t="s">
        <v>505</v>
      </c>
      <c r="H132" s="204" t="s">
        <v>3</v>
      </c>
      <c r="I132" s="160" t="s">
        <v>32</v>
      </c>
      <c r="J132" s="244" t="s">
        <v>504</v>
      </c>
      <c r="K132" s="244" t="s">
        <v>505</v>
      </c>
      <c r="L132" s="245" t="s">
        <v>3</v>
      </c>
      <c r="M132" s="160" t="s">
        <v>32</v>
      </c>
      <c r="N132" s="146"/>
      <c r="O132" s="146"/>
    </row>
    <row r="133" spans="1:15" s="3" customFormat="1" x14ac:dyDescent="0.2">
      <c r="A133" s="934"/>
      <c r="B133" s="154"/>
      <c r="C133" s="154"/>
      <c r="D133" s="245" t="s">
        <v>4</v>
      </c>
      <c r="E133" s="154" t="s">
        <v>33</v>
      </c>
      <c r="F133" s="159"/>
      <c r="G133" s="159"/>
      <c r="H133" s="204" t="s">
        <v>4</v>
      </c>
      <c r="I133" s="154" t="s">
        <v>33</v>
      </c>
      <c r="J133" s="154"/>
      <c r="K133" s="154"/>
      <c r="L133" s="148" t="s">
        <v>4</v>
      </c>
      <c r="M133" s="154" t="s">
        <v>33</v>
      </c>
      <c r="N133" s="146"/>
      <c r="O133" s="146"/>
    </row>
    <row r="134" spans="1:15" s="3" customFormat="1" ht="15.75" x14ac:dyDescent="0.2">
      <c r="A134" s="14" t="s">
        <v>323</v>
      </c>
      <c r="B134" s="234"/>
      <c r="C134" s="307"/>
      <c r="D134" s="348"/>
      <c r="E134" s="11"/>
      <c r="F134" s="314"/>
      <c r="G134" s="315"/>
      <c r="H134" s="428"/>
      <c r="I134" s="23"/>
      <c r="J134" s="316"/>
      <c r="K134" s="316"/>
      <c r="L134" s="424"/>
      <c r="M134" s="11"/>
      <c r="N134" s="146"/>
      <c r="O134" s="146"/>
    </row>
    <row r="135" spans="1:15" s="3" customFormat="1" ht="15.75" x14ac:dyDescent="0.2">
      <c r="A135" s="13" t="s">
        <v>324</v>
      </c>
      <c r="B135" s="234"/>
      <c r="C135" s="307"/>
      <c r="D135" s="169"/>
      <c r="E135" s="11"/>
      <c r="F135" s="234"/>
      <c r="G135" s="307"/>
      <c r="H135" s="429"/>
      <c r="I135" s="23"/>
      <c r="J135" s="306"/>
      <c r="K135" s="306"/>
      <c r="L135" s="425"/>
      <c r="M135" s="11"/>
      <c r="N135" s="146"/>
      <c r="O135" s="146"/>
    </row>
    <row r="136" spans="1:15" s="3" customFormat="1" ht="15.75" x14ac:dyDescent="0.2">
      <c r="A136" s="13" t="s">
        <v>325</v>
      </c>
      <c r="B136" s="234"/>
      <c r="C136" s="307"/>
      <c r="D136" s="169"/>
      <c r="E136" s="11"/>
      <c r="F136" s="234"/>
      <c r="G136" s="307"/>
      <c r="H136" s="429"/>
      <c r="I136" s="23"/>
      <c r="J136" s="306"/>
      <c r="K136" s="306"/>
      <c r="L136" s="425"/>
      <c r="M136" s="11"/>
      <c r="N136" s="146"/>
      <c r="O136" s="146"/>
    </row>
    <row r="137" spans="1:15" s="3" customFormat="1" ht="15.75" x14ac:dyDescent="0.2">
      <c r="A137" s="40" t="s">
        <v>326</v>
      </c>
      <c r="B137" s="274"/>
      <c r="C137" s="313"/>
      <c r="D137" s="167"/>
      <c r="E137" s="9"/>
      <c r="F137" s="274"/>
      <c r="G137" s="313"/>
      <c r="H137" s="430"/>
      <c r="I137" s="35"/>
      <c r="J137" s="312"/>
      <c r="K137" s="312"/>
      <c r="L137" s="426"/>
      <c r="M137" s="35"/>
      <c r="N137" s="146"/>
      <c r="O137" s="146"/>
    </row>
    <row r="138" spans="1:15" s="3" customFormat="1" x14ac:dyDescent="0.2">
      <c r="A138" s="166"/>
      <c r="B138" s="32"/>
      <c r="C138" s="32"/>
      <c r="D138" s="157"/>
      <c r="E138" s="157"/>
      <c r="F138" s="32"/>
      <c r="G138" s="32"/>
      <c r="H138" s="157"/>
      <c r="I138" s="157"/>
      <c r="J138" s="32"/>
      <c r="K138" s="32"/>
      <c r="L138" s="157"/>
      <c r="M138" s="157"/>
      <c r="N138" s="146"/>
      <c r="O138" s="146"/>
    </row>
    <row r="139" spans="1:15" x14ac:dyDescent="0.2">
      <c r="A139" s="166"/>
      <c r="B139" s="32"/>
      <c r="C139" s="32"/>
      <c r="D139" s="157"/>
      <c r="E139" s="157"/>
      <c r="F139" s="32"/>
      <c r="G139" s="32"/>
      <c r="H139" s="157"/>
      <c r="I139" s="157"/>
      <c r="J139" s="32"/>
      <c r="K139" s="32"/>
      <c r="L139" s="157"/>
      <c r="M139" s="157"/>
      <c r="N139" s="146"/>
    </row>
    <row r="140" spans="1:15" x14ac:dyDescent="0.2">
      <c r="A140" s="166"/>
      <c r="B140" s="32"/>
      <c r="C140" s="32"/>
      <c r="D140" s="157"/>
      <c r="E140" s="157"/>
      <c r="F140" s="32"/>
      <c r="G140" s="32"/>
      <c r="H140" s="157"/>
      <c r="I140" s="157"/>
      <c r="J140" s="32"/>
      <c r="K140" s="32"/>
      <c r="L140" s="157"/>
      <c r="M140" s="157"/>
      <c r="N140" s="146"/>
    </row>
    <row r="141" spans="1:15" x14ac:dyDescent="0.2">
      <c r="A141" s="144"/>
      <c r="B141" s="144"/>
      <c r="C141" s="144"/>
      <c r="D141" s="144"/>
      <c r="E141" s="144"/>
      <c r="F141" s="144"/>
      <c r="G141" s="144"/>
      <c r="H141" s="144"/>
      <c r="I141" s="144"/>
      <c r="J141" s="144"/>
      <c r="K141" s="144"/>
      <c r="L141" s="144"/>
      <c r="M141" s="144"/>
      <c r="N141" s="144"/>
    </row>
    <row r="142" spans="1:15" ht="15.75" x14ac:dyDescent="0.25">
      <c r="B142" s="140"/>
      <c r="C142" s="140"/>
      <c r="D142" s="140"/>
      <c r="E142" s="140"/>
      <c r="F142" s="140"/>
      <c r="G142" s="140"/>
      <c r="H142" s="140"/>
      <c r="I142" s="140"/>
      <c r="J142" s="140"/>
      <c r="K142" s="140"/>
      <c r="L142" s="140"/>
      <c r="M142" s="140"/>
      <c r="N142" s="140"/>
    </row>
    <row r="143" spans="1:15" ht="15.75" x14ac:dyDescent="0.25">
      <c r="B143" s="155"/>
      <c r="C143" s="155"/>
      <c r="D143" s="155"/>
      <c r="E143" s="155"/>
      <c r="F143" s="155"/>
      <c r="G143" s="155"/>
      <c r="H143" s="155"/>
      <c r="I143" s="155"/>
      <c r="J143" s="155"/>
      <c r="K143" s="155"/>
      <c r="L143" s="155"/>
      <c r="M143" s="155"/>
      <c r="N143" s="155"/>
      <c r="O143" s="152"/>
    </row>
    <row r="144" spans="1:15" ht="15.75" x14ac:dyDescent="0.25">
      <c r="B144" s="155"/>
      <c r="C144" s="155"/>
      <c r="D144" s="155"/>
      <c r="E144" s="155"/>
      <c r="F144" s="155"/>
      <c r="G144" s="155"/>
      <c r="H144" s="155"/>
      <c r="I144" s="155"/>
      <c r="J144" s="155"/>
      <c r="K144" s="155"/>
      <c r="L144" s="155"/>
      <c r="M144" s="155"/>
      <c r="N144" s="155"/>
      <c r="O144" s="152"/>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486" priority="132">
      <formula>kvartal &lt; 4</formula>
    </cfRule>
  </conditionalFormatting>
  <conditionalFormatting sqref="B30">
    <cfRule type="expression" dxfId="485" priority="130">
      <formula>kvartal &lt; 4</formula>
    </cfRule>
  </conditionalFormatting>
  <conditionalFormatting sqref="B31">
    <cfRule type="expression" dxfId="484" priority="129">
      <formula>kvartal &lt; 4</formula>
    </cfRule>
  </conditionalFormatting>
  <conditionalFormatting sqref="B32:B33">
    <cfRule type="expression" dxfId="483" priority="128">
      <formula>kvartal &lt; 4</formula>
    </cfRule>
  </conditionalFormatting>
  <conditionalFormatting sqref="C30">
    <cfRule type="expression" dxfId="482" priority="127">
      <formula>kvartal &lt; 4</formula>
    </cfRule>
  </conditionalFormatting>
  <conditionalFormatting sqref="C31">
    <cfRule type="expression" dxfId="481" priority="126">
      <formula>kvartal &lt; 4</formula>
    </cfRule>
  </conditionalFormatting>
  <conditionalFormatting sqref="C32:C33">
    <cfRule type="expression" dxfId="480" priority="125">
      <formula>kvartal &lt; 4</formula>
    </cfRule>
  </conditionalFormatting>
  <conditionalFormatting sqref="B23:C26">
    <cfRule type="expression" dxfId="479" priority="124">
      <formula>kvartal &lt; 4</formula>
    </cfRule>
  </conditionalFormatting>
  <conditionalFormatting sqref="F23:G26">
    <cfRule type="expression" dxfId="478" priority="120">
      <formula>kvartal &lt; 4</formula>
    </cfRule>
  </conditionalFormatting>
  <conditionalFormatting sqref="F30">
    <cfRule type="expression" dxfId="477" priority="113">
      <formula>kvartal &lt; 4</formula>
    </cfRule>
  </conditionalFormatting>
  <conditionalFormatting sqref="F31">
    <cfRule type="expression" dxfId="476" priority="112">
      <formula>kvartal &lt; 4</formula>
    </cfRule>
  </conditionalFormatting>
  <conditionalFormatting sqref="F32:F33">
    <cfRule type="expression" dxfId="475" priority="111">
      <formula>kvartal &lt; 4</formula>
    </cfRule>
  </conditionalFormatting>
  <conditionalFormatting sqref="G30">
    <cfRule type="expression" dxfId="474" priority="110">
      <formula>kvartal &lt; 4</formula>
    </cfRule>
  </conditionalFormatting>
  <conditionalFormatting sqref="G31">
    <cfRule type="expression" dxfId="473" priority="109">
      <formula>kvartal &lt; 4</formula>
    </cfRule>
  </conditionalFormatting>
  <conditionalFormatting sqref="G32:G33">
    <cfRule type="expression" dxfId="472" priority="108">
      <formula>kvartal &lt; 4</formula>
    </cfRule>
  </conditionalFormatting>
  <conditionalFormatting sqref="B27">
    <cfRule type="expression" dxfId="471" priority="107">
      <formula>kvartal &lt; 4</formula>
    </cfRule>
  </conditionalFormatting>
  <conditionalFormatting sqref="C27">
    <cfRule type="expression" dxfId="470" priority="106">
      <formula>kvartal &lt; 4</formula>
    </cfRule>
  </conditionalFormatting>
  <conditionalFormatting sqref="F27">
    <cfRule type="expression" dxfId="469" priority="105">
      <formula>kvartal &lt; 4</formula>
    </cfRule>
  </conditionalFormatting>
  <conditionalFormatting sqref="G27">
    <cfRule type="expression" dxfId="468" priority="104">
      <formula>kvartal &lt; 4</formula>
    </cfRule>
  </conditionalFormatting>
  <conditionalFormatting sqref="J23:K27">
    <cfRule type="expression" dxfId="467" priority="103">
      <formula>kvartal &lt; 4</formula>
    </cfRule>
  </conditionalFormatting>
  <conditionalFormatting sqref="J30:K33">
    <cfRule type="expression" dxfId="466" priority="101">
      <formula>kvartal &lt; 4</formula>
    </cfRule>
  </conditionalFormatting>
  <conditionalFormatting sqref="B69">
    <cfRule type="expression" dxfId="465" priority="100">
      <formula>kvartal &lt; 4</formula>
    </cfRule>
  </conditionalFormatting>
  <conditionalFormatting sqref="C69">
    <cfRule type="expression" dxfId="464" priority="99">
      <formula>kvartal &lt; 4</formula>
    </cfRule>
  </conditionalFormatting>
  <conditionalFormatting sqref="B72">
    <cfRule type="expression" dxfId="463" priority="98">
      <formula>kvartal &lt; 4</formula>
    </cfRule>
  </conditionalFormatting>
  <conditionalFormatting sqref="C72">
    <cfRule type="expression" dxfId="462" priority="97">
      <formula>kvartal &lt; 4</formula>
    </cfRule>
  </conditionalFormatting>
  <conditionalFormatting sqref="B80">
    <cfRule type="expression" dxfId="461" priority="96">
      <formula>kvartal &lt; 4</formula>
    </cfRule>
  </conditionalFormatting>
  <conditionalFormatting sqref="C80">
    <cfRule type="expression" dxfId="460" priority="95">
      <formula>kvartal &lt; 4</formula>
    </cfRule>
  </conditionalFormatting>
  <conditionalFormatting sqref="B83">
    <cfRule type="expression" dxfId="459" priority="94">
      <formula>kvartal &lt; 4</formula>
    </cfRule>
  </conditionalFormatting>
  <conditionalFormatting sqref="C83">
    <cfRule type="expression" dxfId="458" priority="93">
      <formula>kvartal &lt; 4</formula>
    </cfRule>
  </conditionalFormatting>
  <conditionalFormatting sqref="B90">
    <cfRule type="expression" dxfId="457" priority="84">
      <formula>kvartal &lt; 4</formula>
    </cfRule>
  </conditionalFormatting>
  <conditionalFormatting sqref="C90">
    <cfRule type="expression" dxfId="456" priority="83">
      <formula>kvartal &lt; 4</formula>
    </cfRule>
  </conditionalFormatting>
  <conditionalFormatting sqref="B93">
    <cfRule type="expression" dxfId="455" priority="82">
      <formula>kvartal &lt; 4</formula>
    </cfRule>
  </conditionalFormatting>
  <conditionalFormatting sqref="C93">
    <cfRule type="expression" dxfId="454" priority="81">
      <formula>kvartal &lt; 4</formula>
    </cfRule>
  </conditionalFormatting>
  <conditionalFormatting sqref="B101">
    <cfRule type="expression" dxfId="453" priority="80">
      <formula>kvartal &lt; 4</formula>
    </cfRule>
  </conditionalFormatting>
  <conditionalFormatting sqref="C101">
    <cfRule type="expression" dxfId="452" priority="79">
      <formula>kvartal &lt; 4</formula>
    </cfRule>
  </conditionalFormatting>
  <conditionalFormatting sqref="B104">
    <cfRule type="expression" dxfId="451" priority="78">
      <formula>kvartal &lt; 4</formula>
    </cfRule>
  </conditionalFormatting>
  <conditionalFormatting sqref="C104">
    <cfRule type="expression" dxfId="450" priority="77">
      <formula>kvartal &lt; 4</formula>
    </cfRule>
  </conditionalFormatting>
  <conditionalFormatting sqref="B115">
    <cfRule type="expression" dxfId="449" priority="76">
      <formula>kvartal &lt; 4</formula>
    </cfRule>
  </conditionalFormatting>
  <conditionalFormatting sqref="C115">
    <cfRule type="expression" dxfId="448" priority="75">
      <formula>kvartal &lt; 4</formula>
    </cfRule>
  </conditionalFormatting>
  <conditionalFormatting sqref="B123">
    <cfRule type="expression" dxfId="447" priority="74">
      <formula>kvartal &lt; 4</formula>
    </cfRule>
  </conditionalFormatting>
  <conditionalFormatting sqref="C123">
    <cfRule type="expression" dxfId="446" priority="73">
      <formula>kvartal &lt; 4</formula>
    </cfRule>
  </conditionalFormatting>
  <conditionalFormatting sqref="F70">
    <cfRule type="expression" dxfId="445" priority="72">
      <formula>kvartal &lt; 4</formula>
    </cfRule>
  </conditionalFormatting>
  <conditionalFormatting sqref="G70">
    <cfRule type="expression" dxfId="444" priority="71">
      <formula>kvartal &lt; 4</formula>
    </cfRule>
  </conditionalFormatting>
  <conditionalFormatting sqref="F71:G71">
    <cfRule type="expression" dxfId="443" priority="70">
      <formula>kvartal &lt; 4</formula>
    </cfRule>
  </conditionalFormatting>
  <conditionalFormatting sqref="F73:G74">
    <cfRule type="expression" dxfId="442" priority="69">
      <formula>kvartal &lt; 4</formula>
    </cfRule>
  </conditionalFormatting>
  <conditionalFormatting sqref="F81:G82">
    <cfRule type="expression" dxfId="441" priority="68">
      <formula>kvartal &lt; 4</formula>
    </cfRule>
  </conditionalFormatting>
  <conditionalFormatting sqref="F84:G85">
    <cfRule type="expression" dxfId="440" priority="67">
      <formula>kvartal &lt; 4</formula>
    </cfRule>
  </conditionalFormatting>
  <conditionalFormatting sqref="F91:G92">
    <cfRule type="expression" dxfId="439" priority="62">
      <formula>kvartal &lt; 4</formula>
    </cfRule>
  </conditionalFormatting>
  <conditionalFormatting sqref="F94:G95">
    <cfRule type="expression" dxfId="438" priority="61">
      <formula>kvartal &lt; 4</formula>
    </cfRule>
  </conditionalFormatting>
  <conditionalFormatting sqref="F102:G103">
    <cfRule type="expression" dxfId="437" priority="60">
      <formula>kvartal &lt; 4</formula>
    </cfRule>
  </conditionalFormatting>
  <conditionalFormatting sqref="F105:G106">
    <cfRule type="expression" dxfId="436" priority="59">
      <formula>kvartal &lt; 4</formula>
    </cfRule>
  </conditionalFormatting>
  <conditionalFormatting sqref="F115">
    <cfRule type="expression" dxfId="435" priority="58">
      <formula>kvartal &lt; 4</formula>
    </cfRule>
  </conditionalFormatting>
  <conditionalFormatting sqref="G115">
    <cfRule type="expression" dxfId="434" priority="57">
      <formula>kvartal &lt; 4</formula>
    </cfRule>
  </conditionalFormatting>
  <conditionalFormatting sqref="F123:G123">
    <cfRule type="expression" dxfId="433" priority="56">
      <formula>kvartal &lt; 4</formula>
    </cfRule>
  </conditionalFormatting>
  <conditionalFormatting sqref="F69:G69">
    <cfRule type="expression" dxfId="432" priority="55">
      <formula>kvartal &lt; 4</formula>
    </cfRule>
  </conditionalFormatting>
  <conditionalFormatting sqref="F72:G72">
    <cfRule type="expression" dxfId="431" priority="54">
      <formula>kvartal &lt; 4</formula>
    </cfRule>
  </conditionalFormatting>
  <conditionalFormatting sqref="F80:G80">
    <cfRule type="expression" dxfId="430" priority="53">
      <formula>kvartal &lt; 4</formula>
    </cfRule>
  </conditionalFormatting>
  <conditionalFormatting sqref="F83:G83">
    <cfRule type="expression" dxfId="429" priority="52">
      <formula>kvartal &lt; 4</formula>
    </cfRule>
  </conditionalFormatting>
  <conditionalFormatting sqref="F90:G90">
    <cfRule type="expression" dxfId="428" priority="46">
      <formula>kvartal &lt; 4</formula>
    </cfRule>
  </conditionalFormatting>
  <conditionalFormatting sqref="F93">
    <cfRule type="expression" dxfId="427" priority="45">
      <formula>kvartal &lt; 4</formula>
    </cfRule>
  </conditionalFormatting>
  <conditionalFormatting sqref="G93">
    <cfRule type="expression" dxfId="426" priority="44">
      <formula>kvartal &lt; 4</formula>
    </cfRule>
  </conditionalFormatting>
  <conditionalFormatting sqref="F101">
    <cfRule type="expression" dxfId="425" priority="43">
      <formula>kvartal &lt; 4</formula>
    </cfRule>
  </conditionalFormatting>
  <conditionalFormatting sqref="G101">
    <cfRule type="expression" dxfId="424" priority="42">
      <formula>kvartal &lt; 4</formula>
    </cfRule>
  </conditionalFormatting>
  <conditionalFormatting sqref="G104">
    <cfRule type="expression" dxfId="423" priority="41">
      <formula>kvartal &lt; 4</formula>
    </cfRule>
  </conditionalFormatting>
  <conditionalFormatting sqref="F104">
    <cfRule type="expression" dxfId="422" priority="40">
      <formula>kvartal &lt; 4</formula>
    </cfRule>
  </conditionalFormatting>
  <conditionalFormatting sqref="J69:K73">
    <cfRule type="expression" dxfId="421" priority="39">
      <formula>kvartal &lt; 4</formula>
    </cfRule>
  </conditionalFormatting>
  <conditionalFormatting sqref="J74:K74">
    <cfRule type="expression" dxfId="420" priority="38">
      <formula>kvartal &lt; 4</formula>
    </cfRule>
  </conditionalFormatting>
  <conditionalFormatting sqref="J80:K85">
    <cfRule type="expression" dxfId="419" priority="37">
      <formula>kvartal &lt; 4</formula>
    </cfRule>
  </conditionalFormatting>
  <conditionalFormatting sqref="J90:K95">
    <cfRule type="expression" dxfId="418" priority="34">
      <formula>kvartal &lt; 4</formula>
    </cfRule>
  </conditionalFormatting>
  <conditionalFormatting sqref="J101:K106">
    <cfRule type="expression" dxfId="417" priority="33">
      <formula>kvartal &lt; 4</formula>
    </cfRule>
  </conditionalFormatting>
  <conditionalFormatting sqref="J115:K115">
    <cfRule type="expression" dxfId="416" priority="32">
      <formula>kvartal &lt; 4</formula>
    </cfRule>
  </conditionalFormatting>
  <conditionalFormatting sqref="J123:K123">
    <cfRule type="expression" dxfId="415" priority="31">
      <formula>kvartal &lt; 4</formula>
    </cfRule>
  </conditionalFormatting>
  <conditionalFormatting sqref="A23:A26">
    <cfRule type="expression" dxfId="414" priority="15">
      <formula>kvartal &lt; 4</formula>
    </cfRule>
  </conditionalFormatting>
  <conditionalFormatting sqref="A30:A33">
    <cfRule type="expression" dxfId="413" priority="13">
      <formula>kvartal &lt; 4</formula>
    </cfRule>
  </conditionalFormatting>
  <conditionalFormatting sqref="A50:A52">
    <cfRule type="expression" dxfId="412" priority="12">
      <formula>kvartal &lt; 4</formula>
    </cfRule>
  </conditionalFormatting>
  <conditionalFormatting sqref="A69:A74">
    <cfRule type="expression" dxfId="411" priority="10">
      <formula>kvartal &lt; 4</formula>
    </cfRule>
  </conditionalFormatting>
  <conditionalFormatting sqref="A80:A85">
    <cfRule type="expression" dxfId="410" priority="9">
      <formula>kvartal &lt; 4</formula>
    </cfRule>
  </conditionalFormatting>
  <conditionalFormatting sqref="A90:A95">
    <cfRule type="expression" dxfId="409" priority="6">
      <formula>kvartal &lt; 4</formula>
    </cfRule>
  </conditionalFormatting>
  <conditionalFormatting sqref="A101:A106">
    <cfRule type="expression" dxfId="408" priority="5">
      <formula>kvartal &lt; 4</formula>
    </cfRule>
  </conditionalFormatting>
  <conditionalFormatting sqref="A115">
    <cfRule type="expression" dxfId="407" priority="4">
      <formula>kvartal &lt; 4</formula>
    </cfRule>
  </conditionalFormatting>
  <conditionalFormatting sqref="A123">
    <cfRule type="expression" dxfId="406" priority="3">
      <formula>kvartal &lt; 4</formula>
    </cfRule>
  </conditionalFormatting>
  <conditionalFormatting sqref="A27">
    <cfRule type="expression" dxfId="405" priority="2">
      <formula>kvartal &lt; 4</formula>
    </cfRule>
  </conditionalFormatting>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9"/>
  <dimension ref="A1:O144"/>
  <sheetViews>
    <sheetView showGridLines="0" zoomScale="90" zoomScaleNormal="90" workbookViewId="0"/>
  </sheetViews>
  <sheetFormatPr baseColWidth="10" defaultColWidth="11.42578125" defaultRowHeight="12.75" x14ac:dyDescent="0.2"/>
  <cols>
    <col min="1" max="1" width="41.5703125" style="147" customWidth="1"/>
    <col min="2" max="2" width="10.85546875" style="147" customWidth="1"/>
    <col min="3" max="3" width="11" style="147" customWidth="1"/>
    <col min="4" max="5" width="8.7109375" style="147" customWidth="1"/>
    <col min="6" max="7" width="10.85546875" style="147" customWidth="1"/>
    <col min="8" max="9" width="8.7109375" style="147" customWidth="1"/>
    <col min="10" max="11" width="10.85546875" style="147" customWidth="1"/>
    <col min="12" max="13" width="8.7109375" style="147" customWidth="1"/>
    <col min="14" max="14" width="11.42578125" style="147"/>
    <col min="15" max="15" width="3" style="146" bestFit="1" customWidth="1"/>
    <col min="16" max="16384" width="11.42578125" style="1"/>
  </cols>
  <sheetData>
    <row r="1" spans="1:15" x14ac:dyDescent="0.2">
      <c r="A1" s="170" t="s">
        <v>152</v>
      </c>
      <c r="B1" s="932"/>
      <c r="C1" s="247" t="s">
        <v>149</v>
      </c>
      <c r="D1" s="25"/>
      <c r="E1" s="25"/>
      <c r="F1" s="25"/>
      <c r="G1" s="25"/>
      <c r="H1" s="25"/>
      <c r="I1" s="25"/>
      <c r="J1" s="25"/>
      <c r="K1" s="25"/>
      <c r="L1" s="25"/>
      <c r="M1" s="25"/>
      <c r="O1" s="423"/>
    </row>
    <row r="2" spans="1:15" ht="15.75" x14ac:dyDescent="0.25">
      <c r="A2" s="163" t="s">
        <v>31</v>
      </c>
      <c r="B2" s="965"/>
      <c r="C2" s="965"/>
      <c r="D2" s="965"/>
      <c r="E2" s="297"/>
      <c r="F2" s="965"/>
      <c r="G2" s="965"/>
      <c r="H2" s="965"/>
      <c r="I2" s="297"/>
      <c r="J2" s="965"/>
      <c r="K2" s="965"/>
      <c r="L2" s="965"/>
      <c r="M2" s="297"/>
    </row>
    <row r="3" spans="1:15" ht="15.75" x14ac:dyDescent="0.25">
      <c r="A3" s="161"/>
      <c r="B3" s="297"/>
      <c r="C3" s="297"/>
      <c r="D3" s="297"/>
      <c r="E3" s="297"/>
      <c r="F3" s="297"/>
      <c r="G3" s="297"/>
      <c r="H3" s="297"/>
      <c r="I3" s="297"/>
      <c r="J3" s="297"/>
      <c r="K3" s="297"/>
      <c r="L3" s="297"/>
      <c r="M3" s="297"/>
    </row>
    <row r="4" spans="1:15" x14ac:dyDescent="0.2">
      <c r="A4" s="142"/>
      <c r="B4" s="960" t="s">
        <v>0</v>
      </c>
      <c r="C4" s="961"/>
      <c r="D4" s="961"/>
      <c r="E4" s="299"/>
      <c r="F4" s="960" t="s">
        <v>1</v>
      </c>
      <c r="G4" s="961"/>
      <c r="H4" s="961"/>
      <c r="I4" s="302"/>
      <c r="J4" s="960" t="s">
        <v>2</v>
      </c>
      <c r="K4" s="961"/>
      <c r="L4" s="961"/>
      <c r="M4" s="302"/>
    </row>
    <row r="5" spans="1:15" x14ac:dyDescent="0.2">
      <c r="A5" s="156"/>
      <c r="B5" s="150" t="s">
        <v>504</v>
      </c>
      <c r="C5" s="150" t="s">
        <v>505</v>
      </c>
      <c r="D5" s="243" t="s">
        <v>3</v>
      </c>
      <c r="E5" s="303" t="s">
        <v>32</v>
      </c>
      <c r="F5" s="150" t="s">
        <v>504</v>
      </c>
      <c r="G5" s="150" t="s">
        <v>505</v>
      </c>
      <c r="H5" s="243" t="s">
        <v>3</v>
      </c>
      <c r="I5" s="160" t="s">
        <v>32</v>
      </c>
      <c r="J5" s="150" t="s">
        <v>504</v>
      </c>
      <c r="K5" s="150" t="s">
        <v>505</v>
      </c>
      <c r="L5" s="243" t="s">
        <v>3</v>
      </c>
      <c r="M5" s="160" t="s">
        <v>32</v>
      </c>
      <c r="O5" s="931"/>
    </row>
    <row r="6" spans="1:15" x14ac:dyDescent="0.2">
      <c r="A6" s="933"/>
      <c r="B6" s="154"/>
      <c r="C6" s="154"/>
      <c r="D6" s="245" t="s">
        <v>4</v>
      </c>
      <c r="E6" s="154" t="s">
        <v>33</v>
      </c>
      <c r="F6" s="159"/>
      <c r="G6" s="159"/>
      <c r="H6" s="243" t="s">
        <v>4</v>
      </c>
      <c r="I6" s="154" t="s">
        <v>33</v>
      </c>
      <c r="J6" s="159"/>
      <c r="K6" s="159"/>
      <c r="L6" s="243" t="s">
        <v>4</v>
      </c>
      <c r="M6" s="154" t="s">
        <v>33</v>
      </c>
    </row>
    <row r="7" spans="1:15" ht="15.75" x14ac:dyDescent="0.2">
      <c r="A7" s="14" t="s">
        <v>26</v>
      </c>
      <c r="B7" s="304">
        <v>753307.93420000002</v>
      </c>
      <c r="C7" s="305">
        <v>793906.04205000005</v>
      </c>
      <c r="D7" s="348">
        <f>IF(B7=0, "    ---- ", IF(ABS(ROUND(100/B7*C7-100,1))&lt;999,ROUND(100/B7*C7-100,1),IF(ROUND(100/B7*C7-100,1)&gt;999,999,-999)))</f>
        <v>5.4</v>
      </c>
      <c r="E7" s="11">
        <f>IFERROR(100/'Skjema total MA'!C7*C7,0)</f>
        <v>17.022834899992944</v>
      </c>
      <c r="F7" s="304">
        <v>176035.25145000001</v>
      </c>
      <c r="G7" s="305">
        <v>306073.60031000001</v>
      </c>
      <c r="H7" s="348">
        <f>IF(F7=0, "    ---- ", IF(ABS(ROUND(100/F7*G7-100,1))&lt;999,ROUND(100/F7*G7-100,1),IF(ROUND(100/F7*G7-100,1)&gt;999,999,-999)))</f>
        <v>73.900000000000006</v>
      </c>
      <c r="I7" s="158">
        <f>IFERROR(100/'Skjema total MA'!F7*G7,0)</f>
        <v>3.4751086106187588</v>
      </c>
      <c r="J7" s="306">
        <v>929343.18565</v>
      </c>
      <c r="K7" s="307">
        <v>1099979.6423599999</v>
      </c>
      <c r="L7" s="424">
        <f>IF(J7=0, "    ---- ", IF(ABS(ROUND(100/J7*K7-100,1))&lt;999,ROUND(100/J7*K7-100,1),IF(ROUND(100/J7*K7-100,1)&gt;999,999,-999)))</f>
        <v>18.399999999999999</v>
      </c>
      <c r="M7" s="11">
        <f>IFERROR(100/'Skjema total MA'!I7*K7,0)</f>
        <v>8.1653143876249619</v>
      </c>
    </row>
    <row r="8" spans="1:15" ht="15.75" x14ac:dyDescent="0.2">
      <c r="A8" s="20" t="s">
        <v>28</v>
      </c>
      <c r="B8" s="279">
        <v>660825</v>
      </c>
      <c r="C8" s="280">
        <v>703683.14460859401</v>
      </c>
      <c r="D8" s="164">
        <f>IF(AND(_xlfn.NUMBERVALUE(B8)=0,_xlfn.NUMBERVALUE(C8)=0),,IF(B8=0, "    ---- ", IF(ABS(ROUND(100/B8*C8-100,1))&lt;999,IF(ROUND(100/B8*C8-100,1)=0,"    ---- ",ROUND(100/B8*C8-100,1)),IF(ROUND(100/B8*C8-100,1)&gt;999,999,-999))))</f>
        <v>6.5</v>
      </c>
      <c r="E8" s="26">
        <f>IFERROR(100/'Skjema total MA'!C8*C8,0)</f>
        <v>28.273517070352266</v>
      </c>
      <c r="F8" s="283"/>
      <c r="G8" s="284"/>
      <c r="H8" s="164"/>
      <c r="I8" s="174"/>
      <c r="J8" s="232">
        <v>660825</v>
      </c>
      <c r="K8" s="285">
        <v>703683.14460859401</v>
      </c>
      <c r="L8" s="164">
        <f>IF(AND(_xlfn.NUMBERVALUE(J8)=0,_xlfn.NUMBERVALUE(K8)=0),,IF(J8=0, "    ---- ", IF(ABS(ROUND(100/J8*K8-100,1))&lt;999,IF(ROUND(100/J8*K8-100,1)=0,"    ---- ",ROUND(100/J8*K8-100,1)),IF(ROUND(100/J8*K8-100,1)&gt;999,999,-999))))</f>
        <v>6.5</v>
      </c>
      <c r="M8" s="26">
        <f>IFERROR(100/'Skjema total MA'!I8*K8,0)</f>
        <v>28.273517070352266</v>
      </c>
    </row>
    <row r="9" spans="1:15" ht="15.75" x14ac:dyDescent="0.2">
      <c r="A9" s="20" t="s">
        <v>27</v>
      </c>
      <c r="B9" s="279">
        <v>89790</v>
      </c>
      <c r="C9" s="280">
        <v>88680.083940191107</v>
      </c>
      <c r="D9" s="164">
        <f t="shared" ref="D9:D10" si="0">IF(B9=0, "    ---- ", IF(ABS(ROUND(100/B9*C9-100,1))&lt;999,ROUND(100/B9*C9-100,1),IF(ROUND(100/B9*C9-100,1)&gt;999,999,-999)))</f>
        <v>-1.2</v>
      </c>
      <c r="E9" s="26">
        <f>IFERROR(100/'Skjema total MA'!C9*C9,0)</f>
        <v>8.1957756184369135</v>
      </c>
      <c r="F9" s="283"/>
      <c r="G9" s="284"/>
      <c r="H9" s="164"/>
      <c r="I9" s="174"/>
      <c r="J9" s="232">
        <v>89790</v>
      </c>
      <c r="K9" s="285">
        <v>88680.083940191107</v>
      </c>
      <c r="L9" s="164">
        <f>IF(AND(_xlfn.NUMBERVALUE(J9)=0,_xlfn.NUMBERVALUE(K9)=0),,IF(J9=0, "    ---- ", IF(ABS(ROUND(100/J9*K9-100,1))&lt;999,IF(ROUND(100/J9*K9-100,1)=0,"    ---- ",ROUND(100/J9*K9-100,1)),IF(ROUND(100/J9*K9-100,1)&gt;999,999,-999))))</f>
        <v>-1.2</v>
      </c>
      <c r="M9" s="26">
        <f>IFERROR(100/'Skjema total MA'!I9*K9,0)</f>
        <v>8.1957756184369135</v>
      </c>
    </row>
    <row r="10" spans="1:15" ht="15.75" x14ac:dyDescent="0.2">
      <c r="A10" s="13" t="s">
        <v>25</v>
      </c>
      <c r="B10" s="308">
        <v>949559.68717000005</v>
      </c>
      <c r="C10" s="309">
        <v>905992.34363000002</v>
      </c>
      <c r="D10" s="169">
        <f t="shared" si="0"/>
        <v>-4.5999999999999996</v>
      </c>
      <c r="E10" s="11">
        <f>IFERROR(100/'Skjema total MA'!C10*C10,0)</f>
        <v>3.7689850090704367</v>
      </c>
      <c r="F10" s="308">
        <v>1785300.22966</v>
      </c>
      <c r="G10" s="309">
        <v>2175658.4874200001</v>
      </c>
      <c r="H10" s="169">
        <f t="shared" ref="H10:H12" si="1">IF(F10=0, "    ---- ", IF(ABS(ROUND(100/F10*G10-100,1))&lt;999,ROUND(100/F10*G10-100,1),IF(ROUND(100/F10*G10-100,1)&gt;999,999,-999)))</f>
        <v>21.9</v>
      </c>
      <c r="I10" s="158">
        <f>IFERROR(100/'Skjema total MA'!F10*G10,0)</f>
        <v>5.1458061045754153</v>
      </c>
      <c r="J10" s="306">
        <v>2734859.91683</v>
      </c>
      <c r="K10" s="307">
        <v>3081650.8310500002</v>
      </c>
      <c r="L10" s="425">
        <f t="shared" ref="L10:L12" si="2">IF(J10=0, "    ---- ", IF(ABS(ROUND(100/J10*K10-100,1))&lt;999,ROUND(100/J10*K10-100,1),IF(ROUND(100/J10*K10-100,1)&gt;999,999,-999)))</f>
        <v>12.7</v>
      </c>
      <c r="M10" s="11">
        <f>IFERROR(100/'Skjema total MA'!I10*K10,0)</f>
        <v>4.6467560856736156</v>
      </c>
    </row>
    <row r="11" spans="1:15" s="42" customFormat="1" ht="15.75" x14ac:dyDescent="0.2">
      <c r="A11" s="13" t="s">
        <v>24</v>
      </c>
      <c r="B11" s="308"/>
      <c r="C11" s="309"/>
      <c r="D11" s="169"/>
      <c r="E11" s="11"/>
      <c r="F11" s="308">
        <v>14303.83699</v>
      </c>
      <c r="G11" s="309">
        <v>19723.542219999999</v>
      </c>
      <c r="H11" s="169">
        <f t="shared" si="1"/>
        <v>37.9</v>
      </c>
      <c r="I11" s="158">
        <f>IFERROR(100/'Skjema total MA'!F11*G11,0)</f>
        <v>7.4664309894224026</v>
      </c>
      <c r="J11" s="306">
        <v>14303.83699</v>
      </c>
      <c r="K11" s="307">
        <v>19723.542219999999</v>
      </c>
      <c r="L11" s="425">
        <f t="shared" si="2"/>
        <v>37.9</v>
      </c>
      <c r="M11" s="11">
        <f>IFERROR(100/'Skjema total MA'!I11*K11,0)</f>
        <v>5.4835000610021005</v>
      </c>
      <c r="N11" s="141"/>
      <c r="O11" s="146"/>
    </row>
    <row r="12" spans="1:15" s="42" customFormat="1" ht="15.75" x14ac:dyDescent="0.2">
      <c r="A12" s="40" t="s">
        <v>23</v>
      </c>
      <c r="B12" s="310"/>
      <c r="C12" s="311"/>
      <c r="D12" s="167"/>
      <c r="E12" s="35"/>
      <c r="F12" s="310">
        <v>2930.5334600000001</v>
      </c>
      <c r="G12" s="311">
        <v>6366.5067099999997</v>
      </c>
      <c r="H12" s="167">
        <f t="shared" si="1"/>
        <v>117.2</v>
      </c>
      <c r="I12" s="167">
        <f>IFERROR(100/'Skjema total MA'!F12*G12,0)</f>
        <v>3.5480081729064841</v>
      </c>
      <c r="J12" s="312">
        <v>2930.5334600000001</v>
      </c>
      <c r="K12" s="313">
        <v>6366.5067099999997</v>
      </c>
      <c r="L12" s="426">
        <f t="shared" si="2"/>
        <v>117.2</v>
      </c>
      <c r="M12" s="35">
        <f>IFERROR(100/'Skjema total MA'!I12*K12,0)</f>
        <v>3.0562083565800844</v>
      </c>
      <c r="N12" s="141"/>
      <c r="O12" s="146"/>
    </row>
    <row r="13" spans="1:15" s="42" customFormat="1" x14ac:dyDescent="0.2">
      <c r="A13" s="166"/>
      <c r="B13" s="143"/>
      <c r="C13" s="32"/>
      <c r="D13" s="157"/>
      <c r="E13" s="157"/>
      <c r="F13" s="143"/>
      <c r="G13" s="32"/>
      <c r="H13" s="157"/>
      <c r="I13" s="157"/>
      <c r="J13" s="47"/>
      <c r="K13" s="47"/>
      <c r="L13" s="157"/>
      <c r="M13" s="157"/>
      <c r="N13" s="141"/>
      <c r="O13" s="423"/>
    </row>
    <row r="14" spans="1:15" x14ac:dyDescent="0.2">
      <c r="A14" s="151" t="s">
        <v>296</v>
      </c>
      <c r="B14" s="25"/>
    </row>
    <row r="15" spans="1:15" x14ac:dyDescent="0.2">
      <c r="F15" s="144"/>
      <c r="G15" s="144"/>
      <c r="H15" s="144"/>
      <c r="I15" s="144"/>
      <c r="J15" s="144"/>
      <c r="K15" s="144"/>
      <c r="L15" s="144"/>
      <c r="M15" s="144"/>
    </row>
    <row r="16" spans="1:15" s="3" customFormat="1" ht="15.75" x14ac:dyDescent="0.25">
      <c r="A16" s="162"/>
      <c r="B16" s="146"/>
      <c r="C16" s="152"/>
      <c r="D16" s="152"/>
      <c r="E16" s="152"/>
      <c r="F16" s="152"/>
      <c r="G16" s="152"/>
      <c r="H16" s="152"/>
      <c r="I16" s="152"/>
      <c r="J16" s="152"/>
      <c r="K16" s="152"/>
      <c r="L16" s="152"/>
      <c r="M16" s="152"/>
      <c r="N16" s="146"/>
      <c r="O16" s="146"/>
    </row>
    <row r="17" spans="1:15" ht="15.75" x14ac:dyDescent="0.25">
      <c r="A17" s="145" t="s">
        <v>293</v>
      </c>
      <c r="B17" s="155"/>
      <c r="C17" s="155"/>
      <c r="D17" s="149"/>
      <c r="E17" s="149"/>
      <c r="F17" s="155"/>
      <c r="G17" s="155"/>
      <c r="H17" s="155"/>
      <c r="I17" s="155"/>
      <c r="J17" s="155"/>
      <c r="K17" s="155"/>
      <c r="L17" s="155"/>
      <c r="M17" s="155"/>
    </row>
    <row r="18" spans="1:15" ht="15.75" x14ac:dyDescent="0.25">
      <c r="B18" s="963"/>
      <c r="C18" s="963"/>
      <c r="D18" s="963"/>
      <c r="E18" s="297"/>
      <c r="F18" s="963"/>
      <c r="G18" s="963"/>
      <c r="H18" s="963"/>
      <c r="I18" s="297"/>
      <c r="J18" s="963"/>
      <c r="K18" s="963"/>
      <c r="L18" s="963"/>
      <c r="M18" s="297"/>
    </row>
    <row r="19" spans="1:15" x14ac:dyDescent="0.2">
      <c r="A19" s="142"/>
      <c r="B19" s="960" t="s">
        <v>0</v>
      </c>
      <c r="C19" s="961"/>
      <c r="D19" s="961"/>
      <c r="E19" s="299"/>
      <c r="F19" s="960" t="s">
        <v>1</v>
      </c>
      <c r="G19" s="961"/>
      <c r="H19" s="961"/>
      <c r="I19" s="302"/>
      <c r="J19" s="960" t="s">
        <v>2</v>
      </c>
      <c r="K19" s="961"/>
      <c r="L19" s="961"/>
      <c r="M19" s="302"/>
    </row>
    <row r="20" spans="1:15" x14ac:dyDescent="0.2">
      <c r="A20" s="139" t="s">
        <v>5</v>
      </c>
      <c r="B20" s="240" t="s">
        <v>504</v>
      </c>
      <c r="C20" s="240" t="s">
        <v>505</v>
      </c>
      <c r="D20" s="160" t="s">
        <v>3</v>
      </c>
      <c r="E20" s="303" t="s">
        <v>32</v>
      </c>
      <c r="F20" s="240" t="s">
        <v>504</v>
      </c>
      <c r="G20" s="240" t="s">
        <v>505</v>
      </c>
      <c r="H20" s="160" t="s">
        <v>3</v>
      </c>
      <c r="I20" s="160" t="s">
        <v>32</v>
      </c>
      <c r="J20" s="240" t="s">
        <v>504</v>
      </c>
      <c r="K20" s="240" t="s">
        <v>505</v>
      </c>
      <c r="L20" s="160" t="s">
        <v>3</v>
      </c>
      <c r="M20" s="160" t="s">
        <v>32</v>
      </c>
    </row>
    <row r="21" spans="1:15" x14ac:dyDescent="0.2">
      <c r="A21" s="934"/>
      <c r="B21" s="154"/>
      <c r="C21" s="154"/>
      <c r="D21" s="245" t="s">
        <v>4</v>
      </c>
      <c r="E21" s="154" t="s">
        <v>33</v>
      </c>
      <c r="F21" s="159"/>
      <c r="G21" s="159"/>
      <c r="H21" s="243" t="s">
        <v>4</v>
      </c>
      <c r="I21" s="154" t="s">
        <v>33</v>
      </c>
      <c r="J21" s="159"/>
      <c r="K21" s="159"/>
      <c r="L21" s="154" t="s">
        <v>4</v>
      </c>
      <c r="M21" s="154" t="s">
        <v>33</v>
      </c>
    </row>
    <row r="22" spans="1:15" ht="15.75" x14ac:dyDescent="0.2">
      <c r="A22" s="14" t="s">
        <v>26</v>
      </c>
      <c r="B22" s="314">
        <f>B23+B24+B25+B26</f>
        <v>449856.7094400003</v>
      </c>
      <c r="C22" s="314">
        <f>C23+C24+C25+C26</f>
        <v>512909.15760999999</v>
      </c>
      <c r="D22" s="348">
        <f t="shared" ref="D22:D35" si="3">IF(B22=0, "    ---- ", IF(ABS(ROUND(100/B22*C22-100,1))&lt;999,ROUND(100/B22*C22-100,1),IF(ROUND(100/B22*C22-100,1)&gt;999,999,-999)))</f>
        <v>14</v>
      </c>
      <c r="E22" s="11">
        <f>IFERROR(100/'Skjema total MA'!C22*C22,0)</f>
        <v>31.439938547167468</v>
      </c>
      <c r="F22" s="314">
        <f>F23+F24+F25+F26</f>
        <v>23887.031749999998</v>
      </c>
      <c r="G22" s="314">
        <f>G23+G24+G25+G26</f>
        <v>193504.56977</v>
      </c>
      <c r="H22" s="348">
        <f t="shared" ref="H22:H35" si="4">IF(F22=0, "    ---- ", IF(ABS(ROUND(100/F22*G22-100,1))&lt;999,ROUND(100/F22*G22-100,1),IF(ROUND(100/F22*G22-100,1)&gt;999,999,-999)))</f>
        <v>710.1</v>
      </c>
      <c r="I22" s="11">
        <f>IFERROR(100/'Skjema total MA'!F22*G22,0)</f>
        <v>16.676530836838289</v>
      </c>
      <c r="J22" s="314">
        <f t="shared" ref="J22:K35" si="5">SUM(B22,F22)</f>
        <v>473743.74119000032</v>
      </c>
      <c r="K22" s="314">
        <f t="shared" si="5"/>
        <v>706413.72738000005</v>
      </c>
      <c r="L22" s="424">
        <f t="shared" ref="L22:L35" si="6">IF(J22=0, "    ---- ", IF(ABS(ROUND(100/J22*K22-100,1))&lt;999,ROUND(100/J22*K22-100,1),IF(ROUND(100/J22*K22-100,1)&gt;999,999,-999)))</f>
        <v>49.1</v>
      </c>
      <c r="M22" s="23">
        <f>IFERROR(100/'Skjema total MA'!I22*K22,0)</f>
        <v>25.303759203583979</v>
      </c>
    </row>
    <row r="23" spans="1:15" ht="15.75" x14ac:dyDescent="0.2">
      <c r="A23" s="294" t="s">
        <v>305</v>
      </c>
      <c r="B23" s="288">
        <v>446303.41551194899</v>
      </c>
      <c r="C23" s="288">
        <v>508857.82980464998</v>
      </c>
      <c r="D23" s="164">
        <f t="shared" ref="D23:D24" si="7">IF(B23=0, "    ---- ", IF(ABS(ROUND(100/B23*C23-100,1))&lt;999,ROUND(100/B23*C23-100,1),IF(ROUND(100/B23*C23-100,1)&gt;999,999,-999)))</f>
        <v>14</v>
      </c>
      <c r="E23" s="26">
        <f>IFERROR(100/'Skjema total MA'!C23*C23,0)</f>
        <v>32.580572325567097</v>
      </c>
      <c r="F23" s="288">
        <v>9861.8462199999994</v>
      </c>
      <c r="G23" s="288">
        <v>8272.7927400000008</v>
      </c>
      <c r="H23" s="164">
        <f t="shared" si="4"/>
        <v>-16.100000000000001</v>
      </c>
      <c r="I23" s="414">
        <f>IFERROR(100/'Skjema total MA'!F23*G23,0)</f>
        <v>5.3852890508344764</v>
      </c>
      <c r="J23" s="43">
        <f t="shared" ref="J23:J26" si="8">SUM(B23,F23)</f>
        <v>456165.26173194899</v>
      </c>
      <c r="K23" s="43">
        <f t="shared" ref="K23:K26" si="9">SUM(C23,G23)</f>
        <v>517130.62254464999</v>
      </c>
      <c r="L23" s="164">
        <f t="shared" si="6"/>
        <v>13.4</v>
      </c>
      <c r="M23" s="22">
        <f>IFERROR(100/'Skjema total MA'!I23*K23,0)</f>
        <v>30.145255726899148</v>
      </c>
    </row>
    <row r="24" spans="1:15" ht="15.75" x14ac:dyDescent="0.2">
      <c r="A24" s="294" t="s">
        <v>306</v>
      </c>
      <c r="B24" s="288">
        <v>3553.2939280513101</v>
      </c>
      <c r="C24" s="288">
        <v>4051.3278053499898</v>
      </c>
      <c r="D24" s="164">
        <f t="shared" si="7"/>
        <v>14</v>
      </c>
      <c r="E24" s="26">
        <f>IFERROR(100/'Skjema total MA'!C24*C24,0)</f>
        <v>22.962591179341555</v>
      </c>
      <c r="F24" s="288">
        <v>88.894980000000004</v>
      </c>
      <c r="G24" s="288">
        <v>-66.316280000000106</v>
      </c>
      <c r="H24" s="164">
        <f t="shared" si="4"/>
        <v>-174.6</v>
      </c>
      <c r="I24" s="414">
        <f>IFERROR(100/'Skjema total MA'!F24*G24,0)</f>
        <v>-8.1361002517020378</v>
      </c>
      <c r="J24" s="43">
        <f t="shared" si="8"/>
        <v>3642.1889080513101</v>
      </c>
      <c r="K24" s="43">
        <f t="shared" si="9"/>
        <v>3985.0115253499898</v>
      </c>
      <c r="L24" s="164">
        <f t="shared" si="6"/>
        <v>9.4</v>
      </c>
      <c r="M24" s="22">
        <f>IFERROR(100/'Skjema total MA'!I24*K24,0)</f>
        <v>21.58932280474512</v>
      </c>
    </row>
    <row r="25" spans="1:15" ht="15.75" x14ac:dyDescent="0.2">
      <c r="A25" s="294" t="s">
        <v>406</v>
      </c>
      <c r="B25" s="288"/>
      <c r="C25" s="288"/>
      <c r="D25" s="164"/>
      <c r="E25" s="414"/>
      <c r="F25" s="288">
        <v>13936.29055</v>
      </c>
      <c r="G25" s="288">
        <v>22583.94383</v>
      </c>
      <c r="H25" s="164">
        <f t="shared" si="4"/>
        <v>62.1</v>
      </c>
      <c r="I25" s="414">
        <f>IFERROR(100/'Skjema total MA'!F25*G25,0)</f>
        <v>11.134999901711589</v>
      </c>
      <c r="J25" s="43">
        <f t="shared" si="8"/>
        <v>13936.29055</v>
      </c>
      <c r="K25" s="43">
        <f t="shared" si="9"/>
        <v>22583.94383</v>
      </c>
      <c r="L25" s="164">
        <f t="shared" si="6"/>
        <v>62.1</v>
      </c>
      <c r="M25" s="22">
        <f>IFERROR(100/'Skjema total MA'!I25*K25,0)</f>
        <v>9.7199230527177889</v>
      </c>
    </row>
    <row r="26" spans="1:15" ht="15.75" x14ac:dyDescent="0.2">
      <c r="A26" s="294" t="s">
        <v>307</v>
      </c>
      <c r="B26" s="288"/>
      <c r="C26" s="288"/>
      <c r="D26" s="164"/>
      <c r="E26" s="414"/>
      <c r="F26" s="288">
        <v>0</v>
      </c>
      <c r="G26" s="288">
        <v>162714.14947999999</v>
      </c>
      <c r="H26" s="164" t="str">
        <f t="shared" si="4"/>
        <v xml:space="preserve">    ---- </v>
      </c>
      <c r="I26" s="414">
        <f>IFERROR(100/'Skjema total MA'!F26*G26,0)</f>
        <v>20.261066310113304</v>
      </c>
      <c r="J26" s="43">
        <f t="shared" si="8"/>
        <v>0</v>
      </c>
      <c r="K26" s="43">
        <f t="shared" si="9"/>
        <v>162714.14947999999</v>
      </c>
      <c r="L26" s="164" t="str">
        <f t="shared" si="6"/>
        <v xml:space="preserve">    ---- </v>
      </c>
      <c r="M26" s="22">
        <f>IFERROR(100/'Skjema total MA'!I26*K26,0)</f>
        <v>20.261066310113304</v>
      </c>
    </row>
    <row r="27" spans="1:15" x14ac:dyDescent="0.2">
      <c r="A27" s="294" t="s">
        <v>11</v>
      </c>
      <c r="B27" s="288"/>
      <c r="C27" s="288"/>
      <c r="D27" s="164"/>
      <c r="E27" s="414"/>
      <c r="F27" s="288"/>
      <c r="G27" s="288"/>
      <c r="H27" s="164"/>
      <c r="I27" s="414"/>
      <c r="J27" s="288"/>
      <c r="K27" s="288"/>
      <c r="L27" s="164"/>
      <c r="M27" s="22"/>
    </row>
    <row r="28" spans="1:15" ht="15.75" x14ac:dyDescent="0.2">
      <c r="A28" s="48" t="s">
        <v>297</v>
      </c>
      <c r="B28" s="43">
        <v>443762</v>
      </c>
      <c r="C28" s="285">
        <v>495076.79333238199</v>
      </c>
      <c r="D28" s="164">
        <f t="shared" si="3"/>
        <v>11.6</v>
      </c>
      <c r="E28" s="26">
        <f>IFERROR(100/'Skjema total MA'!C28*C28,0)</f>
        <v>30.641178328034918</v>
      </c>
      <c r="F28" s="232"/>
      <c r="G28" s="285"/>
      <c r="H28" s="164"/>
      <c r="I28" s="26"/>
      <c r="J28" s="43">
        <f t="shared" si="5"/>
        <v>443762</v>
      </c>
      <c r="K28" s="43">
        <f t="shared" si="5"/>
        <v>495076.79333238199</v>
      </c>
      <c r="L28" s="253">
        <f t="shared" si="6"/>
        <v>11.6</v>
      </c>
      <c r="M28" s="22">
        <f>IFERROR(100/'Skjema total MA'!I28*K28,0)</f>
        <v>30.641178328034918</v>
      </c>
    </row>
    <row r="29" spans="1:15" s="3" customFormat="1" ht="15.75" x14ac:dyDescent="0.2">
      <c r="A29" s="13" t="s">
        <v>25</v>
      </c>
      <c r="B29" s="234">
        <f>B30+B31+B32+B33</f>
        <v>4942505.7916199993</v>
      </c>
      <c r="C29" s="234">
        <f>C30+C31+C32+C33</f>
        <v>5100991.5672399998</v>
      </c>
      <c r="D29" s="169">
        <f t="shared" si="3"/>
        <v>3.2</v>
      </c>
      <c r="E29" s="11">
        <f>IFERROR(100/'Skjema total MA'!C29*C29,0)</f>
        <v>10.316591317901498</v>
      </c>
      <c r="F29" s="234">
        <f>F30+F31+F32+F33</f>
        <v>1919743.1913700001</v>
      </c>
      <c r="G29" s="234">
        <f>G30+G31+G32+G33</f>
        <v>2200889.4665700002</v>
      </c>
      <c r="H29" s="169">
        <f t="shared" si="4"/>
        <v>14.6</v>
      </c>
      <c r="I29" s="11">
        <f>IFERROR(100/'Skjema total MA'!F29*G29,0)</f>
        <v>10.626829017273097</v>
      </c>
      <c r="J29" s="234">
        <f t="shared" si="5"/>
        <v>6862248.9829899995</v>
      </c>
      <c r="K29" s="234">
        <f t="shared" si="5"/>
        <v>7301881.0338099999</v>
      </c>
      <c r="L29" s="425">
        <f t="shared" si="6"/>
        <v>6.4</v>
      </c>
      <c r="M29" s="23">
        <f>IFERROR(100/'Skjema total MA'!I29*K29,0)</f>
        <v>10.408177306816521</v>
      </c>
      <c r="N29" s="146"/>
      <c r="O29" s="146"/>
    </row>
    <row r="30" spans="1:15" s="3" customFormat="1" ht="15.75" x14ac:dyDescent="0.2">
      <c r="A30" s="294" t="s">
        <v>305</v>
      </c>
      <c r="B30" s="288">
        <v>2835476.17274252</v>
      </c>
      <c r="C30" s="288">
        <v>2926398.1988231</v>
      </c>
      <c r="D30" s="164">
        <f t="shared" ref="D30:D31" si="10">IF(B30=0, "    ---- ", IF(ABS(ROUND(100/B30*C30-100,1))&lt;999,ROUND(100/B30*C30-100,1),IF(ROUND(100/B30*C30-100,1)&gt;999,999,-999)))</f>
        <v>3.2</v>
      </c>
      <c r="E30" s="26">
        <f>IFERROR(100/'Skjema total MA'!C30*C30,0)</f>
        <v>22.752558342176307</v>
      </c>
      <c r="F30" s="288">
        <v>636912.16023000004</v>
      </c>
      <c r="G30" s="288">
        <v>668260.60470000003</v>
      </c>
      <c r="H30" s="164">
        <f t="shared" si="4"/>
        <v>4.9000000000000004</v>
      </c>
      <c r="I30" s="414">
        <f>IFERROR(100/'Skjema total MA'!F30*G30,0)</f>
        <v>14.851086215700059</v>
      </c>
      <c r="J30" s="43">
        <f t="shared" si="5"/>
        <v>3472388.33297252</v>
      </c>
      <c r="K30" s="43">
        <f t="shared" si="5"/>
        <v>3594658.8035231</v>
      </c>
      <c r="L30" s="164">
        <f t="shared" si="6"/>
        <v>3.5</v>
      </c>
      <c r="M30" s="22">
        <f>IFERROR(100/'Skjema total MA'!I30*K30,0)</f>
        <v>20.704669926453548</v>
      </c>
      <c r="N30" s="146"/>
      <c r="O30" s="146"/>
    </row>
    <row r="31" spans="1:15" s="3" customFormat="1" ht="15.75" x14ac:dyDescent="0.2">
      <c r="A31" s="294" t="s">
        <v>306</v>
      </c>
      <c r="B31" s="288">
        <v>2107029.6188774798</v>
      </c>
      <c r="C31" s="288">
        <v>2174593.3684168998</v>
      </c>
      <c r="D31" s="164">
        <f t="shared" si="10"/>
        <v>3.2</v>
      </c>
      <c r="E31" s="26">
        <f>IFERROR(100/'Skjema total MA'!C31*C31,0)</f>
        <v>6.1807650215686367</v>
      </c>
      <c r="F31" s="288">
        <v>1003287.12061</v>
      </c>
      <c r="G31" s="288">
        <v>1026145.00896</v>
      </c>
      <c r="H31" s="164">
        <f t="shared" si="4"/>
        <v>2.2999999999999998</v>
      </c>
      <c r="I31" s="414">
        <f>IFERROR(100/'Skjema total MA'!F31*G31,0)</f>
        <v>9.1158693286246955</v>
      </c>
      <c r="J31" s="43">
        <f t="shared" si="5"/>
        <v>3110316.7394874799</v>
      </c>
      <c r="K31" s="43">
        <f t="shared" si="5"/>
        <v>3200738.3773769001</v>
      </c>
      <c r="L31" s="164">
        <f t="shared" si="6"/>
        <v>2.9</v>
      </c>
      <c r="M31" s="22">
        <f>IFERROR(100/'Skjema total MA'!I31*K31,0)</f>
        <v>6.8922121770338505</v>
      </c>
      <c r="N31" s="146"/>
      <c r="O31" s="146"/>
    </row>
    <row r="32" spans="1:15" ht="15.75" x14ac:dyDescent="0.2">
      <c r="A32" s="294" t="s">
        <v>406</v>
      </c>
      <c r="B32" s="288"/>
      <c r="C32" s="288"/>
      <c r="D32" s="164"/>
      <c r="E32" s="414"/>
      <c r="F32" s="288">
        <v>279543.91052999999</v>
      </c>
      <c r="G32" s="288">
        <v>343071.19293999998</v>
      </c>
      <c r="H32" s="164">
        <f t="shared" si="4"/>
        <v>22.7</v>
      </c>
      <c r="I32" s="414">
        <f>IFERROR(100/'Skjema total MA'!F32*G32,0)</f>
        <v>8.3027638112700526</v>
      </c>
      <c r="J32" s="43">
        <f t="shared" si="5"/>
        <v>279543.91052999999</v>
      </c>
      <c r="K32" s="43">
        <f t="shared" si="5"/>
        <v>343071.19293999998</v>
      </c>
      <c r="L32" s="164">
        <f t="shared" si="6"/>
        <v>22.7</v>
      </c>
      <c r="M32" s="22">
        <f>IFERROR(100/'Skjema total MA'!I32*K32,0)</f>
        <v>6.29556669398983</v>
      </c>
    </row>
    <row r="33" spans="1:15" ht="15.75" x14ac:dyDescent="0.2">
      <c r="A33" s="294" t="s">
        <v>307</v>
      </c>
      <c r="B33" s="288"/>
      <c r="C33" s="288"/>
      <c r="D33" s="164"/>
      <c r="E33" s="414"/>
      <c r="F33" s="288">
        <v>0</v>
      </c>
      <c r="G33" s="288">
        <v>163412.65997000001</v>
      </c>
      <c r="H33" s="164" t="str">
        <f t="shared" si="4"/>
        <v xml:space="preserve">    ---- </v>
      </c>
      <c r="I33" s="414">
        <f>IFERROR(100/'Skjema total MA'!F34*G33,0)</f>
        <v>901.78030580866232</v>
      </c>
      <c r="J33" s="43">
        <f t="shared" si="5"/>
        <v>0</v>
      </c>
      <c r="K33" s="43">
        <f t="shared" si="5"/>
        <v>163412.65997000001</v>
      </c>
      <c r="L33" s="164" t="str">
        <f t="shared" si="6"/>
        <v xml:space="preserve">    ---- </v>
      </c>
      <c r="M33" s="22">
        <f>IFERROR(100/'Skjema total MA'!I34*K33,0)</f>
        <v>276.72793510375516</v>
      </c>
    </row>
    <row r="34" spans="1:15" ht="15.75" x14ac:dyDescent="0.2">
      <c r="A34" s="13" t="s">
        <v>24</v>
      </c>
      <c r="B34" s="234">
        <v>4994.96623</v>
      </c>
      <c r="C34" s="307">
        <v>0</v>
      </c>
      <c r="D34" s="169">
        <f t="shared" si="3"/>
        <v>-100</v>
      </c>
      <c r="E34" s="11">
        <f>IFERROR(100/'Skjema total MA'!C34*C34,0)</f>
        <v>0</v>
      </c>
      <c r="F34" s="306">
        <v>16001.112649999999</v>
      </c>
      <c r="G34" s="307">
        <v>11854.923640000001</v>
      </c>
      <c r="H34" s="169">
        <f t="shared" si="4"/>
        <v>-25.9</v>
      </c>
      <c r="I34" s="11">
        <f>IFERROR(100/'Skjema total MA'!F34*G34,0)</f>
        <v>65.420492313020034</v>
      </c>
      <c r="J34" s="234">
        <f t="shared" si="5"/>
        <v>20996.078880000001</v>
      </c>
      <c r="K34" s="234">
        <f t="shared" si="5"/>
        <v>11854.923640000001</v>
      </c>
      <c r="L34" s="425">
        <f t="shared" si="6"/>
        <v>-43.5</v>
      </c>
      <c r="M34" s="23">
        <f>IFERROR(100/'Skjema total MA'!I34*K34,0)</f>
        <v>20.075485830242027</v>
      </c>
    </row>
    <row r="35" spans="1:15" ht="15.75" x14ac:dyDescent="0.2">
      <c r="A35" s="13" t="s">
        <v>23</v>
      </c>
      <c r="B35" s="234">
        <v>1169.5042900000001</v>
      </c>
      <c r="C35" s="307">
        <v>471.87727000000001</v>
      </c>
      <c r="D35" s="169">
        <f t="shared" si="3"/>
        <v>-59.7</v>
      </c>
      <c r="E35" s="11">
        <f>IFERROR(100/'Skjema total MA'!C35*C35,0)</f>
        <v>-0.71891984052447799</v>
      </c>
      <c r="F35" s="306">
        <v>3270.7949899999999</v>
      </c>
      <c r="G35" s="307">
        <v>4990.3647899999996</v>
      </c>
      <c r="H35" s="169">
        <f t="shared" si="4"/>
        <v>52.6</v>
      </c>
      <c r="I35" s="11">
        <f>IFERROR(100/'Skjema total MA'!F35*G35,0)</f>
        <v>5.4300685020313821</v>
      </c>
      <c r="J35" s="234">
        <f t="shared" si="5"/>
        <v>4440.2992800000002</v>
      </c>
      <c r="K35" s="234">
        <f t="shared" si="5"/>
        <v>5462.2420599999996</v>
      </c>
      <c r="L35" s="425">
        <f t="shared" si="6"/>
        <v>23</v>
      </c>
      <c r="M35" s="23">
        <f>IFERROR(100/'Skjema total MA'!I35*K35,0)</f>
        <v>20.79630252126783</v>
      </c>
    </row>
    <row r="36" spans="1:15" ht="15.75" x14ac:dyDescent="0.2">
      <c r="A36" s="12" t="s">
        <v>308</v>
      </c>
      <c r="B36" s="234"/>
      <c r="C36" s="307"/>
      <c r="D36" s="169"/>
      <c r="E36" s="11"/>
      <c r="F36" s="317"/>
      <c r="G36" s="318"/>
      <c r="H36" s="169"/>
      <c r="I36" s="431"/>
      <c r="J36" s="234"/>
      <c r="K36" s="234"/>
      <c r="L36" s="425"/>
      <c r="M36" s="23"/>
    </row>
    <row r="37" spans="1:15" ht="15.75" x14ac:dyDescent="0.2">
      <c r="A37" s="12" t="s">
        <v>309</v>
      </c>
      <c r="B37" s="234"/>
      <c r="C37" s="307"/>
      <c r="D37" s="169"/>
      <c r="E37" s="11"/>
      <c r="F37" s="317"/>
      <c r="G37" s="319"/>
      <c r="H37" s="169"/>
      <c r="I37" s="431"/>
      <c r="J37" s="234"/>
      <c r="K37" s="234"/>
      <c r="L37" s="425"/>
      <c r="M37" s="23"/>
    </row>
    <row r="38" spans="1:15" ht="15.75" x14ac:dyDescent="0.2">
      <c r="A38" s="12" t="s">
        <v>310</v>
      </c>
      <c r="B38" s="234"/>
      <c r="C38" s="307"/>
      <c r="D38" s="169"/>
      <c r="E38" s="11"/>
      <c r="F38" s="317"/>
      <c r="G38" s="318"/>
      <c r="H38" s="169"/>
      <c r="I38" s="431"/>
      <c r="J38" s="234"/>
      <c r="K38" s="234"/>
      <c r="L38" s="425"/>
      <c r="M38" s="23"/>
    </row>
    <row r="39" spans="1:15" ht="15.75" x14ac:dyDescent="0.2">
      <c r="A39" s="18" t="s">
        <v>311</v>
      </c>
      <c r="B39" s="274"/>
      <c r="C39" s="313"/>
      <c r="D39" s="167"/>
      <c r="E39" s="11"/>
      <c r="F39" s="320"/>
      <c r="G39" s="321"/>
      <c r="H39" s="167"/>
      <c r="I39" s="35"/>
      <c r="J39" s="234"/>
      <c r="K39" s="234"/>
      <c r="L39" s="426"/>
      <c r="M39" s="35"/>
    </row>
    <row r="40" spans="1:15" ht="15.75" x14ac:dyDescent="0.25">
      <c r="A40" s="46"/>
      <c r="B40" s="252"/>
      <c r="C40" s="252"/>
      <c r="D40" s="964"/>
      <c r="E40" s="964"/>
      <c r="F40" s="964"/>
      <c r="G40" s="964"/>
      <c r="H40" s="964"/>
      <c r="I40" s="964"/>
      <c r="J40" s="964"/>
      <c r="K40" s="964"/>
      <c r="L40" s="964"/>
      <c r="M40" s="300"/>
    </row>
    <row r="41" spans="1:15" x14ac:dyDescent="0.2">
      <c r="A41" s="153"/>
    </row>
    <row r="42" spans="1:15" ht="15.75" x14ac:dyDescent="0.25">
      <c r="A42" s="145" t="s">
        <v>294</v>
      </c>
      <c r="B42" s="965"/>
      <c r="C42" s="965"/>
      <c r="D42" s="965"/>
      <c r="E42" s="297"/>
      <c r="F42" s="966"/>
      <c r="G42" s="966"/>
      <c r="H42" s="966"/>
      <c r="I42" s="300"/>
      <c r="J42" s="966"/>
      <c r="K42" s="966"/>
      <c r="L42" s="966"/>
      <c r="M42" s="300"/>
    </row>
    <row r="43" spans="1:15" ht="15.75" x14ac:dyDescent="0.25">
      <c r="A43" s="161"/>
      <c r="B43" s="301"/>
      <c r="C43" s="301"/>
      <c r="D43" s="301"/>
      <c r="E43" s="301"/>
      <c r="F43" s="300"/>
      <c r="G43" s="300"/>
      <c r="H43" s="300"/>
      <c r="I43" s="300"/>
      <c r="J43" s="300"/>
      <c r="K43" s="300"/>
      <c r="L43" s="300"/>
      <c r="M43" s="300"/>
    </row>
    <row r="44" spans="1:15" ht="15.75" x14ac:dyDescent="0.25">
      <c r="A44" s="246"/>
      <c r="B44" s="960" t="s">
        <v>0</v>
      </c>
      <c r="C44" s="961"/>
      <c r="D44" s="961"/>
      <c r="E44" s="241"/>
      <c r="F44" s="300"/>
      <c r="G44" s="300"/>
      <c r="H44" s="300"/>
      <c r="I44" s="300"/>
      <c r="J44" s="300"/>
      <c r="K44" s="300"/>
      <c r="L44" s="300"/>
      <c r="M44" s="300"/>
    </row>
    <row r="45" spans="1:15" s="3" customFormat="1" x14ac:dyDescent="0.2">
      <c r="A45" s="139"/>
      <c r="B45" s="171" t="s">
        <v>504</v>
      </c>
      <c r="C45" s="171" t="s">
        <v>505</v>
      </c>
      <c r="D45" s="160" t="s">
        <v>3</v>
      </c>
      <c r="E45" s="160" t="s">
        <v>32</v>
      </c>
      <c r="F45" s="173"/>
      <c r="G45" s="173"/>
      <c r="H45" s="172"/>
      <c r="I45" s="172"/>
      <c r="J45" s="173"/>
      <c r="K45" s="173"/>
      <c r="L45" s="172"/>
      <c r="M45" s="172"/>
      <c r="N45" s="146"/>
      <c r="O45" s="146"/>
    </row>
    <row r="46" spans="1:15" s="3" customFormat="1" x14ac:dyDescent="0.2">
      <c r="A46" s="934"/>
      <c r="B46" s="242"/>
      <c r="C46" s="242"/>
      <c r="D46" s="243" t="s">
        <v>4</v>
      </c>
      <c r="E46" s="154" t="s">
        <v>33</v>
      </c>
      <c r="F46" s="172"/>
      <c r="G46" s="172"/>
      <c r="H46" s="172"/>
      <c r="I46" s="172"/>
      <c r="J46" s="172"/>
      <c r="K46" s="172"/>
      <c r="L46" s="172"/>
      <c r="M46" s="172"/>
      <c r="N46" s="146"/>
      <c r="O46" s="146"/>
    </row>
    <row r="47" spans="1:15" s="3" customFormat="1" ht="15.75" x14ac:dyDescent="0.2">
      <c r="A47" s="14" t="s">
        <v>26</v>
      </c>
      <c r="B47" s="308">
        <f>SUM(B48:B49)</f>
        <v>751647.64006000001</v>
      </c>
      <c r="C47" s="309">
        <f>SUM(C48:C49)</f>
        <v>746467.93608000001</v>
      </c>
      <c r="D47" s="424">
        <f t="shared" ref="D47:D58" si="11">IF(B47=0, "    ---- ", IF(ABS(ROUND(100/B47*C47-100,1))&lt;999,ROUND(100/B47*C47-100,1),IF(ROUND(100/B47*C47-100,1)&gt;999,999,-999)))</f>
        <v>-0.7</v>
      </c>
      <c r="E47" s="11">
        <f>IFERROR(100/'Skjema total MA'!C47*C47,0)</f>
        <v>19.599617820275999</v>
      </c>
      <c r="F47" s="143"/>
      <c r="G47" s="32"/>
      <c r="H47" s="157"/>
      <c r="I47" s="157"/>
      <c r="J47" s="36"/>
      <c r="K47" s="36"/>
      <c r="L47" s="157"/>
      <c r="M47" s="157"/>
      <c r="N47" s="146"/>
      <c r="O47" s="146"/>
    </row>
    <row r="48" spans="1:15" s="3" customFormat="1" ht="15.75" x14ac:dyDescent="0.2">
      <c r="A48" s="37" t="s">
        <v>312</v>
      </c>
      <c r="B48" s="279">
        <v>96139.92383</v>
      </c>
      <c r="C48" s="280">
        <v>93054.931689999998</v>
      </c>
      <c r="D48" s="253">
        <f t="shared" si="11"/>
        <v>-3.2</v>
      </c>
      <c r="E48" s="26">
        <f>IFERROR(100/'Skjema total MA'!C48*C48,0)</f>
        <v>4.5411299332603976</v>
      </c>
      <c r="F48" s="143"/>
      <c r="G48" s="32"/>
      <c r="H48" s="143"/>
      <c r="I48" s="143"/>
      <c r="J48" s="32"/>
      <c r="K48" s="32"/>
      <c r="L48" s="157"/>
      <c r="M48" s="157"/>
      <c r="N48" s="146"/>
      <c r="O48" s="146"/>
    </row>
    <row r="49" spans="1:15" s="3" customFormat="1" ht="15.75" x14ac:dyDescent="0.2">
      <c r="A49" s="37" t="s">
        <v>313</v>
      </c>
      <c r="B49" s="43">
        <v>655507.71623000002</v>
      </c>
      <c r="C49" s="285">
        <v>653413.00439000002</v>
      </c>
      <c r="D49" s="253">
        <f>IF(B49=0, "    ---- ", IF(ABS(ROUND(100/B49*C49-100,1))&lt;999,ROUND(100/B49*C49-100,1),IF(ROUND(100/B49*C49-100,1)&gt;999,999,-999)))</f>
        <v>-0.3</v>
      </c>
      <c r="E49" s="26">
        <f>IFERROR(100/'Skjema total MA'!C49*C49,0)</f>
        <v>37.137849936836687</v>
      </c>
      <c r="F49" s="143"/>
      <c r="G49" s="32"/>
      <c r="H49" s="143"/>
      <c r="I49" s="143"/>
      <c r="J49" s="36"/>
      <c r="K49" s="36"/>
      <c r="L49" s="157"/>
      <c r="M49" s="157"/>
      <c r="N49" s="146"/>
      <c r="O49" s="146"/>
    </row>
    <row r="50" spans="1:15" s="3" customFormat="1" x14ac:dyDescent="0.2">
      <c r="A50" s="294" t="s">
        <v>6</v>
      </c>
      <c r="B50" s="288"/>
      <c r="C50" s="289"/>
      <c r="D50" s="253"/>
      <c r="E50" s="22"/>
      <c r="F50" s="143"/>
      <c r="G50" s="32"/>
      <c r="H50" s="143"/>
      <c r="I50" s="143"/>
      <c r="J50" s="32"/>
      <c r="K50" s="32"/>
      <c r="L50" s="157"/>
      <c r="M50" s="157"/>
      <c r="N50" s="146"/>
      <c r="O50" s="146"/>
    </row>
    <row r="51" spans="1:15" s="3" customFormat="1" x14ac:dyDescent="0.2">
      <c r="A51" s="294" t="s">
        <v>7</v>
      </c>
      <c r="B51" s="288">
        <v>453637.71623000002</v>
      </c>
      <c r="C51" s="289">
        <v>447461.77412000002</v>
      </c>
      <c r="D51" s="253">
        <f t="shared" ref="D51:D52" si="12">IF(B51=0, "    ---- ", IF(ABS(ROUND(100/B51*C51-100,1))&lt;999,ROUND(100/B51*C51-100,1),IF(ROUND(100/B51*C51-100,1)&gt;999,999,-999)))</f>
        <v>-1.4</v>
      </c>
      <c r="E51" s="26">
        <f>IFERROR(100/'Skjema total MA'!C51*C51,0)</f>
        <v>30.314209814869567</v>
      </c>
      <c r="F51" s="143"/>
      <c r="G51" s="32"/>
      <c r="H51" s="143"/>
      <c r="I51" s="143"/>
      <c r="J51" s="32"/>
      <c r="K51" s="32"/>
      <c r="L51" s="157"/>
      <c r="M51" s="157"/>
      <c r="N51" s="146"/>
      <c r="O51" s="146"/>
    </row>
    <row r="52" spans="1:15" s="3" customFormat="1" x14ac:dyDescent="0.2">
      <c r="A52" s="294" t="s">
        <v>8</v>
      </c>
      <c r="B52" s="288">
        <v>201870</v>
      </c>
      <c r="C52" s="289">
        <v>205951.23027</v>
      </c>
      <c r="D52" s="253">
        <f t="shared" si="12"/>
        <v>2</v>
      </c>
      <c r="E52" s="26">
        <f>IFERROR(100/'Skjema total MA'!C52*C52,0)</f>
        <v>73.385172163903007</v>
      </c>
      <c r="F52" s="143"/>
      <c r="G52" s="32"/>
      <c r="H52" s="143"/>
      <c r="I52" s="143"/>
      <c r="J52" s="32"/>
      <c r="K52" s="32"/>
      <c r="L52" s="157"/>
      <c r="M52" s="157"/>
      <c r="N52" s="146"/>
      <c r="O52" s="146"/>
    </row>
    <row r="53" spans="1:15" s="3" customFormat="1" ht="15.75" x14ac:dyDescent="0.2">
      <c r="A53" s="38" t="s">
        <v>314</v>
      </c>
      <c r="B53" s="308">
        <f>SUM(B54:B55)</f>
        <v>6496.5169999999998</v>
      </c>
      <c r="C53" s="309">
        <f>SUM(C54:C55)</f>
        <v>3196.7179999999998</v>
      </c>
      <c r="D53" s="425">
        <f t="shared" si="11"/>
        <v>-50.8</v>
      </c>
      <c r="E53" s="11">
        <f>IFERROR(100/'Skjema total MA'!C53*C53,0)</f>
        <v>1.9590959229235321</v>
      </c>
      <c r="F53" s="143"/>
      <c r="G53" s="32"/>
      <c r="H53" s="143"/>
      <c r="I53" s="143"/>
      <c r="J53" s="32"/>
      <c r="K53" s="32"/>
      <c r="L53" s="157"/>
      <c r="M53" s="157"/>
      <c r="N53" s="146"/>
      <c r="O53" s="146"/>
    </row>
    <row r="54" spans="1:15" s="3" customFormat="1" ht="15.75" x14ac:dyDescent="0.2">
      <c r="A54" s="37" t="s">
        <v>312</v>
      </c>
      <c r="B54" s="279">
        <v>2791.2910000000002</v>
      </c>
      <c r="C54" s="280">
        <v>3196.7179999999998</v>
      </c>
      <c r="D54" s="253">
        <f t="shared" si="11"/>
        <v>14.5</v>
      </c>
      <c r="E54" s="26">
        <f>IFERROR(100/'Skjema total MA'!C54*C54,0)</f>
        <v>3.0624538082644559</v>
      </c>
      <c r="F54" s="143"/>
      <c r="G54" s="32"/>
      <c r="H54" s="143"/>
      <c r="I54" s="143"/>
      <c r="J54" s="32"/>
      <c r="K54" s="32"/>
      <c r="L54" s="157"/>
      <c r="M54" s="157"/>
      <c r="N54" s="146"/>
      <c r="O54" s="146"/>
    </row>
    <row r="55" spans="1:15" s="3" customFormat="1" ht="15.75" x14ac:dyDescent="0.2">
      <c r="A55" s="37" t="s">
        <v>313</v>
      </c>
      <c r="B55" s="279">
        <v>3705.2260000000001</v>
      </c>
      <c r="C55" s="280">
        <v>0</v>
      </c>
      <c r="D55" s="253">
        <f t="shared" si="11"/>
        <v>-100</v>
      </c>
      <c r="E55" s="26">
        <f>IFERROR(100/'Skjema total MA'!C55*C55,0)</f>
        <v>0</v>
      </c>
      <c r="F55" s="143"/>
      <c r="G55" s="32"/>
      <c r="H55" s="143"/>
      <c r="I55" s="143"/>
      <c r="J55" s="32"/>
      <c r="K55" s="32"/>
      <c r="L55" s="157"/>
      <c r="M55" s="157"/>
      <c r="N55" s="146"/>
      <c r="O55" s="146"/>
    </row>
    <row r="56" spans="1:15" s="3" customFormat="1" ht="15.75" x14ac:dyDescent="0.2">
      <c r="A56" s="38" t="s">
        <v>315</v>
      </c>
      <c r="B56" s="308">
        <f>SUM(B57:B58)</f>
        <v>6504.2160000000003</v>
      </c>
      <c r="C56" s="309">
        <f>SUM(C57:C58)</f>
        <v>5896.5110000000004</v>
      </c>
      <c r="D56" s="425">
        <f t="shared" si="11"/>
        <v>-9.3000000000000007</v>
      </c>
      <c r="E56" s="11">
        <f>IFERROR(100/'Skjema total MA'!C56*C56,0)</f>
        <v>2.8354937817710919</v>
      </c>
      <c r="F56" s="143"/>
      <c r="G56" s="32"/>
      <c r="H56" s="143"/>
      <c r="I56" s="143"/>
      <c r="J56" s="32"/>
      <c r="K56" s="32"/>
      <c r="L56" s="157"/>
      <c r="M56" s="157"/>
      <c r="N56" s="146"/>
      <c r="O56" s="146"/>
    </row>
    <row r="57" spans="1:15" s="3" customFormat="1" ht="15.75" x14ac:dyDescent="0.2">
      <c r="A57" s="37" t="s">
        <v>312</v>
      </c>
      <c r="B57" s="279">
        <v>3605.3020000000001</v>
      </c>
      <c r="C57" s="280">
        <v>4398.7160000000003</v>
      </c>
      <c r="D57" s="253">
        <f t="shared" si="11"/>
        <v>22</v>
      </c>
      <c r="E57" s="26">
        <f>IFERROR(100/'Skjema total MA'!C57*C57,0)</f>
        <v>2.9553559058404337</v>
      </c>
      <c r="F57" s="143"/>
      <c r="G57" s="32"/>
      <c r="H57" s="143"/>
      <c r="I57" s="143"/>
      <c r="J57" s="32"/>
      <c r="K57" s="32"/>
      <c r="L57" s="157"/>
      <c r="M57" s="157"/>
      <c r="N57" s="146"/>
      <c r="O57" s="146"/>
    </row>
    <row r="58" spans="1:15" s="3" customFormat="1" ht="15.75" x14ac:dyDescent="0.2">
      <c r="A58" s="45" t="s">
        <v>313</v>
      </c>
      <c r="B58" s="281">
        <v>2898.9140000000002</v>
      </c>
      <c r="C58" s="282">
        <v>1497.7950000000001</v>
      </c>
      <c r="D58" s="254">
        <f t="shared" si="11"/>
        <v>-48.3</v>
      </c>
      <c r="E58" s="21">
        <f>IFERROR(100/'Skjema total MA'!C58*C58,0)</f>
        <v>2.5337058176383764</v>
      </c>
      <c r="F58" s="143"/>
      <c r="G58" s="32"/>
      <c r="H58" s="143"/>
      <c r="I58" s="143"/>
      <c r="J58" s="32"/>
      <c r="K58" s="32"/>
      <c r="L58" s="157"/>
      <c r="M58" s="157"/>
      <c r="N58" s="146"/>
      <c r="O58" s="146"/>
    </row>
    <row r="59" spans="1:15" s="3" customFormat="1" ht="15.75" x14ac:dyDescent="0.25">
      <c r="A59" s="162"/>
      <c r="B59" s="152"/>
      <c r="C59" s="152"/>
      <c r="D59" s="152"/>
      <c r="E59" s="152"/>
      <c r="F59" s="140"/>
      <c r="G59" s="140"/>
      <c r="H59" s="140"/>
      <c r="I59" s="140"/>
      <c r="J59" s="140"/>
      <c r="K59" s="140"/>
      <c r="L59" s="140"/>
      <c r="M59" s="140"/>
      <c r="N59" s="146"/>
      <c r="O59" s="146"/>
    </row>
    <row r="60" spans="1:15" x14ac:dyDescent="0.2">
      <c r="A60" s="153"/>
    </row>
    <row r="61" spans="1:15" ht="15.75" x14ac:dyDescent="0.25">
      <c r="A61" s="145" t="s">
        <v>295</v>
      </c>
      <c r="C61" s="25"/>
      <c r="D61" s="25"/>
      <c r="E61" s="25"/>
      <c r="F61" s="25"/>
      <c r="G61" s="25"/>
      <c r="H61" s="25"/>
      <c r="I61" s="25"/>
      <c r="J61" s="25"/>
      <c r="K61" s="25"/>
      <c r="L61" s="25"/>
      <c r="M61" s="25"/>
    </row>
    <row r="62" spans="1:15" ht="15.75" x14ac:dyDescent="0.25">
      <c r="B62" s="963"/>
      <c r="C62" s="963"/>
      <c r="D62" s="963"/>
      <c r="E62" s="297"/>
      <c r="F62" s="963"/>
      <c r="G62" s="963"/>
      <c r="H62" s="963"/>
      <c r="I62" s="297"/>
      <c r="J62" s="963"/>
      <c r="K62" s="963"/>
      <c r="L62" s="963"/>
      <c r="M62" s="297"/>
    </row>
    <row r="63" spans="1:15" x14ac:dyDescent="0.2">
      <c r="A63" s="142"/>
      <c r="B63" s="960" t="s">
        <v>0</v>
      </c>
      <c r="C63" s="961"/>
      <c r="D63" s="962"/>
      <c r="E63" s="298"/>
      <c r="F63" s="961" t="s">
        <v>1</v>
      </c>
      <c r="G63" s="961"/>
      <c r="H63" s="961"/>
      <c r="I63" s="302"/>
      <c r="J63" s="960" t="s">
        <v>2</v>
      </c>
      <c r="K63" s="961"/>
      <c r="L63" s="961"/>
      <c r="M63" s="302"/>
    </row>
    <row r="64" spans="1:15" x14ac:dyDescent="0.2">
      <c r="A64" s="139"/>
      <c r="B64" s="150" t="s">
        <v>504</v>
      </c>
      <c r="C64" s="150" t="s">
        <v>505</v>
      </c>
      <c r="D64" s="243" t="s">
        <v>3</v>
      </c>
      <c r="E64" s="303" t="s">
        <v>32</v>
      </c>
      <c r="F64" s="150" t="s">
        <v>504</v>
      </c>
      <c r="G64" s="150" t="s">
        <v>505</v>
      </c>
      <c r="H64" s="243" t="s">
        <v>3</v>
      </c>
      <c r="I64" s="303" t="s">
        <v>32</v>
      </c>
      <c r="J64" s="150" t="s">
        <v>504</v>
      </c>
      <c r="K64" s="150" t="s">
        <v>505</v>
      </c>
      <c r="L64" s="243" t="s">
        <v>3</v>
      </c>
      <c r="M64" s="160" t="s">
        <v>32</v>
      </c>
    </row>
    <row r="65" spans="1:15" x14ac:dyDescent="0.2">
      <c r="A65" s="934"/>
      <c r="B65" s="154"/>
      <c r="C65" s="154"/>
      <c r="D65" s="245" t="s">
        <v>4</v>
      </c>
      <c r="E65" s="154" t="s">
        <v>33</v>
      </c>
      <c r="F65" s="159"/>
      <c r="G65" s="159"/>
      <c r="H65" s="243" t="s">
        <v>4</v>
      </c>
      <c r="I65" s="154" t="s">
        <v>33</v>
      </c>
      <c r="J65" s="159"/>
      <c r="K65" s="204"/>
      <c r="L65" s="154" t="s">
        <v>4</v>
      </c>
      <c r="M65" s="154" t="s">
        <v>33</v>
      </c>
    </row>
    <row r="66" spans="1:15" ht="15.75" x14ac:dyDescent="0.2">
      <c r="A66" s="14" t="s">
        <v>26</v>
      </c>
      <c r="B66" s="350">
        <f>B67+B68+B75+B76</f>
        <v>550771.77613000001</v>
      </c>
      <c r="C66" s="350">
        <f>C67+C68+C75+C76</f>
        <v>718817.38944000006</v>
      </c>
      <c r="D66" s="348">
        <f t="shared" ref="D66:D111" si="13">IF(B66=0, "    ---- ", IF(ABS(ROUND(100/B66*C66-100,1))&lt;999,ROUND(100/B66*C66-100,1),IF(ROUND(100/B66*C66-100,1)&gt;999,999,-999)))</f>
        <v>30.5</v>
      </c>
      <c r="E66" s="11">
        <f>IFERROR(100/'Skjema total MA'!C66*C66,0)</f>
        <v>7.2938782059098575</v>
      </c>
      <c r="F66" s="350">
        <f>F67+F68+F75+F76</f>
        <v>1977165.8722299999</v>
      </c>
      <c r="G66" s="350">
        <f>G67+G68+G75+G76</f>
        <v>2638323.3182899999</v>
      </c>
      <c r="H66" s="348">
        <f t="shared" ref="H66:H111" si="14">IF(F66=0, "    ---- ", IF(ABS(ROUND(100/F66*G66-100,1))&lt;999,ROUND(100/F66*G66-100,1),IF(ROUND(100/F66*G66-100,1)&gt;999,999,-999)))</f>
        <v>33.4</v>
      </c>
      <c r="I66" s="11">
        <f>IFERROR(100/'Skjema total MA'!F66*G66,0)</f>
        <v>9.8788264335985119</v>
      </c>
      <c r="J66" s="307">
        <f t="shared" ref="J66:K86" si="15">SUM(B66,F66)</f>
        <v>2527937.64836</v>
      </c>
      <c r="K66" s="314">
        <f t="shared" si="15"/>
        <v>3357140.7077299999</v>
      </c>
      <c r="L66" s="425">
        <f t="shared" ref="L66:L111" si="16">IF(J66=0, "    ---- ", IF(ABS(ROUND(100/J66*K66-100,1))&lt;999,ROUND(100/J66*K66-100,1),IF(ROUND(100/J66*K66-100,1)&gt;999,999,-999)))</f>
        <v>32.799999999999997</v>
      </c>
      <c r="M66" s="11">
        <f>IFERROR(100/'Skjema total MA'!I66*K66,0)</f>
        <v>9.1820670404999127</v>
      </c>
    </row>
    <row r="67" spans="1:15" x14ac:dyDescent="0.2">
      <c r="A67" s="416" t="s">
        <v>9</v>
      </c>
      <c r="B67" s="43">
        <v>434379.32919000002</v>
      </c>
      <c r="C67" s="143">
        <v>307081.32827</v>
      </c>
      <c r="D67" s="164">
        <f t="shared" si="13"/>
        <v>-29.3</v>
      </c>
      <c r="E67" s="26">
        <f>IFERROR(100/'Skjema total MA'!C67*C67,0)</f>
        <v>3.7894866476262989</v>
      </c>
      <c r="F67" s="232"/>
      <c r="G67" s="143"/>
      <c r="H67" s="164"/>
      <c r="I67" s="26"/>
      <c r="J67" s="285">
        <f t="shared" si="15"/>
        <v>434379.32919000002</v>
      </c>
      <c r="K67" s="43">
        <f t="shared" si="15"/>
        <v>307081.32827</v>
      </c>
      <c r="L67" s="253">
        <f t="shared" si="16"/>
        <v>-29.3</v>
      </c>
      <c r="M67" s="26">
        <f>IFERROR(100/'Skjema total MA'!I67*K67,0)</f>
        <v>3.7894866476262989</v>
      </c>
    </row>
    <row r="68" spans="1:15" x14ac:dyDescent="0.2">
      <c r="A68" s="20" t="s">
        <v>10</v>
      </c>
      <c r="B68" s="290">
        <v>62280.477980000003</v>
      </c>
      <c r="C68" s="291">
        <v>58177.085980000003</v>
      </c>
      <c r="D68" s="164">
        <f t="shared" si="13"/>
        <v>-6.6</v>
      </c>
      <c r="E68" s="26">
        <f>IFERROR(100/'Skjema total MA'!C68*C68,0)</f>
        <v>36.547944470494329</v>
      </c>
      <c r="F68" s="290">
        <v>1853403.6354499999</v>
      </c>
      <c r="G68" s="291">
        <v>2464299.0116300001</v>
      </c>
      <c r="H68" s="164">
        <f t="shared" si="14"/>
        <v>33</v>
      </c>
      <c r="I68" s="26">
        <f>IFERROR(100/'Skjema total MA'!F68*G68,0)</f>
        <v>9.3312166338373874</v>
      </c>
      <c r="J68" s="285">
        <f t="shared" si="15"/>
        <v>1915684.1134299999</v>
      </c>
      <c r="K68" s="43">
        <f t="shared" si="15"/>
        <v>2522476.0976100001</v>
      </c>
      <c r="L68" s="253">
        <f t="shared" si="16"/>
        <v>31.7</v>
      </c>
      <c r="M68" s="26">
        <f>IFERROR(100/'Skjema total MA'!I68*K68,0)</f>
        <v>9.4942813335752128</v>
      </c>
    </row>
    <row r="69" spans="1:15" ht="15.75" x14ac:dyDescent="0.2">
      <c r="A69" s="294" t="s">
        <v>316</v>
      </c>
      <c r="B69" s="279"/>
      <c r="C69" s="279"/>
      <c r="D69" s="164"/>
      <c r="E69" s="414"/>
      <c r="F69" s="279"/>
      <c r="G69" s="279"/>
      <c r="H69" s="164"/>
      <c r="I69" s="414"/>
      <c r="J69" s="288"/>
      <c r="K69" s="288"/>
      <c r="L69" s="164"/>
      <c r="M69" s="22"/>
    </row>
    <row r="70" spans="1:15" x14ac:dyDescent="0.2">
      <c r="A70" s="294" t="s">
        <v>12</v>
      </c>
      <c r="B70" s="292"/>
      <c r="C70" s="293"/>
      <c r="D70" s="164"/>
      <c r="E70" s="414"/>
      <c r="F70" s="279"/>
      <c r="G70" s="279"/>
      <c r="H70" s="164"/>
      <c r="I70" s="414"/>
      <c r="J70" s="288"/>
      <c r="K70" s="288"/>
      <c r="L70" s="164"/>
      <c r="M70" s="22"/>
    </row>
    <row r="71" spans="1:15" x14ac:dyDescent="0.2">
      <c r="A71" s="294" t="s">
        <v>13</v>
      </c>
      <c r="B71" s="233"/>
      <c r="C71" s="287"/>
      <c r="D71" s="164"/>
      <c r="E71" s="414"/>
      <c r="F71" s="279"/>
      <c r="G71" s="279"/>
      <c r="H71" s="164"/>
      <c r="I71" s="414"/>
      <c r="J71" s="288"/>
      <c r="K71" s="288"/>
      <c r="L71" s="164"/>
      <c r="M71" s="22"/>
    </row>
    <row r="72" spans="1:15" ht="15.75" x14ac:dyDescent="0.2">
      <c r="A72" s="294" t="s">
        <v>317</v>
      </c>
      <c r="B72" s="279">
        <v>62280.477980000003</v>
      </c>
      <c r="C72" s="279">
        <v>58177.085980000003</v>
      </c>
      <c r="D72" s="164">
        <f t="shared" si="13"/>
        <v>-6.6</v>
      </c>
      <c r="E72" s="26">
        <f>IFERROR(100/'Skjema total MA'!C72*C72,0)</f>
        <v>41.280198398580175</v>
      </c>
      <c r="F72" s="279">
        <v>1853403.6354499999</v>
      </c>
      <c r="G72" s="279">
        <v>2464299.0116300001</v>
      </c>
      <c r="H72" s="164">
        <f t="shared" si="14"/>
        <v>33</v>
      </c>
      <c r="I72" s="414">
        <f>IFERROR(100/'Skjema total MA'!F72*G72,0)</f>
        <v>9.3326222555692411</v>
      </c>
      <c r="J72" s="285">
        <f t="shared" ref="J72" si="17">SUM(B72,F72)</f>
        <v>1915684.1134299999</v>
      </c>
      <c r="K72" s="43">
        <f t="shared" ref="K72" si="18">SUM(C72,G72)</f>
        <v>2522476.0976100001</v>
      </c>
      <c r="L72" s="164">
        <f t="shared" ref="L72" si="19">IF(J72=0, "    ---- ", IF(ABS(ROUND(100/J72*K72-100,1))&lt;999,ROUND(100/J72*K72-100,1),IF(ROUND(100/J72*K72-100,1)&gt;999,999,-999)))</f>
        <v>31.7</v>
      </c>
      <c r="M72" s="22">
        <f>IFERROR(100/'Skjema total MA'!I72*K72,0)</f>
        <v>9.5022303587159538</v>
      </c>
    </row>
    <row r="73" spans="1:15" x14ac:dyDescent="0.2">
      <c r="A73" s="294" t="s">
        <v>12</v>
      </c>
      <c r="B73" s="233"/>
      <c r="C73" s="287"/>
      <c r="D73" s="164"/>
      <c r="E73" s="414"/>
      <c r="F73" s="279"/>
      <c r="G73" s="279"/>
      <c r="H73" s="164"/>
      <c r="I73" s="414"/>
      <c r="J73" s="288"/>
      <c r="K73" s="288"/>
      <c r="L73" s="164"/>
      <c r="M73" s="22"/>
    </row>
    <row r="74" spans="1:15" s="3" customFormat="1" x14ac:dyDescent="0.2">
      <c r="A74" s="294" t="s">
        <v>13</v>
      </c>
      <c r="B74" s="233"/>
      <c r="C74" s="287"/>
      <c r="D74" s="164"/>
      <c r="E74" s="414"/>
      <c r="F74" s="279">
        <v>1853403.6354499999</v>
      </c>
      <c r="G74" s="279">
        <v>2464299.0116300001</v>
      </c>
      <c r="H74" s="164">
        <f t="shared" si="14"/>
        <v>33</v>
      </c>
      <c r="I74" s="414">
        <f>IFERROR(100/'Skjema total MA'!F74*G74,0)</f>
        <v>9.4516854395606877</v>
      </c>
      <c r="J74" s="285">
        <f t="shared" ref="J74" si="20">SUM(B74,F74)</f>
        <v>1853403.6354499999</v>
      </c>
      <c r="K74" s="43">
        <f t="shared" ref="K74" si="21">SUM(C74,G74)</f>
        <v>2464299.0116300001</v>
      </c>
      <c r="L74" s="164">
        <f t="shared" ref="L74" si="22">IF(J74=0, "    ---- ", IF(ABS(ROUND(100/J74*K74-100,1))&lt;999,ROUND(100/J74*K74-100,1),IF(ROUND(100/J74*K74-100,1)&gt;999,999,-999)))</f>
        <v>33</v>
      </c>
      <c r="M74" s="22">
        <f>IFERROR(100/'Skjema total MA'!I74*K74,0)</f>
        <v>9.4516854395606877</v>
      </c>
      <c r="N74" s="146"/>
      <c r="O74" s="146"/>
    </row>
    <row r="75" spans="1:15" s="3" customFormat="1" x14ac:dyDescent="0.2">
      <c r="A75" s="20" t="s">
        <v>395</v>
      </c>
      <c r="B75" s="232">
        <v>54111.968959999998</v>
      </c>
      <c r="C75" s="143">
        <v>211368.10057000001</v>
      </c>
      <c r="D75" s="164">
        <f t="shared" si="13"/>
        <v>290.60000000000002</v>
      </c>
      <c r="E75" s="26">
        <f>IFERROR(100/'Skjema total MA'!C75*C75,0)</f>
        <v>78.759730575533894</v>
      </c>
      <c r="F75" s="232">
        <v>123762.23678000001</v>
      </c>
      <c r="G75" s="143">
        <v>174024.30666</v>
      </c>
      <c r="H75" s="164">
        <f t="shared" si="14"/>
        <v>40.6</v>
      </c>
      <c r="I75" s="26">
        <f>IFERROR(100/'Skjema total MA'!F75*G75,0)</f>
        <v>58.464792608178485</v>
      </c>
      <c r="J75" s="285">
        <f t="shared" si="15"/>
        <v>177874.20574</v>
      </c>
      <c r="K75" s="43">
        <f t="shared" si="15"/>
        <v>385392.40723000001</v>
      </c>
      <c r="L75" s="253">
        <f t="shared" si="16"/>
        <v>116.7</v>
      </c>
      <c r="M75" s="26">
        <f>IFERROR(100/'Skjema total MA'!I75*K75,0)</f>
        <v>68.087239519642623</v>
      </c>
      <c r="N75" s="146"/>
      <c r="O75" s="146"/>
    </row>
    <row r="76" spans="1:15" s="3" customFormat="1" x14ac:dyDescent="0.2">
      <c r="A76" s="20" t="s">
        <v>394</v>
      </c>
      <c r="B76" s="232">
        <v>0</v>
      </c>
      <c r="C76" s="143">
        <v>142190.87461999999</v>
      </c>
      <c r="D76" s="164" t="str">
        <f t="shared" ref="D76" si="23">IF(B76=0, "    ---- ", IF(ABS(ROUND(100/B76*C76-100,1))&lt;999,ROUND(100/B76*C76-100,1),IF(ROUND(100/B76*C76-100,1)&gt;999,999,-999)))</f>
        <v xml:space="preserve">    ---- </v>
      </c>
      <c r="E76" s="26">
        <f>IFERROR(100/'Skjema total MA'!C77*C76,0)</f>
        <v>1.7635724888446049</v>
      </c>
      <c r="F76" s="232"/>
      <c r="G76" s="143"/>
      <c r="H76" s="164"/>
      <c r="I76" s="26"/>
      <c r="J76" s="285">
        <f t="shared" ref="J76" si="24">SUM(B76,F76)</f>
        <v>0</v>
      </c>
      <c r="K76" s="43">
        <f t="shared" ref="K76" si="25">SUM(C76,G76)</f>
        <v>142190.87461999999</v>
      </c>
      <c r="L76" s="253" t="str">
        <f t="shared" ref="L76" si="26">IF(J76=0, "    ---- ", IF(ABS(ROUND(100/J76*K76-100,1))&lt;999,ROUND(100/J76*K76-100,1),IF(ROUND(100/J76*K76-100,1)&gt;999,999,-999)))</f>
        <v xml:space="preserve">    ---- </v>
      </c>
      <c r="M76" s="26">
        <f>IFERROR(100/'Skjema total MA'!I77*K76,0)</f>
        <v>0.41264134933523411</v>
      </c>
      <c r="N76" s="146"/>
      <c r="O76" s="146"/>
    </row>
    <row r="77" spans="1:15" ht="15.75" x14ac:dyDescent="0.2">
      <c r="A77" s="20" t="s">
        <v>318</v>
      </c>
      <c r="B77" s="232">
        <v>496659.80717000004</v>
      </c>
      <c r="C77" s="232">
        <v>365258.41425000003</v>
      </c>
      <c r="D77" s="164">
        <f t="shared" si="13"/>
        <v>-26.5</v>
      </c>
      <c r="E77" s="26">
        <f>IFERROR(100/'Skjema total MA'!C77*C77,0)</f>
        <v>4.5302463495762293</v>
      </c>
      <c r="F77" s="232">
        <v>1843595.6264</v>
      </c>
      <c r="G77" s="143">
        <v>2455305.6583199999</v>
      </c>
      <c r="H77" s="164">
        <f t="shared" si="14"/>
        <v>33.200000000000003</v>
      </c>
      <c r="I77" s="26">
        <f>IFERROR(100/'Skjema total MA'!F77*G77,0)</f>
        <v>9.3017933496816418</v>
      </c>
      <c r="J77" s="285">
        <f t="shared" si="15"/>
        <v>2340255.4335699999</v>
      </c>
      <c r="K77" s="43">
        <f t="shared" si="15"/>
        <v>2820564.0725699998</v>
      </c>
      <c r="L77" s="253">
        <f t="shared" si="16"/>
        <v>20.5</v>
      </c>
      <c r="M77" s="26">
        <f>IFERROR(100/'Skjema total MA'!I77*K77,0)</f>
        <v>8.1853450012330189</v>
      </c>
    </row>
    <row r="78" spans="1:15" x14ac:dyDescent="0.2">
      <c r="A78" s="20" t="s">
        <v>9</v>
      </c>
      <c r="B78" s="232">
        <v>434379.32919000002</v>
      </c>
      <c r="C78" s="143">
        <v>307081.32827</v>
      </c>
      <c r="D78" s="164">
        <f t="shared" si="13"/>
        <v>-29.3</v>
      </c>
      <c r="E78" s="26">
        <f>IFERROR(100/'Skjema total MA'!C78*C78,0)</f>
        <v>3.8834386757509987</v>
      </c>
      <c r="F78" s="232">
        <v>0</v>
      </c>
      <c r="G78" s="143">
        <v>0</v>
      </c>
      <c r="H78" s="164" t="str">
        <f t="shared" si="14"/>
        <v xml:space="preserve">    ---- </v>
      </c>
      <c r="I78" s="26">
        <f>IFERROR(100/'Skjema total MA'!F78*G78,0)</f>
        <v>0</v>
      </c>
      <c r="J78" s="285">
        <f t="shared" si="15"/>
        <v>434379.32919000002</v>
      </c>
      <c r="K78" s="43">
        <f t="shared" si="15"/>
        <v>307081.32827</v>
      </c>
      <c r="L78" s="253">
        <f t="shared" si="16"/>
        <v>-29.3</v>
      </c>
      <c r="M78" s="26">
        <f>IFERROR(100/'Skjema total MA'!I78*K78,0)</f>
        <v>3.8834386757509987</v>
      </c>
    </row>
    <row r="79" spans="1:15" x14ac:dyDescent="0.2">
      <c r="A79" s="20" t="s">
        <v>10</v>
      </c>
      <c r="B79" s="290">
        <v>62280.477980000003</v>
      </c>
      <c r="C79" s="291">
        <v>58177.085980000003</v>
      </c>
      <c r="D79" s="164">
        <f t="shared" si="13"/>
        <v>-6.6</v>
      </c>
      <c r="E79" s="26">
        <f>IFERROR(100/'Skjema total MA'!C79*C79,0)</f>
        <v>37.484751558136729</v>
      </c>
      <c r="F79" s="290">
        <v>1843595.6264</v>
      </c>
      <c r="G79" s="291">
        <v>2455305.6583199999</v>
      </c>
      <c r="H79" s="164">
        <f t="shared" si="14"/>
        <v>33.200000000000003</v>
      </c>
      <c r="I79" s="26">
        <f>IFERROR(100/'Skjema total MA'!F79*G79,0)</f>
        <v>9.3017933496816418</v>
      </c>
      <c r="J79" s="285">
        <f t="shared" si="15"/>
        <v>1905876.1043799999</v>
      </c>
      <c r="K79" s="43">
        <f t="shared" si="15"/>
        <v>2513482.7442999999</v>
      </c>
      <c r="L79" s="253">
        <f t="shared" si="16"/>
        <v>31.9</v>
      </c>
      <c r="M79" s="26">
        <f>IFERROR(100/'Skjema total MA'!I79*K79,0)</f>
        <v>9.4665333124568711</v>
      </c>
    </row>
    <row r="80" spans="1:15" ht="15.75" x14ac:dyDescent="0.2">
      <c r="A80" s="294" t="s">
        <v>316</v>
      </c>
      <c r="B80" s="279"/>
      <c r="C80" s="279"/>
      <c r="D80" s="164"/>
      <c r="E80" s="414"/>
      <c r="F80" s="279"/>
      <c r="G80" s="279"/>
      <c r="H80" s="164"/>
      <c r="I80" s="414"/>
      <c r="J80" s="288"/>
      <c r="K80" s="288"/>
      <c r="L80" s="164"/>
      <c r="M80" s="22"/>
    </row>
    <row r="81" spans="1:13" x14ac:dyDescent="0.2">
      <c r="A81" s="294" t="s">
        <v>12</v>
      </c>
      <c r="B81" s="233"/>
      <c r="C81" s="287"/>
      <c r="D81" s="164"/>
      <c r="E81" s="414"/>
      <c r="F81" s="279"/>
      <c r="G81" s="279"/>
      <c r="H81" s="164"/>
      <c r="I81" s="414"/>
      <c r="J81" s="288"/>
      <c r="K81" s="288"/>
      <c r="L81" s="164"/>
      <c r="M81" s="22"/>
    </row>
    <row r="82" spans="1:13" x14ac:dyDescent="0.2">
      <c r="A82" s="294" t="s">
        <v>13</v>
      </c>
      <c r="B82" s="233"/>
      <c r="C82" s="287"/>
      <c r="D82" s="164"/>
      <c r="E82" s="414"/>
      <c r="F82" s="279"/>
      <c r="G82" s="279"/>
      <c r="H82" s="164"/>
      <c r="I82" s="414"/>
      <c r="J82" s="288"/>
      <c r="K82" s="288"/>
      <c r="L82" s="164"/>
      <c r="M82" s="22"/>
    </row>
    <row r="83" spans="1:13" ht="15.75" x14ac:dyDescent="0.2">
      <c r="A83" s="294" t="s">
        <v>317</v>
      </c>
      <c r="B83" s="279">
        <v>62280.477980000003</v>
      </c>
      <c r="C83" s="279">
        <v>58177.085980000003</v>
      </c>
      <c r="D83" s="164">
        <f t="shared" si="13"/>
        <v>-6.6</v>
      </c>
      <c r="E83" s="26">
        <f>IFERROR(100/'Skjema total MA'!C83*C83,0)</f>
        <v>37.484751558136729</v>
      </c>
      <c r="F83" s="279">
        <v>1843595.6264</v>
      </c>
      <c r="G83" s="279">
        <v>2455305.6583199999</v>
      </c>
      <c r="H83" s="164">
        <f t="shared" si="14"/>
        <v>33.200000000000003</v>
      </c>
      <c r="I83" s="414">
        <f>IFERROR(100/'Skjema total MA'!F83*G83,0)</f>
        <v>9.3017933496816418</v>
      </c>
      <c r="J83" s="285">
        <f t="shared" ref="J83" si="27">SUM(B83,F83)</f>
        <v>1905876.1043799999</v>
      </c>
      <c r="K83" s="43">
        <f t="shared" ref="K83" si="28">SUM(C83,G83)</f>
        <v>2513482.7442999999</v>
      </c>
      <c r="L83" s="164">
        <f t="shared" ref="L83" si="29">IF(J83=0, "    ---- ", IF(ABS(ROUND(100/J83*K83-100,1))&lt;999,ROUND(100/J83*K83-100,1),IF(ROUND(100/J83*K83-100,1)&gt;999,999,-999)))</f>
        <v>31.9</v>
      </c>
      <c r="M83" s="22">
        <f>IFERROR(100/'Skjema total MA'!I83*K83,0)</f>
        <v>9.4665333124568711</v>
      </c>
    </row>
    <row r="84" spans="1:13" x14ac:dyDescent="0.2">
      <c r="A84" s="294" t="s">
        <v>12</v>
      </c>
      <c r="B84" s="233"/>
      <c r="C84" s="287"/>
      <c r="D84" s="164"/>
      <c r="E84" s="414"/>
      <c r="F84" s="279"/>
      <c r="G84" s="279"/>
      <c r="H84" s="164"/>
      <c r="I84" s="414"/>
      <c r="J84" s="288"/>
      <c r="K84" s="288"/>
      <c r="L84" s="164"/>
      <c r="M84" s="22"/>
    </row>
    <row r="85" spans="1:13" x14ac:dyDescent="0.2">
      <c r="A85" s="294" t="s">
        <v>13</v>
      </c>
      <c r="B85" s="233"/>
      <c r="C85" s="287"/>
      <c r="D85" s="164"/>
      <c r="E85" s="414"/>
      <c r="F85" s="279">
        <v>1843595.6264</v>
      </c>
      <c r="G85" s="279">
        <v>2455305.6583199999</v>
      </c>
      <c r="H85" s="164">
        <f t="shared" si="14"/>
        <v>33.200000000000003</v>
      </c>
      <c r="I85" s="414">
        <f>IFERROR(100/'Skjema total MA'!F85*G85,0)</f>
        <v>9.4204413616470823</v>
      </c>
      <c r="J85" s="285">
        <f t="shared" ref="J85" si="30">SUM(B85,F85)</f>
        <v>1843595.6264</v>
      </c>
      <c r="K85" s="43">
        <f t="shared" ref="K85" si="31">SUM(C85,G85)</f>
        <v>2455305.6583199999</v>
      </c>
      <c r="L85" s="164">
        <f t="shared" ref="L85" si="32">IF(J85=0, "    ---- ", IF(ABS(ROUND(100/J85*K85-100,1))&lt;999,ROUND(100/J85*K85-100,1),IF(ROUND(100/J85*K85-100,1)&gt;999,999,-999)))</f>
        <v>33.200000000000003</v>
      </c>
      <c r="M85" s="22">
        <f>IFERROR(100/'Skjema total MA'!I85*K85,0)</f>
        <v>9.4204413616470823</v>
      </c>
    </row>
    <row r="86" spans="1:13" ht="15.75" x14ac:dyDescent="0.2">
      <c r="A86" s="20" t="s">
        <v>327</v>
      </c>
      <c r="B86" s="232"/>
      <c r="C86" s="143"/>
      <c r="D86" s="164"/>
      <c r="E86" s="26"/>
      <c r="F86" s="232">
        <v>9808.0090500000006</v>
      </c>
      <c r="G86" s="143">
        <v>8993.3533100000004</v>
      </c>
      <c r="H86" s="164">
        <f t="shared" si="14"/>
        <v>-8.3000000000000007</v>
      </c>
      <c r="I86" s="26">
        <f>IFERROR(100/'Skjema total MA'!F86*G86,0)</f>
        <v>68.406425600265678</v>
      </c>
      <c r="J86" s="285">
        <f t="shared" si="15"/>
        <v>9808.0090500000006</v>
      </c>
      <c r="K86" s="43">
        <f t="shared" si="15"/>
        <v>8993.3533100000004</v>
      </c>
      <c r="L86" s="253">
        <f t="shared" si="16"/>
        <v>-8.3000000000000007</v>
      </c>
      <c r="M86" s="26">
        <f>IFERROR(100/'Skjema total MA'!I86*K86,0)</f>
        <v>4.2187986612760753</v>
      </c>
    </row>
    <row r="87" spans="1:13" ht="15.75" x14ac:dyDescent="0.2">
      <c r="A87" s="13" t="s">
        <v>25</v>
      </c>
      <c r="B87" s="350">
        <f>B88+B89+B96+B97</f>
        <v>11420464.29335</v>
      </c>
      <c r="C87" s="350">
        <f>C88+C89+C96+C97</f>
        <v>12669744.74165</v>
      </c>
      <c r="D87" s="169">
        <f t="shared" si="13"/>
        <v>10.9</v>
      </c>
      <c r="E87" s="11">
        <f>IFERROR(100/'Skjema total MA'!C87*C87,0)</f>
        <v>3.3222064535160527</v>
      </c>
      <c r="F87" s="350">
        <f>F88+F89+F96+F97</f>
        <v>15681637.60801</v>
      </c>
      <c r="G87" s="350">
        <f>G88+G89+G96+G97</f>
        <v>20517956.331080001</v>
      </c>
      <c r="H87" s="169">
        <f t="shared" si="14"/>
        <v>30.8</v>
      </c>
      <c r="I87" s="11">
        <f>IFERROR(100/'Skjema total MA'!F87*G87,0)</f>
        <v>9.1710368028078655</v>
      </c>
      <c r="J87" s="307">
        <f t="shared" ref="J87:K111" si="33">SUM(B87,F87)</f>
        <v>27102101.901359998</v>
      </c>
      <c r="K87" s="234">
        <f t="shared" si="33"/>
        <v>33187701.072730001</v>
      </c>
      <c r="L87" s="425">
        <f t="shared" si="16"/>
        <v>22.5</v>
      </c>
      <c r="M87" s="11">
        <f>IFERROR(100/'Skjema total MA'!I87*K87,0)</f>
        <v>5.4847458486219365</v>
      </c>
    </row>
    <row r="88" spans="1:13" x14ac:dyDescent="0.2">
      <c r="A88" s="20" t="s">
        <v>9</v>
      </c>
      <c r="B88" s="232">
        <v>10507720.74828</v>
      </c>
      <c r="C88" s="143">
        <v>10914340.241250001</v>
      </c>
      <c r="D88" s="164">
        <f t="shared" si="13"/>
        <v>3.9</v>
      </c>
      <c r="E88" s="26">
        <f>IFERROR(100/'Skjema total MA'!C88*C88,0)</f>
        <v>2.9234384871414933</v>
      </c>
      <c r="F88" s="232"/>
      <c r="G88" s="143"/>
      <c r="H88" s="164"/>
      <c r="I88" s="26"/>
      <c r="J88" s="285">
        <f t="shared" si="33"/>
        <v>10507720.74828</v>
      </c>
      <c r="K88" s="43">
        <f t="shared" si="33"/>
        <v>10914340.241250001</v>
      </c>
      <c r="L88" s="253">
        <f t="shared" si="16"/>
        <v>3.9</v>
      </c>
      <c r="M88" s="26">
        <f>IFERROR(100/'Skjema total MA'!I88*K88,0)</f>
        <v>2.9234384871414933</v>
      </c>
    </row>
    <row r="89" spans="1:13" x14ac:dyDescent="0.2">
      <c r="A89" s="20" t="s">
        <v>10</v>
      </c>
      <c r="B89" s="232">
        <v>836960.34459999995</v>
      </c>
      <c r="C89" s="143">
        <v>1139861.7043999999</v>
      </c>
      <c r="D89" s="164">
        <f t="shared" si="13"/>
        <v>36.200000000000003</v>
      </c>
      <c r="E89" s="26">
        <f>IFERROR(100/'Skjema total MA'!C89*C89,0)</f>
        <v>45.327266489251329</v>
      </c>
      <c r="F89" s="232">
        <v>15553250.71644</v>
      </c>
      <c r="G89" s="143">
        <v>20050330.627</v>
      </c>
      <c r="H89" s="164">
        <f t="shared" si="14"/>
        <v>28.9</v>
      </c>
      <c r="I89" s="26">
        <f>IFERROR(100/'Skjema total MA'!F89*G89,0)</f>
        <v>8.9901050056545539</v>
      </c>
      <c r="J89" s="285">
        <f t="shared" si="33"/>
        <v>16390211.061039999</v>
      </c>
      <c r="K89" s="43">
        <f t="shared" si="33"/>
        <v>21190192.3314</v>
      </c>
      <c r="L89" s="253">
        <f t="shared" si="16"/>
        <v>29.3</v>
      </c>
      <c r="M89" s="26">
        <f>IFERROR(100/'Skjema total MA'!I89*K89,0)</f>
        <v>9.3952564320817551</v>
      </c>
    </row>
    <row r="90" spans="1:13" ht="15.75" x14ac:dyDescent="0.2">
      <c r="A90" s="294" t="s">
        <v>316</v>
      </c>
      <c r="B90" s="279"/>
      <c r="C90" s="279"/>
      <c r="D90" s="164"/>
      <c r="E90" s="414"/>
      <c r="F90" s="279"/>
      <c r="G90" s="279"/>
      <c r="H90" s="164"/>
      <c r="I90" s="414"/>
      <c r="J90" s="288"/>
      <c r="K90" s="288"/>
      <c r="L90" s="164"/>
      <c r="M90" s="22"/>
    </row>
    <row r="91" spans="1:13" x14ac:dyDescent="0.2">
      <c r="A91" s="294" t="s">
        <v>12</v>
      </c>
      <c r="B91" s="233"/>
      <c r="C91" s="287"/>
      <c r="D91" s="164"/>
      <c r="E91" s="414"/>
      <c r="F91" s="279"/>
      <c r="G91" s="279"/>
      <c r="H91" s="164"/>
      <c r="I91" s="414"/>
      <c r="J91" s="288"/>
      <c r="K91" s="288"/>
      <c r="L91" s="164"/>
      <c r="M91" s="22"/>
    </row>
    <row r="92" spans="1:13" x14ac:dyDescent="0.2">
      <c r="A92" s="294" t="s">
        <v>13</v>
      </c>
      <c r="B92" s="233"/>
      <c r="C92" s="287"/>
      <c r="D92" s="164"/>
      <c r="E92" s="414"/>
      <c r="F92" s="279"/>
      <c r="G92" s="279"/>
      <c r="H92" s="164"/>
      <c r="I92" s="414"/>
      <c r="J92" s="288"/>
      <c r="K92" s="288"/>
      <c r="L92" s="164"/>
      <c r="M92" s="22"/>
    </row>
    <row r="93" spans="1:13" ht="15.75" x14ac:dyDescent="0.2">
      <c r="A93" s="294" t="s">
        <v>317</v>
      </c>
      <c r="B93" s="279">
        <v>836960.34459999995</v>
      </c>
      <c r="C93" s="279">
        <v>1139861.7043999999</v>
      </c>
      <c r="D93" s="164">
        <f t="shared" si="13"/>
        <v>36.200000000000003</v>
      </c>
      <c r="E93" s="26">
        <f>IFERROR(100/'Skjema total MA'!C93*C93,0)</f>
        <v>45.327266489251329</v>
      </c>
      <c r="F93" s="279">
        <v>15553250.71644</v>
      </c>
      <c r="G93" s="279">
        <v>20050330.627</v>
      </c>
      <c r="H93" s="164">
        <f t="shared" si="14"/>
        <v>28.9</v>
      </c>
      <c r="I93" s="414">
        <f>IFERROR(100/'Skjema total MA'!F93*G93,0)</f>
        <v>8.9961481148808833</v>
      </c>
      <c r="J93" s="285">
        <f t="shared" ref="J93" si="34">SUM(B93,F93)</f>
        <v>16390211.061039999</v>
      </c>
      <c r="K93" s="43">
        <f t="shared" ref="K93" si="35">SUM(C93,G93)</f>
        <v>21190192.3314</v>
      </c>
      <c r="L93" s="164">
        <f t="shared" ref="L93" si="36">IF(J93=0, "    ---- ", IF(ABS(ROUND(100/J93*K93-100,1))&lt;999,ROUND(100/J93*K93-100,1),IF(ROUND(100/J93*K93-100,1)&gt;999,999,-999)))</f>
        <v>29.3</v>
      </c>
      <c r="M93" s="22">
        <f>IFERROR(100/'Skjema total MA'!I93*K93,0)</f>
        <v>9.4015014196250686</v>
      </c>
    </row>
    <row r="94" spans="1:13" x14ac:dyDescent="0.2">
      <c r="A94" s="294" t="s">
        <v>12</v>
      </c>
      <c r="B94" s="233"/>
      <c r="C94" s="287"/>
      <c r="D94" s="164"/>
      <c r="E94" s="414"/>
      <c r="F94" s="279"/>
      <c r="G94" s="279"/>
      <c r="H94" s="164"/>
      <c r="I94" s="414"/>
      <c r="J94" s="288"/>
      <c r="K94" s="288"/>
      <c r="L94" s="164"/>
      <c r="M94" s="22"/>
    </row>
    <row r="95" spans="1:13" x14ac:dyDescent="0.2">
      <c r="A95" s="294" t="s">
        <v>13</v>
      </c>
      <c r="B95" s="233"/>
      <c r="C95" s="287"/>
      <c r="D95" s="164"/>
      <c r="E95" s="26">
        <f>IFERROR(100/'Skjema total MA'!C95*C95,0)</f>
        <v>0</v>
      </c>
      <c r="F95" s="279">
        <v>15553250.71644</v>
      </c>
      <c r="G95" s="279">
        <v>20050330.627</v>
      </c>
      <c r="H95" s="164">
        <f t="shared" si="14"/>
        <v>28.9</v>
      </c>
      <c r="I95" s="414">
        <f>IFERROR(100/'Skjema total MA'!F95*G95,0)</f>
        <v>9.1313744246935062</v>
      </c>
      <c r="J95" s="285">
        <f t="shared" ref="J95" si="37">SUM(B95,F95)</f>
        <v>15553250.71644</v>
      </c>
      <c r="K95" s="43">
        <f t="shared" ref="K95" si="38">SUM(C95,G95)</f>
        <v>20050330.627</v>
      </c>
      <c r="L95" s="164">
        <f t="shared" ref="L95" si="39">IF(J95=0, "    ---- ", IF(ABS(ROUND(100/J95*K95-100,1))&lt;999,ROUND(100/J95*K95-100,1),IF(ROUND(100/J95*K95-100,1)&gt;999,999,-999)))</f>
        <v>28.9</v>
      </c>
      <c r="M95" s="22">
        <f>IFERROR(100/'Skjema total MA'!I95*K95,0)</f>
        <v>9.1313744246935062</v>
      </c>
    </row>
    <row r="96" spans="1:13" x14ac:dyDescent="0.2">
      <c r="A96" s="20" t="s">
        <v>393</v>
      </c>
      <c r="B96" s="232">
        <v>75783.200469999996</v>
      </c>
      <c r="C96" s="143">
        <v>360709.06141999998</v>
      </c>
      <c r="D96" s="164">
        <f t="shared" si="13"/>
        <v>376</v>
      </c>
      <c r="E96" s="26">
        <f>IFERROR(100/'Skjema total MA'!C96*C96,0)</f>
        <v>76.198456342546095</v>
      </c>
      <c r="F96" s="232">
        <v>128386.89157000001</v>
      </c>
      <c r="G96" s="143">
        <v>467625.70408</v>
      </c>
      <c r="H96" s="164">
        <f t="shared" si="14"/>
        <v>264.2</v>
      </c>
      <c r="I96" s="26">
        <f>IFERROR(100/'Skjema total MA'!F96*G96,0)</f>
        <v>66.90548485187999</v>
      </c>
      <c r="J96" s="285">
        <f t="shared" si="33"/>
        <v>204170.09204000002</v>
      </c>
      <c r="K96" s="43">
        <f t="shared" si="33"/>
        <v>828334.76549999998</v>
      </c>
      <c r="L96" s="253">
        <f t="shared" si="16"/>
        <v>305.7</v>
      </c>
      <c r="M96" s="26">
        <f>IFERROR(100/'Skjema total MA'!I96*K96,0)</f>
        <v>70.657986139089473</v>
      </c>
    </row>
    <row r="97" spans="1:13" x14ac:dyDescent="0.2">
      <c r="A97" s="20" t="s">
        <v>392</v>
      </c>
      <c r="B97" s="232">
        <v>0</v>
      </c>
      <c r="C97" s="143">
        <v>254833.73457999999</v>
      </c>
      <c r="D97" s="164" t="str">
        <f t="shared" ref="D97" si="40">IF(B97=0, "    ---- ", IF(ABS(ROUND(100/B97*C97-100,1))&lt;999,ROUND(100/B97*C97-100,1),IF(ROUND(100/B97*C97-100,1)&gt;999,999,-999)))</f>
        <v xml:space="preserve">    ---- </v>
      </c>
      <c r="E97" s="26">
        <f>IFERROR(100/'Skjema total MA'!C98*C97,0)</f>
        <v>6.8525960261332536E-2</v>
      </c>
      <c r="F97" s="232"/>
      <c r="G97" s="143"/>
      <c r="H97" s="164"/>
      <c r="I97" s="26"/>
      <c r="J97" s="285">
        <f t="shared" ref="J97" si="41">SUM(B97,F97)</f>
        <v>0</v>
      </c>
      <c r="K97" s="43">
        <f t="shared" ref="K97" si="42">SUM(C97,G97)</f>
        <v>254833.73457999999</v>
      </c>
      <c r="L97" s="253" t="str">
        <f t="shared" ref="L97" si="43">IF(J97=0, "    ---- ", IF(ABS(ROUND(100/J97*K97-100,1))&lt;999,ROUND(100/J97*K97-100,1),IF(ROUND(100/J97*K97-100,1)&gt;999,999,-999)))</f>
        <v xml:space="preserve">    ---- </v>
      </c>
      <c r="M97" s="26">
        <f>IFERROR(100/'Skjema total MA'!I98*K97,0)</f>
        <v>4.2878888746952122E-2</v>
      </c>
    </row>
    <row r="98" spans="1:13" ht="15.75" x14ac:dyDescent="0.2">
      <c r="A98" s="20" t="s">
        <v>318</v>
      </c>
      <c r="B98" s="232">
        <v>11344681.092879999</v>
      </c>
      <c r="C98" s="232">
        <v>12054201.94565</v>
      </c>
      <c r="D98" s="164">
        <f t="shared" si="13"/>
        <v>6.3</v>
      </c>
      <c r="E98" s="26">
        <f>IFERROR(100/'Skjema total MA'!C98*C98,0)</f>
        <v>3.2414302010331952</v>
      </c>
      <c r="F98" s="290">
        <v>15500479.712269999</v>
      </c>
      <c r="G98" s="290">
        <v>19989419.527380001</v>
      </c>
      <c r="H98" s="164">
        <f t="shared" si="14"/>
        <v>29</v>
      </c>
      <c r="I98" s="26">
        <f>IFERROR(100/'Skjema total MA'!F98*G98,0)</f>
        <v>8.9867804709427332</v>
      </c>
      <c r="J98" s="285">
        <f t="shared" si="33"/>
        <v>26845160.805149999</v>
      </c>
      <c r="K98" s="43">
        <f t="shared" si="33"/>
        <v>32043621.473030001</v>
      </c>
      <c r="L98" s="253">
        <f t="shared" si="16"/>
        <v>19.399999999999999</v>
      </c>
      <c r="M98" s="26">
        <f>IFERROR(100/'Skjema total MA'!I98*K98,0)</f>
        <v>5.391730739480102</v>
      </c>
    </row>
    <row r="99" spans="1:13" x14ac:dyDescent="0.2">
      <c r="A99" s="20" t="s">
        <v>9</v>
      </c>
      <c r="B99" s="290">
        <v>10507720.74828</v>
      </c>
      <c r="C99" s="291">
        <v>10914340.241250001</v>
      </c>
      <c r="D99" s="164">
        <f t="shared" si="13"/>
        <v>3.9</v>
      </c>
      <c r="E99" s="26">
        <f>IFERROR(100/'Skjema total MA'!C99*C99,0)</f>
        <v>2.9548979006381586</v>
      </c>
      <c r="F99" s="232">
        <v>0</v>
      </c>
      <c r="G99" s="143">
        <v>0</v>
      </c>
      <c r="H99" s="164" t="str">
        <f t="shared" si="14"/>
        <v xml:space="preserve">    ---- </v>
      </c>
      <c r="I99" s="26">
        <f>IFERROR(100/'Skjema total MA'!F99*G99,0)</f>
        <v>0</v>
      </c>
      <c r="J99" s="285">
        <f t="shared" si="33"/>
        <v>10507720.74828</v>
      </c>
      <c r="K99" s="43">
        <f t="shared" si="33"/>
        <v>10914340.241250001</v>
      </c>
      <c r="L99" s="253">
        <f t="shared" si="16"/>
        <v>3.9</v>
      </c>
      <c r="M99" s="26">
        <f>IFERROR(100/'Skjema total MA'!I99*K99,0)</f>
        <v>2.9548979006381586</v>
      </c>
    </row>
    <row r="100" spans="1:13" x14ac:dyDescent="0.2">
      <c r="A100" s="20" t="s">
        <v>10</v>
      </c>
      <c r="B100" s="290">
        <v>836960.34459999995</v>
      </c>
      <c r="C100" s="291">
        <v>1139861.7043999999</v>
      </c>
      <c r="D100" s="164">
        <f t="shared" si="13"/>
        <v>36.200000000000003</v>
      </c>
      <c r="E100" s="26">
        <f>IFERROR(100/'Skjema total MA'!C100*C100,0)</f>
        <v>45.327266489251329</v>
      </c>
      <c r="F100" s="232">
        <v>15500479.712269999</v>
      </c>
      <c r="G100" s="232">
        <v>19989419.527380001</v>
      </c>
      <c r="H100" s="164">
        <f t="shared" si="14"/>
        <v>29</v>
      </c>
      <c r="I100" s="26">
        <f>IFERROR(100/'Skjema total MA'!F100*G100,0)</f>
        <v>8.9867804709427332</v>
      </c>
      <c r="J100" s="285">
        <f t="shared" si="33"/>
        <v>16337440.056869999</v>
      </c>
      <c r="K100" s="43">
        <f t="shared" si="33"/>
        <v>21129281.23178</v>
      </c>
      <c r="L100" s="253">
        <f t="shared" si="16"/>
        <v>29.3</v>
      </c>
      <c r="M100" s="26">
        <f>IFERROR(100/'Skjema total MA'!I100*K100,0)</f>
        <v>9.3930412245866588</v>
      </c>
    </row>
    <row r="101" spans="1:13" ht="15.75" x14ac:dyDescent="0.2">
      <c r="A101" s="294" t="s">
        <v>316</v>
      </c>
      <c r="B101" s="279"/>
      <c r="C101" s="279"/>
      <c r="D101" s="164"/>
      <c r="E101" s="414"/>
      <c r="F101" s="279"/>
      <c r="G101" s="279"/>
      <c r="H101" s="164"/>
      <c r="I101" s="414"/>
      <c r="J101" s="288"/>
      <c r="K101" s="288"/>
      <c r="L101" s="164"/>
      <c r="M101" s="22"/>
    </row>
    <row r="102" spans="1:13" x14ac:dyDescent="0.2">
      <c r="A102" s="294" t="s">
        <v>12</v>
      </c>
      <c r="B102" s="233"/>
      <c r="C102" s="287"/>
      <c r="D102" s="164"/>
      <c r="E102" s="414"/>
      <c r="F102" s="279"/>
      <c r="G102" s="279"/>
      <c r="H102" s="164"/>
      <c r="I102" s="414"/>
      <c r="J102" s="288"/>
      <c r="K102" s="288"/>
      <c r="L102" s="164"/>
      <c r="M102" s="22"/>
    </row>
    <row r="103" spans="1:13" x14ac:dyDescent="0.2">
      <c r="A103" s="294" t="s">
        <v>13</v>
      </c>
      <c r="B103" s="233"/>
      <c r="C103" s="287"/>
      <c r="D103" s="164"/>
      <c r="E103" s="414"/>
      <c r="F103" s="279"/>
      <c r="G103" s="279"/>
      <c r="H103" s="164"/>
      <c r="I103" s="414"/>
      <c r="J103" s="288"/>
      <c r="K103" s="288"/>
      <c r="L103" s="164"/>
      <c r="M103" s="22"/>
    </row>
    <row r="104" spans="1:13" ht="15.75" x14ac:dyDescent="0.2">
      <c r="A104" s="294" t="s">
        <v>317</v>
      </c>
      <c r="B104" s="279">
        <v>836960.34459999995</v>
      </c>
      <c r="C104" s="279">
        <v>1139861.7043999999</v>
      </c>
      <c r="D104" s="164">
        <f t="shared" si="13"/>
        <v>36.200000000000003</v>
      </c>
      <c r="E104" s="26">
        <f>IFERROR(100/'Skjema total MA'!C104*C104,0)</f>
        <v>45.327266489251329</v>
      </c>
      <c r="F104" s="279">
        <v>15500479.712269999</v>
      </c>
      <c r="G104" s="279">
        <v>19989419.527380001</v>
      </c>
      <c r="H104" s="164">
        <f t="shared" si="14"/>
        <v>29</v>
      </c>
      <c r="I104" s="414">
        <f>IFERROR(100/'Skjema total MA'!F104*G104,0)</f>
        <v>8.9867804709427332</v>
      </c>
      <c r="J104" s="285">
        <f t="shared" ref="J104" si="44">SUM(B104,F104)</f>
        <v>16337440.056869999</v>
      </c>
      <c r="K104" s="43">
        <f t="shared" ref="K104" si="45">SUM(C104,G104)</f>
        <v>21129281.23178</v>
      </c>
      <c r="L104" s="164">
        <f t="shared" ref="L104" si="46">IF(J104=0, "    ---- ", IF(ABS(ROUND(100/J104*K104-100,1))&lt;999,ROUND(100/J104*K104-100,1),IF(ROUND(100/J104*K104-100,1)&gt;999,999,-999)))</f>
        <v>29.3</v>
      </c>
      <c r="M104" s="22">
        <f>IFERROR(100/'Skjema total MA'!I104*K104,0)</f>
        <v>9.3930412245866588</v>
      </c>
    </row>
    <row r="105" spans="1:13" x14ac:dyDescent="0.2">
      <c r="A105" s="294" t="s">
        <v>12</v>
      </c>
      <c r="B105" s="233"/>
      <c r="C105" s="287"/>
      <c r="D105" s="164"/>
      <c r="E105" s="414"/>
      <c r="F105" s="279"/>
      <c r="G105" s="279"/>
      <c r="H105" s="164"/>
      <c r="I105" s="414"/>
      <c r="J105" s="288"/>
      <c r="K105" s="288"/>
      <c r="L105" s="164"/>
      <c r="M105" s="22"/>
    </row>
    <row r="106" spans="1:13" x14ac:dyDescent="0.2">
      <c r="A106" s="294" t="s">
        <v>13</v>
      </c>
      <c r="B106" s="233"/>
      <c r="C106" s="287"/>
      <c r="D106" s="164"/>
      <c r="E106" s="414"/>
      <c r="F106" s="279">
        <v>15500479.712269999</v>
      </c>
      <c r="G106" s="279">
        <v>19989419.527380001</v>
      </c>
      <c r="H106" s="164">
        <f t="shared" si="14"/>
        <v>29</v>
      </c>
      <c r="I106" s="414">
        <f>IFERROR(100/'Skjema total MA'!F106*G106,0)</f>
        <v>9.1061602067213112</v>
      </c>
      <c r="J106" s="285">
        <f t="shared" ref="J106" si="47">SUM(B106,F106)</f>
        <v>15500479.712269999</v>
      </c>
      <c r="K106" s="43">
        <f t="shared" ref="K106" si="48">SUM(C106,G106)</f>
        <v>19989419.527380001</v>
      </c>
      <c r="L106" s="164">
        <f t="shared" ref="L106" si="49">IF(J106=0, "    ---- ", IF(ABS(ROUND(100/J106*K106-100,1))&lt;999,ROUND(100/J106*K106-100,1),IF(ROUND(100/J106*K106-100,1)&gt;999,999,-999)))</f>
        <v>29</v>
      </c>
      <c r="M106" s="22">
        <f>IFERROR(100/'Skjema total MA'!I106*K106,0)</f>
        <v>9.1061602067213112</v>
      </c>
    </row>
    <row r="107" spans="1:13" ht="15.75" x14ac:dyDescent="0.2">
      <c r="A107" s="20" t="s">
        <v>327</v>
      </c>
      <c r="B107" s="232"/>
      <c r="C107" s="143"/>
      <c r="D107" s="164"/>
      <c r="E107" s="26"/>
      <c r="F107" s="232">
        <v>52771.00417</v>
      </c>
      <c r="G107" s="143">
        <v>60911.099620000001</v>
      </c>
      <c r="H107" s="164">
        <f t="shared" si="14"/>
        <v>15.4</v>
      </c>
      <c r="I107" s="26">
        <f>IFERROR(100/'Skjema total MA'!F107*G107,0)</f>
        <v>10.232345485751919</v>
      </c>
      <c r="J107" s="285">
        <f t="shared" si="33"/>
        <v>52771.00417</v>
      </c>
      <c r="K107" s="43">
        <f t="shared" si="33"/>
        <v>60911.099620000001</v>
      </c>
      <c r="L107" s="253">
        <f t="shared" si="16"/>
        <v>15.4</v>
      </c>
      <c r="M107" s="26">
        <f>IFERROR(100/'Skjema total MA'!I107*K107,0)</f>
        <v>1.3328331438278327</v>
      </c>
    </row>
    <row r="108" spans="1:13" ht="15.75" x14ac:dyDescent="0.2">
      <c r="A108" s="20" t="s">
        <v>328</v>
      </c>
      <c r="B108" s="232">
        <v>5489153.4495299999</v>
      </c>
      <c r="C108" s="232">
        <v>7789402.8921100004</v>
      </c>
      <c r="D108" s="164">
        <f t="shared" si="13"/>
        <v>41.9</v>
      </c>
      <c r="E108" s="26">
        <f>IFERROR(100/'Skjema total MA'!C108*C108,0)</f>
        <v>2.5857690078414386</v>
      </c>
      <c r="F108" s="232"/>
      <c r="G108" s="232"/>
      <c r="H108" s="164"/>
      <c r="I108" s="26"/>
      <c r="J108" s="285">
        <f t="shared" si="33"/>
        <v>5489153.4495299999</v>
      </c>
      <c r="K108" s="43">
        <f t="shared" si="33"/>
        <v>7789402.8921100004</v>
      </c>
      <c r="L108" s="253">
        <f t="shared" si="16"/>
        <v>41.9</v>
      </c>
      <c r="M108" s="26">
        <f>IFERROR(100/'Skjema total MA'!I108*K108,0)</f>
        <v>2.5250874908353698</v>
      </c>
    </row>
    <row r="109" spans="1:13" ht="15.75" x14ac:dyDescent="0.2">
      <c r="A109" s="20" t="s">
        <v>320</v>
      </c>
      <c r="B109" s="232">
        <v>274148.96726</v>
      </c>
      <c r="C109" s="232">
        <v>298101.25412</v>
      </c>
      <c r="D109" s="164">
        <f t="shared" si="13"/>
        <v>8.6999999999999993</v>
      </c>
      <c r="E109" s="26">
        <f>IFERROR(100/'Skjema total MA'!C109*C109,0)</f>
        <v>37.999141150925539</v>
      </c>
      <c r="F109" s="232">
        <v>4802380.0991500001</v>
      </c>
      <c r="G109" s="232">
        <v>6390953.9479700001</v>
      </c>
      <c r="H109" s="164">
        <f t="shared" si="14"/>
        <v>33.1</v>
      </c>
      <c r="I109" s="26">
        <f>IFERROR(100/'Skjema total MA'!F109*G109,0)</f>
        <v>8.7086611335780102</v>
      </c>
      <c r="J109" s="285">
        <f t="shared" si="33"/>
        <v>5076529.0664100004</v>
      </c>
      <c r="K109" s="43">
        <f t="shared" si="33"/>
        <v>6689055.2020899998</v>
      </c>
      <c r="L109" s="253">
        <f t="shared" si="16"/>
        <v>31.8</v>
      </c>
      <c r="M109" s="26">
        <f>IFERROR(100/'Skjema total MA'!I109*K109,0)</f>
        <v>9.0184631693266368</v>
      </c>
    </row>
    <row r="110" spans="1:13" ht="15.75" x14ac:dyDescent="0.2">
      <c r="A110" s="20" t="s">
        <v>321</v>
      </c>
      <c r="B110" s="232">
        <v>0</v>
      </c>
      <c r="C110" s="232">
        <v>22614.257610000001</v>
      </c>
      <c r="D110" s="164" t="str">
        <f t="shared" si="13"/>
        <v xml:space="preserve">    ---- </v>
      </c>
      <c r="E110" s="26">
        <f>IFERROR(100/'Skjema total MA'!C110*C110,0)</f>
        <v>100</v>
      </c>
      <c r="F110" s="232"/>
      <c r="G110" s="232"/>
      <c r="H110" s="164"/>
      <c r="I110" s="26"/>
      <c r="J110" s="285">
        <f t="shared" si="33"/>
        <v>0</v>
      </c>
      <c r="K110" s="43">
        <f t="shared" si="33"/>
        <v>22614.257610000001</v>
      </c>
      <c r="L110" s="253" t="str">
        <f t="shared" si="16"/>
        <v xml:space="preserve">    ---- </v>
      </c>
      <c r="M110" s="26">
        <f>IFERROR(100/'Skjema total MA'!I110*K110,0)</f>
        <v>100</v>
      </c>
    </row>
    <row r="111" spans="1:13" ht="15.75" x14ac:dyDescent="0.2">
      <c r="A111" s="13" t="s">
        <v>24</v>
      </c>
      <c r="B111" s="306">
        <f>SUM(B112:B114)</f>
        <v>132530.83721999999</v>
      </c>
      <c r="C111" s="157">
        <f>SUM(C112:C114)</f>
        <v>51250.951609999996</v>
      </c>
      <c r="D111" s="169">
        <f t="shared" si="13"/>
        <v>-61.3</v>
      </c>
      <c r="E111" s="11">
        <f>IFERROR(100/'Skjema total MA'!C111*C111,0)</f>
        <v>9.3052039016172134</v>
      </c>
      <c r="F111" s="306">
        <f>SUM(F112:F114)</f>
        <v>1490935.1241899999</v>
      </c>
      <c r="G111" s="157">
        <f>SUM(G112:G114)</f>
        <v>1533131.6724</v>
      </c>
      <c r="H111" s="169">
        <f t="shared" si="14"/>
        <v>2.8</v>
      </c>
      <c r="I111" s="11">
        <f>IFERROR(100/'Skjema total MA'!F111*G111,0)</f>
        <v>15.974057193511502</v>
      </c>
      <c r="J111" s="307">
        <f t="shared" si="33"/>
        <v>1623465.96141</v>
      </c>
      <c r="K111" s="234">
        <f t="shared" si="33"/>
        <v>1584382.6240100001</v>
      </c>
      <c r="L111" s="425">
        <f t="shared" si="16"/>
        <v>-2.4</v>
      </c>
      <c r="M111" s="11">
        <f>IFERROR(100/'Skjema total MA'!I111*K111,0)</f>
        <v>15.612123422217222</v>
      </c>
    </row>
    <row r="112" spans="1:13" x14ac:dyDescent="0.2">
      <c r="A112" s="20" t="s">
        <v>9</v>
      </c>
      <c r="B112" s="232">
        <v>129338.56994</v>
      </c>
      <c r="C112" s="143">
        <v>44933.955849999998</v>
      </c>
      <c r="D112" s="164">
        <f t="shared" ref="D112:D125" si="50">IF(B112=0, "    ---- ", IF(ABS(ROUND(100/B112*C112-100,1))&lt;999,ROUND(100/B112*C112-100,1),IF(ROUND(100/B112*C112-100,1)&gt;999,999,-999)))</f>
        <v>-65.3</v>
      </c>
      <c r="E112" s="26">
        <f>IFERROR(100/'Skjema total MA'!C112*C112,0)</f>
        <v>8.2619501589254689</v>
      </c>
      <c r="F112" s="232"/>
      <c r="G112" s="143"/>
      <c r="H112" s="164"/>
      <c r="I112" s="26"/>
      <c r="J112" s="285">
        <f t="shared" ref="J112:K125" si="51">SUM(B112,F112)</f>
        <v>129338.56994</v>
      </c>
      <c r="K112" s="43">
        <f t="shared" si="51"/>
        <v>44933.955849999998</v>
      </c>
      <c r="L112" s="253">
        <f t="shared" ref="L112:L125" si="52">IF(J112=0, "    ---- ", IF(ABS(ROUND(100/J112*K112-100,1))&lt;999,ROUND(100/J112*K112-100,1),IF(ROUND(100/J112*K112-100,1)&gt;999,999,-999)))</f>
        <v>-65.3</v>
      </c>
      <c r="M112" s="26">
        <f>IFERROR(100/'Skjema total MA'!I112*K112,0)</f>
        <v>8.2619501589254689</v>
      </c>
    </row>
    <row r="113" spans="1:14" x14ac:dyDescent="0.2">
      <c r="A113" s="20" t="s">
        <v>10</v>
      </c>
      <c r="B113" s="232">
        <v>3192.26728</v>
      </c>
      <c r="C113" s="143">
        <v>2225.788</v>
      </c>
      <c r="D113" s="164">
        <f t="shared" si="50"/>
        <v>-30.3</v>
      </c>
      <c r="E113" s="26">
        <f>IFERROR(100/'Skjema total MA'!C113*C113,0)</f>
        <v>78.931927317551839</v>
      </c>
      <c r="F113" s="232">
        <v>1490935.1241899999</v>
      </c>
      <c r="G113" s="143">
        <v>1531928.6454400001</v>
      </c>
      <c r="H113" s="164">
        <f t="shared" ref="H113:H125" si="53">IF(F113=0, "    ---- ", IF(ABS(ROUND(100/F113*G113-100,1))&lt;999,ROUND(100/F113*G113-100,1),IF(ROUND(100/F113*G113-100,1)&gt;999,999,-999)))</f>
        <v>2.7</v>
      </c>
      <c r="I113" s="26">
        <f>IFERROR(100/'Skjema total MA'!F113*G113,0)</f>
        <v>15.963523541325813</v>
      </c>
      <c r="J113" s="285">
        <f t="shared" si="51"/>
        <v>1494127.3914699999</v>
      </c>
      <c r="K113" s="43">
        <f t="shared" si="51"/>
        <v>1534154.4334400001</v>
      </c>
      <c r="L113" s="253">
        <f t="shared" si="52"/>
        <v>2.7</v>
      </c>
      <c r="M113" s="26">
        <f>IFERROR(100/'Skjema total MA'!I113*K113,0)</f>
        <v>15.982021184442408</v>
      </c>
    </row>
    <row r="114" spans="1:14" x14ac:dyDescent="0.2">
      <c r="A114" s="20" t="s">
        <v>29</v>
      </c>
      <c r="B114" s="232">
        <v>0</v>
      </c>
      <c r="C114" s="143">
        <v>4091.2077599999998</v>
      </c>
      <c r="D114" s="164" t="str">
        <f t="shared" si="50"/>
        <v xml:space="preserve">    ---- </v>
      </c>
      <c r="E114" s="26">
        <f>IFERROR(100/'Skjema total MA'!C114*C114,0)</f>
        <v>100</v>
      </c>
      <c r="F114" s="232">
        <v>0</v>
      </c>
      <c r="G114" s="143">
        <v>1203.0269599999999</v>
      </c>
      <c r="H114" s="164" t="str">
        <f t="shared" si="53"/>
        <v xml:space="preserve">    ---- </v>
      </c>
      <c r="I114" s="26">
        <f>IFERROR(100/'Skjema total MA'!F114*G114,0)</f>
        <v>100</v>
      </c>
      <c r="J114" s="285">
        <f t="shared" si="51"/>
        <v>0</v>
      </c>
      <c r="K114" s="43">
        <f t="shared" si="51"/>
        <v>5294.2347199999995</v>
      </c>
      <c r="L114" s="253" t="str">
        <f t="shared" si="52"/>
        <v xml:space="preserve">    ---- </v>
      </c>
      <c r="M114" s="26">
        <f>IFERROR(100/'Skjema total MA'!I114*K114,0)</f>
        <v>99.999999999999986</v>
      </c>
    </row>
    <row r="115" spans="1:14" x14ac:dyDescent="0.2">
      <c r="A115" s="294" t="s">
        <v>15</v>
      </c>
      <c r="B115" s="279">
        <v>0</v>
      </c>
      <c r="C115" s="279">
        <v>12340.65101</v>
      </c>
      <c r="D115" s="164" t="str">
        <f t="shared" si="50"/>
        <v xml:space="preserve">    ---- </v>
      </c>
      <c r="E115" s="26">
        <f>IFERROR(100/'Skjema total MA'!C115*C115,0)</f>
        <v>100</v>
      </c>
      <c r="F115" s="279"/>
      <c r="G115" s="279"/>
      <c r="H115" s="164"/>
      <c r="I115" s="414"/>
      <c r="J115" s="285">
        <f t="shared" si="51"/>
        <v>0</v>
      </c>
      <c r="K115" s="43">
        <f t="shared" si="51"/>
        <v>12340.65101</v>
      </c>
      <c r="L115" s="164" t="str">
        <f t="shared" si="52"/>
        <v xml:space="preserve">    ---- </v>
      </c>
      <c r="M115" s="22">
        <f>IFERROR(100/'Skjema total MA'!I115*K115,0)</f>
        <v>2.2274109955745893</v>
      </c>
    </row>
    <row r="116" spans="1:14" ht="15.75" x14ac:dyDescent="0.2">
      <c r="A116" s="20" t="s">
        <v>329</v>
      </c>
      <c r="B116" s="232">
        <v>43009.119509999997</v>
      </c>
      <c r="C116" s="232">
        <v>0</v>
      </c>
      <c r="D116" s="164">
        <f t="shared" si="50"/>
        <v>-100</v>
      </c>
      <c r="E116" s="26">
        <f>IFERROR(100/'Skjema total MA'!C116*C116,0)</f>
        <v>0</v>
      </c>
      <c r="F116" s="232"/>
      <c r="G116" s="232"/>
      <c r="H116" s="164"/>
      <c r="I116" s="26"/>
      <c r="J116" s="285">
        <f t="shared" si="51"/>
        <v>43009.119509999997</v>
      </c>
      <c r="K116" s="43">
        <f t="shared" si="51"/>
        <v>0</v>
      </c>
      <c r="L116" s="253">
        <f t="shared" si="52"/>
        <v>-100</v>
      </c>
      <c r="M116" s="26">
        <f>IFERROR(100/'Skjema total MA'!I116*K116,0)</f>
        <v>0</v>
      </c>
    </row>
    <row r="117" spans="1:14" ht="15.75" x14ac:dyDescent="0.2">
      <c r="A117" s="20" t="s">
        <v>322</v>
      </c>
      <c r="B117" s="232">
        <v>13.897</v>
      </c>
      <c r="C117" s="232">
        <v>924.41134999999997</v>
      </c>
      <c r="D117" s="164">
        <f t="shared" si="50"/>
        <v>999</v>
      </c>
      <c r="E117" s="26">
        <f>IFERROR(100/'Skjema total MA'!C117*C117,0)</f>
        <v>100</v>
      </c>
      <c r="F117" s="232">
        <v>120518.07569</v>
      </c>
      <c r="G117" s="232">
        <v>216251.53500999999</v>
      </c>
      <c r="H117" s="164">
        <f t="shared" si="53"/>
        <v>79.400000000000006</v>
      </c>
      <c r="I117" s="26">
        <f>IFERROR(100/'Skjema total MA'!F117*G117,0)</f>
        <v>11.186239784410065</v>
      </c>
      <c r="J117" s="285">
        <f t="shared" si="51"/>
        <v>120531.97269</v>
      </c>
      <c r="K117" s="43">
        <f t="shared" si="51"/>
        <v>217175.94636</v>
      </c>
      <c r="L117" s="253">
        <f t="shared" si="52"/>
        <v>80.2</v>
      </c>
      <c r="M117" s="26">
        <f>IFERROR(100/'Skjema total MA'!I117*K117,0)</f>
        <v>11.22868833166878</v>
      </c>
    </row>
    <row r="118" spans="1:14" ht="15.75" x14ac:dyDescent="0.2">
      <c r="A118" s="20" t="s">
        <v>321</v>
      </c>
      <c r="B118" s="232"/>
      <c r="C118" s="232"/>
      <c r="D118" s="164"/>
      <c r="E118" s="26"/>
      <c r="F118" s="232"/>
      <c r="G118" s="232"/>
      <c r="H118" s="164"/>
      <c r="I118" s="26"/>
      <c r="J118" s="285"/>
      <c r="K118" s="43"/>
      <c r="L118" s="253"/>
      <c r="M118" s="26"/>
    </row>
    <row r="119" spans="1:14" ht="15.75" x14ac:dyDescent="0.2">
      <c r="A119" s="13" t="s">
        <v>23</v>
      </c>
      <c r="B119" s="306">
        <f>SUM(B120:B122)</f>
        <v>36109.538110000001</v>
      </c>
      <c r="C119" s="157">
        <f>SUM(C120:C122)</f>
        <v>42472.918600000005</v>
      </c>
      <c r="D119" s="169">
        <f t="shared" si="50"/>
        <v>17.600000000000001</v>
      </c>
      <c r="E119" s="11">
        <f>IFERROR(100/'Skjema total MA'!C119*C119,0)</f>
        <v>9.4620429463087774</v>
      </c>
      <c r="F119" s="306">
        <f>SUM(F120:F122)</f>
        <v>379431.80472000001</v>
      </c>
      <c r="G119" s="157">
        <f>SUM(G120:G122)</f>
        <v>677616.85222999996</v>
      </c>
      <c r="H119" s="169">
        <f t="shared" si="53"/>
        <v>78.599999999999994</v>
      </c>
      <c r="I119" s="11">
        <f>IFERROR(100/'Skjema total MA'!F119*G119,0)</f>
        <v>6.9480270128652952</v>
      </c>
      <c r="J119" s="307">
        <f t="shared" si="51"/>
        <v>415541.34283000004</v>
      </c>
      <c r="K119" s="234">
        <f t="shared" si="51"/>
        <v>720089.77082999994</v>
      </c>
      <c r="L119" s="425">
        <f t="shared" si="52"/>
        <v>73.3</v>
      </c>
      <c r="M119" s="11">
        <f>IFERROR(100/'Skjema total MA'!I119*K119,0)</f>
        <v>7.0586460773859701</v>
      </c>
    </row>
    <row r="120" spans="1:14" x14ac:dyDescent="0.2">
      <c r="A120" s="20" t="s">
        <v>9</v>
      </c>
      <c r="B120" s="232">
        <v>0</v>
      </c>
      <c r="C120" s="143">
        <v>7138.4990500000004</v>
      </c>
      <c r="D120" s="164" t="str">
        <f t="shared" si="50"/>
        <v xml:space="preserve">    ---- </v>
      </c>
      <c r="E120" s="26">
        <f>IFERROR(100/'Skjema total MA'!C120*C120,0)</f>
        <v>1.7361369985300763</v>
      </c>
      <c r="F120" s="232">
        <v>0</v>
      </c>
      <c r="G120" s="143">
        <v>0</v>
      </c>
      <c r="H120" s="164" t="str">
        <f t="shared" si="53"/>
        <v xml:space="preserve">    ---- </v>
      </c>
      <c r="I120" s="26">
        <f>IFERROR(100/'Skjema total MA'!F120*G120,0)</f>
        <v>0</v>
      </c>
      <c r="J120" s="285">
        <f t="shared" si="51"/>
        <v>0</v>
      </c>
      <c r="K120" s="43">
        <f t="shared" si="51"/>
        <v>7138.4990500000004</v>
      </c>
      <c r="L120" s="253" t="str">
        <f t="shared" si="52"/>
        <v xml:space="preserve">    ---- </v>
      </c>
      <c r="M120" s="26">
        <f>IFERROR(100/'Skjema total MA'!I120*K120,0)</f>
        <v>1.7361369985300763</v>
      </c>
    </row>
    <row r="121" spans="1:14" x14ac:dyDescent="0.2">
      <c r="A121" s="20" t="s">
        <v>10</v>
      </c>
      <c r="B121" s="232">
        <v>36109.538110000001</v>
      </c>
      <c r="C121" s="143">
        <v>34995.86954</v>
      </c>
      <c r="D121" s="164">
        <f t="shared" si="50"/>
        <v>-3.1</v>
      </c>
      <c r="E121" s="26">
        <f>IFERROR(100/'Skjema total MA'!C121*C121,0)</f>
        <v>93.654811986950932</v>
      </c>
      <c r="F121" s="232">
        <v>379431.80472000001</v>
      </c>
      <c r="G121" s="143">
        <v>677616.85222999996</v>
      </c>
      <c r="H121" s="164">
        <f t="shared" si="53"/>
        <v>78.599999999999994</v>
      </c>
      <c r="I121" s="26">
        <f>IFERROR(100/'Skjema total MA'!F121*G121,0)</f>
        <v>6.9480270128652952</v>
      </c>
      <c r="J121" s="285">
        <f t="shared" si="51"/>
        <v>415541.34283000004</v>
      </c>
      <c r="K121" s="43">
        <f t="shared" si="51"/>
        <v>712612.72176999995</v>
      </c>
      <c r="L121" s="253">
        <f t="shared" si="52"/>
        <v>71.5</v>
      </c>
      <c r="M121" s="26">
        <f>IFERROR(100/'Skjema total MA'!I121*K121,0)</f>
        <v>7.278972356133254</v>
      </c>
    </row>
    <row r="122" spans="1:14" x14ac:dyDescent="0.2">
      <c r="A122" s="20" t="s">
        <v>29</v>
      </c>
      <c r="B122" s="232">
        <v>0</v>
      </c>
      <c r="C122" s="143">
        <v>338.55001000000499</v>
      </c>
      <c r="D122" s="164" t="str">
        <f t="shared" si="50"/>
        <v xml:space="preserve">    ---- </v>
      </c>
      <c r="E122" s="26">
        <f>IFERROR(100/'Skjema total MA'!C122*C122,0)</f>
        <v>100</v>
      </c>
      <c r="F122" s="232"/>
      <c r="G122" s="143"/>
      <c r="H122" s="164"/>
      <c r="I122" s="26"/>
      <c r="J122" s="285">
        <f t="shared" si="51"/>
        <v>0</v>
      </c>
      <c r="K122" s="43">
        <f t="shared" si="51"/>
        <v>338.55001000000499</v>
      </c>
      <c r="L122" s="253" t="str">
        <f t="shared" si="52"/>
        <v xml:space="preserve">    ---- </v>
      </c>
      <c r="M122" s="26">
        <f>IFERROR(100/'Skjema total MA'!I122*K122,0)</f>
        <v>100</v>
      </c>
    </row>
    <row r="123" spans="1:14" x14ac:dyDescent="0.2">
      <c r="A123" s="294" t="s">
        <v>14</v>
      </c>
      <c r="B123" s="279"/>
      <c r="C123" s="279"/>
      <c r="D123" s="164"/>
      <c r="E123" s="414"/>
      <c r="F123" s="279"/>
      <c r="G123" s="279"/>
      <c r="H123" s="164"/>
      <c r="I123" s="414"/>
      <c r="J123" s="288"/>
      <c r="K123" s="288"/>
      <c r="L123" s="164"/>
      <c r="M123" s="22"/>
    </row>
    <row r="124" spans="1:14" ht="15.75" x14ac:dyDescent="0.2">
      <c r="A124" s="20" t="s">
        <v>319</v>
      </c>
      <c r="B124" s="232"/>
      <c r="C124" s="232"/>
      <c r="D124" s="164"/>
      <c r="E124" s="26"/>
      <c r="F124" s="232"/>
      <c r="G124" s="232"/>
      <c r="H124" s="164"/>
      <c r="I124" s="26"/>
      <c r="J124" s="285"/>
      <c r="K124" s="43"/>
      <c r="L124" s="253"/>
      <c r="M124" s="26"/>
    </row>
    <row r="125" spans="1:14" ht="15.75" x14ac:dyDescent="0.2">
      <c r="A125" s="20" t="s">
        <v>320</v>
      </c>
      <c r="B125" s="232">
        <v>1954.41805</v>
      </c>
      <c r="C125" s="232">
        <v>4791.2401499999996</v>
      </c>
      <c r="D125" s="164">
        <f t="shared" si="50"/>
        <v>145.1</v>
      </c>
      <c r="E125" s="26">
        <f>IFERROR(100/'Skjema total MA'!C125*C125,0)</f>
        <v>99.933902178540606</v>
      </c>
      <c r="F125" s="232">
        <v>76131.488580000005</v>
      </c>
      <c r="G125" s="232">
        <v>173614.65951999999</v>
      </c>
      <c r="H125" s="164">
        <f t="shared" si="53"/>
        <v>128</v>
      </c>
      <c r="I125" s="26">
        <f>IFERROR(100/'Skjema total MA'!F125*G125,0)</f>
        <v>9.4586691848480253</v>
      </c>
      <c r="J125" s="285">
        <f t="shared" si="51"/>
        <v>78085.906629999998</v>
      </c>
      <c r="K125" s="43">
        <f t="shared" si="51"/>
        <v>178405.89966999998</v>
      </c>
      <c r="L125" s="253">
        <f t="shared" si="52"/>
        <v>128.5</v>
      </c>
      <c r="M125" s="26">
        <f>IFERROR(100/'Skjema total MA'!I125*K125,0)</f>
        <v>9.6943778423763227</v>
      </c>
    </row>
    <row r="126" spans="1:14" ht="15.75" x14ac:dyDescent="0.2">
      <c r="A126" s="10" t="s">
        <v>321</v>
      </c>
      <c r="B126" s="44"/>
      <c r="C126" s="44"/>
      <c r="D126" s="165"/>
      <c r="E126" s="415"/>
      <c r="F126" s="44"/>
      <c r="G126" s="44"/>
      <c r="H126" s="165"/>
      <c r="I126" s="21"/>
      <c r="J126" s="286"/>
      <c r="K126" s="44"/>
      <c r="L126" s="254"/>
      <c r="M126" s="21"/>
    </row>
    <row r="127" spans="1:14" x14ac:dyDescent="0.2">
      <c r="A127" s="153"/>
      <c r="L127" s="25"/>
      <c r="M127" s="25"/>
      <c r="N127" s="25"/>
    </row>
    <row r="128" spans="1:14" x14ac:dyDescent="0.2">
      <c r="L128" s="25"/>
      <c r="M128" s="25"/>
      <c r="N128" s="25"/>
    </row>
    <row r="129" spans="1:15" ht="15.75" x14ac:dyDescent="0.25">
      <c r="A129" s="163" t="s">
        <v>30</v>
      </c>
    </row>
    <row r="130" spans="1:15" ht="15.75" x14ac:dyDescent="0.25">
      <c r="B130" s="963"/>
      <c r="C130" s="963"/>
      <c r="D130" s="963"/>
      <c r="E130" s="297"/>
      <c r="F130" s="963"/>
      <c r="G130" s="963"/>
      <c r="H130" s="963"/>
      <c r="I130" s="297"/>
      <c r="J130" s="963"/>
      <c r="K130" s="963"/>
      <c r="L130" s="963"/>
      <c r="M130" s="297"/>
    </row>
    <row r="131" spans="1:15" s="3" customFormat="1" x14ac:dyDescent="0.2">
      <c r="A131" s="142"/>
      <c r="B131" s="960" t="s">
        <v>0</v>
      </c>
      <c r="C131" s="961"/>
      <c r="D131" s="961"/>
      <c r="E131" s="299"/>
      <c r="F131" s="960" t="s">
        <v>1</v>
      </c>
      <c r="G131" s="961"/>
      <c r="H131" s="961"/>
      <c r="I131" s="302"/>
      <c r="J131" s="960" t="s">
        <v>2</v>
      </c>
      <c r="K131" s="961"/>
      <c r="L131" s="961"/>
      <c r="M131" s="302"/>
      <c r="N131" s="146"/>
      <c r="O131" s="146"/>
    </row>
    <row r="132" spans="1:15" s="3" customFormat="1" x14ac:dyDescent="0.2">
      <c r="A132" s="139"/>
      <c r="B132" s="150" t="s">
        <v>504</v>
      </c>
      <c r="C132" s="150" t="s">
        <v>505</v>
      </c>
      <c r="D132" s="243" t="s">
        <v>3</v>
      </c>
      <c r="E132" s="303" t="s">
        <v>32</v>
      </c>
      <c r="F132" s="150" t="s">
        <v>504</v>
      </c>
      <c r="G132" s="150" t="s">
        <v>505</v>
      </c>
      <c r="H132" s="204" t="s">
        <v>3</v>
      </c>
      <c r="I132" s="160" t="s">
        <v>32</v>
      </c>
      <c r="J132" s="244" t="s">
        <v>504</v>
      </c>
      <c r="K132" s="244" t="s">
        <v>505</v>
      </c>
      <c r="L132" s="245" t="s">
        <v>3</v>
      </c>
      <c r="M132" s="160" t="s">
        <v>32</v>
      </c>
      <c r="N132" s="146"/>
      <c r="O132" s="146"/>
    </row>
    <row r="133" spans="1:15" s="3" customFormat="1" x14ac:dyDescent="0.2">
      <c r="A133" s="934"/>
      <c r="B133" s="154"/>
      <c r="C133" s="154"/>
      <c r="D133" s="245" t="s">
        <v>4</v>
      </c>
      <c r="E133" s="154" t="s">
        <v>33</v>
      </c>
      <c r="F133" s="159"/>
      <c r="G133" s="159"/>
      <c r="H133" s="204" t="s">
        <v>4</v>
      </c>
      <c r="I133" s="154" t="s">
        <v>33</v>
      </c>
      <c r="J133" s="154"/>
      <c r="K133" s="154"/>
      <c r="L133" s="148" t="s">
        <v>4</v>
      </c>
      <c r="M133" s="154" t="s">
        <v>33</v>
      </c>
      <c r="N133" s="146"/>
      <c r="O133" s="146"/>
    </row>
    <row r="134" spans="1:15" s="3" customFormat="1" ht="15.75" x14ac:dyDescent="0.2">
      <c r="A134" s="14" t="s">
        <v>323</v>
      </c>
      <c r="B134" s="234"/>
      <c r="C134" s="307"/>
      <c r="D134" s="348"/>
      <c r="E134" s="11"/>
      <c r="F134" s="314"/>
      <c r="G134" s="315"/>
      <c r="H134" s="428"/>
      <c r="I134" s="23"/>
      <c r="J134" s="316"/>
      <c r="K134" s="316"/>
      <c r="L134" s="424"/>
      <c r="M134" s="11"/>
      <c r="N134" s="146"/>
      <c r="O134" s="146"/>
    </row>
    <row r="135" spans="1:15" s="3" customFormat="1" ht="15.75" x14ac:dyDescent="0.2">
      <c r="A135" s="13" t="s">
        <v>324</v>
      </c>
      <c r="B135" s="234"/>
      <c r="C135" s="307"/>
      <c r="D135" s="169"/>
      <c r="E135" s="11"/>
      <c r="F135" s="234"/>
      <c r="G135" s="307"/>
      <c r="H135" s="429"/>
      <c r="I135" s="23"/>
      <c r="J135" s="306"/>
      <c r="K135" s="306"/>
      <c r="L135" s="425"/>
      <c r="M135" s="11"/>
      <c r="N135" s="146"/>
      <c r="O135" s="146"/>
    </row>
    <row r="136" spans="1:15" s="3" customFormat="1" ht="15.75" x14ac:dyDescent="0.2">
      <c r="A136" s="13" t="s">
        <v>325</v>
      </c>
      <c r="B136" s="234"/>
      <c r="C136" s="307"/>
      <c r="D136" s="169"/>
      <c r="E136" s="11"/>
      <c r="F136" s="234"/>
      <c r="G136" s="307"/>
      <c r="H136" s="429"/>
      <c r="I136" s="23"/>
      <c r="J136" s="306"/>
      <c r="K136" s="306"/>
      <c r="L136" s="425"/>
      <c r="M136" s="11"/>
      <c r="N136" s="146"/>
      <c r="O136" s="146"/>
    </row>
    <row r="137" spans="1:15" s="3" customFormat="1" ht="15.75" x14ac:dyDescent="0.2">
      <c r="A137" s="40" t="s">
        <v>326</v>
      </c>
      <c r="B137" s="274"/>
      <c r="C137" s="313"/>
      <c r="D137" s="167"/>
      <c r="E137" s="9"/>
      <c r="F137" s="274"/>
      <c r="G137" s="313"/>
      <c r="H137" s="430"/>
      <c r="I137" s="35"/>
      <c r="J137" s="312"/>
      <c r="K137" s="312"/>
      <c r="L137" s="426"/>
      <c r="M137" s="35"/>
      <c r="N137" s="146"/>
      <c r="O137" s="146"/>
    </row>
    <row r="138" spans="1:15" s="3" customFormat="1" x14ac:dyDescent="0.2">
      <c r="A138" s="166"/>
      <c r="B138" s="32"/>
      <c r="C138" s="32"/>
      <c r="D138" s="157"/>
      <c r="E138" s="157"/>
      <c r="F138" s="32"/>
      <c r="G138" s="32"/>
      <c r="H138" s="157"/>
      <c r="I138" s="157"/>
      <c r="J138" s="32"/>
      <c r="K138" s="32"/>
      <c r="L138" s="157"/>
      <c r="M138" s="157"/>
      <c r="N138" s="146"/>
      <c r="O138" s="146"/>
    </row>
    <row r="139" spans="1:15" x14ac:dyDescent="0.2">
      <c r="A139" s="166"/>
      <c r="B139" s="32"/>
      <c r="C139" s="32"/>
      <c r="D139" s="157"/>
      <c r="E139" s="157"/>
      <c r="F139" s="32"/>
      <c r="G139" s="32"/>
      <c r="H139" s="157"/>
      <c r="I139" s="157"/>
      <c r="J139" s="32"/>
      <c r="K139" s="32"/>
      <c r="L139" s="157"/>
      <c r="M139" s="157"/>
      <c r="N139" s="146"/>
    </row>
    <row r="140" spans="1:15" x14ac:dyDescent="0.2">
      <c r="A140" s="166"/>
      <c r="B140" s="32"/>
      <c r="C140" s="32"/>
      <c r="D140" s="157"/>
      <c r="E140" s="157"/>
      <c r="F140" s="32"/>
      <c r="G140" s="32"/>
      <c r="H140" s="157"/>
      <c r="I140" s="157"/>
      <c r="J140" s="32"/>
      <c r="K140" s="32"/>
      <c r="L140" s="157"/>
      <c r="M140" s="157"/>
      <c r="N140" s="146"/>
    </row>
    <row r="141" spans="1:15" x14ac:dyDescent="0.2">
      <c r="A141" s="144"/>
      <c r="B141" s="144"/>
      <c r="C141" s="144"/>
      <c r="D141" s="144"/>
      <c r="E141" s="144"/>
      <c r="F141" s="144"/>
      <c r="G141" s="144"/>
      <c r="H141" s="144"/>
      <c r="I141" s="144"/>
      <c r="J141" s="144"/>
      <c r="K141" s="144"/>
      <c r="L141" s="144"/>
      <c r="M141" s="144"/>
      <c r="N141" s="144"/>
    </row>
    <row r="142" spans="1:15" ht="15.75" x14ac:dyDescent="0.25">
      <c r="B142" s="140"/>
      <c r="C142" s="140"/>
      <c r="D142" s="140"/>
      <c r="E142" s="140"/>
      <c r="F142" s="140"/>
      <c r="G142" s="140"/>
      <c r="H142" s="140"/>
      <c r="I142" s="140"/>
      <c r="J142" s="140"/>
      <c r="K142" s="140"/>
      <c r="L142" s="140"/>
      <c r="M142" s="140"/>
      <c r="N142" s="140"/>
    </row>
    <row r="143" spans="1:15" ht="15.75" x14ac:dyDescent="0.25">
      <c r="B143" s="155"/>
      <c r="C143" s="155"/>
      <c r="D143" s="155"/>
      <c r="E143" s="155"/>
      <c r="F143" s="155"/>
      <c r="G143" s="155"/>
      <c r="H143" s="155"/>
      <c r="I143" s="155"/>
      <c r="J143" s="155"/>
      <c r="K143" s="155"/>
      <c r="L143" s="155"/>
      <c r="M143" s="155"/>
      <c r="N143" s="155"/>
      <c r="O143" s="152"/>
    </row>
    <row r="144" spans="1:15" ht="15.75" x14ac:dyDescent="0.25">
      <c r="B144" s="155"/>
      <c r="C144" s="155"/>
      <c r="D144" s="155"/>
      <c r="E144" s="155"/>
      <c r="F144" s="155"/>
      <c r="G144" s="155"/>
      <c r="H144" s="155"/>
      <c r="I144" s="155"/>
      <c r="J144" s="155"/>
      <c r="K144" s="155"/>
      <c r="L144" s="155"/>
      <c r="M144" s="155"/>
      <c r="N144" s="155"/>
      <c r="O144" s="152"/>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404" priority="132">
      <formula>kvartal &lt; 4</formula>
    </cfRule>
  </conditionalFormatting>
  <conditionalFormatting sqref="B30">
    <cfRule type="expression" dxfId="403" priority="130">
      <formula>kvartal &lt; 4</formula>
    </cfRule>
  </conditionalFormatting>
  <conditionalFormatting sqref="B31">
    <cfRule type="expression" dxfId="402" priority="129">
      <formula>kvartal &lt; 4</formula>
    </cfRule>
  </conditionalFormatting>
  <conditionalFormatting sqref="B32:B33">
    <cfRule type="expression" dxfId="401" priority="128">
      <formula>kvartal &lt; 4</formula>
    </cfRule>
  </conditionalFormatting>
  <conditionalFormatting sqref="C30">
    <cfRule type="expression" dxfId="400" priority="127">
      <formula>kvartal &lt; 4</formula>
    </cfRule>
  </conditionalFormatting>
  <conditionalFormatting sqref="C31">
    <cfRule type="expression" dxfId="399" priority="126">
      <formula>kvartal &lt; 4</formula>
    </cfRule>
  </conditionalFormatting>
  <conditionalFormatting sqref="C32:C33">
    <cfRule type="expression" dxfId="398" priority="125">
      <formula>kvartal &lt; 4</formula>
    </cfRule>
  </conditionalFormatting>
  <conditionalFormatting sqref="B23:C26">
    <cfRule type="expression" dxfId="397" priority="124">
      <formula>kvartal &lt; 4</formula>
    </cfRule>
  </conditionalFormatting>
  <conditionalFormatting sqref="F23:G26">
    <cfRule type="expression" dxfId="396" priority="120">
      <formula>kvartal &lt; 4</formula>
    </cfRule>
  </conditionalFormatting>
  <conditionalFormatting sqref="F30">
    <cfRule type="expression" dxfId="395" priority="113">
      <formula>kvartal &lt; 4</formula>
    </cfRule>
  </conditionalFormatting>
  <conditionalFormatting sqref="F31">
    <cfRule type="expression" dxfId="394" priority="112">
      <formula>kvartal &lt; 4</formula>
    </cfRule>
  </conditionalFormatting>
  <conditionalFormatting sqref="F32:F33">
    <cfRule type="expression" dxfId="393" priority="111">
      <formula>kvartal &lt; 4</formula>
    </cfRule>
  </conditionalFormatting>
  <conditionalFormatting sqref="G30">
    <cfRule type="expression" dxfId="392" priority="110">
      <formula>kvartal &lt; 4</formula>
    </cfRule>
  </conditionalFormatting>
  <conditionalFormatting sqref="G31">
    <cfRule type="expression" dxfId="391" priority="109">
      <formula>kvartal &lt; 4</formula>
    </cfRule>
  </conditionalFormatting>
  <conditionalFormatting sqref="G32:G33">
    <cfRule type="expression" dxfId="390" priority="108">
      <formula>kvartal &lt; 4</formula>
    </cfRule>
  </conditionalFormatting>
  <conditionalFormatting sqref="B27">
    <cfRule type="expression" dxfId="389" priority="107">
      <formula>kvartal &lt; 4</formula>
    </cfRule>
  </conditionalFormatting>
  <conditionalFormatting sqref="C27">
    <cfRule type="expression" dxfId="388" priority="106">
      <formula>kvartal &lt; 4</formula>
    </cfRule>
  </conditionalFormatting>
  <conditionalFormatting sqref="F27">
    <cfRule type="expression" dxfId="387" priority="105">
      <formula>kvartal &lt; 4</formula>
    </cfRule>
  </conditionalFormatting>
  <conditionalFormatting sqref="G27">
    <cfRule type="expression" dxfId="386" priority="104">
      <formula>kvartal &lt; 4</formula>
    </cfRule>
  </conditionalFormatting>
  <conditionalFormatting sqref="J27:K27">
    <cfRule type="expression" dxfId="385" priority="103">
      <formula>kvartal &lt; 4</formula>
    </cfRule>
  </conditionalFormatting>
  <conditionalFormatting sqref="B69">
    <cfRule type="expression" dxfId="384" priority="100">
      <formula>kvartal &lt; 4</formula>
    </cfRule>
  </conditionalFormatting>
  <conditionalFormatting sqref="C69">
    <cfRule type="expression" dxfId="383" priority="99">
      <formula>kvartal &lt; 4</formula>
    </cfRule>
  </conditionalFormatting>
  <conditionalFormatting sqref="B72">
    <cfRule type="expression" dxfId="382" priority="98">
      <formula>kvartal &lt; 4</formula>
    </cfRule>
  </conditionalFormatting>
  <conditionalFormatting sqref="C72">
    <cfRule type="expression" dxfId="381" priority="97">
      <formula>kvartal &lt; 4</formula>
    </cfRule>
  </conditionalFormatting>
  <conditionalFormatting sqref="B80">
    <cfRule type="expression" dxfId="380" priority="96">
      <formula>kvartal &lt; 4</formula>
    </cfRule>
  </conditionalFormatting>
  <conditionalFormatting sqref="C80">
    <cfRule type="expression" dxfId="379" priority="95">
      <formula>kvartal &lt; 4</formula>
    </cfRule>
  </conditionalFormatting>
  <conditionalFormatting sqref="B83">
    <cfRule type="expression" dxfId="378" priority="94">
      <formula>kvartal &lt; 4</formula>
    </cfRule>
  </conditionalFormatting>
  <conditionalFormatting sqref="C83">
    <cfRule type="expression" dxfId="377" priority="93">
      <formula>kvartal &lt; 4</formula>
    </cfRule>
  </conditionalFormatting>
  <conditionalFormatting sqref="B90">
    <cfRule type="expression" dxfId="376" priority="84">
      <formula>kvartal &lt; 4</formula>
    </cfRule>
  </conditionalFormatting>
  <conditionalFormatting sqref="C90">
    <cfRule type="expression" dxfId="375" priority="83">
      <formula>kvartal &lt; 4</formula>
    </cfRule>
  </conditionalFormatting>
  <conditionalFormatting sqref="B93">
    <cfRule type="expression" dxfId="374" priority="82">
      <formula>kvartal &lt; 4</formula>
    </cfRule>
  </conditionalFormatting>
  <conditionalFormatting sqref="C93">
    <cfRule type="expression" dxfId="373" priority="81">
      <formula>kvartal &lt; 4</formula>
    </cfRule>
  </conditionalFormatting>
  <conditionalFormatting sqref="B101">
    <cfRule type="expression" dxfId="372" priority="80">
      <formula>kvartal &lt; 4</formula>
    </cfRule>
  </conditionalFormatting>
  <conditionalFormatting sqref="C101">
    <cfRule type="expression" dxfId="371" priority="79">
      <formula>kvartal &lt; 4</formula>
    </cfRule>
  </conditionalFormatting>
  <conditionalFormatting sqref="B104">
    <cfRule type="expression" dxfId="370" priority="78">
      <formula>kvartal &lt; 4</formula>
    </cfRule>
  </conditionalFormatting>
  <conditionalFormatting sqref="C104">
    <cfRule type="expression" dxfId="369" priority="77">
      <formula>kvartal &lt; 4</formula>
    </cfRule>
  </conditionalFormatting>
  <conditionalFormatting sqref="B115">
    <cfRule type="expression" dxfId="368" priority="76">
      <formula>kvartal &lt; 4</formula>
    </cfRule>
  </conditionalFormatting>
  <conditionalFormatting sqref="C115">
    <cfRule type="expression" dxfId="367" priority="75">
      <formula>kvartal &lt; 4</formula>
    </cfRule>
  </conditionalFormatting>
  <conditionalFormatting sqref="B123">
    <cfRule type="expression" dxfId="366" priority="74">
      <formula>kvartal &lt; 4</formula>
    </cfRule>
  </conditionalFormatting>
  <conditionalFormatting sqref="C123">
    <cfRule type="expression" dxfId="365" priority="73">
      <formula>kvartal &lt; 4</formula>
    </cfRule>
  </conditionalFormatting>
  <conditionalFormatting sqref="F70">
    <cfRule type="expression" dxfId="364" priority="72">
      <formula>kvartal &lt; 4</formula>
    </cfRule>
  </conditionalFormatting>
  <conditionalFormatting sqref="G70">
    <cfRule type="expression" dxfId="363" priority="71">
      <formula>kvartal &lt; 4</formula>
    </cfRule>
  </conditionalFormatting>
  <conditionalFormatting sqref="F71:G71">
    <cfRule type="expression" dxfId="362" priority="70">
      <formula>kvartal &lt; 4</formula>
    </cfRule>
  </conditionalFormatting>
  <conditionalFormatting sqref="F73:G74">
    <cfRule type="expression" dxfId="361" priority="69">
      <formula>kvartal &lt; 4</formula>
    </cfRule>
  </conditionalFormatting>
  <conditionalFormatting sqref="F81:G82">
    <cfRule type="expression" dxfId="360" priority="68">
      <formula>kvartal &lt; 4</formula>
    </cfRule>
  </conditionalFormatting>
  <conditionalFormatting sqref="F84:G85">
    <cfRule type="expression" dxfId="359" priority="67">
      <formula>kvartal &lt; 4</formula>
    </cfRule>
  </conditionalFormatting>
  <conditionalFormatting sqref="F91:G92">
    <cfRule type="expression" dxfId="358" priority="62">
      <formula>kvartal &lt; 4</formula>
    </cfRule>
  </conditionalFormatting>
  <conditionalFormatting sqref="F94:G95">
    <cfRule type="expression" dxfId="357" priority="61">
      <formula>kvartal &lt; 4</formula>
    </cfRule>
  </conditionalFormatting>
  <conditionalFormatting sqref="F102:G103">
    <cfRule type="expression" dxfId="356" priority="60">
      <formula>kvartal &lt; 4</formula>
    </cfRule>
  </conditionalFormatting>
  <conditionalFormatting sqref="F105:G106">
    <cfRule type="expression" dxfId="355" priority="59">
      <formula>kvartal &lt; 4</formula>
    </cfRule>
  </conditionalFormatting>
  <conditionalFormatting sqref="F115">
    <cfRule type="expression" dxfId="354" priority="58">
      <formula>kvartal &lt; 4</formula>
    </cfRule>
  </conditionalFormatting>
  <conditionalFormatting sqref="G115">
    <cfRule type="expression" dxfId="353" priority="57">
      <formula>kvartal &lt; 4</formula>
    </cfRule>
  </conditionalFormatting>
  <conditionalFormatting sqref="F123:G123">
    <cfRule type="expression" dxfId="352" priority="56">
      <formula>kvartal &lt; 4</formula>
    </cfRule>
  </conditionalFormatting>
  <conditionalFormatting sqref="F69:G69">
    <cfRule type="expression" dxfId="351" priority="55">
      <formula>kvartal &lt; 4</formula>
    </cfRule>
  </conditionalFormatting>
  <conditionalFormatting sqref="F72:G72">
    <cfRule type="expression" dxfId="350" priority="54">
      <formula>kvartal &lt; 4</formula>
    </cfRule>
  </conditionalFormatting>
  <conditionalFormatting sqref="F80:G80">
    <cfRule type="expression" dxfId="349" priority="53">
      <formula>kvartal &lt; 4</formula>
    </cfRule>
  </conditionalFormatting>
  <conditionalFormatting sqref="F83:G83">
    <cfRule type="expression" dxfId="348" priority="52">
      <formula>kvartal &lt; 4</formula>
    </cfRule>
  </conditionalFormatting>
  <conditionalFormatting sqref="F90:G90">
    <cfRule type="expression" dxfId="347" priority="46">
      <formula>kvartal &lt; 4</formula>
    </cfRule>
  </conditionalFormatting>
  <conditionalFormatting sqref="F93">
    <cfRule type="expression" dxfId="346" priority="45">
      <formula>kvartal &lt; 4</formula>
    </cfRule>
  </conditionalFormatting>
  <conditionalFormatting sqref="G93">
    <cfRule type="expression" dxfId="345" priority="44">
      <formula>kvartal &lt; 4</formula>
    </cfRule>
  </conditionalFormatting>
  <conditionalFormatting sqref="F101">
    <cfRule type="expression" dxfId="344" priority="43">
      <formula>kvartal &lt; 4</formula>
    </cfRule>
  </conditionalFormatting>
  <conditionalFormatting sqref="G101">
    <cfRule type="expression" dxfId="343" priority="42">
      <formula>kvartal &lt; 4</formula>
    </cfRule>
  </conditionalFormatting>
  <conditionalFormatting sqref="G104">
    <cfRule type="expression" dxfId="342" priority="41">
      <formula>kvartal &lt; 4</formula>
    </cfRule>
  </conditionalFormatting>
  <conditionalFormatting sqref="F104">
    <cfRule type="expression" dxfId="341" priority="40">
      <formula>kvartal &lt; 4</formula>
    </cfRule>
  </conditionalFormatting>
  <conditionalFormatting sqref="J69:K71 J73:K73">
    <cfRule type="expression" dxfId="340" priority="39">
      <formula>kvartal &lt; 4</formula>
    </cfRule>
  </conditionalFormatting>
  <conditionalFormatting sqref="J80:K82 J84:K84">
    <cfRule type="expression" dxfId="339" priority="37">
      <formula>kvartal &lt; 4</formula>
    </cfRule>
  </conditionalFormatting>
  <conditionalFormatting sqref="J90:K92 J94:K94">
    <cfRule type="expression" dxfId="338" priority="34">
      <formula>kvartal &lt; 4</formula>
    </cfRule>
  </conditionalFormatting>
  <conditionalFormatting sqref="J101:K103 J105:K105">
    <cfRule type="expression" dxfId="337" priority="33">
      <formula>kvartal &lt; 4</formula>
    </cfRule>
  </conditionalFormatting>
  <conditionalFormatting sqref="J123:K123">
    <cfRule type="expression" dxfId="336" priority="31">
      <formula>kvartal &lt; 4</formula>
    </cfRule>
  </conditionalFormatting>
  <conditionalFormatting sqref="A23:A26">
    <cfRule type="expression" dxfId="335" priority="15">
      <formula>kvartal &lt; 4</formula>
    </cfRule>
  </conditionalFormatting>
  <conditionalFormatting sqref="A30:A33">
    <cfRule type="expression" dxfId="334" priority="13">
      <formula>kvartal &lt; 4</formula>
    </cfRule>
  </conditionalFormatting>
  <conditionalFormatting sqref="A50:A52">
    <cfRule type="expression" dxfId="333" priority="12">
      <formula>kvartal &lt; 4</formula>
    </cfRule>
  </conditionalFormatting>
  <conditionalFormatting sqref="A69:A74">
    <cfRule type="expression" dxfId="332" priority="10">
      <formula>kvartal &lt; 4</formula>
    </cfRule>
  </conditionalFormatting>
  <conditionalFormatting sqref="A80:A85">
    <cfRule type="expression" dxfId="331" priority="9">
      <formula>kvartal &lt; 4</formula>
    </cfRule>
  </conditionalFormatting>
  <conditionalFormatting sqref="A90:A95">
    <cfRule type="expression" dxfId="330" priority="6">
      <formula>kvartal &lt; 4</formula>
    </cfRule>
  </conditionalFormatting>
  <conditionalFormatting sqref="A101:A106">
    <cfRule type="expression" dxfId="329" priority="5">
      <formula>kvartal &lt; 4</formula>
    </cfRule>
  </conditionalFormatting>
  <conditionalFormatting sqref="A115">
    <cfRule type="expression" dxfId="328" priority="4">
      <formula>kvartal &lt; 4</formula>
    </cfRule>
  </conditionalFormatting>
  <conditionalFormatting sqref="A123">
    <cfRule type="expression" dxfId="327" priority="3">
      <formula>kvartal &lt; 4</formula>
    </cfRule>
  </conditionalFormatting>
  <conditionalFormatting sqref="A27">
    <cfRule type="expression" dxfId="326" priority="2">
      <formula>kvartal &lt; 4</formula>
    </cfRule>
  </conditionalFormatting>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0"/>
  <dimension ref="A1:O144"/>
  <sheetViews>
    <sheetView showGridLines="0" zoomScale="90" zoomScaleNormal="90" workbookViewId="0"/>
  </sheetViews>
  <sheetFormatPr baseColWidth="10" defaultColWidth="11.42578125" defaultRowHeight="12.75" x14ac:dyDescent="0.2"/>
  <cols>
    <col min="1" max="1" width="41.5703125" style="147" customWidth="1"/>
    <col min="2" max="2" width="10.85546875" style="147" customWidth="1"/>
    <col min="3" max="3" width="11" style="147" customWidth="1"/>
    <col min="4" max="5" width="8.7109375" style="147" customWidth="1"/>
    <col min="6" max="7" width="10.85546875" style="147" customWidth="1"/>
    <col min="8" max="9" width="8.7109375" style="147" customWidth="1"/>
    <col min="10" max="11" width="10.85546875" style="147" customWidth="1"/>
    <col min="12" max="13" width="8.7109375" style="147" customWidth="1"/>
    <col min="14" max="14" width="11.42578125" style="147"/>
    <col min="15" max="15" width="3" style="146" bestFit="1" customWidth="1"/>
    <col min="16" max="16384" width="11.42578125" style="1"/>
  </cols>
  <sheetData>
    <row r="1" spans="1:15" x14ac:dyDescent="0.2">
      <c r="A1" s="170" t="s">
        <v>152</v>
      </c>
      <c r="B1" s="932"/>
      <c r="C1" s="247" t="s">
        <v>150</v>
      </c>
      <c r="D1" s="25"/>
      <c r="E1" s="25"/>
      <c r="F1" s="25"/>
      <c r="G1" s="25"/>
      <c r="H1" s="25"/>
      <c r="I1" s="25"/>
      <c r="J1" s="25"/>
      <c r="K1" s="25"/>
      <c r="L1" s="25"/>
      <c r="M1" s="25"/>
      <c r="O1" s="423"/>
    </row>
    <row r="2" spans="1:15" ht="15.75" x14ac:dyDescent="0.25">
      <c r="A2" s="163" t="s">
        <v>31</v>
      </c>
      <c r="B2" s="965"/>
      <c r="C2" s="965"/>
      <c r="D2" s="965"/>
      <c r="E2" s="297"/>
      <c r="F2" s="965"/>
      <c r="G2" s="965"/>
      <c r="H2" s="965"/>
      <c r="I2" s="297"/>
      <c r="J2" s="965"/>
      <c r="K2" s="965"/>
      <c r="L2" s="965"/>
      <c r="M2" s="297"/>
    </row>
    <row r="3" spans="1:15" ht="15.75" x14ac:dyDescent="0.25">
      <c r="A3" s="161"/>
      <c r="B3" s="297"/>
      <c r="C3" s="297"/>
      <c r="D3" s="297"/>
      <c r="E3" s="297"/>
      <c r="F3" s="297"/>
      <c r="G3" s="297"/>
      <c r="H3" s="297"/>
      <c r="I3" s="297"/>
      <c r="J3" s="297"/>
      <c r="K3" s="297"/>
      <c r="L3" s="297"/>
      <c r="M3" s="297"/>
    </row>
    <row r="4" spans="1:15" x14ac:dyDescent="0.2">
      <c r="A4" s="142"/>
      <c r="B4" s="960" t="s">
        <v>0</v>
      </c>
      <c r="C4" s="961"/>
      <c r="D4" s="961"/>
      <c r="E4" s="299"/>
      <c r="F4" s="960" t="s">
        <v>1</v>
      </c>
      <c r="G4" s="961"/>
      <c r="H4" s="961"/>
      <c r="I4" s="302"/>
      <c r="J4" s="960" t="s">
        <v>2</v>
      </c>
      <c r="K4" s="961"/>
      <c r="L4" s="961"/>
      <c r="M4" s="302"/>
    </row>
    <row r="5" spans="1:15" x14ac:dyDescent="0.2">
      <c r="A5" s="156"/>
      <c r="B5" s="150" t="s">
        <v>504</v>
      </c>
      <c r="C5" s="150" t="s">
        <v>505</v>
      </c>
      <c r="D5" s="243" t="s">
        <v>3</v>
      </c>
      <c r="E5" s="303" t="s">
        <v>32</v>
      </c>
      <c r="F5" s="150" t="s">
        <v>504</v>
      </c>
      <c r="G5" s="150" t="s">
        <v>505</v>
      </c>
      <c r="H5" s="243" t="s">
        <v>3</v>
      </c>
      <c r="I5" s="160" t="s">
        <v>32</v>
      </c>
      <c r="J5" s="150" t="s">
        <v>504</v>
      </c>
      <c r="K5" s="150" t="s">
        <v>505</v>
      </c>
      <c r="L5" s="243" t="s">
        <v>3</v>
      </c>
      <c r="M5" s="160" t="s">
        <v>32</v>
      </c>
      <c r="O5" s="931"/>
    </row>
    <row r="6" spans="1:15" x14ac:dyDescent="0.2">
      <c r="A6" s="933"/>
      <c r="B6" s="154"/>
      <c r="C6" s="154"/>
      <c r="D6" s="245" t="s">
        <v>4</v>
      </c>
      <c r="E6" s="154" t="s">
        <v>33</v>
      </c>
      <c r="F6" s="159"/>
      <c r="G6" s="159"/>
      <c r="H6" s="243" t="s">
        <v>4</v>
      </c>
      <c r="I6" s="154" t="s">
        <v>33</v>
      </c>
      <c r="J6" s="159"/>
      <c r="K6" s="159"/>
      <c r="L6" s="243" t="s">
        <v>4</v>
      </c>
      <c r="M6" s="154" t="s">
        <v>33</v>
      </c>
    </row>
    <row r="7" spans="1:15" ht="15.75" x14ac:dyDescent="0.2">
      <c r="A7" s="14" t="s">
        <v>26</v>
      </c>
      <c r="B7" s="304">
        <v>684722</v>
      </c>
      <c r="C7" s="305">
        <v>680070.31200000003</v>
      </c>
      <c r="D7" s="348">
        <f>IF(B7=0, "    ---- ", IF(ABS(ROUND(100/B7*C7-100,1))&lt;999,ROUND(100/B7*C7-100,1),IF(ROUND(100/B7*C7-100,1)&gt;999,999,-999)))</f>
        <v>-0.7</v>
      </c>
      <c r="E7" s="11">
        <f>IFERROR(100/'Skjema total MA'!C7*C7,0)</f>
        <v>14.581983293224001</v>
      </c>
      <c r="F7" s="304">
        <v>1658492.8759999999</v>
      </c>
      <c r="G7" s="305">
        <v>1570460.51</v>
      </c>
      <c r="H7" s="348">
        <f>IF(F7=0, "    ---- ", IF(ABS(ROUND(100/F7*G7-100,1))&lt;999,ROUND(100/F7*G7-100,1),IF(ROUND(100/F7*G7-100,1)&gt;999,999,-999)))</f>
        <v>-5.3</v>
      </c>
      <c r="I7" s="158">
        <f>IFERROR(100/'Skjema total MA'!F7*G7,0)</f>
        <v>17.830746707361222</v>
      </c>
      <c r="J7" s="306">
        <v>2343214.8760000002</v>
      </c>
      <c r="K7" s="307">
        <v>2250530.8220000002</v>
      </c>
      <c r="L7" s="424">
        <f>IF(J7=0, "    ---- ", IF(ABS(ROUND(100/J7*K7-100,1))&lt;999,ROUND(100/J7*K7-100,1),IF(ROUND(100/J7*K7-100,1)&gt;999,999,-999)))</f>
        <v>-4</v>
      </c>
      <c r="M7" s="11">
        <f>IFERROR(100/'Skjema total MA'!I7*K7,0)</f>
        <v>16.706028905447564</v>
      </c>
    </row>
    <row r="8" spans="1:15" ht="15.75" x14ac:dyDescent="0.2">
      <c r="A8" s="20" t="s">
        <v>28</v>
      </c>
      <c r="B8" s="279">
        <v>246660</v>
      </c>
      <c r="C8" s="280">
        <v>255921</v>
      </c>
      <c r="D8" s="164">
        <f>IF(AND(_xlfn.NUMBERVALUE(B8)=0,_xlfn.NUMBERVALUE(C8)=0),,IF(B8=0, "    ---- ", IF(ABS(ROUND(100/B8*C8-100,1))&lt;999,IF(ROUND(100/B8*C8-100,1)=0,"    ---- ",ROUND(100/B8*C8-100,1)),IF(ROUND(100/B8*C8-100,1)&gt;999,999,-999))))</f>
        <v>3.8</v>
      </c>
      <c r="E8" s="26">
        <f>IFERROR(100/'Skjema total MA'!C8*C8,0)</f>
        <v>10.282734235713924</v>
      </c>
      <c r="F8" s="283"/>
      <c r="G8" s="284"/>
      <c r="H8" s="164"/>
      <c r="I8" s="174">
        <f>IFERROR(100/'Skjema total MA'!F8*G8,0)</f>
        <v>0</v>
      </c>
      <c r="J8" s="232">
        <v>246660</v>
      </c>
      <c r="K8" s="285">
        <v>255921</v>
      </c>
      <c r="L8" s="164">
        <f>IF(AND(_xlfn.NUMBERVALUE(J8)=0,_xlfn.NUMBERVALUE(K8)=0),,IF(J8=0, "    ---- ", IF(ABS(ROUND(100/J8*K8-100,1))&lt;999,IF(ROUND(100/J8*K8-100,1)=0,"    ---- ",ROUND(100/J8*K8-100,1)),IF(ROUND(100/J8*K8-100,1)&gt;999,999,-999))))</f>
        <v>3.8</v>
      </c>
      <c r="M8" s="26">
        <f>IFERROR(100/'Skjema total MA'!I8*K8,0)</f>
        <v>10.282734235713924</v>
      </c>
    </row>
    <row r="9" spans="1:15" ht="15.75" x14ac:dyDescent="0.2">
      <c r="A9" s="20" t="s">
        <v>27</v>
      </c>
      <c r="B9" s="279">
        <v>77176</v>
      </c>
      <c r="C9" s="280">
        <v>71474</v>
      </c>
      <c r="D9" s="164">
        <f t="shared" ref="D9:D12" si="0">IF(B9=0, "    ---- ", IF(ABS(ROUND(100/B9*C9-100,1))&lt;999,ROUND(100/B9*C9-100,1),IF(ROUND(100/B9*C9-100,1)&gt;999,999,-999)))</f>
        <v>-7.4</v>
      </c>
      <c r="E9" s="26">
        <f>IFERROR(100/'Skjema total MA'!C9*C9,0)</f>
        <v>6.6055966630256382</v>
      </c>
      <c r="F9" s="283"/>
      <c r="G9" s="284"/>
      <c r="H9" s="164"/>
      <c r="I9" s="174">
        <f>IFERROR(100/'Skjema total MA'!F9*G9,0)</f>
        <v>0</v>
      </c>
      <c r="J9" s="232">
        <v>77176</v>
      </c>
      <c r="K9" s="285">
        <v>71474</v>
      </c>
      <c r="L9" s="164">
        <f>IF(AND(_xlfn.NUMBERVALUE(J9)=0,_xlfn.NUMBERVALUE(K9)=0),,IF(J9=0, "    ---- ", IF(ABS(ROUND(100/J9*K9-100,1))&lt;999,IF(ROUND(100/J9*K9-100,1)=0,"    ---- ",ROUND(100/J9*K9-100,1)),IF(ROUND(100/J9*K9-100,1)&gt;999,999,-999))))</f>
        <v>-7.4</v>
      </c>
      <c r="M9" s="26">
        <f>IFERROR(100/'Skjema total MA'!I9*K9,0)</f>
        <v>6.6055966630256382</v>
      </c>
    </row>
    <row r="10" spans="1:15" ht="15.75" x14ac:dyDescent="0.2">
      <c r="A10" s="13" t="s">
        <v>25</v>
      </c>
      <c r="B10" s="308">
        <v>4061503.7650000001</v>
      </c>
      <c r="C10" s="309">
        <v>4042198.9789999998</v>
      </c>
      <c r="D10" s="169">
        <f t="shared" si="0"/>
        <v>-0.5</v>
      </c>
      <c r="E10" s="11">
        <f>IFERROR(100/'Skjema total MA'!C10*C10,0)</f>
        <v>16.815801438773164</v>
      </c>
      <c r="F10" s="308">
        <v>4977205.6500000004</v>
      </c>
      <c r="G10" s="309">
        <v>6476249.4060000004</v>
      </c>
      <c r="H10" s="169">
        <f t="shared" ref="H10:H12" si="1">IF(F10=0, "    ---- ", IF(ABS(ROUND(100/F10*G10-100,1))&lt;999,ROUND(100/F10*G10-100,1),IF(ROUND(100/F10*G10-100,1)&gt;999,999,-999)))</f>
        <v>30.1</v>
      </c>
      <c r="I10" s="158">
        <f>IFERROR(100/'Skjema total MA'!F10*G10,0)</f>
        <v>15.317442475848638</v>
      </c>
      <c r="J10" s="306">
        <v>9038709.415000001</v>
      </c>
      <c r="K10" s="307">
        <v>10518448.385</v>
      </c>
      <c r="L10" s="425">
        <f t="shared" ref="L10:L12" si="2">IF(J10=0, "    ---- ", IF(ABS(ROUND(100/J10*K10-100,1))&lt;999,ROUND(100/J10*K10-100,1),IF(ROUND(100/J10*K10-100,1)&gt;999,999,-999)))</f>
        <v>16.399999999999999</v>
      </c>
      <c r="M10" s="11">
        <f>IFERROR(100/'Skjema total MA'!I10*K10,0)</f>
        <v>15.860545767344117</v>
      </c>
    </row>
    <row r="11" spans="1:15" s="42" customFormat="1" ht="15.75" x14ac:dyDescent="0.2">
      <c r="A11" s="13" t="s">
        <v>24</v>
      </c>
      <c r="B11" s="308">
        <v>0</v>
      </c>
      <c r="C11" s="309">
        <v>0</v>
      </c>
      <c r="D11" s="169" t="str">
        <f t="shared" si="0"/>
        <v xml:space="preserve">    ---- </v>
      </c>
      <c r="E11" s="11">
        <f>IFERROR(100/'Skjema total MA'!C11*C11,0)</f>
        <v>0</v>
      </c>
      <c r="F11" s="308">
        <v>3160.4409999999998</v>
      </c>
      <c r="G11" s="309">
        <v>6041.78</v>
      </c>
      <c r="H11" s="169">
        <f t="shared" si="1"/>
        <v>91.2</v>
      </c>
      <c r="I11" s="158">
        <f>IFERROR(100/'Skjema total MA'!F11*G11,0)</f>
        <v>2.2871415752860886</v>
      </c>
      <c r="J11" s="306">
        <v>3160.4409999999998</v>
      </c>
      <c r="K11" s="307">
        <v>6041.78</v>
      </c>
      <c r="L11" s="425">
        <f t="shared" si="2"/>
        <v>91.2</v>
      </c>
      <c r="M11" s="11">
        <f>IFERROR(100/'Skjema total MA'!I11*K11,0)</f>
        <v>1.6797236839621432</v>
      </c>
      <c r="N11" s="141"/>
      <c r="O11" s="146"/>
    </row>
    <row r="12" spans="1:15" s="42" customFormat="1" ht="15.75" x14ac:dyDescent="0.2">
      <c r="A12" s="40" t="s">
        <v>23</v>
      </c>
      <c r="B12" s="310">
        <v>0</v>
      </c>
      <c r="C12" s="311">
        <v>0</v>
      </c>
      <c r="D12" s="167" t="str">
        <f t="shared" si="0"/>
        <v xml:space="preserve">    ---- </v>
      </c>
      <c r="E12" s="35">
        <f>IFERROR(100/'Skjema total MA'!C12*C12,0)</f>
        <v>0</v>
      </c>
      <c r="F12" s="310">
        <v>60472.983</v>
      </c>
      <c r="G12" s="311">
        <v>34302.915000000001</v>
      </c>
      <c r="H12" s="167">
        <f t="shared" si="1"/>
        <v>-43.3</v>
      </c>
      <c r="I12" s="167">
        <f>IFERROR(100/'Skjema total MA'!F12*G12,0)</f>
        <v>19.116766590907503</v>
      </c>
      <c r="J12" s="312">
        <v>60472.983</v>
      </c>
      <c r="K12" s="313">
        <v>34302.915000000001</v>
      </c>
      <c r="L12" s="426">
        <f t="shared" si="2"/>
        <v>-43.3</v>
      </c>
      <c r="M12" s="35">
        <f>IFERROR(100/'Skjema total MA'!I12*K12,0)</f>
        <v>16.466935519503494</v>
      </c>
      <c r="N12" s="141"/>
      <c r="O12" s="146"/>
    </row>
    <row r="13" spans="1:15" s="42" customFormat="1" x14ac:dyDescent="0.2">
      <c r="A13" s="166"/>
      <c r="B13" s="143"/>
      <c r="C13" s="32"/>
      <c r="D13" s="157"/>
      <c r="E13" s="157"/>
      <c r="F13" s="143"/>
      <c r="G13" s="32"/>
      <c r="H13" s="157"/>
      <c r="I13" s="157"/>
      <c r="J13" s="47"/>
      <c r="K13" s="47"/>
      <c r="L13" s="157"/>
      <c r="M13" s="157"/>
      <c r="N13" s="141"/>
      <c r="O13" s="423"/>
    </row>
    <row r="14" spans="1:15" x14ac:dyDescent="0.2">
      <c r="A14" s="151" t="s">
        <v>296</v>
      </c>
      <c r="B14" s="25"/>
    </row>
    <row r="15" spans="1:15" x14ac:dyDescent="0.2">
      <c r="F15" s="144"/>
      <c r="G15" s="144"/>
      <c r="H15" s="144"/>
      <c r="I15" s="144"/>
      <c r="J15" s="144"/>
      <c r="K15" s="144"/>
      <c r="L15" s="144"/>
      <c r="M15" s="144"/>
    </row>
    <row r="16" spans="1:15" s="3" customFormat="1" ht="15.75" x14ac:dyDescent="0.25">
      <c r="A16" s="162"/>
      <c r="B16" s="146"/>
      <c r="C16" s="152"/>
      <c r="D16" s="152"/>
      <c r="E16" s="152"/>
      <c r="F16" s="152"/>
      <c r="G16" s="152"/>
      <c r="H16" s="152"/>
      <c r="I16" s="152"/>
      <c r="J16" s="152"/>
      <c r="K16" s="152"/>
      <c r="L16" s="152"/>
      <c r="M16" s="152"/>
      <c r="N16" s="146"/>
      <c r="O16" s="146"/>
    </row>
    <row r="17" spans="1:15" ht="15.75" x14ac:dyDescent="0.25">
      <c r="A17" s="145" t="s">
        <v>293</v>
      </c>
      <c r="B17" s="155"/>
      <c r="C17" s="155"/>
      <c r="D17" s="149"/>
      <c r="E17" s="149"/>
      <c r="F17" s="155"/>
      <c r="G17" s="155"/>
      <c r="H17" s="155"/>
      <c r="I17" s="155"/>
      <c r="J17" s="155"/>
      <c r="K17" s="155"/>
      <c r="L17" s="155"/>
      <c r="M17" s="155"/>
    </row>
    <row r="18" spans="1:15" ht="15.75" x14ac:dyDescent="0.25">
      <c r="B18" s="963"/>
      <c r="C18" s="963"/>
      <c r="D18" s="963"/>
      <c r="E18" s="297"/>
      <c r="F18" s="963"/>
      <c r="G18" s="963"/>
      <c r="H18" s="963"/>
      <c r="I18" s="297"/>
      <c r="J18" s="963"/>
      <c r="K18" s="963"/>
      <c r="L18" s="963"/>
      <c r="M18" s="297"/>
    </row>
    <row r="19" spans="1:15" x14ac:dyDescent="0.2">
      <c r="A19" s="142"/>
      <c r="B19" s="960" t="s">
        <v>0</v>
      </c>
      <c r="C19" s="961"/>
      <c r="D19" s="961"/>
      <c r="E19" s="299"/>
      <c r="F19" s="960" t="s">
        <v>1</v>
      </c>
      <c r="G19" s="961"/>
      <c r="H19" s="961"/>
      <c r="I19" s="302"/>
      <c r="J19" s="960" t="s">
        <v>2</v>
      </c>
      <c r="K19" s="961"/>
      <c r="L19" s="961"/>
      <c r="M19" s="302"/>
    </row>
    <row r="20" spans="1:15" x14ac:dyDescent="0.2">
      <c r="A20" s="139" t="s">
        <v>5</v>
      </c>
      <c r="B20" s="240" t="s">
        <v>504</v>
      </c>
      <c r="C20" s="240" t="s">
        <v>505</v>
      </c>
      <c r="D20" s="160" t="s">
        <v>3</v>
      </c>
      <c r="E20" s="303" t="s">
        <v>32</v>
      </c>
      <c r="F20" s="240" t="s">
        <v>504</v>
      </c>
      <c r="G20" s="240" t="s">
        <v>505</v>
      </c>
      <c r="H20" s="160" t="s">
        <v>3</v>
      </c>
      <c r="I20" s="160" t="s">
        <v>32</v>
      </c>
      <c r="J20" s="240" t="s">
        <v>504</v>
      </c>
      <c r="K20" s="240" t="s">
        <v>505</v>
      </c>
      <c r="L20" s="160" t="s">
        <v>3</v>
      </c>
      <c r="M20" s="160" t="s">
        <v>32</v>
      </c>
    </row>
    <row r="21" spans="1:15" x14ac:dyDescent="0.2">
      <c r="A21" s="934"/>
      <c r="B21" s="154"/>
      <c r="C21" s="154"/>
      <c r="D21" s="245" t="s">
        <v>4</v>
      </c>
      <c r="E21" s="154" t="s">
        <v>33</v>
      </c>
      <c r="F21" s="159"/>
      <c r="G21" s="159"/>
      <c r="H21" s="243" t="s">
        <v>4</v>
      </c>
      <c r="I21" s="154" t="s">
        <v>33</v>
      </c>
      <c r="J21" s="159"/>
      <c r="K21" s="159"/>
      <c r="L21" s="154" t="s">
        <v>4</v>
      </c>
      <c r="M21" s="154" t="s">
        <v>33</v>
      </c>
    </row>
    <row r="22" spans="1:15" ht="15.75" x14ac:dyDescent="0.2">
      <c r="A22" s="14" t="s">
        <v>26</v>
      </c>
      <c r="B22" s="314">
        <f>B23+B24+B25+B26</f>
        <v>16755</v>
      </c>
      <c r="C22" s="314">
        <f>C23+C24+C25+C26</f>
        <v>13916.93</v>
      </c>
      <c r="D22" s="348">
        <f t="shared" ref="D22:D37" si="3">IF(B22=0, "    ---- ", IF(ABS(ROUND(100/B22*C22-100,1))&lt;999,ROUND(100/B22*C22-100,1),IF(ROUND(100/B22*C22-100,1)&gt;999,999,-999)))</f>
        <v>-16.899999999999999</v>
      </c>
      <c r="E22" s="11">
        <f>IFERROR(100/'Skjema total MA'!C22*C22,0)</f>
        <v>0.85307001731860022</v>
      </c>
      <c r="F22" s="314">
        <f>F23+F24+F25+F26</f>
        <v>41395</v>
      </c>
      <c r="G22" s="314">
        <f>G23+G24+G25+G26</f>
        <v>334789.21399999998</v>
      </c>
      <c r="H22" s="348">
        <f t="shared" ref="H22:H35" si="4">IF(F22=0, "    ---- ", IF(ABS(ROUND(100/F22*G22-100,1))&lt;999,ROUND(100/F22*G22-100,1),IF(ROUND(100/F22*G22-100,1)&gt;999,999,-999)))</f>
        <v>708.8</v>
      </c>
      <c r="I22" s="11">
        <f>IFERROR(100/'Skjema total MA'!F22*G22,0)</f>
        <v>28.852665638583968</v>
      </c>
      <c r="J22" s="314">
        <f t="shared" ref="J22:K35" si="5">SUM(B22,F22)</f>
        <v>58150</v>
      </c>
      <c r="K22" s="314">
        <f t="shared" si="5"/>
        <v>348706.14399999997</v>
      </c>
      <c r="L22" s="424">
        <f t="shared" ref="L22:L35" si="6">IF(J22=0, "    ---- ", IF(ABS(ROUND(100/J22*K22-100,1))&lt;999,ROUND(100/J22*K22-100,1),IF(ROUND(100/J22*K22-100,1)&gt;999,999,-999)))</f>
        <v>499.7</v>
      </c>
      <c r="M22" s="23">
        <f>IFERROR(100/'Skjema total MA'!I22*K22,0)</f>
        <v>12.490663698328481</v>
      </c>
    </row>
    <row r="23" spans="1:15" ht="15.75" x14ac:dyDescent="0.2">
      <c r="A23" s="294" t="s">
        <v>305</v>
      </c>
      <c r="B23" s="288">
        <v>1923</v>
      </c>
      <c r="C23" s="288">
        <v>1701.02</v>
      </c>
      <c r="D23" s="164">
        <f t="shared" ref="D23:D24" si="7">IF(B23=0, "    ---- ", IF(ABS(ROUND(100/B23*C23-100,1))&lt;999,ROUND(100/B23*C23-100,1),IF(ROUND(100/B23*C23-100,1)&gt;999,999,-999)))</f>
        <v>-11.5</v>
      </c>
      <c r="E23" s="26">
        <f>IFERROR(100/'Skjema total MA'!C23*C23,0)</f>
        <v>0.10891098041767758</v>
      </c>
      <c r="F23" s="288">
        <v>30471</v>
      </c>
      <c r="G23" s="288">
        <v>18537.127</v>
      </c>
      <c r="H23" s="164">
        <f t="shared" si="4"/>
        <v>-39.200000000000003</v>
      </c>
      <c r="I23" s="414">
        <f>IFERROR(100/'Skjema total MA'!F23*G23,0)</f>
        <v>12.066999646243785</v>
      </c>
      <c r="J23" s="43">
        <f t="shared" ref="J23:J26" si="8">SUM(B23,F23)</f>
        <v>32394</v>
      </c>
      <c r="K23" s="43">
        <f t="shared" ref="K23:K26" si="9">SUM(C23,G23)</f>
        <v>20238.147000000001</v>
      </c>
      <c r="L23" s="164">
        <f t="shared" si="6"/>
        <v>-37.5</v>
      </c>
      <c r="M23" s="22">
        <f>IFERROR(100/'Skjema total MA'!I23*K23,0)</f>
        <v>1.1797485783215267</v>
      </c>
    </row>
    <row r="24" spans="1:15" ht="15.75" x14ac:dyDescent="0.2">
      <c r="A24" s="294" t="s">
        <v>306</v>
      </c>
      <c r="B24" s="288">
        <v>14832</v>
      </c>
      <c r="C24" s="288">
        <v>12215.91</v>
      </c>
      <c r="D24" s="164">
        <f t="shared" si="7"/>
        <v>-17.600000000000001</v>
      </c>
      <c r="E24" s="26">
        <f>IFERROR(100/'Skjema total MA'!C24*C24,0)</f>
        <v>69.23876829794014</v>
      </c>
      <c r="F24" s="288">
        <v>10</v>
      </c>
      <c r="G24" s="288">
        <v>18.783999999999999</v>
      </c>
      <c r="H24" s="164">
        <f t="shared" si="4"/>
        <v>87.8</v>
      </c>
      <c r="I24" s="414">
        <f>IFERROR(100/'Skjema total MA'!F24*G24,0)</f>
        <v>2.3045398072384464</v>
      </c>
      <c r="J24" s="43">
        <f t="shared" si="8"/>
        <v>14842</v>
      </c>
      <c r="K24" s="43">
        <f t="shared" si="9"/>
        <v>12234.694</v>
      </c>
      <c r="L24" s="164">
        <f t="shared" si="6"/>
        <v>-17.600000000000001</v>
      </c>
      <c r="M24" s="22">
        <f>IFERROR(100/'Skjema total MA'!I24*K24,0)</f>
        <v>66.283060037092341</v>
      </c>
    </row>
    <row r="25" spans="1:15" ht="15.75" x14ac:dyDescent="0.2">
      <c r="A25" s="294" t="s">
        <v>406</v>
      </c>
      <c r="B25" s="288"/>
      <c r="C25" s="288"/>
      <c r="D25" s="164"/>
      <c r="E25" s="414"/>
      <c r="F25" s="288">
        <v>10914</v>
      </c>
      <c r="G25" s="288">
        <v>8029.3519999999999</v>
      </c>
      <c r="H25" s="164">
        <f t="shared" si="4"/>
        <v>-26.4</v>
      </c>
      <c r="I25" s="414">
        <f>IFERROR(100/'Skjema total MA'!F25*G25,0)</f>
        <v>3.9588671670375724</v>
      </c>
      <c r="J25" s="43">
        <f t="shared" si="8"/>
        <v>10914</v>
      </c>
      <c r="K25" s="43">
        <f t="shared" si="9"/>
        <v>8029.3519999999999</v>
      </c>
      <c r="L25" s="164">
        <f t="shared" si="6"/>
        <v>-26.4</v>
      </c>
      <c r="M25" s="22">
        <f>IFERROR(100/'Skjema total MA'!I25*K25,0)</f>
        <v>3.4557597287110187</v>
      </c>
    </row>
    <row r="26" spans="1:15" ht="15.75" x14ac:dyDescent="0.2">
      <c r="A26" s="294" t="s">
        <v>307</v>
      </c>
      <c r="B26" s="288"/>
      <c r="C26" s="288"/>
      <c r="D26" s="164"/>
      <c r="E26" s="414"/>
      <c r="F26" s="288">
        <v>0</v>
      </c>
      <c r="G26" s="288">
        <v>308203.951</v>
      </c>
      <c r="H26" s="164" t="str">
        <f t="shared" si="4"/>
        <v xml:space="preserve">    ---- </v>
      </c>
      <c r="I26" s="414">
        <f>IFERROR(100/'Skjema total MA'!F26*G26,0)</f>
        <v>38.377367353768207</v>
      </c>
      <c r="J26" s="43">
        <f t="shared" si="8"/>
        <v>0</v>
      </c>
      <c r="K26" s="43">
        <f t="shared" si="9"/>
        <v>308203.951</v>
      </c>
      <c r="L26" s="164" t="str">
        <f t="shared" si="6"/>
        <v xml:space="preserve">    ---- </v>
      </c>
      <c r="M26" s="22">
        <f>IFERROR(100/'Skjema total MA'!I26*K26,0)</f>
        <v>38.377367353768207</v>
      </c>
    </row>
    <row r="27" spans="1:15" x14ac:dyDescent="0.2">
      <c r="A27" s="294" t="s">
        <v>11</v>
      </c>
      <c r="B27" s="288"/>
      <c r="C27" s="288"/>
      <c r="D27" s="164"/>
      <c r="E27" s="414"/>
      <c r="F27" s="288"/>
      <c r="G27" s="288"/>
      <c r="H27" s="164"/>
      <c r="I27" s="414"/>
      <c r="J27" s="288"/>
      <c r="K27" s="288"/>
      <c r="L27" s="164"/>
      <c r="M27" s="22"/>
    </row>
    <row r="28" spans="1:15" ht="15.75" x14ac:dyDescent="0.2">
      <c r="A28" s="48" t="s">
        <v>297</v>
      </c>
      <c r="B28" s="43">
        <v>213021</v>
      </c>
      <c r="C28" s="285">
        <v>204160</v>
      </c>
      <c r="D28" s="164">
        <f t="shared" si="3"/>
        <v>-4.2</v>
      </c>
      <c r="E28" s="26">
        <f>IFERROR(100/'Skjema total MA'!C28*C28,0)</f>
        <v>12.635823475675801</v>
      </c>
      <c r="F28" s="232"/>
      <c r="G28" s="285"/>
      <c r="H28" s="164"/>
      <c r="I28" s="26"/>
      <c r="J28" s="43">
        <f t="shared" si="5"/>
        <v>213021</v>
      </c>
      <c r="K28" s="43">
        <f t="shared" si="5"/>
        <v>204160</v>
      </c>
      <c r="L28" s="253">
        <f t="shared" si="6"/>
        <v>-4.2</v>
      </c>
      <c r="M28" s="22">
        <f>IFERROR(100/'Skjema total MA'!I28*K28,0)</f>
        <v>12.635823475675801</v>
      </c>
    </row>
    <row r="29" spans="1:15" s="3" customFormat="1" ht="15.75" x14ac:dyDescent="0.2">
      <c r="A29" s="13" t="s">
        <v>25</v>
      </c>
      <c r="B29" s="234">
        <f>B30+B31+B32+B33</f>
        <v>11787276</v>
      </c>
      <c r="C29" s="234">
        <f>C30+C31+C32+C33</f>
        <v>11159134</v>
      </c>
      <c r="D29" s="169">
        <f t="shared" si="3"/>
        <v>-5.3</v>
      </c>
      <c r="E29" s="11">
        <f>IFERROR(100/'Skjema total MA'!C29*C29,0)</f>
        <v>22.568989464530684</v>
      </c>
      <c r="F29" s="234">
        <f>F30+F31+F32+F33</f>
        <v>3579860.76</v>
      </c>
      <c r="G29" s="234">
        <f>G30+G31+G32+G33</f>
        <v>4099826.3174699997</v>
      </c>
      <c r="H29" s="169">
        <f t="shared" si="4"/>
        <v>14.5</v>
      </c>
      <c r="I29" s="11">
        <f>IFERROR(100/'Skjema total MA'!F29*G29,0)</f>
        <v>19.795702573000796</v>
      </c>
      <c r="J29" s="234">
        <f t="shared" si="5"/>
        <v>15367136.76</v>
      </c>
      <c r="K29" s="234">
        <f t="shared" si="5"/>
        <v>15258960.317469999</v>
      </c>
      <c r="L29" s="425">
        <f t="shared" si="6"/>
        <v>-0.7</v>
      </c>
      <c r="M29" s="23">
        <f>IFERROR(100/'Skjema total MA'!I29*K29,0)</f>
        <v>21.750281025742279</v>
      </c>
      <c r="N29" s="146"/>
      <c r="O29" s="146"/>
    </row>
    <row r="30" spans="1:15" s="3" customFormat="1" ht="15.75" x14ac:dyDescent="0.2">
      <c r="A30" s="294" t="s">
        <v>305</v>
      </c>
      <c r="B30" s="288">
        <v>1352689</v>
      </c>
      <c r="C30" s="288">
        <v>1363946</v>
      </c>
      <c r="D30" s="164">
        <f t="shared" ref="D30:D31" si="10">IF(B30=0, "    ---- ", IF(ABS(ROUND(100/B30*C30-100,1))&lt;999,ROUND(100/B30*C30-100,1),IF(ROUND(100/B30*C30-100,1)&gt;999,999,-999)))</f>
        <v>0.8</v>
      </c>
      <c r="E30" s="26">
        <f>IFERROR(100/'Skjema total MA'!C30*C30,0)</f>
        <v>10.604592687713707</v>
      </c>
      <c r="F30" s="288">
        <v>482288.47700000001</v>
      </c>
      <c r="G30" s="288">
        <v>498790</v>
      </c>
      <c r="H30" s="164">
        <f t="shared" si="4"/>
        <v>3.4</v>
      </c>
      <c r="I30" s="414">
        <f>IFERROR(100/'Skjema total MA'!F30*G30,0)</f>
        <v>11.084857077359048</v>
      </c>
      <c r="J30" s="43">
        <f t="shared" si="5"/>
        <v>1834977.477</v>
      </c>
      <c r="K30" s="43">
        <f t="shared" si="5"/>
        <v>1862736</v>
      </c>
      <c r="L30" s="164">
        <f t="shared" si="6"/>
        <v>1.5</v>
      </c>
      <c r="M30" s="22">
        <f>IFERROR(100/'Skjema total MA'!I30*K30,0)</f>
        <v>10.729066692594802</v>
      </c>
      <c r="N30" s="146"/>
      <c r="O30" s="146"/>
    </row>
    <row r="31" spans="1:15" s="3" customFormat="1" ht="15.75" x14ac:dyDescent="0.2">
      <c r="A31" s="294" t="s">
        <v>306</v>
      </c>
      <c r="B31" s="288">
        <v>10434587</v>
      </c>
      <c r="C31" s="288">
        <v>9795188</v>
      </c>
      <c r="D31" s="164">
        <f t="shared" si="10"/>
        <v>-6.1</v>
      </c>
      <c r="E31" s="26">
        <f>IFERROR(100/'Skjema total MA'!C31*C31,0)</f>
        <v>27.840494802098632</v>
      </c>
      <c r="F31" s="288">
        <v>2135933.1549999998</v>
      </c>
      <c r="G31" s="288">
        <v>2100162.2784699998</v>
      </c>
      <c r="H31" s="164">
        <f t="shared" si="4"/>
        <v>-1.7</v>
      </c>
      <c r="I31" s="414">
        <f>IFERROR(100/'Skjema total MA'!F31*G31,0)</f>
        <v>18.657017022226249</v>
      </c>
      <c r="J31" s="43">
        <f t="shared" si="5"/>
        <v>12570520.154999999</v>
      </c>
      <c r="K31" s="43">
        <f t="shared" si="5"/>
        <v>11895350.27847</v>
      </c>
      <c r="L31" s="164">
        <f t="shared" si="6"/>
        <v>-5.4</v>
      </c>
      <c r="M31" s="22">
        <f>IFERROR(100/'Skjema total MA'!I31*K31,0)</f>
        <v>25.614489025042811</v>
      </c>
      <c r="N31" s="146"/>
      <c r="O31" s="146"/>
    </row>
    <row r="32" spans="1:15" ht="15.75" x14ac:dyDescent="0.2">
      <c r="A32" s="294" t="s">
        <v>406</v>
      </c>
      <c r="B32" s="288"/>
      <c r="C32" s="288"/>
      <c r="D32" s="164"/>
      <c r="E32" s="414"/>
      <c r="F32" s="288">
        <v>961639.12800000003</v>
      </c>
      <c r="G32" s="288">
        <v>1190843.8089999999</v>
      </c>
      <c r="H32" s="164">
        <f t="shared" si="4"/>
        <v>23.8</v>
      </c>
      <c r="I32" s="414">
        <f>IFERROR(100/'Skjema total MA'!F32*G32,0)</f>
        <v>28.819950744070148</v>
      </c>
      <c r="J32" s="43">
        <f t="shared" si="5"/>
        <v>961639.12800000003</v>
      </c>
      <c r="K32" s="43">
        <f t="shared" si="5"/>
        <v>1190843.8089999999</v>
      </c>
      <c r="L32" s="164">
        <f t="shared" si="6"/>
        <v>23.8</v>
      </c>
      <c r="M32" s="22">
        <f>IFERROR(100/'Skjema total MA'!I32*K32,0)</f>
        <v>21.852713885527397</v>
      </c>
    </row>
    <row r="33" spans="1:15" ht="15.75" x14ac:dyDescent="0.2">
      <c r="A33" s="294" t="s">
        <v>307</v>
      </c>
      <c r="B33" s="288"/>
      <c r="C33" s="288"/>
      <c r="D33" s="164"/>
      <c r="E33" s="414"/>
      <c r="F33" s="288">
        <v>0</v>
      </c>
      <c r="G33" s="288">
        <v>310030.23</v>
      </c>
      <c r="H33" s="164" t="str">
        <f t="shared" si="4"/>
        <v xml:space="preserve">    ---- </v>
      </c>
      <c r="I33" s="414">
        <f>IFERROR(100/'Skjema total MA'!F34*G33,0)</f>
        <v>1710.878188205591</v>
      </c>
      <c r="J33" s="43">
        <f t="shared" si="5"/>
        <v>0</v>
      </c>
      <c r="K33" s="43">
        <f t="shared" si="5"/>
        <v>310030.23</v>
      </c>
      <c r="L33" s="164" t="str">
        <f t="shared" si="6"/>
        <v xml:space="preserve">    ---- </v>
      </c>
      <c r="M33" s="22">
        <f>IFERROR(100/'Skjema total MA'!I34*K33,0)</f>
        <v>525.01455752199809</v>
      </c>
    </row>
    <row r="34" spans="1:15" ht="15.75" x14ac:dyDescent="0.2">
      <c r="A34" s="13" t="s">
        <v>24</v>
      </c>
      <c r="B34" s="234">
        <v>6424.152</v>
      </c>
      <c r="C34" s="307">
        <v>9129.2790000000005</v>
      </c>
      <c r="D34" s="169">
        <f t="shared" si="3"/>
        <v>42.1</v>
      </c>
      <c r="E34" s="11">
        <f>IFERROR(100/'Skjema total MA'!C34*C34,0)</f>
        <v>22.304275591875179</v>
      </c>
      <c r="F34" s="306">
        <v>27430.065999999999</v>
      </c>
      <c r="G34" s="307">
        <v>15926.468999999999</v>
      </c>
      <c r="H34" s="169">
        <f t="shared" si="4"/>
        <v>-41.9</v>
      </c>
      <c r="I34" s="11">
        <f>IFERROR(100/'Skjema total MA'!F34*G34,0)</f>
        <v>87.889004976167996</v>
      </c>
      <c r="J34" s="234">
        <f t="shared" si="5"/>
        <v>33854.218000000001</v>
      </c>
      <c r="K34" s="234">
        <f t="shared" si="5"/>
        <v>25055.748</v>
      </c>
      <c r="L34" s="425">
        <f t="shared" si="6"/>
        <v>-26</v>
      </c>
      <c r="M34" s="23">
        <f>IFERROR(100/'Skjema total MA'!I34*K34,0)</f>
        <v>42.430160599508923</v>
      </c>
    </row>
    <row r="35" spans="1:15" ht="15.75" x14ac:dyDescent="0.2">
      <c r="A35" s="13" t="s">
        <v>23</v>
      </c>
      <c r="B35" s="234">
        <v>2666.8679999999999</v>
      </c>
      <c r="C35" s="307">
        <v>5011.143</v>
      </c>
      <c r="D35" s="169">
        <f t="shared" si="3"/>
        <v>87.9</v>
      </c>
      <c r="E35" s="11">
        <f>IFERROR(100/'Skjema total MA'!C35*C35,0)</f>
        <v>-7.634633739415662</v>
      </c>
      <c r="F35" s="306">
        <v>12114.038</v>
      </c>
      <c r="G35" s="307">
        <v>16660.949000000001</v>
      </c>
      <c r="H35" s="169">
        <f t="shared" si="4"/>
        <v>37.5</v>
      </c>
      <c r="I35" s="11">
        <f>IFERROR(100/'Skjema total MA'!F35*G35,0)</f>
        <v>18.128954131798302</v>
      </c>
      <c r="J35" s="234">
        <f t="shared" si="5"/>
        <v>14780.906000000001</v>
      </c>
      <c r="K35" s="234">
        <f t="shared" si="5"/>
        <v>21672.092000000001</v>
      </c>
      <c r="L35" s="425">
        <f t="shared" si="6"/>
        <v>46.6</v>
      </c>
      <c r="M35" s="23">
        <f>IFERROR(100/'Skjema total MA'!I35*K35,0)</f>
        <v>82.511792145064405</v>
      </c>
    </row>
    <row r="36" spans="1:15" ht="15.75" x14ac:dyDescent="0.2">
      <c r="A36" s="12" t="s">
        <v>308</v>
      </c>
      <c r="B36" s="234">
        <v>189.98</v>
      </c>
      <c r="C36" s="307">
        <v>132.09800000000001</v>
      </c>
      <c r="D36" s="169">
        <f t="shared" si="3"/>
        <v>-30.5</v>
      </c>
      <c r="E36" s="11">
        <f>100/'Skjema total MA'!C36*C36</f>
        <v>0.85010082309796886</v>
      </c>
      <c r="F36" s="317"/>
      <c r="G36" s="318"/>
      <c r="H36" s="169"/>
      <c r="I36" s="431">
        <f>IFERROR(100/'Skjema total MA'!F36*G36,0)</f>
        <v>0</v>
      </c>
      <c r="J36" s="234">
        <f t="shared" ref="J36:J37" si="11">SUM(B36,F36)</f>
        <v>189.98</v>
      </c>
      <c r="K36" s="234">
        <f t="shared" ref="K36:K37" si="12">SUM(C36,G36)</f>
        <v>132.09800000000001</v>
      </c>
      <c r="L36" s="425"/>
      <c r="M36" s="23">
        <f>IFERROR(100/'Skjema total MA'!I36*K36,0)</f>
        <v>0.85010082309796886</v>
      </c>
    </row>
    <row r="37" spans="1:15" ht="15.75" x14ac:dyDescent="0.2">
      <c r="A37" s="12" t="s">
        <v>309</v>
      </c>
      <c r="B37" s="234">
        <v>496882.86599999998</v>
      </c>
      <c r="C37" s="307">
        <v>484467.223</v>
      </c>
      <c r="D37" s="169">
        <f t="shared" si="3"/>
        <v>-2.5</v>
      </c>
      <c r="E37" s="11">
        <f>100/'Skjema total MA'!C37*C37</f>
        <v>12.329138143948985</v>
      </c>
      <c r="F37" s="317"/>
      <c r="G37" s="319"/>
      <c r="H37" s="169"/>
      <c r="I37" s="431">
        <f>IFERROR(100/'Skjema total MA'!F37*G37,0)</f>
        <v>0</v>
      </c>
      <c r="J37" s="234">
        <f t="shared" si="11"/>
        <v>496882.86599999998</v>
      </c>
      <c r="K37" s="234">
        <f t="shared" si="12"/>
        <v>484467.223</v>
      </c>
      <c r="L37" s="425"/>
      <c r="M37" s="23">
        <f>IFERROR(100/'Skjema total MA'!I37*K37,0)</f>
        <v>12.329138143948985</v>
      </c>
    </row>
    <row r="38" spans="1:15" ht="15.75" x14ac:dyDescent="0.2">
      <c r="A38" s="12" t="s">
        <v>310</v>
      </c>
      <c r="B38" s="234"/>
      <c r="C38" s="307"/>
      <c r="D38" s="169"/>
      <c r="E38" s="11"/>
      <c r="F38" s="317"/>
      <c r="G38" s="318"/>
      <c r="H38" s="169"/>
      <c r="I38" s="431"/>
      <c r="J38" s="234"/>
      <c r="K38" s="234"/>
      <c r="L38" s="425"/>
      <c r="M38" s="23"/>
    </row>
    <row r="39" spans="1:15" ht="15.75" x14ac:dyDescent="0.2">
      <c r="A39" s="18" t="s">
        <v>311</v>
      </c>
      <c r="B39" s="274"/>
      <c r="C39" s="313"/>
      <c r="D39" s="167"/>
      <c r="E39" s="11"/>
      <c r="F39" s="320"/>
      <c r="G39" s="321"/>
      <c r="H39" s="167"/>
      <c r="I39" s="35"/>
      <c r="J39" s="234"/>
      <c r="K39" s="234"/>
      <c r="L39" s="426"/>
      <c r="M39" s="35"/>
    </row>
    <row r="40" spans="1:15" ht="15.75" x14ac:dyDescent="0.25">
      <c r="A40" s="46"/>
      <c r="B40" s="252"/>
      <c r="C40" s="252"/>
      <c r="D40" s="964"/>
      <c r="E40" s="964"/>
      <c r="F40" s="964"/>
      <c r="G40" s="964"/>
      <c r="H40" s="964"/>
      <c r="I40" s="964"/>
      <c r="J40" s="964"/>
      <c r="K40" s="964"/>
      <c r="L40" s="964"/>
      <c r="M40" s="300"/>
    </row>
    <row r="41" spans="1:15" x14ac:dyDescent="0.2">
      <c r="A41" s="153"/>
    </row>
    <row r="42" spans="1:15" ht="15.75" x14ac:dyDescent="0.25">
      <c r="A42" s="145" t="s">
        <v>294</v>
      </c>
      <c r="B42" s="965"/>
      <c r="C42" s="965"/>
      <c r="D42" s="965"/>
      <c r="E42" s="297"/>
      <c r="F42" s="966"/>
      <c r="G42" s="966"/>
      <c r="H42" s="966"/>
      <c r="I42" s="300"/>
      <c r="J42" s="966"/>
      <c r="K42" s="966"/>
      <c r="L42" s="966"/>
      <c r="M42" s="300"/>
    </row>
    <row r="43" spans="1:15" ht="15.75" x14ac:dyDescent="0.25">
      <c r="A43" s="161"/>
      <c r="B43" s="301"/>
      <c r="C43" s="301"/>
      <c r="D43" s="301"/>
      <c r="E43" s="301"/>
      <c r="F43" s="300"/>
      <c r="G43" s="300"/>
      <c r="H43" s="300"/>
      <c r="I43" s="300"/>
      <c r="J43" s="300"/>
      <c r="K43" s="300"/>
      <c r="L43" s="300"/>
      <c r="M43" s="300"/>
    </row>
    <row r="44" spans="1:15" ht="15.75" x14ac:dyDescent="0.25">
      <c r="A44" s="246"/>
      <c r="B44" s="960" t="s">
        <v>0</v>
      </c>
      <c r="C44" s="961"/>
      <c r="D44" s="961"/>
      <c r="E44" s="241"/>
      <c r="F44" s="300"/>
      <c r="G44" s="300"/>
      <c r="H44" s="300"/>
      <c r="I44" s="300"/>
      <c r="J44" s="300"/>
      <c r="K44" s="300"/>
      <c r="L44" s="300"/>
      <c r="M44" s="300"/>
    </row>
    <row r="45" spans="1:15" s="3" customFormat="1" x14ac:dyDescent="0.2">
      <c r="A45" s="139"/>
      <c r="B45" s="171" t="s">
        <v>504</v>
      </c>
      <c r="C45" s="171" t="s">
        <v>505</v>
      </c>
      <c r="D45" s="160" t="s">
        <v>3</v>
      </c>
      <c r="E45" s="160" t="s">
        <v>32</v>
      </c>
      <c r="F45" s="173"/>
      <c r="G45" s="173"/>
      <c r="H45" s="172"/>
      <c r="I45" s="172"/>
      <c r="J45" s="173"/>
      <c r="K45" s="173"/>
      <c r="L45" s="172"/>
      <c r="M45" s="172"/>
      <c r="N45" s="146"/>
      <c r="O45" s="146"/>
    </row>
    <row r="46" spans="1:15" s="3" customFormat="1" x14ac:dyDescent="0.2">
      <c r="A46" s="934"/>
      <c r="B46" s="242"/>
      <c r="C46" s="242"/>
      <c r="D46" s="243" t="s">
        <v>4</v>
      </c>
      <c r="E46" s="154" t="s">
        <v>33</v>
      </c>
      <c r="F46" s="172"/>
      <c r="G46" s="172"/>
      <c r="H46" s="172"/>
      <c r="I46" s="172"/>
      <c r="J46" s="172"/>
      <c r="K46" s="172"/>
      <c r="L46" s="172"/>
      <c r="M46" s="172"/>
      <c r="N46" s="146"/>
      <c r="O46" s="146"/>
    </row>
    <row r="47" spans="1:15" s="3" customFormat="1" ht="15.75" x14ac:dyDescent="0.2">
      <c r="A47" s="14" t="s">
        <v>26</v>
      </c>
      <c r="B47" s="308">
        <f>SUM(B48:B49)</f>
        <v>756719.63199999998</v>
      </c>
      <c r="C47" s="309">
        <f>SUM(C48:C49)</f>
        <v>752699.58</v>
      </c>
      <c r="D47" s="424">
        <f t="shared" ref="D47:D57" si="13">IF(B47=0, "    ---- ", IF(ABS(ROUND(100/B47*C47-100,1))&lt;999,ROUND(100/B47*C47-100,1),IF(ROUND(100/B47*C47-100,1)&gt;999,999,-999)))</f>
        <v>-0.5</v>
      </c>
      <c r="E47" s="11">
        <f>IFERROR(100/'Skjema total MA'!C47*C47,0)</f>
        <v>19.763238832406056</v>
      </c>
      <c r="F47" s="143"/>
      <c r="G47" s="32"/>
      <c r="H47" s="157"/>
      <c r="I47" s="157"/>
      <c r="J47" s="36"/>
      <c r="K47" s="36"/>
      <c r="L47" s="157"/>
      <c r="M47" s="157"/>
      <c r="N47" s="146"/>
      <c r="O47" s="146"/>
    </row>
    <row r="48" spans="1:15" s="3" customFormat="1" ht="15.75" x14ac:dyDescent="0.2">
      <c r="A48" s="37" t="s">
        <v>312</v>
      </c>
      <c r="B48" s="279">
        <v>478272</v>
      </c>
      <c r="C48" s="280">
        <v>461686.00599999999</v>
      </c>
      <c r="D48" s="253">
        <f t="shared" si="13"/>
        <v>-3.5</v>
      </c>
      <c r="E48" s="26">
        <f>IFERROR(100/'Skjema total MA'!C48*C48,0)</f>
        <v>22.530521526774113</v>
      </c>
      <c r="F48" s="143"/>
      <c r="G48" s="32"/>
      <c r="H48" s="143"/>
      <c r="I48" s="143"/>
      <c r="J48" s="32"/>
      <c r="K48" s="32"/>
      <c r="L48" s="157"/>
      <c r="M48" s="157"/>
      <c r="N48" s="146"/>
      <c r="O48" s="146"/>
    </row>
    <row r="49" spans="1:15" s="3" customFormat="1" ht="15.75" x14ac:dyDescent="0.2">
      <c r="A49" s="37" t="s">
        <v>313</v>
      </c>
      <c r="B49" s="43">
        <v>278447.63199999998</v>
      </c>
      <c r="C49" s="285">
        <v>291013.57399999996</v>
      </c>
      <c r="D49" s="253">
        <f>IF(B49=0, "    ---- ", IF(ABS(ROUND(100/B49*C49-100,1))&lt;999,ROUND(100/B49*C49-100,1),IF(ROUND(100/B49*C49-100,1)&gt;999,999,-999)))</f>
        <v>4.5</v>
      </c>
      <c r="E49" s="26">
        <f>IFERROR(100/'Skjema total MA'!C49*C49,0)</f>
        <v>16.540256113947525</v>
      </c>
      <c r="F49" s="143"/>
      <c r="G49" s="32"/>
      <c r="H49" s="143"/>
      <c r="I49" s="143"/>
      <c r="J49" s="36"/>
      <c r="K49" s="36"/>
      <c r="L49" s="157"/>
      <c r="M49" s="157"/>
      <c r="N49" s="146"/>
      <c r="O49" s="146"/>
    </row>
    <row r="50" spans="1:15" s="3" customFormat="1" x14ac:dyDescent="0.2">
      <c r="A50" s="294" t="s">
        <v>6</v>
      </c>
      <c r="B50" s="288">
        <v>864.55</v>
      </c>
      <c r="C50" s="289">
        <v>273.60000000000002</v>
      </c>
      <c r="D50" s="253">
        <f t="shared" ref="D50:D52" si="14">IF(B50=0, "    ---- ", IF(ABS(ROUND(100/B50*C50-100,1))&lt;999,ROUND(100/B50*C50-100,1),IF(ROUND(100/B50*C50-100,1)&gt;999,999,-999)))</f>
        <v>-68.400000000000006</v>
      </c>
      <c r="E50" s="26">
        <f>IFERROR(100/'Skjema total MA'!C50*C50,0)</f>
        <v>10.123771318836347</v>
      </c>
      <c r="F50" s="143"/>
      <c r="G50" s="32"/>
      <c r="H50" s="143"/>
      <c r="I50" s="143"/>
      <c r="J50" s="32"/>
      <c r="K50" s="32"/>
      <c r="L50" s="157"/>
      <c r="M50" s="157"/>
      <c r="N50" s="146"/>
      <c r="O50" s="146"/>
    </row>
    <row r="51" spans="1:15" s="3" customFormat="1" x14ac:dyDescent="0.2">
      <c r="A51" s="294" t="s">
        <v>7</v>
      </c>
      <c r="B51" s="288">
        <v>265093.08199999999</v>
      </c>
      <c r="C51" s="289">
        <v>276677.73599999998</v>
      </c>
      <c r="D51" s="253">
        <f t="shared" si="14"/>
        <v>4.4000000000000004</v>
      </c>
      <c r="E51" s="26">
        <f>IFERROR(100/'Skjema total MA'!C51*C51,0)</f>
        <v>18.744097094554938</v>
      </c>
      <c r="F51" s="143"/>
      <c r="G51" s="32"/>
      <c r="H51" s="143"/>
      <c r="I51" s="143"/>
      <c r="J51" s="32"/>
      <c r="K51" s="32"/>
      <c r="L51" s="157"/>
      <c r="M51" s="157"/>
      <c r="N51" s="146"/>
      <c r="O51" s="146"/>
    </row>
    <row r="52" spans="1:15" s="3" customFormat="1" x14ac:dyDescent="0.2">
      <c r="A52" s="294" t="s">
        <v>8</v>
      </c>
      <c r="B52" s="288">
        <v>12490</v>
      </c>
      <c r="C52" s="289">
        <v>14062.237999999999</v>
      </c>
      <c r="D52" s="253">
        <f t="shared" si="14"/>
        <v>12.6</v>
      </c>
      <c r="E52" s="26">
        <f>IFERROR(100/'Skjema total MA'!C52*C52,0)</f>
        <v>5.0106996461584146</v>
      </c>
      <c r="F52" s="143"/>
      <c r="G52" s="32"/>
      <c r="H52" s="143"/>
      <c r="I52" s="143"/>
      <c r="J52" s="32"/>
      <c r="K52" s="32"/>
      <c r="L52" s="157"/>
      <c r="M52" s="157"/>
      <c r="N52" s="146"/>
      <c r="O52" s="146"/>
    </row>
    <row r="53" spans="1:15" s="3" customFormat="1" ht="15.75" x14ac:dyDescent="0.2">
      <c r="A53" s="38" t="s">
        <v>314</v>
      </c>
      <c r="B53" s="308">
        <f>SUM(B54:B55)</f>
        <v>30684.134000000002</v>
      </c>
      <c r="C53" s="309">
        <f>SUM(C54:C55)</f>
        <v>7771.4979999999996</v>
      </c>
      <c r="D53" s="425">
        <f t="shared" si="13"/>
        <v>-74.7</v>
      </c>
      <c r="E53" s="11">
        <f>IFERROR(100/'Skjema total MA'!C53*C53,0)</f>
        <v>4.7627316662928614</v>
      </c>
      <c r="F53" s="143"/>
      <c r="G53" s="32"/>
      <c r="H53" s="143"/>
      <c r="I53" s="143"/>
      <c r="J53" s="32"/>
      <c r="K53" s="32"/>
      <c r="L53" s="157"/>
      <c r="M53" s="157"/>
      <c r="N53" s="146"/>
      <c r="O53" s="146"/>
    </row>
    <row r="54" spans="1:15" s="3" customFormat="1" ht="15.75" x14ac:dyDescent="0.2">
      <c r="A54" s="37" t="s">
        <v>312</v>
      </c>
      <c r="B54" s="279">
        <v>6630.143</v>
      </c>
      <c r="C54" s="280">
        <v>7771.4979999999996</v>
      </c>
      <c r="D54" s="253">
        <f t="shared" si="13"/>
        <v>17.2</v>
      </c>
      <c r="E54" s="26">
        <f>IFERROR(100/'Skjema total MA'!C54*C54,0)</f>
        <v>7.4450901349507843</v>
      </c>
      <c r="F54" s="143"/>
      <c r="G54" s="32"/>
      <c r="H54" s="143"/>
      <c r="I54" s="143"/>
      <c r="J54" s="32"/>
      <c r="K54" s="32"/>
      <c r="L54" s="157"/>
      <c r="M54" s="157"/>
      <c r="N54" s="146"/>
      <c r="O54" s="146"/>
    </row>
    <row r="55" spans="1:15" s="3" customFormat="1" ht="15.75" x14ac:dyDescent="0.2">
      <c r="A55" s="37" t="s">
        <v>313</v>
      </c>
      <c r="B55" s="279">
        <v>24053.991000000002</v>
      </c>
      <c r="C55" s="280">
        <v>0</v>
      </c>
      <c r="D55" s="253">
        <f t="shared" si="13"/>
        <v>-100</v>
      </c>
      <c r="E55" s="26">
        <f>IFERROR(100/'Skjema total MA'!C55*C55,0)</f>
        <v>0</v>
      </c>
      <c r="F55" s="143"/>
      <c r="G55" s="32"/>
      <c r="H55" s="143"/>
      <c r="I55" s="143"/>
      <c r="J55" s="32"/>
      <c r="K55" s="32"/>
      <c r="L55" s="157"/>
      <c r="M55" s="157"/>
      <c r="N55" s="146"/>
      <c r="O55" s="146"/>
    </row>
    <row r="56" spans="1:15" s="3" customFormat="1" ht="15.75" x14ac:dyDescent="0.2">
      <c r="A56" s="38" t="s">
        <v>315</v>
      </c>
      <c r="B56" s="308">
        <f>SUM(B57:B58)</f>
        <v>4243.3810000000003</v>
      </c>
      <c r="C56" s="309">
        <f>SUM(C57:C58)</f>
        <v>15740.768</v>
      </c>
      <c r="D56" s="425">
        <f t="shared" si="13"/>
        <v>270.89999999999998</v>
      </c>
      <c r="E56" s="11">
        <f>IFERROR(100/'Skjema total MA'!C56*C56,0)</f>
        <v>7.5693659834267049</v>
      </c>
      <c r="F56" s="143"/>
      <c r="G56" s="32"/>
      <c r="H56" s="143"/>
      <c r="I56" s="143"/>
      <c r="J56" s="32"/>
      <c r="K56" s="32"/>
      <c r="L56" s="157"/>
      <c r="M56" s="157"/>
      <c r="N56" s="146"/>
      <c r="O56" s="146"/>
    </row>
    <row r="57" spans="1:15" s="3" customFormat="1" ht="15.75" x14ac:dyDescent="0.2">
      <c r="A57" s="37" t="s">
        <v>312</v>
      </c>
      <c r="B57" s="279">
        <v>4243.3810000000003</v>
      </c>
      <c r="C57" s="280">
        <v>15740.768</v>
      </c>
      <c r="D57" s="253">
        <f t="shared" si="13"/>
        <v>270.89999999999998</v>
      </c>
      <c r="E57" s="26">
        <f>IFERROR(100/'Skjema total MA'!C57*C57,0)</f>
        <v>10.575716111534391</v>
      </c>
      <c r="F57" s="143"/>
      <c r="G57" s="32"/>
      <c r="H57" s="143"/>
      <c r="I57" s="143"/>
      <c r="J57" s="32"/>
      <c r="K57" s="32"/>
      <c r="L57" s="157"/>
      <c r="M57" s="157"/>
      <c r="N57" s="146"/>
      <c r="O57" s="146"/>
    </row>
    <row r="58" spans="1:15" s="3" customFormat="1" ht="15.75" x14ac:dyDescent="0.2">
      <c r="A58" s="45" t="s">
        <v>313</v>
      </c>
      <c r="B58" s="281"/>
      <c r="C58" s="282"/>
      <c r="D58" s="254"/>
      <c r="E58" s="21"/>
      <c r="F58" s="143"/>
      <c r="G58" s="32"/>
      <c r="H58" s="143"/>
      <c r="I58" s="143"/>
      <c r="J58" s="32"/>
      <c r="K58" s="32"/>
      <c r="L58" s="157"/>
      <c r="M58" s="157"/>
      <c r="N58" s="146"/>
      <c r="O58" s="146"/>
    </row>
    <row r="59" spans="1:15" s="3" customFormat="1" ht="15.75" x14ac:dyDescent="0.25">
      <c r="A59" s="162"/>
      <c r="B59" s="152"/>
      <c r="C59" s="152"/>
      <c r="D59" s="152"/>
      <c r="E59" s="152"/>
      <c r="F59" s="140"/>
      <c r="G59" s="140"/>
      <c r="H59" s="140"/>
      <c r="I59" s="140"/>
      <c r="J59" s="140"/>
      <c r="K59" s="140"/>
      <c r="L59" s="140"/>
      <c r="M59" s="140"/>
      <c r="N59" s="146"/>
      <c r="O59" s="146"/>
    </row>
    <row r="60" spans="1:15" x14ac:dyDescent="0.2">
      <c r="A60" s="153"/>
    </row>
    <row r="61" spans="1:15" ht="15.75" x14ac:dyDescent="0.25">
      <c r="A61" s="145" t="s">
        <v>295</v>
      </c>
      <c r="C61" s="25"/>
      <c r="D61" s="25"/>
      <c r="E61" s="25"/>
      <c r="F61" s="25"/>
      <c r="G61" s="25"/>
      <c r="H61" s="25"/>
      <c r="I61" s="25"/>
      <c r="J61" s="25"/>
      <c r="K61" s="25"/>
      <c r="L61" s="25"/>
      <c r="M61" s="25"/>
    </row>
    <row r="62" spans="1:15" ht="15.75" x14ac:dyDescent="0.25">
      <c r="B62" s="963"/>
      <c r="C62" s="963"/>
      <c r="D62" s="963"/>
      <c r="E62" s="297"/>
      <c r="F62" s="963"/>
      <c r="G62" s="963"/>
      <c r="H62" s="963"/>
      <c r="I62" s="297"/>
      <c r="J62" s="963"/>
      <c r="K62" s="963"/>
      <c r="L62" s="963"/>
      <c r="M62" s="297"/>
    </row>
    <row r="63" spans="1:15" x14ac:dyDescent="0.2">
      <c r="A63" s="142"/>
      <c r="B63" s="960" t="s">
        <v>0</v>
      </c>
      <c r="C63" s="961"/>
      <c r="D63" s="962"/>
      <c r="E63" s="298"/>
      <c r="F63" s="961" t="s">
        <v>1</v>
      </c>
      <c r="G63" s="961"/>
      <c r="H63" s="961"/>
      <c r="I63" s="302"/>
      <c r="J63" s="960" t="s">
        <v>2</v>
      </c>
      <c r="K63" s="961"/>
      <c r="L63" s="961"/>
      <c r="M63" s="302"/>
    </row>
    <row r="64" spans="1:15" x14ac:dyDescent="0.2">
      <c r="A64" s="139"/>
      <c r="B64" s="150" t="s">
        <v>504</v>
      </c>
      <c r="C64" s="150" t="s">
        <v>505</v>
      </c>
      <c r="D64" s="243" t="s">
        <v>3</v>
      </c>
      <c r="E64" s="303" t="s">
        <v>32</v>
      </c>
      <c r="F64" s="150" t="s">
        <v>504</v>
      </c>
      <c r="G64" s="150" t="s">
        <v>505</v>
      </c>
      <c r="H64" s="243" t="s">
        <v>3</v>
      </c>
      <c r="I64" s="303" t="s">
        <v>32</v>
      </c>
      <c r="J64" s="150" t="s">
        <v>504</v>
      </c>
      <c r="K64" s="150" t="s">
        <v>505</v>
      </c>
      <c r="L64" s="243" t="s">
        <v>3</v>
      </c>
      <c r="M64" s="160" t="s">
        <v>32</v>
      </c>
    </row>
    <row r="65" spans="1:15" x14ac:dyDescent="0.2">
      <c r="A65" s="934"/>
      <c r="B65" s="154"/>
      <c r="C65" s="154"/>
      <c r="D65" s="245" t="s">
        <v>4</v>
      </c>
      <c r="E65" s="154" t="s">
        <v>33</v>
      </c>
      <c r="F65" s="159"/>
      <c r="G65" s="159"/>
      <c r="H65" s="243" t="s">
        <v>4</v>
      </c>
      <c r="I65" s="154" t="s">
        <v>33</v>
      </c>
      <c r="J65" s="159"/>
      <c r="K65" s="204"/>
      <c r="L65" s="154" t="s">
        <v>4</v>
      </c>
      <c r="M65" s="154" t="s">
        <v>33</v>
      </c>
    </row>
    <row r="66" spans="1:15" ht="15.75" x14ac:dyDescent="0.2">
      <c r="A66" s="14" t="s">
        <v>26</v>
      </c>
      <c r="B66" s="350">
        <f>B67+B68+B75+B76</f>
        <v>4973432.4119999995</v>
      </c>
      <c r="C66" s="350">
        <f>C67+C68+C75+C76</f>
        <v>4061960.0619999999</v>
      </c>
      <c r="D66" s="348">
        <f t="shared" ref="D66:D111" si="15">IF(B66=0, "    ---- ", IF(ABS(ROUND(100/B66*C66-100,1))&lt;999,ROUND(100/B66*C66-100,1),IF(ROUND(100/B66*C66-100,1)&gt;999,999,-999)))</f>
        <v>-18.3</v>
      </c>
      <c r="E66" s="11">
        <f>IFERROR(100/'Skjema total MA'!C66*C66,0)</f>
        <v>41.216924360413046</v>
      </c>
      <c r="F66" s="350">
        <f>F67+F68+F75+F76</f>
        <v>7886950.1090000002</v>
      </c>
      <c r="G66" s="350">
        <f>G67+G68+G75+G76</f>
        <v>8434083.0529999994</v>
      </c>
      <c r="H66" s="348">
        <f t="shared" ref="H66:H111" si="16">IF(F66=0, "    ---- ", IF(ABS(ROUND(100/F66*G66-100,1))&lt;999,ROUND(100/F66*G66-100,1),IF(ROUND(100/F66*G66-100,1)&gt;999,999,-999)))</f>
        <v>6.9</v>
      </c>
      <c r="I66" s="11">
        <f>IFERROR(100/'Skjema total MA'!F66*G66,0)</f>
        <v>31.580224466629748</v>
      </c>
      <c r="J66" s="307">
        <f t="shared" ref="J66:K86" si="17">SUM(B66,F66)</f>
        <v>12860382.521</v>
      </c>
      <c r="K66" s="314">
        <f t="shared" si="17"/>
        <v>12496043.114999998</v>
      </c>
      <c r="L66" s="425">
        <f t="shared" ref="L66:L111" si="18">IF(J66=0, "    ---- ", IF(ABS(ROUND(100/J66*K66-100,1))&lt;999,ROUND(100/J66*K66-100,1),IF(ROUND(100/J66*K66-100,1)&gt;999,999,-999)))</f>
        <v>-2.8</v>
      </c>
      <c r="M66" s="11">
        <f>IFERROR(100/'Skjema total MA'!I66*K66,0)</f>
        <v>34.177746961488204</v>
      </c>
    </row>
    <row r="67" spans="1:15" x14ac:dyDescent="0.2">
      <c r="A67" s="416" t="s">
        <v>9</v>
      </c>
      <c r="B67" s="43">
        <v>4947308.9069999997</v>
      </c>
      <c r="C67" s="143">
        <v>3094128.1329999999</v>
      </c>
      <c r="D67" s="164">
        <f t="shared" si="15"/>
        <v>-37.5</v>
      </c>
      <c r="E67" s="26">
        <f>IFERROR(100/'Skjema total MA'!C67*C67,0)</f>
        <v>38.182579553450061</v>
      </c>
      <c r="F67" s="232"/>
      <c r="G67" s="143"/>
      <c r="H67" s="164"/>
      <c r="I67" s="26"/>
      <c r="J67" s="285">
        <f t="shared" si="17"/>
        <v>4947308.9069999997</v>
      </c>
      <c r="K67" s="43">
        <f t="shared" si="17"/>
        <v>3094128.1329999999</v>
      </c>
      <c r="L67" s="253">
        <f t="shared" si="18"/>
        <v>-37.5</v>
      </c>
      <c r="M67" s="26">
        <f>IFERROR(100/'Skjema total MA'!I67*K67,0)</f>
        <v>38.182579553450061</v>
      </c>
    </row>
    <row r="68" spans="1:15" x14ac:dyDescent="0.2">
      <c r="A68" s="20" t="s">
        <v>10</v>
      </c>
      <c r="B68" s="290"/>
      <c r="C68" s="291"/>
      <c r="D68" s="164"/>
      <c r="E68" s="26"/>
      <c r="F68" s="290">
        <v>7802094.8930000002</v>
      </c>
      <c r="G68" s="291">
        <v>8310450.7719999999</v>
      </c>
      <c r="H68" s="164">
        <f t="shared" si="16"/>
        <v>6.5</v>
      </c>
      <c r="I68" s="26">
        <f>IFERROR(100/'Skjema total MA'!F68*G68,0)</f>
        <v>31.468022391925679</v>
      </c>
      <c r="J68" s="285">
        <f t="shared" si="17"/>
        <v>7802094.8930000002</v>
      </c>
      <c r="K68" s="43">
        <f t="shared" si="17"/>
        <v>8310450.7719999999</v>
      </c>
      <c r="L68" s="253">
        <f t="shared" si="18"/>
        <v>6.5</v>
      </c>
      <c r="M68" s="26">
        <f>IFERROR(100/'Skjema total MA'!I68*K68,0)</f>
        <v>31.279486736446497</v>
      </c>
    </row>
    <row r="69" spans="1:15" ht="15.75" x14ac:dyDescent="0.2">
      <c r="A69" s="294" t="s">
        <v>316</v>
      </c>
      <c r="B69" s="279"/>
      <c r="C69" s="279"/>
      <c r="D69" s="164"/>
      <c r="E69" s="414"/>
      <c r="F69" s="279"/>
      <c r="G69" s="279"/>
      <c r="H69" s="164"/>
      <c r="I69" s="414"/>
      <c r="J69" s="288"/>
      <c r="K69" s="288"/>
      <c r="L69" s="164"/>
      <c r="M69" s="22"/>
    </row>
    <row r="70" spans="1:15" x14ac:dyDescent="0.2">
      <c r="A70" s="294" t="s">
        <v>12</v>
      </c>
      <c r="B70" s="292"/>
      <c r="C70" s="293"/>
      <c r="D70" s="164"/>
      <c r="E70" s="414"/>
      <c r="F70" s="279"/>
      <c r="G70" s="279"/>
      <c r="H70" s="164"/>
      <c r="I70" s="414"/>
      <c r="J70" s="288"/>
      <c r="K70" s="288"/>
      <c r="L70" s="164"/>
      <c r="M70" s="22"/>
    </row>
    <row r="71" spans="1:15" x14ac:dyDescent="0.2">
      <c r="A71" s="294" t="s">
        <v>13</v>
      </c>
      <c r="B71" s="233"/>
      <c r="C71" s="287"/>
      <c r="D71" s="164"/>
      <c r="E71" s="414"/>
      <c r="F71" s="279"/>
      <c r="G71" s="279"/>
      <c r="H71" s="164"/>
      <c r="I71" s="414"/>
      <c r="J71" s="288"/>
      <c r="K71" s="288"/>
      <c r="L71" s="164"/>
      <c r="M71" s="22"/>
    </row>
    <row r="72" spans="1:15" ht="15.75" x14ac:dyDescent="0.2">
      <c r="A72" s="294" t="s">
        <v>317</v>
      </c>
      <c r="B72" s="279"/>
      <c r="C72" s="279"/>
      <c r="D72" s="164"/>
      <c r="E72" s="414"/>
      <c r="F72" s="279">
        <v>7802094.8930000002</v>
      </c>
      <c r="G72" s="279">
        <v>8310450.7719999999</v>
      </c>
      <c r="H72" s="164">
        <f t="shared" si="16"/>
        <v>6.5</v>
      </c>
      <c r="I72" s="414">
        <f>IFERROR(100/'Skjema total MA'!F72*G72,0)</f>
        <v>31.472762624402133</v>
      </c>
      <c r="J72" s="285">
        <f t="shared" ref="J72" si="19">SUM(B72,F72)</f>
        <v>7802094.8930000002</v>
      </c>
      <c r="K72" s="43">
        <f t="shared" ref="K72" si="20">SUM(C72,G72)</f>
        <v>8310450.7719999999</v>
      </c>
      <c r="L72" s="253">
        <f t="shared" si="18"/>
        <v>6.5</v>
      </c>
      <c r="M72" s="22">
        <f>IFERROR(100/'Skjema total MA'!I72*K72,0)</f>
        <v>31.305675282764184</v>
      </c>
    </row>
    <row r="73" spans="1:15" x14ac:dyDescent="0.2">
      <c r="A73" s="294" t="s">
        <v>12</v>
      </c>
      <c r="B73" s="233"/>
      <c r="C73" s="287"/>
      <c r="D73" s="164"/>
      <c r="E73" s="414"/>
      <c r="F73" s="279"/>
      <c r="G73" s="279"/>
      <c r="H73" s="164"/>
      <c r="I73" s="414"/>
      <c r="J73" s="288"/>
      <c r="K73" s="288"/>
      <c r="L73" s="164"/>
      <c r="M73" s="22"/>
    </row>
    <row r="74" spans="1:15" s="3" customFormat="1" x14ac:dyDescent="0.2">
      <c r="A74" s="294" t="s">
        <v>13</v>
      </c>
      <c r="B74" s="233"/>
      <c r="C74" s="287"/>
      <c r="D74" s="164"/>
      <c r="E74" s="414"/>
      <c r="F74" s="279">
        <v>7802094.8930000002</v>
      </c>
      <c r="G74" s="279">
        <v>8310450.7719999999</v>
      </c>
      <c r="H74" s="164">
        <f t="shared" si="16"/>
        <v>6.5</v>
      </c>
      <c r="I74" s="414">
        <f>IFERROR(100/'Skjema total MA'!F74*G74,0)</f>
        <v>31.874284000115392</v>
      </c>
      <c r="J74" s="285">
        <f t="shared" ref="J74" si="21">SUM(B74,F74)</f>
        <v>7802094.8930000002</v>
      </c>
      <c r="K74" s="43">
        <f t="shared" ref="K74" si="22">SUM(C74,G74)</f>
        <v>8310450.7719999999</v>
      </c>
      <c r="L74" s="253">
        <f t="shared" si="18"/>
        <v>6.5</v>
      </c>
      <c r="M74" s="22">
        <f>IFERROR(100/'Skjema total MA'!I74*K74,0)</f>
        <v>31.874284000115392</v>
      </c>
      <c r="N74" s="146"/>
      <c r="O74" s="146"/>
    </row>
    <row r="75" spans="1:15" s="3" customFormat="1" x14ac:dyDescent="0.2">
      <c r="A75" s="20" t="s">
        <v>395</v>
      </c>
      <c r="B75" s="232">
        <v>26123.505000000001</v>
      </c>
      <c r="C75" s="143">
        <v>57002.675999999999</v>
      </c>
      <c r="D75" s="164">
        <f t="shared" si="15"/>
        <v>118.2</v>
      </c>
      <c r="E75" s="26">
        <f>IFERROR(100/'Skjema total MA'!C75*C75,0)</f>
        <v>21.240269424466124</v>
      </c>
      <c r="F75" s="232">
        <v>84855.216</v>
      </c>
      <c r="G75" s="143">
        <v>123632.281</v>
      </c>
      <c r="H75" s="164">
        <f t="shared" si="16"/>
        <v>45.7</v>
      </c>
      <c r="I75" s="26">
        <f>IFERROR(100/'Skjema total MA'!F75*G75,0)</f>
        <v>41.535207391821508</v>
      </c>
      <c r="J75" s="285">
        <f t="shared" si="17"/>
        <v>110978.72100000001</v>
      </c>
      <c r="K75" s="43">
        <f t="shared" si="17"/>
        <v>180634.95699999999</v>
      </c>
      <c r="L75" s="253">
        <f t="shared" si="18"/>
        <v>62.8</v>
      </c>
      <c r="M75" s="26">
        <f>IFERROR(100/'Skjema total MA'!I75*K75,0)</f>
        <v>31.912760480357388</v>
      </c>
      <c r="N75" s="146"/>
      <c r="O75" s="146"/>
    </row>
    <row r="76" spans="1:15" s="3" customFormat="1" x14ac:dyDescent="0.2">
      <c r="A76" s="20" t="s">
        <v>394</v>
      </c>
      <c r="B76" s="232">
        <v>0</v>
      </c>
      <c r="C76" s="143">
        <v>910829.25300000003</v>
      </c>
      <c r="D76" s="164" t="str">
        <f t="shared" ref="D76" si="23">IF(B76=0, "    ---- ", IF(ABS(ROUND(100/B76*C76-100,1))&lt;999,ROUND(100/B76*C76-100,1),IF(ROUND(100/B76*C76-100,1)&gt;999,999,-999)))</f>
        <v xml:space="preserve">    ---- </v>
      </c>
      <c r="E76" s="26">
        <f>IFERROR(100/'Skjema total MA'!C77*C76,0)</f>
        <v>11.296881160049809</v>
      </c>
      <c r="F76" s="232"/>
      <c r="G76" s="143"/>
      <c r="H76" s="164"/>
      <c r="I76" s="26"/>
      <c r="J76" s="285">
        <f t="shared" ref="J76" si="24">SUM(B76,F76)</f>
        <v>0</v>
      </c>
      <c r="K76" s="43">
        <f t="shared" ref="K76" si="25">SUM(C76,G76)</f>
        <v>910829.25300000003</v>
      </c>
      <c r="L76" s="253" t="str">
        <f t="shared" ref="L76" si="26">IF(J76=0, "    ---- ", IF(ABS(ROUND(100/J76*K76-100,1))&lt;999,ROUND(100/J76*K76-100,1),IF(ROUND(100/J76*K76-100,1)&gt;999,999,-999)))</f>
        <v xml:space="preserve">    ---- </v>
      </c>
      <c r="M76" s="26">
        <f>IFERROR(100/'Skjema total MA'!I77*K76,0)</f>
        <v>2.6432484712985822</v>
      </c>
      <c r="N76" s="146"/>
      <c r="O76" s="146"/>
    </row>
    <row r="77" spans="1:15" ht="15.75" x14ac:dyDescent="0.2">
      <c r="A77" s="20" t="s">
        <v>318</v>
      </c>
      <c r="B77" s="232">
        <v>4667356.7290000003</v>
      </c>
      <c r="C77" s="232">
        <v>2933552</v>
      </c>
      <c r="D77" s="164">
        <f t="shared" si="15"/>
        <v>-37.1</v>
      </c>
      <c r="E77" s="26">
        <f>IFERROR(100/'Skjema total MA'!C77*C77,0)</f>
        <v>36.384413666637514</v>
      </c>
      <c r="F77" s="232">
        <v>7802094.8930000002</v>
      </c>
      <c r="G77" s="143">
        <v>8310450.7719999999</v>
      </c>
      <c r="H77" s="164">
        <f t="shared" si="16"/>
        <v>6.5</v>
      </c>
      <c r="I77" s="26">
        <f>IFERROR(100/'Skjema total MA'!F77*G77,0)</f>
        <v>31.483695507279073</v>
      </c>
      <c r="J77" s="285">
        <f t="shared" si="17"/>
        <v>12469451.622000001</v>
      </c>
      <c r="K77" s="43">
        <f t="shared" si="17"/>
        <v>11244002.772</v>
      </c>
      <c r="L77" s="253">
        <f t="shared" si="18"/>
        <v>-9.8000000000000007</v>
      </c>
      <c r="M77" s="26">
        <f>IFERROR(100/'Skjema total MA'!I77*K77,0)</f>
        <v>32.630367371793248</v>
      </c>
    </row>
    <row r="78" spans="1:15" x14ac:dyDescent="0.2">
      <c r="A78" s="20" t="s">
        <v>9</v>
      </c>
      <c r="B78" s="232">
        <v>4667356.7290000003</v>
      </c>
      <c r="C78" s="143">
        <v>2933552</v>
      </c>
      <c r="D78" s="164">
        <f t="shared" si="15"/>
        <v>-37.1</v>
      </c>
      <c r="E78" s="26">
        <f>IFERROR(100/'Skjema total MA'!C78*C78,0)</f>
        <v>37.098541152948535</v>
      </c>
      <c r="F78" s="232">
        <v>0</v>
      </c>
      <c r="G78" s="143">
        <v>0</v>
      </c>
      <c r="H78" s="164" t="str">
        <f t="shared" si="16"/>
        <v xml:space="preserve">    ---- </v>
      </c>
      <c r="I78" s="26">
        <f>IFERROR(100/'Skjema total MA'!F78*G78,0)</f>
        <v>0</v>
      </c>
      <c r="J78" s="285">
        <f t="shared" si="17"/>
        <v>4667356.7290000003</v>
      </c>
      <c r="K78" s="43">
        <f t="shared" si="17"/>
        <v>2933552</v>
      </c>
      <c r="L78" s="253">
        <f t="shared" si="18"/>
        <v>-37.1</v>
      </c>
      <c r="M78" s="26">
        <f>IFERROR(100/'Skjema total MA'!I78*K78,0)</f>
        <v>37.098541152948535</v>
      </c>
    </row>
    <row r="79" spans="1:15" x14ac:dyDescent="0.2">
      <c r="A79" s="20" t="s">
        <v>10</v>
      </c>
      <c r="B79" s="290"/>
      <c r="C79" s="291"/>
      <c r="D79" s="164"/>
      <c r="E79" s="26"/>
      <c r="F79" s="290">
        <v>7802094.8930000002</v>
      </c>
      <c r="G79" s="291">
        <v>8310450.7719999999</v>
      </c>
      <c r="H79" s="164">
        <f t="shared" si="16"/>
        <v>6.5</v>
      </c>
      <c r="I79" s="26">
        <f>IFERROR(100/'Skjema total MA'!F79*G79,0)</f>
        <v>31.483695507279073</v>
      </c>
      <c r="J79" s="285">
        <f t="shared" si="17"/>
        <v>7802094.8930000002</v>
      </c>
      <c r="K79" s="43">
        <f t="shared" si="17"/>
        <v>8310450.7719999999</v>
      </c>
      <c r="L79" s="253">
        <f t="shared" si="18"/>
        <v>6.5</v>
      </c>
      <c r="M79" s="26">
        <f>IFERROR(100/'Skjema total MA'!I79*K79,0)</f>
        <v>31.299661496813137</v>
      </c>
    </row>
    <row r="80" spans="1:15" ht="15.75" x14ac:dyDescent="0.2">
      <c r="A80" s="294" t="s">
        <v>316</v>
      </c>
      <c r="B80" s="279"/>
      <c r="C80" s="279"/>
      <c r="D80" s="164"/>
      <c r="E80" s="414"/>
      <c r="F80" s="279"/>
      <c r="G80" s="279"/>
      <c r="H80" s="164"/>
      <c r="I80" s="414"/>
      <c r="J80" s="288"/>
      <c r="K80" s="288"/>
      <c r="L80" s="164"/>
      <c r="M80" s="22"/>
    </row>
    <row r="81" spans="1:13" x14ac:dyDescent="0.2">
      <c r="A81" s="294" t="s">
        <v>12</v>
      </c>
      <c r="B81" s="233"/>
      <c r="C81" s="287"/>
      <c r="D81" s="164"/>
      <c r="E81" s="414"/>
      <c r="F81" s="279"/>
      <c r="G81" s="279"/>
      <c r="H81" s="164"/>
      <c r="I81" s="414"/>
      <c r="J81" s="288"/>
      <c r="K81" s="288"/>
      <c r="L81" s="164"/>
      <c r="M81" s="22"/>
    </row>
    <row r="82" spans="1:13" x14ac:dyDescent="0.2">
      <c r="A82" s="294" t="s">
        <v>13</v>
      </c>
      <c r="B82" s="233"/>
      <c r="C82" s="287"/>
      <c r="D82" s="164"/>
      <c r="E82" s="414"/>
      <c r="F82" s="279"/>
      <c r="G82" s="279"/>
      <c r="H82" s="164"/>
      <c r="I82" s="414"/>
      <c r="J82" s="288"/>
      <c r="K82" s="288"/>
      <c r="L82" s="164"/>
      <c r="M82" s="22"/>
    </row>
    <row r="83" spans="1:13" ht="15.75" x14ac:dyDescent="0.2">
      <c r="A83" s="294" t="s">
        <v>317</v>
      </c>
      <c r="B83" s="279"/>
      <c r="C83" s="279"/>
      <c r="D83" s="164"/>
      <c r="E83" s="414"/>
      <c r="F83" s="279">
        <v>7802094.8930000002</v>
      </c>
      <c r="G83" s="279">
        <v>8310450.7719999999</v>
      </c>
      <c r="H83" s="164">
        <f t="shared" si="16"/>
        <v>6.5</v>
      </c>
      <c r="I83" s="414">
        <f>IFERROR(100/'Skjema total MA'!F83*G83,0)</f>
        <v>31.483695507279073</v>
      </c>
      <c r="J83" s="285">
        <f t="shared" ref="J83" si="27">SUM(B83,F83)</f>
        <v>7802094.8930000002</v>
      </c>
      <c r="K83" s="43">
        <f t="shared" ref="K83" si="28">SUM(C83,G83)</f>
        <v>8310450.7719999999</v>
      </c>
      <c r="L83" s="164">
        <f t="shared" ref="L83" si="29">IF(J83=0, "    ---- ", IF(ABS(ROUND(100/J83*K83-100,1))&lt;999,ROUND(100/J83*K83-100,1),IF(ROUND(100/J83*K83-100,1)&gt;999,999,-999)))</f>
        <v>6.5</v>
      </c>
      <c r="M83" s="22">
        <f>IFERROR(100/'Skjema total MA'!I83*K83,0)</f>
        <v>31.299661496813137</v>
      </c>
    </row>
    <row r="84" spans="1:13" x14ac:dyDescent="0.2">
      <c r="A84" s="294" t="s">
        <v>12</v>
      </c>
      <c r="B84" s="233"/>
      <c r="C84" s="287"/>
      <c r="D84" s="164"/>
      <c r="E84" s="414"/>
      <c r="F84" s="279"/>
      <c r="G84" s="279"/>
      <c r="H84" s="164"/>
      <c r="I84" s="414"/>
      <c r="J84" s="288"/>
      <c r="K84" s="288"/>
      <c r="L84" s="164"/>
      <c r="M84" s="22"/>
    </row>
    <row r="85" spans="1:13" x14ac:dyDescent="0.2">
      <c r="A85" s="294" t="s">
        <v>13</v>
      </c>
      <c r="B85" s="233"/>
      <c r="C85" s="287"/>
      <c r="D85" s="164"/>
      <c r="E85" s="414"/>
      <c r="F85" s="279">
        <v>7802094.8930000002</v>
      </c>
      <c r="G85" s="279">
        <v>8310450.7719999999</v>
      </c>
      <c r="H85" s="164">
        <f t="shared" si="16"/>
        <v>6.5</v>
      </c>
      <c r="I85" s="414">
        <f>IFERROR(100/'Skjema total MA'!F85*G85,0)</f>
        <v>31.885282356270054</v>
      </c>
      <c r="J85" s="285">
        <f t="shared" ref="J85" si="30">SUM(B85,F85)</f>
        <v>7802094.8930000002</v>
      </c>
      <c r="K85" s="43">
        <f t="shared" ref="K85" si="31">SUM(C85,G85)</f>
        <v>8310450.7719999999</v>
      </c>
      <c r="L85" s="164">
        <f t="shared" ref="L85" si="32">IF(J85=0, "    ---- ", IF(ABS(ROUND(100/J85*K85-100,1))&lt;999,ROUND(100/J85*K85-100,1),IF(ROUND(100/J85*K85-100,1)&gt;999,999,-999)))</f>
        <v>6.5</v>
      </c>
      <c r="M85" s="22">
        <f>IFERROR(100/'Skjema total MA'!I85*K85,0)</f>
        <v>31.885282356270054</v>
      </c>
    </row>
    <row r="86" spans="1:13" ht="15.75" x14ac:dyDescent="0.2">
      <c r="A86" s="20" t="s">
        <v>327</v>
      </c>
      <c r="B86" s="232">
        <v>279952.17800000001</v>
      </c>
      <c r="C86" s="143">
        <v>160576.18799999999</v>
      </c>
      <c r="D86" s="164">
        <f t="shared" si="15"/>
        <v>-42.6</v>
      </c>
      <c r="E86" s="26">
        <f>IFERROR(100/'Skjema total MA'!C86*C86,0)</f>
        <v>80.277504995703552</v>
      </c>
      <c r="F86" s="232"/>
      <c r="G86" s="143"/>
      <c r="H86" s="164"/>
      <c r="I86" s="26"/>
      <c r="J86" s="285">
        <f t="shared" si="17"/>
        <v>279952.17800000001</v>
      </c>
      <c r="K86" s="43">
        <f t="shared" si="17"/>
        <v>160576.18799999999</v>
      </c>
      <c r="L86" s="253">
        <f t="shared" si="18"/>
        <v>-42.6</v>
      </c>
      <c r="M86" s="26">
        <f>IFERROR(100/'Skjema total MA'!I86*K86,0)</f>
        <v>75.32658660412568</v>
      </c>
    </row>
    <row r="87" spans="1:13" ht="15.75" x14ac:dyDescent="0.2">
      <c r="A87" s="13" t="s">
        <v>25</v>
      </c>
      <c r="B87" s="350">
        <f>B88+B89+B96+B97</f>
        <v>157451218.537</v>
      </c>
      <c r="C87" s="350">
        <f>C88+C89+C96+C97</f>
        <v>160349250</v>
      </c>
      <c r="D87" s="169">
        <f t="shared" si="15"/>
        <v>1.8</v>
      </c>
      <c r="E87" s="11">
        <f>IFERROR(100/'Skjema total MA'!C87*C87,0)</f>
        <v>42.046096746940684</v>
      </c>
      <c r="F87" s="350">
        <f>F88+F89+F96+F97</f>
        <v>56535845.866000004</v>
      </c>
      <c r="G87" s="350">
        <f>G88+G89+G96+G97</f>
        <v>69747685.691</v>
      </c>
      <c r="H87" s="169">
        <f t="shared" si="16"/>
        <v>23.4</v>
      </c>
      <c r="I87" s="11">
        <f>IFERROR(100/'Skjema total MA'!F87*G87,0)</f>
        <v>31.175550920434528</v>
      </c>
      <c r="J87" s="307">
        <f t="shared" ref="J87:K111" si="33">SUM(B87,F87)</f>
        <v>213987064.403</v>
      </c>
      <c r="K87" s="234">
        <f t="shared" si="33"/>
        <v>230096935.69099998</v>
      </c>
      <c r="L87" s="425">
        <f t="shared" si="18"/>
        <v>7.5</v>
      </c>
      <c r="M87" s="11">
        <f>IFERROR(100/'Skjema total MA'!I87*K87,0)</f>
        <v>38.026834400073362</v>
      </c>
    </row>
    <row r="88" spans="1:13" x14ac:dyDescent="0.2">
      <c r="A88" s="20" t="s">
        <v>9</v>
      </c>
      <c r="B88" s="232">
        <v>157379771.65599999</v>
      </c>
      <c r="C88" s="143">
        <v>156356566</v>
      </c>
      <c r="D88" s="164">
        <f t="shared" si="15"/>
        <v>-0.7</v>
      </c>
      <c r="E88" s="26">
        <f>IFERROR(100/'Skjema total MA'!C88*C88,0)</f>
        <v>41.880571125509306</v>
      </c>
      <c r="F88" s="232"/>
      <c r="G88" s="143"/>
      <c r="H88" s="164"/>
      <c r="I88" s="26"/>
      <c r="J88" s="285">
        <f t="shared" si="33"/>
        <v>157379771.65599999</v>
      </c>
      <c r="K88" s="43">
        <f t="shared" si="33"/>
        <v>156356566</v>
      </c>
      <c r="L88" s="253">
        <f t="shared" si="18"/>
        <v>-0.7</v>
      </c>
      <c r="M88" s="26">
        <f>IFERROR(100/'Skjema total MA'!I88*K88,0)</f>
        <v>41.880571125509306</v>
      </c>
    </row>
    <row r="89" spans="1:13" x14ac:dyDescent="0.2">
      <c r="A89" s="20" t="s">
        <v>10</v>
      </c>
      <c r="B89" s="232">
        <v>47716</v>
      </c>
      <c r="C89" s="143">
        <v>60753</v>
      </c>
      <c r="D89" s="164">
        <f t="shared" si="15"/>
        <v>27.3</v>
      </c>
      <c r="E89" s="26">
        <f>IFERROR(100/'Skjema total MA'!C89*C89,0)</f>
        <v>2.4158785319233207</v>
      </c>
      <c r="F89" s="232">
        <v>56449102.343000002</v>
      </c>
      <c r="G89" s="143">
        <v>69516376.613999993</v>
      </c>
      <c r="H89" s="164">
        <f t="shared" si="16"/>
        <v>23.1</v>
      </c>
      <c r="I89" s="26">
        <f>IFERROR(100/'Skjema total MA'!F89*G89,0)</f>
        <v>31.169537151218393</v>
      </c>
      <c r="J89" s="285">
        <f t="shared" si="33"/>
        <v>56496818.343000002</v>
      </c>
      <c r="K89" s="43">
        <f t="shared" si="33"/>
        <v>69577129.613999993</v>
      </c>
      <c r="L89" s="253">
        <f t="shared" si="18"/>
        <v>23.2</v>
      </c>
      <c r="M89" s="26">
        <f>IFERROR(100/'Skjema total MA'!I89*K89,0)</f>
        <v>30.848940127979052</v>
      </c>
    </row>
    <row r="90" spans="1:13" ht="15.75" x14ac:dyDescent="0.2">
      <c r="A90" s="294" t="s">
        <v>316</v>
      </c>
      <c r="B90" s="279"/>
      <c r="C90" s="279"/>
      <c r="D90" s="164"/>
      <c r="E90" s="414"/>
      <c r="F90" s="279"/>
      <c r="G90" s="279"/>
      <c r="H90" s="164"/>
      <c r="I90" s="414"/>
      <c r="J90" s="288"/>
      <c r="K90" s="288"/>
      <c r="L90" s="164"/>
      <c r="M90" s="22"/>
    </row>
    <row r="91" spans="1:13" x14ac:dyDescent="0.2">
      <c r="A91" s="294" t="s">
        <v>12</v>
      </c>
      <c r="B91" s="233"/>
      <c r="C91" s="287"/>
      <c r="D91" s="164"/>
      <c r="E91" s="414"/>
      <c r="F91" s="279"/>
      <c r="G91" s="279"/>
      <c r="H91" s="164"/>
      <c r="I91" s="414"/>
      <c r="J91" s="288"/>
      <c r="K91" s="288"/>
      <c r="L91" s="164"/>
      <c r="M91" s="22"/>
    </row>
    <row r="92" spans="1:13" x14ac:dyDescent="0.2">
      <c r="A92" s="294" t="s">
        <v>13</v>
      </c>
      <c r="B92" s="233"/>
      <c r="C92" s="287"/>
      <c r="D92" s="164"/>
      <c r="E92" s="414"/>
      <c r="F92" s="279"/>
      <c r="G92" s="279"/>
      <c r="H92" s="164"/>
      <c r="I92" s="414"/>
      <c r="J92" s="288"/>
      <c r="K92" s="288"/>
      <c r="L92" s="164"/>
      <c r="M92" s="22"/>
    </row>
    <row r="93" spans="1:13" ht="15.75" x14ac:dyDescent="0.2">
      <c r="A93" s="294" t="s">
        <v>317</v>
      </c>
      <c r="B93" s="279">
        <v>47716</v>
      </c>
      <c r="C93" s="279">
        <v>60753</v>
      </c>
      <c r="D93" s="164">
        <f t="shared" ref="D93" si="34">IF(B93=0, "    ---- ", IF(ABS(ROUND(100/B93*C93-100,1))&lt;999,ROUND(100/B93*C93-100,1),IF(ROUND(100/B93*C93-100,1)&gt;999,999,-999)))</f>
        <v>27.3</v>
      </c>
      <c r="E93" s="26">
        <f>IFERROR(100/'Skjema total MA'!C93*C93,0)</f>
        <v>2.4158785319233207</v>
      </c>
      <c r="F93" s="279">
        <v>56449102.343000002</v>
      </c>
      <c r="G93" s="279">
        <v>69516376.613999993</v>
      </c>
      <c r="H93" s="164">
        <f t="shared" si="16"/>
        <v>23.1</v>
      </c>
      <c r="I93" s="414">
        <f>IFERROR(100/'Skjema total MA'!F93*G93,0)</f>
        <v>31.190489177631932</v>
      </c>
      <c r="J93" s="285">
        <f t="shared" ref="J93" si="35">SUM(B93,F93)</f>
        <v>56496818.343000002</v>
      </c>
      <c r="K93" s="43">
        <f t="shared" ref="K93" si="36">SUM(C93,G93)</f>
        <v>69577129.613999993</v>
      </c>
      <c r="L93" s="164">
        <f t="shared" ref="L93" si="37">IF(J93=0, "    ---- ", IF(ABS(ROUND(100/J93*K93-100,1))&lt;999,ROUND(100/J93*K93-100,1),IF(ROUND(100/J93*K93-100,1)&gt;999,999,-999)))</f>
        <v>23.2</v>
      </c>
      <c r="M93" s="22">
        <f>IFERROR(100/'Skjema total MA'!I93*K93,0)</f>
        <v>30.869445289090546</v>
      </c>
    </row>
    <row r="94" spans="1:13" x14ac:dyDescent="0.2">
      <c r="A94" s="294" t="s">
        <v>12</v>
      </c>
      <c r="B94" s="233"/>
      <c r="C94" s="287"/>
      <c r="D94" s="164"/>
      <c r="E94" s="414"/>
      <c r="F94" s="279"/>
      <c r="G94" s="279"/>
      <c r="H94" s="164"/>
      <c r="I94" s="414"/>
      <c r="J94" s="288"/>
      <c r="K94" s="288"/>
      <c r="L94" s="164"/>
      <c r="M94" s="22"/>
    </row>
    <row r="95" spans="1:13" x14ac:dyDescent="0.2">
      <c r="A95" s="294" t="s">
        <v>13</v>
      </c>
      <c r="B95" s="233"/>
      <c r="C95" s="287"/>
      <c r="D95" s="164"/>
      <c r="E95" s="414"/>
      <c r="F95" s="279">
        <v>56449102.343000002</v>
      </c>
      <c r="G95" s="279">
        <v>69516376.613999993</v>
      </c>
      <c r="H95" s="164">
        <f t="shared" si="16"/>
        <v>23.1</v>
      </c>
      <c r="I95" s="414">
        <f>IFERROR(100/'Skjema total MA'!F95*G95,0)</f>
        <v>31.659331475344317</v>
      </c>
      <c r="J95" s="285">
        <f t="shared" ref="J95" si="38">SUM(B95,F95)</f>
        <v>56449102.343000002</v>
      </c>
      <c r="K95" s="43">
        <f t="shared" ref="K95" si="39">SUM(C95,G95)</f>
        <v>69516376.613999993</v>
      </c>
      <c r="L95" s="164">
        <f t="shared" ref="L95" si="40">IF(J95=0, "    ---- ", IF(ABS(ROUND(100/J95*K95-100,1))&lt;999,ROUND(100/J95*K95-100,1),IF(ROUND(100/J95*K95-100,1)&gt;999,999,-999)))</f>
        <v>23.1</v>
      </c>
      <c r="M95" s="22">
        <f>IFERROR(100/'Skjema total MA'!I95*K95,0)</f>
        <v>31.659331475344317</v>
      </c>
    </row>
    <row r="96" spans="1:13" x14ac:dyDescent="0.2">
      <c r="A96" s="20" t="s">
        <v>393</v>
      </c>
      <c r="B96" s="232">
        <v>23730.881000000001</v>
      </c>
      <c r="C96" s="143">
        <v>112672</v>
      </c>
      <c r="D96" s="164">
        <f t="shared" si="15"/>
        <v>374.8</v>
      </c>
      <c r="E96" s="26">
        <f>IFERROR(100/'Skjema total MA'!C96*C96,0)</f>
        <v>23.801543657453909</v>
      </c>
      <c r="F96" s="232">
        <v>86743.523000000001</v>
      </c>
      <c r="G96" s="143">
        <v>231309.07699999999</v>
      </c>
      <c r="H96" s="164">
        <f t="shared" si="16"/>
        <v>166.7</v>
      </c>
      <c r="I96" s="26">
        <f>IFERROR(100/'Skjema total MA'!F96*G96,0)</f>
        <v>33.094515148120003</v>
      </c>
      <c r="J96" s="285">
        <f t="shared" si="33"/>
        <v>110474.40400000001</v>
      </c>
      <c r="K96" s="43">
        <f t="shared" si="33"/>
        <v>343981.07699999999</v>
      </c>
      <c r="L96" s="253">
        <f t="shared" si="18"/>
        <v>211.4</v>
      </c>
      <c r="M96" s="26">
        <f>IFERROR(100/'Skjema total MA'!I96*K96,0)</f>
        <v>29.342013860910523</v>
      </c>
    </row>
    <row r="97" spans="1:13" x14ac:dyDescent="0.2">
      <c r="A97" s="20" t="s">
        <v>392</v>
      </c>
      <c r="B97" s="232">
        <v>0</v>
      </c>
      <c r="C97" s="143">
        <v>3819259</v>
      </c>
      <c r="D97" s="164" t="str">
        <f t="shared" ref="D97" si="41">IF(B97=0, "    ---- ", IF(ABS(ROUND(100/B97*C97-100,1))&lt;999,ROUND(100/B97*C97-100,1),IF(ROUND(100/B97*C97-100,1)&gt;999,999,-999)))</f>
        <v xml:space="preserve">    ---- </v>
      </c>
      <c r="E97" s="26">
        <f>IFERROR(100/'Skjema total MA'!C98*C97,0)</f>
        <v>1.0270162656960764</v>
      </c>
      <c r="F97" s="232"/>
      <c r="G97" s="143"/>
      <c r="H97" s="164"/>
      <c r="I97" s="26"/>
      <c r="J97" s="285">
        <f t="shared" ref="J97" si="42">SUM(B97,F97)</f>
        <v>0</v>
      </c>
      <c r="K97" s="43">
        <f t="shared" ref="K97" si="43">SUM(C97,G97)</f>
        <v>3819259</v>
      </c>
      <c r="L97" s="253" t="str">
        <f t="shared" ref="L97" si="44">IF(J97=0, "    ---- ", IF(ABS(ROUND(100/J97*K97-100,1))&lt;999,ROUND(100/J97*K97-100,1),IF(ROUND(100/J97*K97-100,1)&gt;999,999,-999)))</f>
        <v xml:space="preserve">    ---- </v>
      </c>
      <c r="M97" s="26">
        <f>IFERROR(100/'Skjema total MA'!I98*K97,0)</f>
        <v>0.64263698064427444</v>
      </c>
    </row>
    <row r="98" spans="1:13" ht="15.75" x14ac:dyDescent="0.2">
      <c r="A98" s="20" t="s">
        <v>318</v>
      </c>
      <c r="B98" s="232">
        <v>153947803.50400001</v>
      </c>
      <c r="C98" s="232">
        <v>152937947.74599999</v>
      </c>
      <c r="D98" s="164">
        <f t="shared" si="15"/>
        <v>-0.7</v>
      </c>
      <c r="E98" s="26">
        <f>IFERROR(100/'Skjema total MA'!C98*C98,0)</f>
        <v>41.125715741540063</v>
      </c>
      <c r="F98" s="290">
        <v>56449102.343000002</v>
      </c>
      <c r="G98" s="290">
        <v>69516376.613999993</v>
      </c>
      <c r="H98" s="164">
        <f t="shared" si="16"/>
        <v>23.1</v>
      </c>
      <c r="I98" s="26">
        <f>IFERROR(100/'Skjema total MA'!F98*G98,0)</f>
        <v>31.252954339654003</v>
      </c>
      <c r="J98" s="285">
        <f t="shared" si="33"/>
        <v>210396905.847</v>
      </c>
      <c r="K98" s="43">
        <f t="shared" si="33"/>
        <v>222454324.35999998</v>
      </c>
      <c r="L98" s="253">
        <f t="shared" si="18"/>
        <v>5.7</v>
      </c>
      <c r="M98" s="26">
        <f>IFERROR(100/'Skjema total MA'!I98*K98,0)</f>
        <v>37.43065744899009</v>
      </c>
    </row>
    <row r="99" spans="1:13" x14ac:dyDescent="0.2">
      <c r="A99" s="20" t="s">
        <v>9</v>
      </c>
      <c r="B99" s="290">
        <v>153900087.66600001</v>
      </c>
      <c r="C99" s="291">
        <v>152877194.74599999</v>
      </c>
      <c r="D99" s="164">
        <f t="shared" si="15"/>
        <v>-0.7</v>
      </c>
      <c r="E99" s="26">
        <f>IFERROR(100/'Skjema total MA'!C99*C99,0)</f>
        <v>41.389263283464373</v>
      </c>
      <c r="F99" s="232"/>
      <c r="G99" s="143"/>
      <c r="H99" s="164"/>
      <c r="I99" s="26"/>
      <c r="J99" s="285">
        <f t="shared" si="33"/>
        <v>153900087.66600001</v>
      </c>
      <c r="K99" s="43">
        <f t="shared" si="33"/>
        <v>152877194.74599999</v>
      </c>
      <c r="L99" s="253">
        <f t="shared" si="18"/>
        <v>-0.7</v>
      </c>
      <c r="M99" s="26">
        <f>IFERROR(100/'Skjema total MA'!I99*K99,0)</f>
        <v>41.389263283464373</v>
      </c>
    </row>
    <row r="100" spans="1:13" x14ac:dyDescent="0.2">
      <c r="A100" s="20" t="s">
        <v>10</v>
      </c>
      <c r="B100" s="290">
        <v>47715.838000000003</v>
      </c>
      <c r="C100" s="291">
        <v>60753</v>
      </c>
      <c r="D100" s="164">
        <f t="shared" si="15"/>
        <v>27.3</v>
      </c>
      <c r="E100" s="26">
        <f>IFERROR(100/'Skjema total MA'!C100*C100,0)</f>
        <v>2.4158785319233207</v>
      </c>
      <c r="F100" s="232">
        <v>56449102.343000002</v>
      </c>
      <c r="G100" s="232">
        <v>69516376.613999993</v>
      </c>
      <c r="H100" s="164">
        <f t="shared" si="16"/>
        <v>23.1</v>
      </c>
      <c r="I100" s="26">
        <f>IFERROR(100/'Skjema total MA'!F100*G100,0)</f>
        <v>31.252954339654003</v>
      </c>
      <c r="J100" s="285">
        <f t="shared" si="33"/>
        <v>56496818.181000002</v>
      </c>
      <c r="K100" s="43">
        <f t="shared" si="33"/>
        <v>69577129.613999993</v>
      </c>
      <c r="L100" s="253">
        <f t="shared" si="18"/>
        <v>23.2</v>
      </c>
      <c r="M100" s="26">
        <f>IFERROR(100/'Skjema total MA'!I100*K100,0)</f>
        <v>30.930576368576965</v>
      </c>
    </row>
    <row r="101" spans="1:13" ht="15.75" x14ac:dyDescent="0.2">
      <c r="A101" s="294" t="s">
        <v>316</v>
      </c>
      <c r="B101" s="279"/>
      <c r="C101" s="279"/>
      <c r="D101" s="164"/>
      <c r="E101" s="414"/>
      <c r="F101" s="279"/>
      <c r="G101" s="279"/>
      <c r="H101" s="164"/>
      <c r="I101" s="414"/>
      <c r="J101" s="288"/>
      <c r="K101" s="288"/>
      <c r="L101" s="164"/>
      <c r="M101" s="22"/>
    </row>
    <row r="102" spans="1:13" x14ac:dyDescent="0.2">
      <c r="A102" s="294" t="s">
        <v>12</v>
      </c>
      <c r="B102" s="233"/>
      <c r="C102" s="287"/>
      <c r="D102" s="164"/>
      <c r="E102" s="414"/>
      <c r="F102" s="279"/>
      <c r="G102" s="279"/>
      <c r="H102" s="164"/>
      <c r="I102" s="414"/>
      <c r="J102" s="288"/>
      <c r="K102" s="288"/>
      <c r="L102" s="164"/>
      <c r="M102" s="22"/>
    </row>
    <row r="103" spans="1:13" x14ac:dyDescent="0.2">
      <c r="A103" s="294" t="s">
        <v>13</v>
      </c>
      <c r="B103" s="233"/>
      <c r="C103" s="287"/>
      <c r="D103" s="164"/>
      <c r="E103" s="414"/>
      <c r="F103" s="279"/>
      <c r="G103" s="279"/>
      <c r="H103" s="164"/>
      <c r="I103" s="414"/>
      <c r="J103" s="288"/>
      <c r="K103" s="288"/>
      <c r="L103" s="164"/>
      <c r="M103" s="22"/>
    </row>
    <row r="104" spans="1:13" ht="15.75" x14ac:dyDescent="0.2">
      <c r="A104" s="294" t="s">
        <v>317</v>
      </c>
      <c r="B104" s="279">
        <v>47715.838000000003</v>
      </c>
      <c r="C104" s="279">
        <v>60753</v>
      </c>
      <c r="D104" s="164">
        <f t="shared" ref="D104" si="45">IF(B104=0, "    ---- ", IF(ABS(ROUND(100/B104*C104-100,1))&lt;999,ROUND(100/B104*C104-100,1),IF(ROUND(100/B104*C104-100,1)&gt;999,999,-999)))</f>
        <v>27.3</v>
      </c>
      <c r="E104" s="26">
        <f>IFERROR(100/'Skjema total MA'!C104*C104,0)</f>
        <v>2.4158785319233207</v>
      </c>
      <c r="F104" s="279">
        <v>56449102.343000002</v>
      </c>
      <c r="G104" s="279">
        <v>69516376.613999993</v>
      </c>
      <c r="H104" s="164">
        <f t="shared" si="16"/>
        <v>23.1</v>
      </c>
      <c r="I104" s="414">
        <f>IFERROR(100/'Skjema total MA'!F104*G104,0)</f>
        <v>31.252954339654003</v>
      </c>
      <c r="J104" s="285">
        <f t="shared" ref="J104" si="46">SUM(B104,F104)</f>
        <v>56496818.181000002</v>
      </c>
      <c r="K104" s="43">
        <f t="shared" ref="K104" si="47">SUM(C104,G104)</f>
        <v>69577129.613999993</v>
      </c>
      <c r="L104" s="164">
        <f t="shared" ref="L104" si="48">IF(J104=0, "    ---- ", IF(ABS(ROUND(100/J104*K104-100,1))&lt;999,ROUND(100/J104*K104-100,1),IF(ROUND(100/J104*K104-100,1)&gt;999,999,-999)))</f>
        <v>23.2</v>
      </c>
      <c r="M104" s="22">
        <f>IFERROR(100/'Skjema total MA'!I104*K104,0)</f>
        <v>30.930576368576965</v>
      </c>
    </row>
    <row r="105" spans="1:13" x14ac:dyDescent="0.2">
      <c r="A105" s="294" t="s">
        <v>12</v>
      </c>
      <c r="B105" s="233"/>
      <c r="C105" s="287"/>
      <c r="D105" s="164"/>
      <c r="E105" s="414"/>
      <c r="F105" s="279"/>
      <c r="G105" s="279"/>
      <c r="H105" s="164"/>
      <c r="I105" s="414"/>
      <c r="J105" s="288"/>
      <c r="K105" s="288"/>
      <c r="L105" s="164"/>
      <c r="M105" s="22"/>
    </row>
    <row r="106" spans="1:13" x14ac:dyDescent="0.2">
      <c r="A106" s="294" t="s">
        <v>13</v>
      </c>
      <c r="B106" s="233"/>
      <c r="C106" s="287"/>
      <c r="D106" s="164"/>
      <c r="E106" s="414"/>
      <c r="F106" s="279">
        <v>56449102.343000002</v>
      </c>
      <c r="G106" s="279">
        <v>69516376.613999993</v>
      </c>
      <c r="H106" s="164">
        <f t="shared" si="16"/>
        <v>23.1</v>
      </c>
      <c r="I106" s="414">
        <f>IFERROR(100/'Skjema total MA'!F106*G106,0)</f>
        <v>31.668116303766883</v>
      </c>
      <c r="J106" s="285">
        <f t="shared" ref="J106" si="49">SUM(B106,F106)</f>
        <v>56449102.343000002</v>
      </c>
      <c r="K106" s="43">
        <f t="shared" ref="K106" si="50">SUM(C106,G106)</f>
        <v>69516376.613999993</v>
      </c>
      <c r="L106" s="164">
        <f t="shared" ref="L106" si="51">IF(J106=0, "    ---- ", IF(ABS(ROUND(100/J106*K106-100,1))&lt;999,ROUND(100/J106*K106-100,1),IF(ROUND(100/J106*K106-100,1)&gt;999,999,-999)))</f>
        <v>23.1</v>
      </c>
      <c r="M106" s="22">
        <f>IFERROR(100/'Skjema total MA'!I106*K106,0)</f>
        <v>31.668116303766883</v>
      </c>
    </row>
    <row r="107" spans="1:13" ht="15.75" x14ac:dyDescent="0.2">
      <c r="A107" s="20" t="s">
        <v>327</v>
      </c>
      <c r="B107" s="232">
        <v>3479683.99</v>
      </c>
      <c r="C107" s="143">
        <v>3479371.2540000002</v>
      </c>
      <c r="D107" s="164">
        <f t="shared" si="15"/>
        <v>0</v>
      </c>
      <c r="E107" s="26">
        <f>IFERROR(100/'Skjema total MA'!C107*C107,0)</f>
        <v>87.536484406309796</v>
      </c>
      <c r="F107" s="232"/>
      <c r="G107" s="143"/>
      <c r="H107" s="164"/>
      <c r="I107" s="26"/>
      <c r="J107" s="285">
        <f t="shared" si="33"/>
        <v>3479683.99</v>
      </c>
      <c r="K107" s="43">
        <f t="shared" si="33"/>
        <v>3479371.2540000002</v>
      </c>
      <c r="L107" s="253">
        <f t="shared" si="18"/>
        <v>0</v>
      </c>
      <c r="M107" s="26">
        <f>IFERROR(100/'Skjema total MA'!I107*K107,0)</f>
        <v>76.134257236267715</v>
      </c>
    </row>
    <row r="108" spans="1:13" ht="15.75" x14ac:dyDescent="0.2">
      <c r="A108" s="20" t="s">
        <v>328</v>
      </c>
      <c r="B108" s="232">
        <v>113719408.29099999</v>
      </c>
      <c r="C108" s="232">
        <v>125595475.485</v>
      </c>
      <c r="D108" s="164">
        <f t="shared" si="15"/>
        <v>10.4</v>
      </c>
      <c r="E108" s="26">
        <f>IFERROR(100/'Skjema total MA'!C108*C108,0)</f>
        <v>41.692655076703915</v>
      </c>
      <c r="F108" s="232">
        <v>5487604.0690000001</v>
      </c>
      <c r="G108" s="232">
        <v>6749345.3210000005</v>
      </c>
      <c r="H108" s="164">
        <f t="shared" si="16"/>
        <v>23</v>
      </c>
      <c r="I108" s="26">
        <f>IFERROR(100/'Skjema total MA'!F108*G108,0)</f>
        <v>93.232473884578781</v>
      </c>
      <c r="J108" s="285">
        <f t="shared" si="33"/>
        <v>119207012.36</v>
      </c>
      <c r="K108" s="43">
        <f t="shared" si="33"/>
        <v>132344820.80599999</v>
      </c>
      <c r="L108" s="253">
        <f t="shared" si="18"/>
        <v>11</v>
      </c>
      <c r="M108" s="26">
        <f>IFERROR(100/'Skjema total MA'!I108*K108,0)</f>
        <v>42.902165432035517</v>
      </c>
    </row>
    <row r="109" spans="1:13" ht="15.75" x14ac:dyDescent="0.2">
      <c r="A109" s="20" t="s">
        <v>320</v>
      </c>
      <c r="B109" s="232"/>
      <c r="C109" s="232"/>
      <c r="D109" s="164"/>
      <c r="E109" s="26"/>
      <c r="F109" s="232">
        <v>16870799.784000002</v>
      </c>
      <c r="G109" s="232">
        <v>21675891.588</v>
      </c>
      <c r="H109" s="164">
        <f t="shared" si="16"/>
        <v>28.5</v>
      </c>
      <c r="I109" s="26">
        <f>IFERROR(100/'Skjema total MA'!F109*G109,0)</f>
        <v>29.536747744525012</v>
      </c>
      <c r="J109" s="285">
        <f t="shared" si="33"/>
        <v>16870799.784000002</v>
      </c>
      <c r="K109" s="43">
        <f t="shared" si="33"/>
        <v>21675891.588</v>
      </c>
      <c r="L109" s="253">
        <f t="shared" si="18"/>
        <v>28.5</v>
      </c>
      <c r="M109" s="26">
        <f>IFERROR(100/'Skjema total MA'!I109*K109,0)</f>
        <v>29.224340963371954</v>
      </c>
    </row>
    <row r="110" spans="1:13" ht="15.75" x14ac:dyDescent="0.2">
      <c r="A110" s="20" t="s">
        <v>321</v>
      </c>
      <c r="B110" s="232">
        <v>2077.2370000000001</v>
      </c>
      <c r="C110" s="232">
        <v>0</v>
      </c>
      <c r="D110" s="164">
        <f t="shared" si="15"/>
        <v>-100</v>
      </c>
      <c r="E110" s="26">
        <f>IFERROR(100/'Skjema total MA'!C110*C110,0)</f>
        <v>0</v>
      </c>
      <c r="F110" s="232"/>
      <c r="G110" s="232"/>
      <c r="H110" s="164"/>
      <c r="I110" s="26"/>
      <c r="J110" s="285">
        <f t="shared" si="33"/>
        <v>2077.2370000000001</v>
      </c>
      <c r="K110" s="43">
        <f t="shared" si="33"/>
        <v>0</v>
      </c>
      <c r="L110" s="253">
        <f t="shared" si="18"/>
        <v>-100</v>
      </c>
      <c r="M110" s="26">
        <f>IFERROR(100/'Skjema total MA'!I110*K110,0)</f>
        <v>0</v>
      </c>
    </row>
    <row r="111" spans="1:13" ht="15.75" x14ac:dyDescent="0.2">
      <c r="A111" s="13" t="s">
        <v>24</v>
      </c>
      <c r="B111" s="306">
        <f>SUM(B112:B114)</f>
        <v>111708.72199999999</v>
      </c>
      <c r="C111" s="157">
        <f>SUM(C112:C114)</f>
        <v>16932.437999999998</v>
      </c>
      <c r="D111" s="169">
        <f t="shared" si="15"/>
        <v>-84.8</v>
      </c>
      <c r="E111" s="11">
        <f>IFERROR(100/'Skjema total MA'!C111*C111,0)</f>
        <v>3.0742802463544647</v>
      </c>
      <c r="F111" s="306">
        <f>SUM(F112:F114)</f>
        <v>379031.08100000001</v>
      </c>
      <c r="G111" s="157">
        <f>SUM(G112:G114)</f>
        <v>600892.05000000005</v>
      </c>
      <c r="H111" s="169">
        <f t="shared" si="16"/>
        <v>58.5</v>
      </c>
      <c r="I111" s="11">
        <f>IFERROR(100/'Skjema total MA'!F111*G111,0)</f>
        <v>6.2608346997361091</v>
      </c>
      <c r="J111" s="307">
        <f t="shared" si="33"/>
        <v>490739.80300000001</v>
      </c>
      <c r="K111" s="234">
        <f t="shared" si="33"/>
        <v>617824.48800000001</v>
      </c>
      <c r="L111" s="425">
        <f t="shared" si="18"/>
        <v>25.9</v>
      </c>
      <c r="M111" s="11">
        <f>IFERROR(100/'Skjema total MA'!I111*K111,0)</f>
        <v>6.0878931728698902</v>
      </c>
    </row>
    <row r="112" spans="1:13" x14ac:dyDescent="0.2">
      <c r="A112" s="20" t="s">
        <v>9</v>
      </c>
      <c r="B112" s="232">
        <v>111708.72199999999</v>
      </c>
      <c r="C112" s="143">
        <v>16932.437999999998</v>
      </c>
      <c r="D112" s="164">
        <f t="shared" ref="D112:D125" si="52">IF(B112=0, "    ---- ", IF(ABS(ROUND(100/B112*C112-100,1))&lt;999,ROUND(100/B112*C112-100,1),IF(ROUND(100/B112*C112-100,1)&gt;999,999,-999)))</f>
        <v>-84.8</v>
      </c>
      <c r="E112" s="26">
        <f>IFERROR(100/'Skjema total MA'!C112*C112,0)</f>
        <v>3.1133461583506592</v>
      </c>
      <c r="F112" s="232">
        <v>0</v>
      </c>
      <c r="G112" s="143">
        <v>0</v>
      </c>
      <c r="H112" s="164" t="str">
        <f t="shared" ref="H112:H125" si="53">IF(F112=0, "    ---- ", IF(ABS(ROUND(100/F112*G112-100,1))&lt;999,ROUND(100/F112*G112-100,1),IF(ROUND(100/F112*G112-100,1)&gt;999,999,-999)))</f>
        <v xml:space="preserve">    ---- </v>
      </c>
      <c r="I112" s="26">
        <f>IFERROR(100/'Skjema total MA'!F112*G112,0)</f>
        <v>0</v>
      </c>
      <c r="J112" s="285">
        <f t="shared" ref="J112:K125" si="54">SUM(B112,F112)</f>
        <v>111708.72199999999</v>
      </c>
      <c r="K112" s="43">
        <f t="shared" si="54"/>
        <v>16932.437999999998</v>
      </c>
      <c r="L112" s="253">
        <f t="shared" ref="L112:L125" si="55">IF(J112=0, "    ---- ", IF(ABS(ROUND(100/J112*K112-100,1))&lt;999,ROUND(100/J112*K112-100,1),IF(ROUND(100/J112*K112-100,1)&gt;999,999,-999)))</f>
        <v>-84.8</v>
      </c>
      <c r="M112" s="26">
        <f>IFERROR(100/'Skjema total MA'!I112*K112,0)</f>
        <v>3.1133461583506592</v>
      </c>
    </row>
    <row r="113" spans="1:14" x14ac:dyDescent="0.2">
      <c r="A113" s="20" t="s">
        <v>10</v>
      </c>
      <c r="B113" s="232"/>
      <c r="C113" s="143"/>
      <c r="D113" s="164"/>
      <c r="E113" s="26"/>
      <c r="F113" s="232">
        <v>379031.08100000001</v>
      </c>
      <c r="G113" s="143">
        <v>600892.05000000005</v>
      </c>
      <c r="H113" s="164">
        <f t="shared" si="53"/>
        <v>58.5</v>
      </c>
      <c r="I113" s="26">
        <f>IFERROR(100/'Skjema total MA'!F113*G113,0)</f>
        <v>6.2616195698954469</v>
      </c>
      <c r="J113" s="285">
        <f t="shared" si="54"/>
        <v>379031.08100000001</v>
      </c>
      <c r="K113" s="43">
        <f t="shared" si="54"/>
        <v>600892.05000000005</v>
      </c>
      <c r="L113" s="253">
        <f t="shared" si="55"/>
        <v>58.5</v>
      </c>
      <c r="M113" s="26">
        <f>IFERROR(100/'Skjema total MA'!I113*K113,0)</f>
        <v>6.2597801520733372</v>
      </c>
    </row>
    <row r="114" spans="1:14" x14ac:dyDescent="0.2">
      <c r="A114" s="20" t="s">
        <v>29</v>
      </c>
      <c r="B114" s="232"/>
      <c r="C114" s="143"/>
      <c r="D114" s="164"/>
      <c r="E114" s="26"/>
      <c r="F114" s="232"/>
      <c r="G114" s="143"/>
      <c r="H114" s="164"/>
      <c r="I114" s="26"/>
      <c r="J114" s="285"/>
      <c r="K114" s="43"/>
      <c r="L114" s="253"/>
      <c r="M114" s="26"/>
    </row>
    <row r="115" spans="1:14" x14ac:dyDescent="0.2">
      <c r="A115" s="294" t="s">
        <v>15</v>
      </c>
      <c r="B115" s="279"/>
      <c r="C115" s="279"/>
      <c r="D115" s="164"/>
      <c r="E115" s="414"/>
      <c r="F115" s="279"/>
      <c r="G115" s="279"/>
      <c r="H115" s="164"/>
      <c r="I115" s="414"/>
      <c r="J115" s="288"/>
      <c r="K115" s="288"/>
      <c r="L115" s="164"/>
      <c r="M115" s="22"/>
    </row>
    <row r="116" spans="1:14" ht="15.75" x14ac:dyDescent="0.2">
      <c r="A116" s="20" t="s">
        <v>329</v>
      </c>
      <c r="B116" s="232">
        <v>25369.401000000002</v>
      </c>
      <c r="C116" s="232">
        <v>10667.813</v>
      </c>
      <c r="D116" s="164">
        <f t="shared" si="52"/>
        <v>-58</v>
      </c>
      <c r="E116" s="26">
        <f>IFERROR(100/'Skjema total MA'!C116*C116,0)</f>
        <v>7.6928662342298164</v>
      </c>
      <c r="F116" s="232"/>
      <c r="G116" s="232"/>
      <c r="H116" s="164"/>
      <c r="I116" s="26"/>
      <c r="J116" s="285">
        <f t="shared" si="54"/>
        <v>25369.401000000002</v>
      </c>
      <c r="K116" s="43">
        <f t="shared" si="54"/>
        <v>10667.813</v>
      </c>
      <c r="L116" s="253">
        <f t="shared" si="55"/>
        <v>-58</v>
      </c>
      <c r="M116" s="26">
        <f>IFERROR(100/'Skjema total MA'!I116*K116,0)</f>
        <v>6.8851228990164541</v>
      </c>
    </row>
    <row r="117" spans="1:14" ht="15.75" x14ac:dyDescent="0.2">
      <c r="A117" s="20" t="s">
        <v>322</v>
      </c>
      <c r="B117" s="232"/>
      <c r="C117" s="232"/>
      <c r="D117" s="164"/>
      <c r="E117" s="26"/>
      <c r="F117" s="232">
        <v>265859.34100000001</v>
      </c>
      <c r="G117" s="232">
        <v>404928.03899999999</v>
      </c>
      <c r="H117" s="164">
        <f t="shared" si="53"/>
        <v>52.3</v>
      </c>
      <c r="I117" s="26">
        <f>IFERROR(100/'Skjema total MA'!F117*G117,0)</f>
        <v>20.946080865856</v>
      </c>
      <c r="J117" s="285">
        <f t="shared" si="54"/>
        <v>265859.34100000001</v>
      </c>
      <c r="K117" s="43">
        <f t="shared" si="54"/>
        <v>404928.03899999999</v>
      </c>
      <c r="L117" s="253">
        <f t="shared" si="55"/>
        <v>52.3</v>
      </c>
      <c r="M117" s="26">
        <f>IFERROR(100/'Skjema total MA'!I117*K117,0)</f>
        <v>20.9360696840148</v>
      </c>
    </row>
    <row r="118" spans="1:14" ht="15.75" x14ac:dyDescent="0.2">
      <c r="A118" s="20" t="s">
        <v>321</v>
      </c>
      <c r="B118" s="232"/>
      <c r="C118" s="232"/>
      <c r="D118" s="164"/>
      <c r="E118" s="26"/>
      <c r="F118" s="232"/>
      <c r="G118" s="232"/>
      <c r="H118" s="164"/>
      <c r="I118" s="26"/>
      <c r="J118" s="285"/>
      <c r="K118" s="43"/>
      <c r="L118" s="253"/>
      <c r="M118" s="26"/>
    </row>
    <row r="119" spans="1:14" ht="15.75" x14ac:dyDescent="0.2">
      <c r="A119" s="13" t="s">
        <v>23</v>
      </c>
      <c r="B119" s="306">
        <f>SUM(B120:B122)</f>
        <v>312362.79200000002</v>
      </c>
      <c r="C119" s="157">
        <f>SUM(C120:C122)</f>
        <v>132627.44899999999</v>
      </c>
      <c r="D119" s="169">
        <f t="shared" si="52"/>
        <v>-57.5</v>
      </c>
      <c r="E119" s="11">
        <f>IFERROR(100/'Skjema total MA'!C119*C119,0)</f>
        <v>29.546512452228249</v>
      </c>
      <c r="F119" s="306">
        <f>SUM(F120:F122)</f>
        <v>1928718.7549999999</v>
      </c>
      <c r="G119" s="157">
        <f>SUM(G120:G122)</f>
        <v>3256551.7450000001</v>
      </c>
      <c r="H119" s="169">
        <f t="shared" si="53"/>
        <v>68.8</v>
      </c>
      <c r="I119" s="11">
        <f>IFERROR(100/'Skjema total MA'!F119*G119,0)</f>
        <v>33.391450372862899</v>
      </c>
      <c r="J119" s="307">
        <f t="shared" si="54"/>
        <v>2241081.5469999998</v>
      </c>
      <c r="K119" s="234">
        <f t="shared" si="54"/>
        <v>3389179.1940000001</v>
      </c>
      <c r="L119" s="425">
        <f t="shared" si="55"/>
        <v>51.2</v>
      </c>
      <c r="M119" s="11">
        <f>IFERROR(100/'Skjema total MA'!I119*K119,0)</f>
        <v>33.222269489693993</v>
      </c>
    </row>
    <row r="120" spans="1:14" x14ac:dyDescent="0.2">
      <c r="A120" s="20" t="s">
        <v>9</v>
      </c>
      <c r="B120" s="232">
        <v>312362.79200000002</v>
      </c>
      <c r="C120" s="143">
        <v>132627.44899999999</v>
      </c>
      <c r="D120" s="164">
        <f t="shared" si="52"/>
        <v>-57.5</v>
      </c>
      <c r="E120" s="26">
        <f>IFERROR(100/'Skjema total MA'!C120*C120,0)</f>
        <v>32.255999421833749</v>
      </c>
      <c r="F120" s="232"/>
      <c r="G120" s="143"/>
      <c r="H120" s="164"/>
      <c r="I120" s="26"/>
      <c r="J120" s="285">
        <f t="shared" si="54"/>
        <v>312362.79200000002</v>
      </c>
      <c r="K120" s="43">
        <f t="shared" si="54"/>
        <v>132627.44899999999</v>
      </c>
      <c r="L120" s="253">
        <f t="shared" si="55"/>
        <v>-57.5</v>
      </c>
      <c r="M120" s="26">
        <f>IFERROR(100/'Skjema total MA'!I120*K120,0)</f>
        <v>32.255999421833749</v>
      </c>
    </row>
    <row r="121" spans="1:14" x14ac:dyDescent="0.2">
      <c r="A121" s="20" t="s">
        <v>10</v>
      </c>
      <c r="B121" s="232"/>
      <c r="C121" s="143"/>
      <c r="D121" s="164"/>
      <c r="E121" s="26"/>
      <c r="F121" s="232">
        <v>1928718.7549999999</v>
      </c>
      <c r="G121" s="143">
        <v>3256551.7450000001</v>
      </c>
      <c r="H121" s="164">
        <f t="shared" si="53"/>
        <v>68.8</v>
      </c>
      <c r="I121" s="26">
        <f>IFERROR(100/'Skjema total MA'!F121*G121,0)</f>
        <v>33.391450372862899</v>
      </c>
      <c r="J121" s="285">
        <f t="shared" si="54"/>
        <v>1928718.7549999999</v>
      </c>
      <c r="K121" s="43">
        <f t="shared" si="54"/>
        <v>3256551.7450000001</v>
      </c>
      <c r="L121" s="253">
        <f t="shared" si="55"/>
        <v>68.8</v>
      </c>
      <c r="M121" s="26">
        <f>IFERROR(100/'Skjema total MA'!I121*K121,0)</f>
        <v>33.26400077351304</v>
      </c>
    </row>
    <row r="122" spans="1:14" x14ac:dyDescent="0.2">
      <c r="A122" s="20" t="s">
        <v>29</v>
      </c>
      <c r="B122" s="232"/>
      <c r="C122" s="143"/>
      <c r="D122" s="164"/>
      <c r="E122" s="26"/>
      <c r="F122" s="232"/>
      <c r="G122" s="143"/>
      <c r="H122" s="164"/>
      <c r="I122" s="26"/>
      <c r="J122" s="285"/>
      <c r="K122" s="43"/>
      <c r="L122" s="253"/>
      <c r="M122" s="26"/>
    </row>
    <row r="123" spans="1:14" x14ac:dyDescent="0.2">
      <c r="A123" s="294" t="s">
        <v>14</v>
      </c>
      <c r="B123" s="279"/>
      <c r="C123" s="279"/>
      <c r="D123" s="164"/>
      <c r="E123" s="414"/>
      <c r="F123" s="279"/>
      <c r="G123" s="279"/>
      <c r="H123" s="164"/>
      <c r="I123" s="414"/>
      <c r="J123" s="288"/>
      <c r="K123" s="288"/>
      <c r="L123" s="164"/>
      <c r="M123" s="22"/>
    </row>
    <row r="124" spans="1:14" ht="15.75" x14ac:dyDescent="0.2">
      <c r="A124" s="20" t="s">
        <v>319</v>
      </c>
      <c r="B124" s="232">
        <v>19505.906999999999</v>
      </c>
      <c r="C124" s="232">
        <v>4672.7460000000001</v>
      </c>
      <c r="D124" s="164">
        <f t="shared" si="52"/>
        <v>-76</v>
      </c>
      <c r="E124" s="26">
        <f>IFERROR(100/'Skjema total MA'!C124*C124,0)</f>
        <v>6.4849040630292007</v>
      </c>
      <c r="F124" s="232">
        <v>35574.688000000002</v>
      </c>
      <c r="G124" s="232">
        <v>12997.26</v>
      </c>
      <c r="H124" s="164">
        <f t="shared" si="53"/>
        <v>-63.5</v>
      </c>
      <c r="I124" s="26">
        <f>IFERROR(100/'Skjema total MA'!F124*G124,0)</f>
        <v>93.834495923114574</v>
      </c>
      <c r="J124" s="285">
        <f t="shared" si="54"/>
        <v>55080.595000000001</v>
      </c>
      <c r="K124" s="43">
        <f t="shared" si="54"/>
        <v>17670.006000000001</v>
      </c>
      <c r="L124" s="253">
        <f t="shared" si="55"/>
        <v>-67.900000000000006</v>
      </c>
      <c r="M124" s="26">
        <f>IFERROR(100/'Skjema total MA'!I124*K124,0)</f>
        <v>20.568760131158573</v>
      </c>
    </row>
    <row r="125" spans="1:14" ht="15.75" x14ac:dyDescent="0.2">
      <c r="A125" s="20" t="s">
        <v>320</v>
      </c>
      <c r="B125" s="232">
        <v>3.2080000000000002</v>
      </c>
      <c r="C125" s="232">
        <v>3.169</v>
      </c>
      <c r="D125" s="164">
        <f t="shared" si="52"/>
        <v>-1.2</v>
      </c>
      <c r="E125" s="26">
        <f>IFERROR(100/'Skjema total MA'!C125*C125,0)</f>
        <v>6.6097821459397146E-2</v>
      </c>
      <c r="F125" s="232">
        <v>250279.44899999999</v>
      </c>
      <c r="G125" s="232">
        <v>495086.39399999997</v>
      </c>
      <c r="H125" s="164">
        <f t="shared" si="53"/>
        <v>97.8</v>
      </c>
      <c r="I125" s="26">
        <f>IFERROR(100/'Skjema total MA'!F125*G125,0)</f>
        <v>26.972713201248276</v>
      </c>
      <c r="J125" s="285">
        <f t="shared" si="54"/>
        <v>250282.65700000001</v>
      </c>
      <c r="K125" s="43">
        <f t="shared" si="54"/>
        <v>495089.56299999997</v>
      </c>
      <c r="L125" s="253">
        <f t="shared" si="55"/>
        <v>97.8</v>
      </c>
      <c r="M125" s="26">
        <f>IFERROR(100/'Skjema total MA'!I125*K125,0)</f>
        <v>26.902615319430801</v>
      </c>
    </row>
    <row r="126" spans="1:14" ht="15.75" x14ac:dyDescent="0.2">
      <c r="A126" s="10" t="s">
        <v>321</v>
      </c>
      <c r="B126" s="44"/>
      <c r="C126" s="44"/>
      <c r="D126" s="165"/>
      <c r="E126" s="415"/>
      <c r="F126" s="44"/>
      <c r="G126" s="44"/>
      <c r="H126" s="165"/>
      <c r="I126" s="21"/>
      <c r="J126" s="286"/>
      <c r="K126" s="44"/>
      <c r="L126" s="254"/>
      <c r="M126" s="21"/>
    </row>
    <row r="127" spans="1:14" x14ac:dyDescent="0.2">
      <c r="A127" s="153"/>
      <c r="L127" s="25"/>
      <c r="M127" s="25"/>
      <c r="N127" s="25"/>
    </row>
    <row r="128" spans="1:14" x14ac:dyDescent="0.2">
      <c r="L128" s="25"/>
      <c r="M128" s="25"/>
      <c r="N128" s="25"/>
    </row>
    <row r="129" spans="1:15" ht="15.75" x14ac:dyDescent="0.25">
      <c r="A129" s="163" t="s">
        <v>30</v>
      </c>
    </row>
    <row r="130" spans="1:15" ht="15.75" x14ac:dyDescent="0.25">
      <c r="B130" s="963"/>
      <c r="C130" s="963"/>
      <c r="D130" s="963"/>
      <c r="E130" s="297"/>
      <c r="F130" s="963"/>
      <c r="G130" s="963"/>
      <c r="H130" s="963"/>
      <c r="I130" s="297"/>
      <c r="J130" s="963"/>
      <c r="K130" s="963"/>
      <c r="L130" s="963"/>
      <c r="M130" s="297"/>
    </row>
    <row r="131" spans="1:15" s="3" customFormat="1" x14ac:dyDescent="0.2">
      <c r="A131" s="142"/>
      <c r="B131" s="960" t="s">
        <v>0</v>
      </c>
      <c r="C131" s="961"/>
      <c r="D131" s="961"/>
      <c r="E131" s="299"/>
      <c r="F131" s="960" t="s">
        <v>1</v>
      </c>
      <c r="G131" s="961"/>
      <c r="H131" s="961"/>
      <c r="I131" s="302"/>
      <c r="J131" s="960" t="s">
        <v>2</v>
      </c>
      <c r="K131" s="961"/>
      <c r="L131" s="961"/>
      <c r="M131" s="302"/>
      <c r="N131" s="146"/>
      <c r="O131" s="146"/>
    </row>
    <row r="132" spans="1:15" s="3" customFormat="1" x14ac:dyDescent="0.2">
      <c r="A132" s="139"/>
      <c r="B132" s="150" t="s">
        <v>504</v>
      </c>
      <c r="C132" s="150" t="s">
        <v>505</v>
      </c>
      <c r="D132" s="243" t="s">
        <v>3</v>
      </c>
      <c r="E132" s="303" t="s">
        <v>32</v>
      </c>
      <c r="F132" s="150" t="s">
        <v>504</v>
      </c>
      <c r="G132" s="150" t="s">
        <v>505</v>
      </c>
      <c r="H132" s="204" t="s">
        <v>3</v>
      </c>
      <c r="I132" s="160" t="s">
        <v>32</v>
      </c>
      <c r="J132" s="244" t="s">
        <v>504</v>
      </c>
      <c r="K132" s="244" t="s">
        <v>505</v>
      </c>
      <c r="L132" s="245" t="s">
        <v>3</v>
      </c>
      <c r="M132" s="160" t="s">
        <v>32</v>
      </c>
      <c r="N132" s="146"/>
      <c r="O132" s="146"/>
    </row>
    <row r="133" spans="1:15" s="3" customFormat="1" x14ac:dyDescent="0.2">
      <c r="A133" s="934"/>
      <c r="B133" s="154"/>
      <c r="C133" s="154"/>
      <c r="D133" s="245" t="s">
        <v>4</v>
      </c>
      <c r="E133" s="154" t="s">
        <v>33</v>
      </c>
      <c r="F133" s="159"/>
      <c r="G133" s="159"/>
      <c r="H133" s="204" t="s">
        <v>4</v>
      </c>
      <c r="I133" s="154" t="s">
        <v>33</v>
      </c>
      <c r="J133" s="154"/>
      <c r="K133" s="154"/>
      <c r="L133" s="148" t="s">
        <v>4</v>
      </c>
      <c r="M133" s="154" t="s">
        <v>33</v>
      </c>
      <c r="N133" s="146"/>
      <c r="O133" s="146"/>
    </row>
    <row r="134" spans="1:15" s="3" customFormat="1" ht="15.75" x14ac:dyDescent="0.2">
      <c r="A134" s="14" t="s">
        <v>323</v>
      </c>
      <c r="B134" s="234">
        <v>224395.81700000001</v>
      </c>
      <c r="C134" s="307">
        <v>180675.467</v>
      </c>
      <c r="D134" s="348">
        <f t="shared" ref="D134:D137" si="56">IF(B134=0, "    ---- ", IF(ABS(ROUND(100/B134*C134-100,1))&lt;999,ROUND(100/B134*C134-100,1),IF(ROUND(100/B134*C134-100,1)&gt;999,999,-999)))</f>
        <v>-19.5</v>
      </c>
      <c r="E134" s="11">
        <f>IFERROR(100/'Skjema total MA'!C134*C134,0)</f>
        <v>0.49791788065932091</v>
      </c>
      <c r="F134" s="314"/>
      <c r="G134" s="315"/>
      <c r="H134" s="428"/>
      <c r="I134" s="23"/>
      <c r="J134" s="316">
        <f t="shared" ref="J134:K137" si="57">SUM(B134,F134)</f>
        <v>224395.81700000001</v>
      </c>
      <c r="K134" s="316">
        <f t="shared" si="57"/>
        <v>180675.467</v>
      </c>
      <c r="L134" s="424">
        <f t="shared" ref="L134:L137" si="58">IF(J134=0, "    ---- ", IF(ABS(ROUND(100/J134*K134-100,1))&lt;999,ROUND(100/J134*K134-100,1),IF(ROUND(100/J134*K134-100,1)&gt;999,999,-999)))</f>
        <v>-19.5</v>
      </c>
      <c r="M134" s="11">
        <f>IFERROR(100/'Skjema total MA'!I134*K134,0)</f>
        <v>0.4961373097288263</v>
      </c>
      <c r="N134" s="146"/>
      <c r="O134" s="146"/>
    </row>
    <row r="135" spans="1:15" s="3" customFormat="1" ht="15.75" x14ac:dyDescent="0.2">
      <c r="A135" s="13" t="s">
        <v>324</v>
      </c>
      <c r="B135" s="234">
        <v>2760440.932</v>
      </c>
      <c r="C135" s="307">
        <v>2743697.898</v>
      </c>
      <c r="D135" s="169">
        <f t="shared" si="56"/>
        <v>-0.6</v>
      </c>
      <c r="E135" s="11">
        <f>IFERROR(100/'Skjema total MA'!C135*C135,0)</f>
        <v>0.53032346893551829</v>
      </c>
      <c r="F135" s="234"/>
      <c r="G135" s="307"/>
      <c r="H135" s="429"/>
      <c r="I135" s="23"/>
      <c r="J135" s="306">
        <f t="shared" si="57"/>
        <v>2760440.932</v>
      </c>
      <c r="K135" s="306">
        <f t="shared" si="57"/>
        <v>2743697.898</v>
      </c>
      <c r="L135" s="425">
        <f t="shared" si="58"/>
        <v>-0.6</v>
      </c>
      <c r="M135" s="11">
        <f>IFERROR(100/'Skjema total MA'!I135*K135,0)</f>
        <v>0.52790115870772003</v>
      </c>
      <c r="N135" s="146"/>
      <c r="O135" s="146"/>
    </row>
    <row r="136" spans="1:15" s="3" customFormat="1" ht="15.75" x14ac:dyDescent="0.2">
      <c r="A136" s="13" t="s">
        <v>325</v>
      </c>
      <c r="B136" s="234">
        <v>102.541</v>
      </c>
      <c r="C136" s="307">
        <v>0</v>
      </c>
      <c r="D136" s="169">
        <f t="shared" si="56"/>
        <v>-100</v>
      </c>
      <c r="E136" s="11">
        <f>IFERROR(100/'Skjema total MA'!C136*C136,0)</f>
        <v>0</v>
      </c>
      <c r="F136" s="234"/>
      <c r="G136" s="307"/>
      <c r="H136" s="429"/>
      <c r="I136" s="23"/>
      <c r="J136" s="306">
        <f t="shared" si="57"/>
        <v>102.541</v>
      </c>
      <c r="K136" s="306">
        <f t="shared" si="57"/>
        <v>0</v>
      </c>
      <c r="L136" s="425">
        <f t="shared" si="58"/>
        <v>-100</v>
      </c>
      <c r="M136" s="11">
        <f>IFERROR(100/'Skjema total MA'!I136*K136,0)</f>
        <v>0</v>
      </c>
      <c r="N136" s="146"/>
      <c r="O136" s="146"/>
    </row>
    <row r="137" spans="1:15" s="3" customFormat="1" ht="15.75" x14ac:dyDescent="0.2">
      <c r="A137" s="40" t="s">
        <v>326</v>
      </c>
      <c r="B137" s="274">
        <v>1812599.034</v>
      </c>
      <c r="C137" s="313">
        <v>175381.05900000001</v>
      </c>
      <c r="D137" s="167">
        <f t="shared" si="56"/>
        <v>-90.3</v>
      </c>
      <c r="E137" s="9">
        <f>IFERROR(100/'Skjema total MA'!C137*C137,0)</f>
        <v>45.262036770219972</v>
      </c>
      <c r="F137" s="274"/>
      <c r="G137" s="313"/>
      <c r="H137" s="430"/>
      <c r="I137" s="35"/>
      <c r="J137" s="312">
        <f t="shared" si="57"/>
        <v>1812599.034</v>
      </c>
      <c r="K137" s="312">
        <f t="shared" si="57"/>
        <v>175381.05900000001</v>
      </c>
      <c r="L137" s="426">
        <f t="shared" si="58"/>
        <v>-90.3</v>
      </c>
      <c r="M137" s="35">
        <f>IFERROR(100/'Skjema total MA'!I137*K137,0)</f>
        <v>45.262036770219972</v>
      </c>
      <c r="N137" s="146"/>
      <c r="O137" s="146"/>
    </row>
    <row r="138" spans="1:15" s="3" customFormat="1" x14ac:dyDescent="0.2">
      <c r="A138" s="166"/>
      <c r="B138" s="32"/>
      <c r="C138" s="32"/>
      <c r="D138" s="157"/>
      <c r="E138" s="157"/>
      <c r="F138" s="32"/>
      <c r="G138" s="32"/>
      <c r="H138" s="157"/>
      <c r="I138" s="157"/>
      <c r="J138" s="32"/>
      <c r="K138" s="32"/>
      <c r="L138" s="157"/>
      <c r="M138" s="157"/>
      <c r="N138" s="146"/>
      <c r="O138" s="146"/>
    </row>
    <row r="139" spans="1:15" x14ac:dyDescent="0.2">
      <c r="A139" s="166"/>
      <c r="B139" s="32"/>
      <c r="C139" s="32"/>
      <c r="D139" s="157"/>
      <c r="E139" s="157"/>
      <c r="F139" s="32"/>
      <c r="G139" s="32"/>
      <c r="H139" s="157"/>
      <c r="I139" s="157"/>
      <c r="J139" s="32"/>
      <c r="K139" s="32"/>
      <c r="L139" s="157"/>
      <c r="M139" s="157"/>
      <c r="N139" s="146"/>
    </row>
    <row r="140" spans="1:15" x14ac:dyDescent="0.2">
      <c r="A140" s="166"/>
      <c r="B140" s="32"/>
      <c r="C140" s="32"/>
      <c r="D140" s="157"/>
      <c r="E140" s="157"/>
      <c r="F140" s="32"/>
      <c r="G140" s="32"/>
      <c r="H140" s="157"/>
      <c r="I140" s="157"/>
      <c r="J140" s="32"/>
      <c r="K140" s="32"/>
      <c r="L140" s="157"/>
      <c r="M140" s="157"/>
      <c r="N140" s="146"/>
    </row>
    <row r="141" spans="1:15" x14ac:dyDescent="0.2">
      <c r="A141" s="144"/>
      <c r="B141" s="144"/>
      <c r="C141" s="144"/>
      <c r="D141" s="144"/>
      <c r="E141" s="144"/>
      <c r="F141" s="144"/>
      <c r="G141" s="144"/>
      <c r="H141" s="144"/>
      <c r="I141" s="144"/>
      <c r="J141" s="144"/>
      <c r="K141" s="144"/>
      <c r="L141" s="144"/>
      <c r="M141" s="144"/>
      <c r="N141" s="144"/>
    </row>
    <row r="142" spans="1:15" ht="15.75" x14ac:dyDescent="0.25">
      <c r="B142" s="140"/>
      <c r="C142" s="140"/>
      <c r="D142" s="140"/>
      <c r="E142" s="140"/>
      <c r="F142" s="140"/>
      <c r="G142" s="140"/>
      <c r="H142" s="140"/>
      <c r="I142" s="140"/>
      <c r="J142" s="140"/>
      <c r="K142" s="140"/>
      <c r="L142" s="140"/>
      <c r="M142" s="140"/>
      <c r="N142" s="140"/>
    </row>
    <row r="143" spans="1:15" ht="15.75" x14ac:dyDescent="0.25">
      <c r="B143" s="155"/>
      <c r="C143" s="155"/>
      <c r="D143" s="155"/>
      <c r="E143" s="155"/>
      <c r="F143" s="155"/>
      <c r="G143" s="155"/>
      <c r="H143" s="155"/>
      <c r="I143" s="155"/>
      <c r="J143" s="155"/>
      <c r="K143" s="155"/>
      <c r="L143" s="155"/>
      <c r="M143" s="155"/>
      <c r="N143" s="155"/>
      <c r="O143" s="152"/>
    </row>
    <row r="144" spans="1:15" ht="15.75" x14ac:dyDescent="0.25">
      <c r="B144" s="155"/>
      <c r="C144" s="155"/>
      <c r="D144" s="155"/>
      <c r="E144" s="155"/>
      <c r="F144" s="155"/>
      <c r="G144" s="155"/>
      <c r="H144" s="155"/>
      <c r="I144" s="155"/>
      <c r="J144" s="155"/>
      <c r="K144" s="155"/>
      <c r="L144" s="155"/>
      <c r="M144" s="155"/>
      <c r="N144" s="155"/>
      <c r="O144" s="152"/>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325" priority="132">
      <formula>kvartal &lt; 4</formula>
    </cfRule>
  </conditionalFormatting>
  <conditionalFormatting sqref="B30">
    <cfRule type="expression" dxfId="324" priority="130">
      <formula>kvartal &lt; 4</formula>
    </cfRule>
  </conditionalFormatting>
  <conditionalFormatting sqref="B31">
    <cfRule type="expression" dxfId="323" priority="129">
      <formula>kvartal &lt; 4</formula>
    </cfRule>
  </conditionalFormatting>
  <conditionalFormatting sqref="B32:B33">
    <cfRule type="expression" dxfId="322" priority="128">
      <formula>kvartal &lt; 4</formula>
    </cfRule>
  </conditionalFormatting>
  <conditionalFormatting sqref="C30">
    <cfRule type="expression" dxfId="321" priority="127">
      <formula>kvartal &lt; 4</formula>
    </cfRule>
  </conditionalFormatting>
  <conditionalFormatting sqref="C31">
    <cfRule type="expression" dxfId="320" priority="126">
      <formula>kvartal &lt; 4</formula>
    </cfRule>
  </conditionalFormatting>
  <conditionalFormatting sqref="C32:C33">
    <cfRule type="expression" dxfId="319" priority="125">
      <formula>kvartal &lt; 4</formula>
    </cfRule>
  </conditionalFormatting>
  <conditionalFormatting sqref="B23:C26">
    <cfRule type="expression" dxfId="318" priority="124">
      <formula>kvartal &lt; 4</formula>
    </cfRule>
  </conditionalFormatting>
  <conditionalFormatting sqref="F23:G26">
    <cfRule type="expression" dxfId="317" priority="120">
      <formula>kvartal &lt; 4</formula>
    </cfRule>
  </conditionalFormatting>
  <conditionalFormatting sqref="F30">
    <cfRule type="expression" dxfId="316" priority="113">
      <formula>kvartal &lt; 4</formula>
    </cfRule>
  </conditionalFormatting>
  <conditionalFormatting sqref="F31">
    <cfRule type="expression" dxfId="315" priority="112">
      <formula>kvartal &lt; 4</formula>
    </cfRule>
  </conditionalFormatting>
  <conditionalFormatting sqref="F32:F33">
    <cfRule type="expression" dxfId="314" priority="111">
      <formula>kvartal &lt; 4</formula>
    </cfRule>
  </conditionalFormatting>
  <conditionalFormatting sqref="G30">
    <cfRule type="expression" dxfId="313" priority="110">
      <formula>kvartal &lt; 4</formula>
    </cfRule>
  </conditionalFormatting>
  <conditionalFormatting sqref="G31">
    <cfRule type="expression" dxfId="312" priority="109">
      <formula>kvartal &lt; 4</formula>
    </cfRule>
  </conditionalFormatting>
  <conditionalFormatting sqref="G32:G33">
    <cfRule type="expression" dxfId="311" priority="108">
      <formula>kvartal &lt; 4</formula>
    </cfRule>
  </conditionalFormatting>
  <conditionalFormatting sqref="B27">
    <cfRule type="expression" dxfId="310" priority="107">
      <formula>kvartal &lt; 4</formula>
    </cfRule>
  </conditionalFormatting>
  <conditionalFormatting sqref="C27">
    <cfRule type="expression" dxfId="309" priority="106">
      <formula>kvartal &lt; 4</formula>
    </cfRule>
  </conditionalFormatting>
  <conditionalFormatting sqref="F27">
    <cfRule type="expression" dxfId="308" priority="105">
      <formula>kvartal &lt; 4</formula>
    </cfRule>
  </conditionalFormatting>
  <conditionalFormatting sqref="G27">
    <cfRule type="expression" dxfId="307" priority="104">
      <formula>kvartal &lt; 4</formula>
    </cfRule>
  </conditionalFormatting>
  <conditionalFormatting sqref="J27:K27">
    <cfRule type="expression" dxfId="306" priority="103">
      <formula>kvartal &lt; 4</formula>
    </cfRule>
  </conditionalFormatting>
  <conditionalFormatting sqref="B69">
    <cfRule type="expression" dxfId="305" priority="100">
      <formula>kvartal &lt; 4</formula>
    </cfRule>
  </conditionalFormatting>
  <conditionalFormatting sqref="C69">
    <cfRule type="expression" dxfId="304" priority="99">
      <formula>kvartal &lt; 4</formula>
    </cfRule>
  </conditionalFormatting>
  <conditionalFormatting sqref="B72">
    <cfRule type="expression" dxfId="303" priority="98">
      <formula>kvartal &lt; 4</formula>
    </cfRule>
  </conditionalFormatting>
  <conditionalFormatting sqref="C72">
    <cfRule type="expression" dxfId="302" priority="97">
      <formula>kvartal &lt; 4</formula>
    </cfRule>
  </conditionalFormatting>
  <conditionalFormatting sqref="B80">
    <cfRule type="expression" dxfId="301" priority="96">
      <formula>kvartal &lt; 4</formula>
    </cfRule>
  </conditionalFormatting>
  <conditionalFormatting sqref="C80">
    <cfRule type="expression" dxfId="300" priority="95">
      <formula>kvartal &lt; 4</formula>
    </cfRule>
  </conditionalFormatting>
  <conditionalFormatting sqref="B83">
    <cfRule type="expression" dxfId="299" priority="94">
      <formula>kvartal &lt; 4</formula>
    </cfRule>
  </conditionalFormatting>
  <conditionalFormatting sqref="C83">
    <cfRule type="expression" dxfId="298" priority="93">
      <formula>kvartal &lt; 4</formula>
    </cfRule>
  </conditionalFormatting>
  <conditionalFormatting sqref="B90">
    <cfRule type="expression" dxfId="297" priority="84">
      <formula>kvartal &lt; 4</formula>
    </cfRule>
  </conditionalFormatting>
  <conditionalFormatting sqref="C90">
    <cfRule type="expression" dxfId="296" priority="83">
      <formula>kvartal &lt; 4</formula>
    </cfRule>
  </conditionalFormatting>
  <conditionalFormatting sqref="B93">
    <cfRule type="expression" dxfId="295" priority="82">
      <formula>kvartal &lt; 4</formula>
    </cfRule>
  </conditionalFormatting>
  <conditionalFormatting sqref="C93">
    <cfRule type="expression" dxfId="294" priority="81">
      <formula>kvartal &lt; 4</formula>
    </cfRule>
  </conditionalFormatting>
  <conditionalFormatting sqref="B101">
    <cfRule type="expression" dxfId="293" priority="80">
      <formula>kvartal &lt; 4</formula>
    </cfRule>
  </conditionalFormatting>
  <conditionalFormatting sqref="C101">
    <cfRule type="expression" dxfId="292" priority="79">
      <formula>kvartal &lt; 4</formula>
    </cfRule>
  </conditionalFormatting>
  <conditionalFormatting sqref="B104">
    <cfRule type="expression" dxfId="291" priority="78">
      <formula>kvartal &lt; 4</formula>
    </cfRule>
  </conditionalFormatting>
  <conditionalFormatting sqref="C104">
    <cfRule type="expression" dxfId="290" priority="77">
      <formula>kvartal &lt; 4</formula>
    </cfRule>
  </conditionalFormatting>
  <conditionalFormatting sqref="B115">
    <cfRule type="expression" dxfId="289" priority="76">
      <formula>kvartal &lt; 4</formula>
    </cfRule>
  </conditionalFormatting>
  <conditionalFormatting sqref="C115">
    <cfRule type="expression" dxfId="288" priority="75">
      <formula>kvartal &lt; 4</formula>
    </cfRule>
  </conditionalFormatting>
  <conditionalFormatting sqref="B123">
    <cfRule type="expression" dxfId="287" priority="74">
      <formula>kvartal &lt; 4</formula>
    </cfRule>
  </conditionalFormatting>
  <conditionalFormatting sqref="C123">
    <cfRule type="expression" dxfId="286" priority="73">
      <formula>kvartal &lt; 4</formula>
    </cfRule>
  </conditionalFormatting>
  <conditionalFormatting sqref="F70">
    <cfRule type="expression" dxfId="285" priority="72">
      <formula>kvartal &lt; 4</formula>
    </cfRule>
  </conditionalFormatting>
  <conditionalFormatting sqref="G70">
    <cfRule type="expression" dxfId="284" priority="71">
      <formula>kvartal &lt; 4</formula>
    </cfRule>
  </conditionalFormatting>
  <conditionalFormatting sqref="F71:G71">
    <cfRule type="expression" dxfId="283" priority="70">
      <formula>kvartal &lt; 4</formula>
    </cfRule>
  </conditionalFormatting>
  <conditionalFormatting sqref="F73:G74">
    <cfRule type="expression" dxfId="282" priority="69">
      <formula>kvartal &lt; 4</formula>
    </cfRule>
  </conditionalFormatting>
  <conditionalFormatting sqref="F81:G82">
    <cfRule type="expression" dxfId="281" priority="68">
      <formula>kvartal &lt; 4</formula>
    </cfRule>
  </conditionalFormatting>
  <conditionalFormatting sqref="F84:G85">
    <cfRule type="expression" dxfId="280" priority="67">
      <formula>kvartal &lt; 4</formula>
    </cfRule>
  </conditionalFormatting>
  <conditionalFormatting sqref="F91:G92">
    <cfRule type="expression" dxfId="279" priority="62">
      <formula>kvartal &lt; 4</formula>
    </cfRule>
  </conditionalFormatting>
  <conditionalFormatting sqref="F94:G95">
    <cfRule type="expression" dxfId="278" priority="61">
      <formula>kvartal &lt; 4</formula>
    </cfRule>
  </conditionalFormatting>
  <conditionalFormatting sqref="F102:G103">
    <cfRule type="expression" dxfId="277" priority="60">
      <formula>kvartal &lt; 4</formula>
    </cfRule>
  </conditionalFormatting>
  <conditionalFormatting sqref="F105:G106">
    <cfRule type="expression" dxfId="276" priority="59">
      <formula>kvartal &lt; 4</formula>
    </cfRule>
  </conditionalFormatting>
  <conditionalFormatting sqref="F115">
    <cfRule type="expression" dxfId="275" priority="58">
      <formula>kvartal &lt; 4</formula>
    </cfRule>
  </conditionalFormatting>
  <conditionalFormatting sqref="G115">
    <cfRule type="expression" dxfId="274" priority="57">
      <formula>kvartal &lt; 4</formula>
    </cfRule>
  </conditionalFormatting>
  <conditionalFormatting sqref="F123:G123">
    <cfRule type="expression" dxfId="273" priority="56">
      <formula>kvartal &lt; 4</formula>
    </cfRule>
  </conditionalFormatting>
  <conditionalFormatting sqref="F69:G69">
    <cfRule type="expression" dxfId="272" priority="55">
      <formula>kvartal &lt; 4</formula>
    </cfRule>
  </conditionalFormatting>
  <conditionalFormatting sqref="F72:G72">
    <cfRule type="expression" dxfId="271" priority="54">
      <formula>kvartal &lt; 4</formula>
    </cfRule>
  </conditionalFormatting>
  <conditionalFormatting sqref="F80:G80">
    <cfRule type="expression" dxfId="270" priority="53">
      <formula>kvartal &lt; 4</formula>
    </cfRule>
  </conditionalFormatting>
  <conditionalFormatting sqref="F83:G83">
    <cfRule type="expression" dxfId="269" priority="52">
      <formula>kvartal &lt; 4</formula>
    </cfRule>
  </conditionalFormatting>
  <conditionalFormatting sqref="F90:G90">
    <cfRule type="expression" dxfId="268" priority="46">
      <formula>kvartal &lt; 4</formula>
    </cfRule>
  </conditionalFormatting>
  <conditionalFormatting sqref="F93">
    <cfRule type="expression" dxfId="267" priority="45">
      <formula>kvartal &lt; 4</formula>
    </cfRule>
  </conditionalFormatting>
  <conditionalFormatting sqref="G93">
    <cfRule type="expression" dxfId="266" priority="44">
      <formula>kvartal &lt; 4</formula>
    </cfRule>
  </conditionalFormatting>
  <conditionalFormatting sqref="F101">
    <cfRule type="expression" dxfId="265" priority="43">
      <formula>kvartal &lt; 4</formula>
    </cfRule>
  </conditionalFormatting>
  <conditionalFormatting sqref="G101">
    <cfRule type="expression" dxfId="264" priority="42">
      <formula>kvartal &lt; 4</formula>
    </cfRule>
  </conditionalFormatting>
  <conditionalFormatting sqref="G104">
    <cfRule type="expression" dxfId="263" priority="41">
      <formula>kvartal &lt; 4</formula>
    </cfRule>
  </conditionalFormatting>
  <conditionalFormatting sqref="F104">
    <cfRule type="expression" dxfId="262" priority="40">
      <formula>kvartal &lt; 4</formula>
    </cfRule>
  </conditionalFormatting>
  <conditionalFormatting sqref="J69:K71 J73:K73">
    <cfRule type="expression" dxfId="261" priority="39">
      <formula>kvartal &lt; 4</formula>
    </cfRule>
  </conditionalFormatting>
  <conditionalFormatting sqref="J80:K82 J84:K84">
    <cfRule type="expression" dxfId="260" priority="37">
      <formula>kvartal &lt; 4</formula>
    </cfRule>
  </conditionalFormatting>
  <conditionalFormatting sqref="J90:K92 J94:K94">
    <cfRule type="expression" dxfId="259" priority="34">
      <formula>kvartal &lt; 4</formula>
    </cfRule>
  </conditionalFormatting>
  <conditionalFormatting sqref="J101:K103 J105:K105">
    <cfRule type="expression" dxfId="258" priority="33">
      <formula>kvartal &lt; 4</formula>
    </cfRule>
  </conditionalFormatting>
  <conditionalFormatting sqref="J115:K115">
    <cfRule type="expression" dxfId="257" priority="32">
      <formula>kvartal &lt; 4</formula>
    </cfRule>
  </conditionalFormatting>
  <conditionalFormatting sqref="J123:K123">
    <cfRule type="expression" dxfId="256" priority="31">
      <formula>kvartal &lt; 4</formula>
    </cfRule>
  </conditionalFormatting>
  <conditionalFormatting sqref="A23:A26">
    <cfRule type="expression" dxfId="255" priority="15">
      <formula>kvartal &lt; 4</formula>
    </cfRule>
  </conditionalFormatting>
  <conditionalFormatting sqref="A30:A33">
    <cfRule type="expression" dxfId="254" priority="13">
      <formula>kvartal &lt; 4</formula>
    </cfRule>
  </conditionalFormatting>
  <conditionalFormatting sqref="A50:A52">
    <cfRule type="expression" dxfId="253" priority="12">
      <formula>kvartal &lt; 4</formula>
    </cfRule>
  </conditionalFormatting>
  <conditionalFormatting sqref="A69:A74">
    <cfRule type="expression" dxfId="252" priority="10">
      <formula>kvartal &lt; 4</formula>
    </cfRule>
  </conditionalFormatting>
  <conditionalFormatting sqref="A80:A85">
    <cfRule type="expression" dxfId="251" priority="9">
      <formula>kvartal &lt; 4</formula>
    </cfRule>
  </conditionalFormatting>
  <conditionalFormatting sqref="A90:A95">
    <cfRule type="expression" dxfId="250" priority="6">
      <formula>kvartal &lt; 4</formula>
    </cfRule>
  </conditionalFormatting>
  <conditionalFormatting sqref="A101:A106">
    <cfRule type="expression" dxfId="249" priority="5">
      <formula>kvartal &lt; 4</formula>
    </cfRule>
  </conditionalFormatting>
  <conditionalFormatting sqref="A115">
    <cfRule type="expression" dxfId="248" priority="4">
      <formula>kvartal &lt; 4</formula>
    </cfRule>
  </conditionalFormatting>
  <conditionalFormatting sqref="A123">
    <cfRule type="expression" dxfId="247" priority="3">
      <formula>kvartal &lt; 4</formula>
    </cfRule>
  </conditionalFormatting>
  <conditionalFormatting sqref="A27">
    <cfRule type="expression" dxfId="246" priority="2">
      <formula>kvartal &lt; 4</formula>
    </cfRule>
  </conditionalFormatting>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1"/>
  <dimension ref="A1:O144"/>
  <sheetViews>
    <sheetView showGridLines="0" zoomScale="90" zoomScaleNormal="90" workbookViewId="0"/>
  </sheetViews>
  <sheetFormatPr baseColWidth="10" defaultColWidth="11.42578125" defaultRowHeight="12.75" x14ac:dyDescent="0.2"/>
  <cols>
    <col min="1" max="1" width="41.5703125" style="147" customWidth="1"/>
    <col min="2" max="2" width="10.85546875" style="147" customWidth="1"/>
    <col min="3" max="3" width="11" style="147" customWidth="1"/>
    <col min="4" max="5" width="8.7109375" style="147" customWidth="1"/>
    <col min="6" max="7" width="10.85546875" style="147" customWidth="1"/>
    <col min="8" max="9" width="8.7109375" style="147" customWidth="1"/>
    <col min="10" max="11" width="10.85546875" style="147" customWidth="1"/>
    <col min="12" max="13" width="8.7109375" style="147" customWidth="1"/>
    <col min="14" max="14" width="11.42578125" style="147"/>
    <col min="15" max="15" width="3" style="146" bestFit="1" customWidth="1"/>
    <col min="16" max="16384" width="11.42578125" style="1"/>
  </cols>
  <sheetData>
    <row r="1" spans="1:15" x14ac:dyDescent="0.2">
      <c r="A1" s="170" t="s">
        <v>152</v>
      </c>
      <c r="B1" s="932"/>
      <c r="C1" s="247" t="s">
        <v>148</v>
      </c>
      <c r="D1" s="25"/>
      <c r="E1" s="25"/>
      <c r="F1" s="25"/>
      <c r="G1" s="25"/>
      <c r="H1" s="25"/>
      <c r="I1" s="25"/>
      <c r="J1" s="25"/>
      <c r="K1" s="25"/>
      <c r="L1" s="25"/>
      <c r="M1" s="25"/>
      <c r="O1" s="423"/>
    </row>
    <row r="2" spans="1:15" ht="15.75" x14ac:dyDescent="0.25">
      <c r="A2" s="163" t="s">
        <v>31</v>
      </c>
      <c r="B2" s="965"/>
      <c r="C2" s="965"/>
      <c r="D2" s="965"/>
      <c r="E2" s="297"/>
      <c r="F2" s="965"/>
      <c r="G2" s="965"/>
      <c r="H2" s="965"/>
      <c r="I2" s="297"/>
      <c r="J2" s="965"/>
      <c r="K2" s="965"/>
      <c r="L2" s="965"/>
      <c r="M2" s="297"/>
    </row>
    <row r="3" spans="1:15" ht="15.75" x14ac:dyDescent="0.25">
      <c r="A3" s="161"/>
      <c r="B3" s="297"/>
      <c r="C3" s="297"/>
      <c r="D3" s="297"/>
      <c r="E3" s="297"/>
      <c r="F3" s="297"/>
      <c r="G3" s="297"/>
      <c r="H3" s="297"/>
      <c r="I3" s="297"/>
      <c r="J3" s="297"/>
      <c r="K3" s="297"/>
      <c r="L3" s="297"/>
      <c r="M3" s="297"/>
    </row>
    <row r="4" spans="1:15" x14ac:dyDescent="0.2">
      <c r="A4" s="142"/>
      <c r="B4" s="960" t="s">
        <v>0</v>
      </c>
      <c r="C4" s="961"/>
      <c r="D4" s="961"/>
      <c r="E4" s="299"/>
      <c r="F4" s="960" t="s">
        <v>1</v>
      </c>
      <c r="G4" s="961"/>
      <c r="H4" s="961"/>
      <c r="I4" s="302"/>
      <c r="J4" s="960" t="s">
        <v>2</v>
      </c>
      <c r="K4" s="961"/>
      <c r="L4" s="961"/>
      <c r="M4" s="302"/>
    </row>
    <row r="5" spans="1:15" x14ac:dyDescent="0.2">
      <c r="A5" s="156"/>
      <c r="B5" s="150" t="s">
        <v>504</v>
      </c>
      <c r="C5" s="150" t="s">
        <v>505</v>
      </c>
      <c r="D5" s="243" t="s">
        <v>3</v>
      </c>
      <c r="E5" s="303" t="s">
        <v>32</v>
      </c>
      <c r="F5" s="150" t="s">
        <v>504</v>
      </c>
      <c r="G5" s="150" t="s">
        <v>505</v>
      </c>
      <c r="H5" s="243" t="s">
        <v>3</v>
      </c>
      <c r="I5" s="160" t="s">
        <v>32</v>
      </c>
      <c r="J5" s="150" t="s">
        <v>504</v>
      </c>
      <c r="K5" s="150" t="s">
        <v>505</v>
      </c>
      <c r="L5" s="243" t="s">
        <v>3</v>
      </c>
      <c r="M5" s="160" t="s">
        <v>32</v>
      </c>
      <c r="O5" s="931"/>
    </row>
    <row r="6" spans="1:15" x14ac:dyDescent="0.2">
      <c r="A6" s="933"/>
      <c r="B6" s="154"/>
      <c r="C6" s="154"/>
      <c r="D6" s="245" t="s">
        <v>4</v>
      </c>
      <c r="E6" s="154" t="s">
        <v>33</v>
      </c>
      <c r="F6" s="159"/>
      <c r="G6" s="159"/>
      <c r="H6" s="243" t="s">
        <v>4</v>
      </c>
      <c r="I6" s="154" t="s">
        <v>33</v>
      </c>
      <c r="J6" s="159"/>
      <c r="K6" s="159"/>
      <c r="L6" s="243" t="s">
        <v>4</v>
      </c>
      <c r="M6" s="154" t="s">
        <v>33</v>
      </c>
    </row>
    <row r="7" spans="1:15" ht="15.75" x14ac:dyDescent="0.2">
      <c r="A7" s="14" t="s">
        <v>26</v>
      </c>
      <c r="B7" s="304"/>
      <c r="C7" s="305"/>
      <c r="D7" s="348"/>
      <c r="E7" s="11"/>
      <c r="F7" s="304"/>
      <c r="G7" s="305"/>
      <c r="H7" s="348"/>
      <c r="I7" s="158"/>
      <c r="J7" s="306"/>
      <c r="K7" s="307"/>
      <c r="L7" s="424"/>
      <c r="M7" s="11"/>
    </row>
    <row r="8" spans="1:15" ht="15.75" x14ac:dyDescent="0.2">
      <c r="A8" s="20" t="s">
        <v>28</v>
      </c>
      <c r="B8" s="279"/>
      <c r="C8" s="280"/>
      <c r="D8" s="164"/>
      <c r="E8" s="26"/>
      <c r="F8" s="283"/>
      <c r="G8" s="284"/>
      <c r="H8" s="164"/>
      <c r="I8" s="174"/>
      <c r="J8" s="232"/>
      <c r="K8" s="285"/>
      <c r="L8" s="164"/>
      <c r="M8" s="26"/>
    </row>
    <row r="9" spans="1:15" ht="15.75" x14ac:dyDescent="0.2">
      <c r="A9" s="20" t="s">
        <v>27</v>
      </c>
      <c r="B9" s="279"/>
      <c r="C9" s="280"/>
      <c r="D9" s="164"/>
      <c r="E9" s="26"/>
      <c r="F9" s="283"/>
      <c r="G9" s="284"/>
      <c r="H9" s="164"/>
      <c r="I9" s="174"/>
      <c r="J9" s="232"/>
      <c r="K9" s="285"/>
      <c r="L9" s="164"/>
      <c r="M9" s="26"/>
    </row>
    <row r="10" spans="1:15" ht="15.75" x14ac:dyDescent="0.2">
      <c r="A10" s="13" t="s">
        <v>25</v>
      </c>
      <c r="B10" s="308"/>
      <c r="C10" s="309"/>
      <c r="D10" s="169"/>
      <c r="E10" s="11"/>
      <c r="F10" s="308"/>
      <c r="G10" s="309"/>
      <c r="H10" s="169"/>
      <c r="I10" s="158"/>
      <c r="J10" s="306"/>
      <c r="K10" s="307"/>
      <c r="L10" s="425"/>
      <c r="M10" s="11"/>
    </row>
    <row r="11" spans="1:15" s="42" customFormat="1" ht="15.75" x14ac:dyDescent="0.2">
      <c r="A11" s="13" t="s">
        <v>24</v>
      </c>
      <c r="B11" s="308"/>
      <c r="C11" s="309"/>
      <c r="D11" s="169"/>
      <c r="E11" s="11"/>
      <c r="F11" s="308"/>
      <c r="G11" s="309"/>
      <c r="H11" s="169"/>
      <c r="I11" s="158"/>
      <c r="J11" s="306"/>
      <c r="K11" s="307"/>
      <c r="L11" s="425"/>
      <c r="M11" s="11"/>
      <c r="N11" s="141"/>
      <c r="O11" s="146"/>
    </row>
    <row r="12" spans="1:15" s="42" customFormat="1" ht="15.75" x14ac:dyDescent="0.2">
      <c r="A12" s="40" t="s">
        <v>23</v>
      </c>
      <c r="B12" s="310"/>
      <c r="C12" s="311"/>
      <c r="D12" s="167"/>
      <c r="E12" s="35"/>
      <c r="F12" s="310"/>
      <c r="G12" s="311"/>
      <c r="H12" s="167"/>
      <c r="I12" s="167"/>
      <c r="J12" s="312"/>
      <c r="K12" s="313"/>
      <c r="L12" s="426"/>
      <c r="M12" s="35"/>
      <c r="N12" s="141"/>
      <c r="O12" s="146"/>
    </row>
    <row r="13" spans="1:15" s="42" customFormat="1" x14ac:dyDescent="0.2">
      <c r="A13" s="166"/>
      <c r="B13" s="143"/>
      <c r="C13" s="32"/>
      <c r="D13" s="157"/>
      <c r="E13" s="157"/>
      <c r="F13" s="143"/>
      <c r="G13" s="32"/>
      <c r="H13" s="157"/>
      <c r="I13" s="157"/>
      <c r="J13" s="47"/>
      <c r="K13" s="47"/>
      <c r="L13" s="157"/>
      <c r="M13" s="157"/>
      <c r="N13" s="141"/>
      <c r="O13" s="423"/>
    </row>
    <row r="14" spans="1:15" x14ac:dyDescent="0.2">
      <c r="A14" s="151" t="s">
        <v>296</v>
      </c>
      <c r="B14" s="25"/>
    </row>
    <row r="15" spans="1:15" x14ac:dyDescent="0.2">
      <c r="F15" s="144"/>
      <c r="G15" s="144"/>
      <c r="H15" s="144"/>
      <c r="I15" s="144"/>
      <c r="J15" s="144"/>
      <c r="K15" s="144"/>
      <c r="L15" s="144"/>
      <c r="M15" s="144"/>
    </row>
    <row r="16" spans="1:15" s="3" customFormat="1" ht="15.75" x14ac:dyDescent="0.25">
      <c r="A16" s="162"/>
      <c r="B16" s="146"/>
      <c r="C16" s="152"/>
      <c r="D16" s="152"/>
      <c r="E16" s="152"/>
      <c r="F16" s="152"/>
      <c r="G16" s="152"/>
      <c r="H16" s="152"/>
      <c r="I16" s="152"/>
      <c r="J16" s="152"/>
      <c r="K16" s="152"/>
      <c r="L16" s="152"/>
      <c r="M16" s="152"/>
      <c r="N16" s="146"/>
      <c r="O16" s="146"/>
    </row>
    <row r="17" spans="1:15" ht="15.75" x14ac:dyDescent="0.25">
      <c r="A17" s="145" t="s">
        <v>293</v>
      </c>
      <c r="B17" s="155"/>
      <c r="C17" s="155"/>
      <c r="D17" s="149"/>
      <c r="E17" s="149"/>
      <c r="F17" s="155"/>
      <c r="G17" s="155"/>
      <c r="H17" s="155"/>
      <c r="I17" s="155"/>
      <c r="J17" s="155"/>
      <c r="K17" s="155"/>
      <c r="L17" s="155"/>
      <c r="M17" s="155"/>
    </row>
    <row r="18" spans="1:15" ht="15.75" x14ac:dyDescent="0.25">
      <c r="B18" s="963"/>
      <c r="C18" s="963"/>
      <c r="D18" s="963"/>
      <c r="E18" s="297"/>
      <c r="F18" s="963"/>
      <c r="G18" s="963"/>
      <c r="H18" s="963"/>
      <c r="I18" s="297"/>
      <c r="J18" s="963"/>
      <c r="K18" s="963"/>
      <c r="L18" s="963"/>
      <c r="M18" s="297"/>
    </row>
    <row r="19" spans="1:15" x14ac:dyDescent="0.2">
      <c r="A19" s="142"/>
      <c r="B19" s="960" t="s">
        <v>0</v>
      </c>
      <c r="C19" s="961"/>
      <c r="D19" s="961"/>
      <c r="E19" s="299"/>
      <c r="F19" s="960" t="s">
        <v>1</v>
      </c>
      <c r="G19" s="961"/>
      <c r="H19" s="961"/>
      <c r="I19" s="302"/>
      <c r="J19" s="960" t="s">
        <v>2</v>
      </c>
      <c r="K19" s="961"/>
      <c r="L19" s="961"/>
      <c r="M19" s="302"/>
    </row>
    <row r="20" spans="1:15" x14ac:dyDescent="0.2">
      <c r="A20" s="139" t="s">
        <v>5</v>
      </c>
      <c r="B20" s="240" t="s">
        <v>504</v>
      </c>
      <c r="C20" s="240" t="s">
        <v>505</v>
      </c>
      <c r="D20" s="160" t="s">
        <v>3</v>
      </c>
      <c r="E20" s="303" t="s">
        <v>32</v>
      </c>
      <c r="F20" s="240" t="s">
        <v>504</v>
      </c>
      <c r="G20" s="240" t="s">
        <v>505</v>
      </c>
      <c r="H20" s="160" t="s">
        <v>3</v>
      </c>
      <c r="I20" s="160" t="s">
        <v>32</v>
      </c>
      <c r="J20" s="240" t="s">
        <v>504</v>
      </c>
      <c r="K20" s="240" t="s">
        <v>505</v>
      </c>
      <c r="L20" s="160" t="s">
        <v>3</v>
      </c>
      <c r="M20" s="160" t="s">
        <v>32</v>
      </c>
    </row>
    <row r="21" spans="1:15" x14ac:dyDescent="0.2">
      <c r="A21" s="934"/>
      <c r="B21" s="154"/>
      <c r="C21" s="154"/>
      <c r="D21" s="245" t="s">
        <v>4</v>
      </c>
      <c r="E21" s="154" t="s">
        <v>33</v>
      </c>
      <c r="F21" s="159"/>
      <c r="G21" s="159"/>
      <c r="H21" s="243" t="s">
        <v>4</v>
      </c>
      <c r="I21" s="154" t="s">
        <v>33</v>
      </c>
      <c r="J21" s="159"/>
      <c r="K21" s="159"/>
      <c r="L21" s="154" t="s">
        <v>4</v>
      </c>
      <c r="M21" s="154" t="s">
        <v>33</v>
      </c>
    </row>
    <row r="22" spans="1:15" ht="15.75" x14ac:dyDescent="0.2">
      <c r="A22" s="14" t="s">
        <v>26</v>
      </c>
      <c r="B22" s="314"/>
      <c r="C22" s="314"/>
      <c r="D22" s="348"/>
      <c r="E22" s="11"/>
      <c r="F22" s="314"/>
      <c r="G22" s="314"/>
      <c r="H22" s="348"/>
      <c r="I22" s="11"/>
      <c r="J22" s="314"/>
      <c r="K22" s="314"/>
      <c r="L22" s="424"/>
      <c r="M22" s="23"/>
    </row>
    <row r="23" spans="1:15" ht="15.75" x14ac:dyDescent="0.2">
      <c r="A23" s="294" t="s">
        <v>305</v>
      </c>
      <c r="B23" s="288"/>
      <c r="C23" s="288"/>
      <c r="D23" s="164"/>
      <c r="E23" s="414"/>
      <c r="F23" s="288"/>
      <c r="G23" s="288"/>
      <c r="H23" s="164"/>
      <c r="I23" s="414"/>
      <c r="J23" s="288"/>
      <c r="K23" s="288"/>
      <c r="L23" s="164"/>
      <c r="M23" s="22"/>
    </row>
    <row r="24" spans="1:15" ht="15.75" x14ac:dyDescent="0.2">
      <c r="A24" s="294" t="s">
        <v>306</v>
      </c>
      <c r="B24" s="288"/>
      <c r="C24" s="288"/>
      <c r="D24" s="164"/>
      <c r="E24" s="414"/>
      <c r="F24" s="288"/>
      <c r="G24" s="288"/>
      <c r="H24" s="164"/>
      <c r="I24" s="414"/>
      <c r="J24" s="288"/>
      <c r="K24" s="288"/>
      <c r="L24" s="164"/>
      <c r="M24" s="22"/>
    </row>
    <row r="25" spans="1:15" ht="15.75" x14ac:dyDescent="0.2">
      <c r="A25" s="294" t="s">
        <v>406</v>
      </c>
      <c r="B25" s="288"/>
      <c r="C25" s="288"/>
      <c r="D25" s="164"/>
      <c r="E25" s="414"/>
      <c r="F25" s="288"/>
      <c r="G25" s="288"/>
      <c r="H25" s="164"/>
      <c r="I25" s="414"/>
      <c r="J25" s="288"/>
      <c r="K25" s="288"/>
      <c r="L25" s="164"/>
      <c r="M25" s="22"/>
    </row>
    <row r="26" spans="1:15" ht="15.75" x14ac:dyDescent="0.2">
      <c r="A26" s="294" t="s">
        <v>307</v>
      </c>
      <c r="B26" s="288"/>
      <c r="C26" s="288"/>
      <c r="D26" s="164"/>
      <c r="E26" s="414"/>
      <c r="F26" s="288"/>
      <c r="G26" s="288"/>
      <c r="H26" s="164"/>
      <c r="I26" s="414"/>
      <c r="J26" s="288"/>
      <c r="K26" s="288"/>
      <c r="L26" s="164"/>
      <c r="M26" s="22"/>
    </row>
    <row r="27" spans="1:15" x14ac:dyDescent="0.2">
      <c r="A27" s="294" t="s">
        <v>11</v>
      </c>
      <c r="B27" s="288"/>
      <c r="C27" s="288"/>
      <c r="D27" s="164"/>
      <c r="E27" s="414"/>
      <c r="F27" s="288"/>
      <c r="G27" s="288"/>
      <c r="H27" s="164"/>
      <c r="I27" s="414"/>
      <c r="J27" s="288"/>
      <c r="K27" s="288"/>
      <c r="L27" s="164"/>
      <c r="M27" s="22"/>
    </row>
    <row r="28" spans="1:15" ht="15.75" x14ac:dyDescent="0.2">
      <c r="A28" s="48" t="s">
        <v>297</v>
      </c>
      <c r="B28" s="43"/>
      <c r="C28" s="285"/>
      <c r="D28" s="164"/>
      <c r="E28" s="26"/>
      <c r="F28" s="232"/>
      <c r="G28" s="285"/>
      <c r="H28" s="164"/>
      <c r="I28" s="26"/>
      <c r="J28" s="43"/>
      <c r="K28" s="43"/>
      <c r="L28" s="253"/>
      <c r="M28" s="22"/>
    </row>
    <row r="29" spans="1:15" s="3" customFormat="1" ht="15.75" x14ac:dyDescent="0.2">
      <c r="A29" s="13" t="s">
        <v>25</v>
      </c>
      <c r="B29" s="234"/>
      <c r="C29" s="234"/>
      <c r="D29" s="169"/>
      <c r="E29" s="11"/>
      <c r="F29" s="234"/>
      <c r="G29" s="234"/>
      <c r="H29" s="169"/>
      <c r="I29" s="11"/>
      <c r="J29" s="234"/>
      <c r="K29" s="234"/>
      <c r="L29" s="425"/>
      <c r="M29" s="23"/>
      <c r="N29" s="146"/>
      <c r="O29" s="146"/>
    </row>
    <row r="30" spans="1:15" s="3" customFormat="1" ht="15.75" x14ac:dyDescent="0.2">
      <c r="A30" s="294" t="s">
        <v>305</v>
      </c>
      <c r="B30" s="288"/>
      <c r="C30" s="288"/>
      <c r="D30" s="164"/>
      <c r="E30" s="414"/>
      <c r="F30" s="288"/>
      <c r="G30" s="288"/>
      <c r="H30" s="164"/>
      <c r="I30" s="414"/>
      <c r="J30" s="288"/>
      <c r="K30" s="288"/>
      <c r="L30" s="164"/>
      <c r="M30" s="22"/>
      <c r="N30" s="146"/>
      <c r="O30" s="146"/>
    </row>
    <row r="31" spans="1:15" s="3" customFormat="1" ht="15.75" x14ac:dyDescent="0.2">
      <c r="A31" s="294" t="s">
        <v>306</v>
      </c>
      <c r="B31" s="288"/>
      <c r="C31" s="288"/>
      <c r="D31" s="164"/>
      <c r="E31" s="414"/>
      <c r="F31" s="288"/>
      <c r="G31" s="288"/>
      <c r="H31" s="164"/>
      <c r="I31" s="414"/>
      <c r="J31" s="288"/>
      <c r="K31" s="288"/>
      <c r="L31" s="164"/>
      <c r="M31" s="22"/>
      <c r="N31" s="146"/>
      <c r="O31" s="146"/>
    </row>
    <row r="32" spans="1:15" ht="15.75" x14ac:dyDescent="0.2">
      <c r="A32" s="294" t="s">
        <v>406</v>
      </c>
      <c r="B32" s="288"/>
      <c r="C32" s="288"/>
      <c r="D32" s="164"/>
      <c r="E32" s="414"/>
      <c r="F32" s="288"/>
      <c r="G32" s="288"/>
      <c r="H32" s="164"/>
      <c r="I32" s="414"/>
      <c r="J32" s="288"/>
      <c r="K32" s="288"/>
      <c r="L32" s="164"/>
      <c r="M32" s="22"/>
    </row>
    <row r="33" spans="1:15" ht="15.75" x14ac:dyDescent="0.2">
      <c r="A33" s="294" t="s">
        <v>307</v>
      </c>
      <c r="B33" s="288"/>
      <c r="C33" s="288"/>
      <c r="D33" s="164"/>
      <c r="E33" s="414"/>
      <c r="F33" s="288"/>
      <c r="G33" s="288"/>
      <c r="H33" s="164"/>
      <c r="I33" s="414"/>
      <c r="J33" s="288"/>
      <c r="K33" s="288"/>
      <c r="L33" s="164"/>
      <c r="M33" s="22"/>
    </row>
    <row r="34" spans="1:15" ht="15.75" x14ac:dyDescent="0.2">
      <c r="A34" s="13" t="s">
        <v>24</v>
      </c>
      <c r="B34" s="234"/>
      <c r="C34" s="307"/>
      <c r="D34" s="169"/>
      <c r="E34" s="11"/>
      <c r="F34" s="306"/>
      <c r="G34" s="307"/>
      <c r="H34" s="169"/>
      <c r="I34" s="11"/>
      <c r="J34" s="234"/>
      <c r="K34" s="234"/>
      <c r="L34" s="425"/>
      <c r="M34" s="23"/>
    </row>
    <row r="35" spans="1:15" ht="15.75" x14ac:dyDescent="0.2">
      <c r="A35" s="13" t="s">
        <v>23</v>
      </c>
      <c r="B35" s="234"/>
      <c r="C35" s="307"/>
      <c r="D35" s="169"/>
      <c r="E35" s="11"/>
      <c r="F35" s="306"/>
      <c r="G35" s="307"/>
      <c r="H35" s="169"/>
      <c r="I35" s="11"/>
      <c r="J35" s="234"/>
      <c r="K35" s="234"/>
      <c r="L35" s="425"/>
      <c r="M35" s="23"/>
    </row>
    <row r="36" spans="1:15" ht="15.75" x14ac:dyDescent="0.2">
      <c r="A36" s="12" t="s">
        <v>308</v>
      </c>
      <c r="B36" s="234"/>
      <c r="C36" s="307"/>
      <c r="D36" s="169"/>
      <c r="E36" s="11"/>
      <c r="F36" s="317"/>
      <c r="G36" s="318"/>
      <c r="H36" s="169"/>
      <c r="I36" s="431"/>
      <c r="J36" s="234"/>
      <c r="K36" s="234"/>
      <c r="L36" s="425"/>
      <c r="M36" s="23"/>
    </row>
    <row r="37" spans="1:15" ht="15.75" x14ac:dyDescent="0.2">
      <c r="A37" s="12" t="s">
        <v>309</v>
      </c>
      <c r="B37" s="234"/>
      <c r="C37" s="307"/>
      <c r="D37" s="169"/>
      <c r="E37" s="11"/>
      <c r="F37" s="317"/>
      <c r="G37" s="319"/>
      <c r="H37" s="169"/>
      <c r="I37" s="431"/>
      <c r="J37" s="234"/>
      <c r="K37" s="234"/>
      <c r="L37" s="425"/>
      <c r="M37" s="23"/>
    </row>
    <row r="38" spans="1:15" ht="15.75" x14ac:dyDescent="0.2">
      <c r="A38" s="12" t="s">
        <v>310</v>
      </c>
      <c r="B38" s="234"/>
      <c r="C38" s="307"/>
      <c r="D38" s="169"/>
      <c r="E38" s="11"/>
      <c r="F38" s="317"/>
      <c r="G38" s="318"/>
      <c r="H38" s="169"/>
      <c r="I38" s="431"/>
      <c r="J38" s="234"/>
      <c r="K38" s="234"/>
      <c r="L38" s="425"/>
      <c r="M38" s="23"/>
    </row>
    <row r="39" spans="1:15" ht="15.75" x14ac:dyDescent="0.2">
      <c r="A39" s="18" t="s">
        <v>311</v>
      </c>
      <c r="B39" s="274"/>
      <c r="C39" s="313"/>
      <c r="D39" s="167"/>
      <c r="E39" s="11"/>
      <c r="F39" s="320"/>
      <c r="G39" s="321"/>
      <c r="H39" s="167"/>
      <c r="I39" s="35"/>
      <c r="J39" s="234"/>
      <c r="K39" s="234"/>
      <c r="L39" s="426"/>
      <c r="M39" s="35"/>
    </row>
    <row r="40" spans="1:15" ht="15.75" x14ac:dyDescent="0.25">
      <c r="A40" s="46"/>
      <c r="B40" s="252"/>
      <c r="C40" s="252"/>
      <c r="D40" s="964"/>
      <c r="E40" s="964"/>
      <c r="F40" s="964"/>
      <c r="G40" s="964"/>
      <c r="H40" s="964"/>
      <c r="I40" s="964"/>
      <c r="J40" s="964"/>
      <c r="K40" s="964"/>
      <c r="L40" s="964"/>
      <c r="M40" s="300"/>
    </row>
    <row r="41" spans="1:15" x14ac:dyDescent="0.2">
      <c r="A41" s="153"/>
    </row>
    <row r="42" spans="1:15" ht="15.75" x14ac:dyDescent="0.25">
      <c r="A42" s="145" t="s">
        <v>294</v>
      </c>
      <c r="B42" s="965"/>
      <c r="C42" s="965"/>
      <c r="D42" s="965"/>
      <c r="E42" s="297"/>
      <c r="F42" s="966"/>
      <c r="G42" s="966"/>
      <c r="H42" s="966"/>
      <c r="I42" s="300"/>
      <c r="J42" s="966"/>
      <c r="K42" s="966"/>
      <c r="L42" s="966"/>
      <c r="M42" s="300"/>
    </row>
    <row r="43" spans="1:15" ht="15.75" x14ac:dyDescent="0.25">
      <c r="A43" s="161"/>
      <c r="B43" s="301"/>
      <c r="C43" s="301"/>
      <c r="D43" s="301"/>
      <c r="E43" s="301"/>
      <c r="F43" s="300"/>
      <c r="G43" s="300"/>
      <c r="H43" s="300"/>
      <c r="I43" s="300"/>
      <c r="J43" s="300"/>
      <c r="K43" s="300"/>
      <c r="L43" s="300"/>
      <c r="M43" s="300"/>
    </row>
    <row r="44" spans="1:15" ht="15.75" x14ac:dyDescent="0.25">
      <c r="A44" s="246"/>
      <c r="B44" s="960" t="s">
        <v>0</v>
      </c>
      <c r="C44" s="961"/>
      <c r="D44" s="961"/>
      <c r="E44" s="241"/>
      <c r="F44" s="300"/>
      <c r="G44" s="300"/>
      <c r="H44" s="300"/>
      <c r="I44" s="300"/>
      <c r="J44" s="300"/>
      <c r="K44" s="300"/>
      <c r="L44" s="300"/>
      <c r="M44" s="300"/>
    </row>
    <row r="45" spans="1:15" s="3" customFormat="1" x14ac:dyDescent="0.2">
      <c r="A45" s="139"/>
      <c r="B45" s="171" t="s">
        <v>504</v>
      </c>
      <c r="C45" s="171" t="s">
        <v>505</v>
      </c>
      <c r="D45" s="160" t="s">
        <v>3</v>
      </c>
      <c r="E45" s="160" t="s">
        <v>32</v>
      </c>
      <c r="F45" s="173"/>
      <c r="G45" s="173"/>
      <c r="H45" s="172"/>
      <c r="I45" s="172"/>
      <c r="J45" s="173"/>
      <c r="K45" s="173"/>
      <c r="L45" s="172"/>
      <c r="M45" s="172"/>
      <c r="N45" s="146"/>
      <c r="O45" s="146"/>
    </row>
    <row r="46" spans="1:15" s="3" customFormat="1" x14ac:dyDescent="0.2">
      <c r="A46" s="934"/>
      <c r="B46" s="242"/>
      <c r="C46" s="242"/>
      <c r="D46" s="243" t="s">
        <v>4</v>
      </c>
      <c r="E46" s="154" t="s">
        <v>33</v>
      </c>
      <c r="F46" s="172"/>
      <c r="G46" s="172"/>
      <c r="H46" s="172"/>
      <c r="I46" s="172"/>
      <c r="J46" s="172"/>
      <c r="K46" s="172"/>
      <c r="L46" s="172"/>
      <c r="M46" s="172"/>
      <c r="N46" s="146"/>
      <c r="O46" s="146"/>
    </row>
    <row r="47" spans="1:15" s="3" customFormat="1" ht="15.75" x14ac:dyDescent="0.2">
      <c r="A47" s="14" t="s">
        <v>26</v>
      </c>
      <c r="B47" s="308">
        <f>SUM(B48:B49)</f>
        <v>25828</v>
      </c>
      <c r="C47" s="309">
        <f>SUM(C48:C49)</f>
        <v>31971</v>
      </c>
      <c r="D47" s="424">
        <f t="shared" ref="D47:D48" si="0">IF(B47=0, "    ---- ", IF(ABS(ROUND(100/B47*C47-100,1))&lt;999,ROUND(100/B47*C47-100,1),IF(ROUND(100/B47*C47-100,1)&gt;999,999,-999)))</f>
        <v>23.8</v>
      </c>
      <c r="E47" s="11">
        <f>IFERROR(100/'Skjema total MA'!C47*C47,0)</f>
        <v>0.83944581012102348</v>
      </c>
      <c r="F47" s="143"/>
      <c r="G47" s="32"/>
      <c r="H47" s="157"/>
      <c r="I47" s="157"/>
      <c r="J47" s="36"/>
      <c r="K47" s="36"/>
      <c r="L47" s="157"/>
      <c r="M47" s="157"/>
      <c r="N47" s="146"/>
      <c r="O47" s="146"/>
    </row>
    <row r="48" spans="1:15" s="3" customFormat="1" ht="15.75" x14ac:dyDescent="0.2">
      <c r="A48" s="37" t="s">
        <v>312</v>
      </c>
      <c r="B48" s="279">
        <v>25828</v>
      </c>
      <c r="C48" s="280">
        <v>31971</v>
      </c>
      <c r="D48" s="253">
        <f t="shared" si="0"/>
        <v>23.8</v>
      </c>
      <c r="E48" s="26">
        <f>IFERROR(100/'Skjema total MA'!C48*C48,0)</f>
        <v>1.5602017266524972</v>
      </c>
      <c r="F48" s="143"/>
      <c r="G48" s="32"/>
      <c r="H48" s="143"/>
      <c r="I48" s="143"/>
      <c r="J48" s="32"/>
      <c r="K48" s="32"/>
      <c r="L48" s="157"/>
      <c r="M48" s="157"/>
      <c r="N48" s="146"/>
      <c r="O48" s="146"/>
    </row>
    <row r="49" spans="1:15" s="3" customFormat="1" ht="15.75" x14ac:dyDescent="0.2">
      <c r="A49" s="37" t="s">
        <v>313</v>
      </c>
      <c r="B49" s="43"/>
      <c r="C49" s="285"/>
      <c r="D49" s="253"/>
      <c r="E49" s="26"/>
      <c r="F49" s="143"/>
      <c r="G49" s="32"/>
      <c r="H49" s="143"/>
      <c r="I49" s="143"/>
      <c r="J49" s="36"/>
      <c r="K49" s="36"/>
      <c r="L49" s="157"/>
      <c r="M49" s="157"/>
      <c r="N49" s="146"/>
      <c r="O49" s="146"/>
    </row>
    <row r="50" spans="1:15" s="3" customFormat="1" x14ac:dyDescent="0.2">
      <c r="A50" s="294" t="s">
        <v>6</v>
      </c>
      <c r="B50" s="288"/>
      <c r="C50" s="289"/>
      <c r="D50" s="253"/>
      <c r="E50" s="22"/>
      <c r="F50" s="143"/>
      <c r="G50" s="32"/>
      <c r="H50" s="143"/>
      <c r="I50" s="143"/>
      <c r="J50" s="32"/>
      <c r="K50" s="32"/>
      <c r="L50" s="157"/>
      <c r="M50" s="157"/>
      <c r="N50" s="146"/>
      <c r="O50" s="146"/>
    </row>
    <row r="51" spans="1:15" s="3" customFormat="1" x14ac:dyDescent="0.2">
      <c r="A51" s="294" t="s">
        <v>7</v>
      </c>
      <c r="B51" s="288"/>
      <c r="C51" s="289"/>
      <c r="D51" s="253"/>
      <c r="E51" s="22"/>
      <c r="F51" s="143"/>
      <c r="G51" s="32"/>
      <c r="H51" s="143"/>
      <c r="I51" s="143"/>
      <c r="J51" s="32"/>
      <c r="K51" s="32"/>
      <c r="L51" s="157"/>
      <c r="M51" s="157"/>
      <c r="N51" s="146"/>
      <c r="O51" s="146"/>
    </row>
    <row r="52" spans="1:15" s="3" customFormat="1" x14ac:dyDescent="0.2">
      <c r="A52" s="294" t="s">
        <v>8</v>
      </c>
      <c r="B52" s="288"/>
      <c r="C52" s="289"/>
      <c r="D52" s="253"/>
      <c r="E52" s="22"/>
      <c r="F52" s="143"/>
      <c r="G52" s="32"/>
      <c r="H52" s="143"/>
      <c r="I52" s="143"/>
      <c r="J52" s="32"/>
      <c r="K52" s="32"/>
      <c r="L52" s="157"/>
      <c r="M52" s="157"/>
      <c r="N52" s="146"/>
      <c r="O52" s="146"/>
    </row>
    <row r="53" spans="1:15" s="3" customFormat="1" ht="15.75" x14ac:dyDescent="0.2">
      <c r="A53" s="38" t="s">
        <v>314</v>
      </c>
      <c r="B53" s="308"/>
      <c r="C53" s="309"/>
      <c r="D53" s="425"/>
      <c r="E53" s="11"/>
      <c r="F53" s="143"/>
      <c r="G53" s="32"/>
      <c r="H53" s="143"/>
      <c r="I53" s="143"/>
      <c r="J53" s="32"/>
      <c r="K53" s="32"/>
      <c r="L53" s="157"/>
      <c r="M53" s="157"/>
      <c r="N53" s="146"/>
      <c r="O53" s="146"/>
    </row>
    <row r="54" spans="1:15" s="3" customFormat="1" ht="15.75" x14ac:dyDescent="0.2">
      <c r="A54" s="37" t="s">
        <v>312</v>
      </c>
      <c r="B54" s="279"/>
      <c r="C54" s="280"/>
      <c r="D54" s="253"/>
      <c r="E54" s="26"/>
      <c r="F54" s="143"/>
      <c r="G54" s="32"/>
      <c r="H54" s="143"/>
      <c r="I54" s="143"/>
      <c r="J54" s="32"/>
      <c r="K54" s="32"/>
      <c r="L54" s="157"/>
      <c r="M54" s="157"/>
      <c r="N54" s="146"/>
      <c r="O54" s="146"/>
    </row>
    <row r="55" spans="1:15" s="3" customFormat="1" ht="15.75" x14ac:dyDescent="0.2">
      <c r="A55" s="37" t="s">
        <v>313</v>
      </c>
      <c r="B55" s="279"/>
      <c r="C55" s="280"/>
      <c r="D55" s="253"/>
      <c r="E55" s="26"/>
      <c r="F55" s="143"/>
      <c r="G55" s="32"/>
      <c r="H55" s="143"/>
      <c r="I55" s="143"/>
      <c r="J55" s="32"/>
      <c r="K55" s="32"/>
      <c r="L55" s="157"/>
      <c r="M55" s="157"/>
      <c r="N55" s="146"/>
      <c r="O55" s="146"/>
    </row>
    <row r="56" spans="1:15" s="3" customFormat="1" ht="15.75" x14ac:dyDescent="0.2">
      <c r="A56" s="38" t="s">
        <v>315</v>
      </c>
      <c r="B56" s="308"/>
      <c r="C56" s="309"/>
      <c r="D56" s="425"/>
      <c r="E56" s="11"/>
      <c r="F56" s="143"/>
      <c r="G56" s="32"/>
      <c r="H56" s="143"/>
      <c r="I56" s="143"/>
      <c r="J56" s="32"/>
      <c r="K56" s="32"/>
      <c r="L56" s="157"/>
      <c r="M56" s="157"/>
      <c r="N56" s="146"/>
      <c r="O56" s="146"/>
    </row>
    <row r="57" spans="1:15" s="3" customFormat="1" ht="15.75" x14ac:dyDescent="0.2">
      <c r="A57" s="37" t="s">
        <v>312</v>
      </c>
      <c r="B57" s="279"/>
      <c r="C57" s="280"/>
      <c r="D57" s="253"/>
      <c r="E57" s="26"/>
      <c r="F57" s="143"/>
      <c r="G57" s="32"/>
      <c r="H57" s="143"/>
      <c r="I57" s="143"/>
      <c r="J57" s="32"/>
      <c r="K57" s="32"/>
      <c r="L57" s="157"/>
      <c r="M57" s="157"/>
      <c r="N57" s="146"/>
      <c r="O57" s="146"/>
    </row>
    <row r="58" spans="1:15" s="3" customFormat="1" ht="15.75" x14ac:dyDescent="0.2">
      <c r="A58" s="45" t="s">
        <v>313</v>
      </c>
      <c r="B58" s="281"/>
      <c r="C58" s="282"/>
      <c r="D58" s="254"/>
      <c r="E58" s="21"/>
      <c r="F58" s="143"/>
      <c r="G58" s="32"/>
      <c r="H58" s="143"/>
      <c r="I58" s="143"/>
      <c r="J58" s="32"/>
      <c r="K58" s="32"/>
      <c r="L58" s="157"/>
      <c r="M58" s="157"/>
      <c r="N58" s="146"/>
      <c r="O58" s="146"/>
    </row>
    <row r="59" spans="1:15" s="3" customFormat="1" ht="15.75" x14ac:dyDescent="0.25">
      <c r="A59" s="162"/>
      <c r="B59" s="152"/>
      <c r="C59" s="152"/>
      <c r="D59" s="152"/>
      <c r="E59" s="152"/>
      <c r="F59" s="140"/>
      <c r="G59" s="140"/>
      <c r="H59" s="140"/>
      <c r="I59" s="140"/>
      <c r="J59" s="140"/>
      <c r="K59" s="140"/>
      <c r="L59" s="140"/>
      <c r="M59" s="140"/>
      <c r="N59" s="146"/>
      <c r="O59" s="146"/>
    </row>
    <row r="60" spans="1:15" x14ac:dyDescent="0.2">
      <c r="A60" s="153"/>
    </row>
    <row r="61" spans="1:15" ht="15.75" x14ac:dyDescent="0.25">
      <c r="A61" s="145" t="s">
        <v>295</v>
      </c>
      <c r="C61" s="25"/>
      <c r="D61" s="25"/>
      <c r="E61" s="25"/>
      <c r="F61" s="25"/>
      <c r="G61" s="25"/>
      <c r="H61" s="25"/>
      <c r="I61" s="25"/>
      <c r="J61" s="25"/>
      <c r="K61" s="25"/>
      <c r="L61" s="25"/>
      <c r="M61" s="25"/>
    </row>
    <row r="62" spans="1:15" ht="15.75" x14ac:dyDescent="0.25">
      <c r="B62" s="963"/>
      <c r="C62" s="963"/>
      <c r="D62" s="963"/>
      <c r="E62" s="297"/>
      <c r="F62" s="963"/>
      <c r="G62" s="963"/>
      <c r="H62" s="963"/>
      <c r="I62" s="297"/>
      <c r="J62" s="963"/>
      <c r="K62" s="963"/>
      <c r="L62" s="963"/>
      <c r="M62" s="297"/>
    </row>
    <row r="63" spans="1:15" x14ac:dyDescent="0.2">
      <c r="A63" s="142"/>
      <c r="B63" s="960" t="s">
        <v>0</v>
      </c>
      <c r="C63" s="961"/>
      <c r="D63" s="962"/>
      <c r="E63" s="298"/>
      <c r="F63" s="961" t="s">
        <v>1</v>
      </c>
      <c r="G63" s="961"/>
      <c r="H63" s="961"/>
      <c r="I63" s="302"/>
      <c r="J63" s="960" t="s">
        <v>2</v>
      </c>
      <c r="K63" s="961"/>
      <c r="L63" s="961"/>
      <c r="M63" s="302"/>
    </row>
    <row r="64" spans="1:15" x14ac:dyDescent="0.2">
      <c r="A64" s="139"/>
      <c r="B64" s="150" t="s">
        <v>504</v>
      </c>
      <c r="C64" s="150" t="s">
        <v>505</v>
      </c>
      <c r="D64" s="243" t="s">
        <v>3</v>
      </c>
      <c r="E64" s="303" t="s">
        <v>32</v>
      </c>
      <c r="F64" s="150" t="s">
        <v>504</v>
      </c>
      <c r="G64" s="150" t="s">
        <v>505</v>
      </c>
      <c r="H64" s="243" t="s">
        <v>3</v>
      </c>
      <c r="I64" s="303" t="s">
        <v>32</v>
      </c>
      <c r="J64" s="150" t="s">
        <v>504</v>
      </c>
      <c r="K64" s="150" t="s">
        <v>505</v>
      </c>
      <c r="L64" s="243" t="s">
        <v>3</v>
      </c>
      <c r="M64" s="160" t="s">
        <v>32</v>
      </c>
    </row>
    <row r="65" spans="1:15" x14ac:dyDescent="0.2">
      <c r="A65" s="934"/>
      <c r="B65" s="154"/>
      <c r="C65" s="154"/>
      <c r="D65" s="245" t="s">
        <v>4</v>
      </c>
      <c r="E65" s="154" t="s">
        <v>33</v>
      </c>
      <c r="F65" s="159"/>
      <c r="G65" s="159"/>
      <c r="H65" s="243" t="s">
        <v>4</v>
      </c>
      <c r="I65" s="154" t="s">
        <v>33</v>
      </c>
      <c r="J65" s="159"/>
      <c r="K65" s="204"/>
      <c r="L65" s="154" t="s">
        <v>4</v>
      </c>
      <c r="M65" s="154" t="s">
        <v>33</v>
      </c>
    </row>
    <row r="66" spans="1:15" ht="15.75" x14ac:dyDescent="0.2">
      <c r="A66" s="14" t="s">
        <v>26</v>
      </c>
      <c r="B66" s="350"/>
      <c r="C66" s="350"/>
      <c r="D66" s="348"/>
      <c r="E66" s="11"/>
      <c r="F66" s="350"/>
      <c r="G66" s="350"/>
      <c r="H66" s="348"/>
      <c r="I66" s="11"/>
      <c r="J66" s="307"/>
      <c r="K66" s="314"/>
      <c r="L66" s="425"/>
      <c r="M66" s="11"/>
    </row>
    <row r="67" spans="1:15" x14ac:dyDescent="0.2">
      <c r="A67" s="416" t="s">
        <v>9</v>
      </c>
      <c r="B67" s="43"/>
      <c r="C67" s="143"/>
      <c r="D67" s="164"/>
      <c r="E67" s="26"/>
      <c r="F67" s="232"/>
      <c r="G67" s="143"/>
      <c r="H67" s="164"/>
      <c r="I67" s="26"/>
      <c r="J67" s="285"/>
      <c r="K67" s="43"/>
      <c r="L67" s="253"/>
      <c r="M67" s="26"/>
    </row>
    <row r="68" spans="1:15" x14ac:dyDescent="0.2">
      <c r="A68" s="20" t="s">
        <v>10</v>
      </c>
      <c r="B68" s="290"/>
      <c r="C68" s="291"/>
      <c r="D68" s="164"/>
      <c r="E68" s="26"/>
      <c r="F68" s="290"/>
      <c r="G68" s="291"/>
      <c r="H68" s="164"/>
      <c r="I68" s="26"/>
      <c r="J68" s="285"/>
      <c r="K68" s="43"/>
      <c r="L68" s="253"/>
      <c r="M68" s="26"/>
    </row>
    <row r="69" spans="1:15" ht="15.75" x14ac:dyDescent="0.2">
      <c r="A69" s="294" t="s">
        <v>316</v>
      </c>
      <c r="B69" s="279"/>
      <c r="C69" s="279"/>
      <c r="D69" s="164"/>
      <c r="E69" s="414"/>
      <c r="F69" s="279"/>
      <c r="G69" s="279"/>
      <c r="H69" s="164"/>
      <c r="I69" s="414"/>
      <c r="J69" s="288"/>
      <c r="K69" s="288"/>
      <c r="L69" s="164"/>
      <c r="M69" s="22"/>
    </row>
    <row r="70" spans="1:15" x14ac:dyDescent="0.2">
      <c r="A70" s="294" t="s">
        <v>12</v>
      </c>
      <c r="B70" s="292"/>
      <c r="C70" s="293"/>
      <c r="D70" s="164"/>
      <c r="E70" s="414"/>
      <c r="F70" s="279"/>
      <c r="G70" s="279"/>
      <c r="H70" s="164"/>
      <c r="I70" s="414"/>
      <c r="J70" s="288"/>
      <c r="K70" s="288"/>
      <c r="L70" s="164"/>
      <c r="M70" s="22"/>
    </row>
    <row r="71" spans="1:15" x14ac:dyDescent="0.2">
      <c r="A71" s="294" t="s">
        <v>13</v>
      </c>
      <c r="B71" s="233"/>
      <c r="C71" s="287"/>
      <c r="D71" s="164"/>
      <c r="E71" s="414"/>
      <c r="F71" s="279"/>
      <c r="G71" s="279"/>
      <c r="H71" s="164"/>
      <c r="I71" s="414"/>
      <c r="J71" s="288"/>
      <c r="K71" s="288"/>
      <c r="L71" s="164"/>
      <c r="M71" s="22"/>
    </row>
    <row r="72" spans="1:15" ht="15.75" x14ac:dyDescent="0.2">
      <c r="A72" s="294" t="s">
        <v>317</v>
      </c>
      <c r="B72" s="279"/>
      <c r="C72" s="279"/>
      <c r="D72" s="164"/>
      <c r="E72" s="414"/>
      <c r="F72" s="279"/>
      <c r="G72" s="279"/>
      <c r="H72" s="164"/>
      <c r="I72" s="414"/>
      <c r="J72" s="288"/>
      <c r="K72" s="288"/>
      <c r="L72" s="164"/>
      <c r="M72" s="22"/>
    </row>
    <row r="73" spans="1:15" x14ac:dyDescent="0.2">
      <c r="A73" s="294" t="s">
        <v>12</v>
      </c>
      <c r="B73" s="233"/>
      <c r="C73" s="287"/>
      <c r="D73" s="164"/>
      <c r="E73" s="414"/>
      <c r="F73" s="279"/>
      <c r="G73" s="279"/>
      <c r="H73" s="164"/>
      <c r="I73" s="414"/>
      <c r="J73" s="288"/>
      <c r="K73" s="288"/>
      <c r="L73" s="164"/>
      <c r="M73" s="22"/>
    </row>
    <row r="74" spans="1:15" s="3" customFormat="1" x14ac:dyDescent="0.2">
      <c r="A74" s="294" t="s">
        <v>13</v>
      </c>
      <c r="B74" s="233"/>
      <c r="C74" s="287"/>
      <c r="D74" s="164"/>
      <c r="E74" s="414"/>
      <c r="F74" s="279"/>
      <c r="G74" s="279"/>
      <c r="H74" s="164"/>
      <c r="I74" s="414"/>
      <c r="J74" s="288"/>
      <c r="K74" s="288"/>
      <c r="L74" s="164"/>
      <c r="M74" s="22"/>
      <c r="N74" s="146"/>
      <c r="O74" s="146"/>
    </row>
    <row r="75" spans="1:15" s="3" customFormat="1" x14ac:dyDescent="0.2">
      <c r="A75" s="20" t="s">
        <v>395</v>
      </c>
      <c r="B75" s="232"/>
      <c r="C75" s="143"/>
      <c r="D75" s="164"/>
      <c r="E75" s="26"/>
      <c r="F75" s="232"/>
      <c r="G75" s="143"/>
      <c r="H75" s="164"/>
      <c r="I75" s="26"/>
      <c r="J75" s="285"/>
      <c r="K75" s="43"/>
      <c r="L75" s="253"/>
      <c r="M75" s="26"/>
      <c r="N75" s="146"/>
      <c r="O75" s="146"/>
    </row>
    <row r="76" spans="1:15" s="3" customFormat="1" x14ac:dyDescent="0.2">
      <c r="A76" s="20" t="s">
        <v>394</v>
      </c>
      <c r="B76" s="232"/>
      <c r="C76" s="143"/>
      <c r="D76" s="164"/>
      <c r="E76" s="26"/>
      <c r="F76" s="232"/>
      <c r="G76" s="143"/>
      <c r="H76" s="164"/>
      <c r="I76" s="26"/>
      <c r="J76" s="285"/>
      <c r="K76" s="43"/>
      <c r="L76" s="253"/>
      <c r="M76" s="26"/>
      <c r="N76" s="146"/>
      <c r="O76" s="146"/>
    </row>
    <row r="77" spans="1:15" ht="15.75" x14ac:dyDescent="0.2">
      <c r="A77" s="20" t="s">
        <v>318</v>
      </c>
      <c r="B77" s="232"/>
      <c r="C77" s="232"/>
      <c r="D77" s="164"/>
      <c r="E77" s="26"/>
      <c r="F77" s="232"/>
      <c r="G77" s="143"/>
      <c r="H77" s="164"/>
      <c r="I77" s="26"/>
      <c r="J77" s="285"/>
      <c r="K77" s="43"/>
      <c r="L77" s="253"/>
      <c r="M77" s="26"/>
    </row>
    <row r="78" spans="1:15" x14ac:dyDescent="0.2">
      <c r="A78" s="20" t="s">
        <v>9</v>
      </c>
      <c r="B78" s="232"/>
      <c r="C78" s="143"/>
      <c r="D78" s="164"/>
      <c r="E78" s="26"/>
      <c r="F78" s="232"/>
      <c r="G78" s="143"/>
      <c r="H78" s="164"/>
      <c r="I78" s="26"/>
      <c r="J78" s="285"/>
      <c r="K78" s="43"/>
      <c r="L78" s="253"/>
      <c r="M78" s="26"/>
    </row>
    <row r="79" spans="1:15" x14ac:dyDescent="0.2">
      <c r="A79" s="20" t="s">
        <v>10</v>
      </c>
      <c r="B79" s="290"/>
      <c r="C79" s="291"/>
      <c r="D79" s="164"/>
      <c r="E79" s="26"/>
      <c r="F79" s="290"/>
      <c r="G79" s="291"/>
      <c r="H79" s="164"/>
      <c r="I79" s="26"/>
      <c r="J79" s="285"/>
      <c r="K79" s="43"/>
      <c r="L79" s="253"/>
      <c r="M79" s="26"/>
    </row>
    <row r="80" spans="1:15" ht="15.75" x14ac:dyDescent="0.2">
      <c r="A80" s="294" t="s">
        <v>316</v>
      </c>
      <c r="B80" s="279"/>
      <c r="C80" s="279"/>
      <c r="D80" s="164"/>
      <c r="E80" s="414"/>
      <c r="F80" s="279"/>
      <c r="G80" s="279"/>
      <c r="H80" s="164"/>
      <c r="I80" s="414"/>
      <c r="J80" s="288"/>
      <c r="K80" s="288"/>
      <c r="L80" s="164"/>
      <c r="M80" s="22"/>
    </row>
    <row r="81" spans="1:13" x14ac:dyDescent="0.2">
      <c r="A81" s="294" t="s">
        <v>12</v>
      </c>
      <c r="B81" s="233"/>
      <c r="C81" s="287"/>
      <c r="D81" s="164"/>
      <c r="E81" s="414"/>
      <c r="F81" s="279"/>
      <c r="G81" s="279"/>
      <c r="H81" s="164"/>
      <c r="I81" s="414"/>
      <c r="J81" s="288"/>
      <c r="K81" s="288"/>
      <c r="L81" s="164"/>
      <c r="M81" s="22"/>
    </row>
    <row r="82" spans="1:13" x14ac:dyDescent="0.2">
      <c r="A82" s="294" t="s">
        <v>13</v>
      </c>
      <c r="B82" s="233"/>
      <c r="C82" s="287"/>
      <c r="D82" s="164"/>
      <c r="E82" s="414"/>
      <c r="F82" s="279"/>
      <c r="G82" s="279"/>
      <c r="H82" s="164"/>
      <c r="I82" s="414"/>
      <c r="J82" s="288"/>
      <c r="K82" s="288"/>
      <c r="L82" s="164"/>
      <c r="M82" s="22"/>
    </row>
    <row r="83" spans="1:13" ht="15.75" x14ac:dyDescent="0.2">
      <c r="A83" s="294" t="s">
        <v>317</v>
      </c>
      <c r="B83" s="279"/>
      <c r="C83" s="279"/>
      <c r="D83" s="164"/>
      <c r="E83" s="414"/>
      <c r="F83" s="279"/>
      <c r="G83" s="279"/>
      <c r="H83" s="164"/>
      <c r="I83" s="414"/>
      <c r="J83" s="288"/>
      <c r="K83" s="288"/>
      <c r="L83" s="164"/>
      <c r="M83" s="22"/>
    </row>
    <row r="84" spans="1:13" x14ac:dyDescent="0.2">
      <c r="A84" s="294" t="s">
        <v>12</v>
      </c>
      <c r="B84" s="233"/>
      <c r="C84" s="287"/>
      <c r="D84" s="164"/>
      <c r="E84" s="414"/>
      <c r="F84" s="279"/>
      <c r="G84" s="279"/>
      <c r="H84" s="164"/>
      <c r="I84" s="414"/>
      <c r="J84" s="288"/>
      <c r="K84" s="288"/>
      <c r="L84" s="164"/>
      <c r="M84" s="22"/>
    </row>
    <row r="85" spans="1:13" x14ac:dyDescent="0.2">
      <c r="A85" s="294" t="s">
        <v>13</v>
      </c>
      <c r="B85" s="233"/>
      <c r="C85" s="287"/>
      <c r="D85" s="164"/>
      <c r="E85" s="414"/>
      <c r="F85" s="279"/>
      <c r="G85" s="279"/>
      <c r="H85" s="164"/>
      <c r="I85" s="414"/>
      <c r="J85" s="288"/>
      <c r="K85" s="288"/>
      <c r="L85" s="164"/>
      <c r="M85" s="22"/>
    </row>
    <row r="86" spans="1:13" ht="15.75" x14ac:dyDescent="0.2">
      <c r="A86" s="20" t="s">
        <v>327</v>
      </c>
      <c r="B86" s="232"/>
      <c r="C86" s="143"/>
      <c r="D86" s="164"/>
      <c r="E86" s="26"/>
      <c r="F86" s="232"/>
      <c r="G86" s="143"/>
      <c r="H86" s="164"/>
      <c r="I86" s="26"/>
      <c r="J86" s="285"/>
      <c r="K86" s="43"/>
      <c r="L86" s="253"/>
      <c r="M86" s="26"/>
    </row>
    <row r="87" spans="1:13" ht="15.75" x14ac:dyDescent="0.2">
      <c r="A87" s="13" t="s">
        <v>25</v>
      </c>
      <c r="B87" s="350"/>
      <c r="C87" s="350"/>
      <c r="D87" s="169"/>
      <c r="E87" s="11"/>
      <c r="F87" s="350"/>
      <c r="G87" s="350"/>
      <c r="H87" s="169"/>
      <c r="I87" s="11"/>
      <c r="J87" s="307"/>
      <c r="K87" s="234"/>
      <c r="L87" s="425"/>
      <c r="M87" s="11"/>
    </row>
    <row r="88" spans="1:13" x14ac:dyDescent="0.2">
      <c r="A88" s="20" t="s">
        <v>9</v>
      </c>
      <c r="B88" s="232"/>
      <c r="C88" s="143"/>
      <c r="D88" s="164"/>
      <c r="E88" s="26"/>
      <c r="F88" s="232"/>
      <c r="G88" s="143"/>
      <c r="H88" s="164"/>
      <c r="I88" s="26"/>
      <c r="J88" s="285"/>
      <c r="K88" s="43"/>
      <c r="L88" s="253"/>
      <c r="M88" s="26"/>
    </row>
    <row r="89" spans="1:13" x14ac:dyDescent="0.2">
      <c r="A89" s="20" t="s">
        <v>10</v>
      </c>
      <c r="B89" s="232"/>
      <c r="C89" s="143"/>
      <c r="D89" s="164"/>
      <c r="E89" s="26"/>
      <c r="F89" s="232"/>
      <c r="G89" s="143"/>
      <c r="H89" s="164"/>
      <c r="I89" s="26"/>
      <c r="J89" s="285"/>
      <c r="K89" s="43"/>
      <c r="L89" s="253"/>
      <c r="M89" s="26"/>
    </row>
    <row r="90" spans="1:13" ht="15.75" x14ac:dyDescent="0.2">
      <c r="A90" s="294" t="s">
        <v>316</v>
      </c>
      <c r="B90" s="279"/>
      <c r="C90" s="279"/>
      <c r="D90" s="164"/>
      <c r="E90" s="414"/>
      <c r="F90" s="279"/>
      <c r="G90" s="279"/>
      <c r="H90" s="164"/>
      <c r="I90" s="414"/>
      <c r="J90" s="288"/>
      <c r="K90" s="288"/>
      <c r="L90" s="164"/>
      <c r="M90" s="22"/>
    </row>
    <row r="91" spans="1:13" x14ac:dyDescent="0.2">
      <c r="A91" s="294" t="s">
        <v>12</v>
      </c>
      <c r="B91" s="233"/>
      <c r="C91" s="287"/>
      <c r="D91" s="164"/>
      <c r="E91" s="414"/>
      <c r="F91" s="279"/>
      <c r="G91" s="279"/>
      <c r="H91" s="164"/>
      <c r="I91" s="414"/>
      <c r="J91" s="288"/>
      <c r="K91" s="288"/>
      <c r="L91" s="164"/>
      <c r="M91" s="22"/>
    </row>
    <row r="92" spans="1:13" x14ac:dyDescent="0.2">
      <c r="A92" s="294" t="s">
        <v>13</v>
      </c>
      <c r="B92" s="233"/>
      <c r="C92" s="287"/>
      <c r="D92" s="164"/>
      <c r="E92" s="414"/>
      <c r="F92" s="279"/>
      <c r="G92" s="279"/>
      <c r="H92" s="164"/>
      <c r="I92" s="414"/>
      <c r="J92" s="288"/>
      <c r="K92" s="288"/>
      <c r="L92" s="164"/>
      <c r="M92" s="22"/>
    </row>
    <row r="93" spans="1:13" ht="15.75" x14ac:dyDescent="0.2">
      <c r="A93" s="294" t="s">
        <v>317</v>
      </c>
      <c r="B93" s="279"/>
      <c r="C93" s="279"/>
      <c r="D93" s="164"/>
      <c r="E93" s="414"/>
      <c r="F93" s="279"/>
      <c r="G93" s="279"/>
      <c r="H93" s="164"/>
      <c r="I93" s="414"/>
      <c r="J93" s="288"/>
      <c r="K93" s="288"/>
      <c r="L93" s="164"/>
      <c r="M93" s="22"/>
    </row>
    <row r="94" spans="1:13" x14ac:dyDescent="0.2">
      <c r="A94" s="294" t="s">
        <v>12</v>
      </c>
      <c r="B94" s="233"/>
      <c r="C94" s="287"/>
      <c r="D94" s="164"/>
      <c r="E94" s="414"/>
      <c r="F94" s="279"/>
      <c r="G94" s="279"/>
      <c r="H94" s="164"/>
      <c r="I94" s="414"/>
      <c r="J94" s="288"/>
      <c r="K94" s="288"/>
      <c r="L94" s="164"/>
      <c r="M94" s="22"/>
    </row>
    <row r="95" spans="1:13" x14ac:dyDescent="0.2">
      <c r="A95" s="294" t="s">
        <v>13</v>
      </c>
      <c r="B95" s="233"/>
      <c r="C95" s="287"/>
      <c r="D95" s="164"/>
      <c r="E95" s="414"/>
      <c r="F95" s="279"/>
      <c r="G95" s="279"/>
      <c r="H95" s="164"/>
      <c r="I95" s="414"/>
      <c r="J95" s="288"/>
      <c r="K95" s="288"/>
      <c r="L95" s="164"/>
      <c r="M95" s="22"/>
    </row>
    <row r="96" spans="1:13" x14ac:dyDescent="0.2">
      <c r="A96" s="20" t="s">
        <v>393</v>
      </c>
      <c r="B96" s="232"/>
      <c r="C96" s="143"/>
      <c r="D96" s="164"/>
      <c r="E96" s="26"/>
      <c r="F96" s="232"/>
      <c r="G96" s="143"/>
      <c r="H96" s="164"/>
      <c r="I96" s="26"/>
      <c r="J96" s="285"/>
      <c r="K96" s="43"/>
      <c r="L96" s="253"/>
      <c r="M96" s="26"/>
    </row>
    <row r="97" spans="1:13" x14ac:dyDescent="0.2">
      <c r="A97" s="20" t="s">
        <v>392</v>
      </c>
      <c r="B97" s="232"/>
      <c r="C97" s="143"/>
      <c r="D97" s="164"/>
      <c r="E97" s="26"/>
      <c r="F97" s="232"/>
      <c r="G97" s="143"/>
      <c r="H97" s="164"/>
      <c r="I97" s="26"/>
      <c r="J97" s="285"/>
      <c r="K97" s="43"/>
      <c r="L97" s="253"/>
      <c r="M97" s="26"/>
    </row>
    <row r="98" spans="1:13" ht="15.75" x14ac:dyDescent="0.2">
      <c r="A98" s="20" t="s">
        <v>318</v>
      </c>
      <c r="B98" s="232"/>
      <c r="C98" s="232"/>
      <c r="D98" s="164"/>
      <c r="E98" s="26"/>
      <c r="F98" s="290"/>
      <c r="G98" s="290"/>
      <c r="H98" s="164"/>
      <c r="I98" s="26"/>
      <c r="J98" s="285"/>
      <c r="K98" s="43"/>
      <c r="L98" s="253"/>
      <c r="M98" s="26"/>
    </row>
    <row r="99" spans="1:13" x14ac:dyDescent="0.2">
      <c r="A99" s="20" t="s">
        <v>9</v>
      </c>
      <c r="B99" s="290"/>
      <c r="C99" s="291"/>
      <c r="D99" s="164"/>
      <c r="E99" s="26"/>
      <c r="F99" s="232"/>
      <c r="G99" s="143"/>
      <c r="H99" s="164"/>
      <c r="I99" s="26"/>
      <c r="J99" s="285"/>
      <c r="K99" s="43"/>
      <c r="L99" s="253"/>
      <c r="M99" s="26"/>
    </row>
    <row r="100" spans="1:13" x14ac:dyDescent="0.2">
      <c r="A100" s="20" t="s">
        <v>10</v>
      </c>
      <c r="B100" s="290"/>
      <c r="C100" s="291"/>
      <c r="D100" s="164"/>
      <c r="E100" s="26"/>
      <c r="F100" s="232"/>
      <c r="G100" s="232"/>
      <c r="H100" s="164"/>
      <c r="I100" s="26"/>
      <c r="J100" s="285"/>
      <c r="K100" s="43"/>
      <c r="L100" s="253"/>
      <c r="M100" s="26"/>
    </row>
    <row r="101" spans="1:13" ht="15.75" x14ac:dyDescent="0.2">
      <c r="A101" s="294" t="s">
        <v>316</v>
      </c>
      <c r="B101" s="279"/>
      <c r="C101" s="279"/>
      <c r="D101" s="164"/>
      <c r="E101" s="414"/>
      <c r="F101" s="279"/>
      <c r="G101" s="279"/>
      <c r="H101" s="164"/>
      <c r="I101" s="414"/>
      <c r="J101" s="288"/>
      <c r="K101" s="288"/>
      <c r="L101" s="164"/>
      <c r="M101" s="22"/>
    </row>
    <row r="102" spans="1:13" x14ac:dyDescent="0.2">
      <c r="A102" s="294" t="s">
        <v>12</v>
      </c>
      <c r="B102" s="233"/>
      <c r="C102" s="287"/>
      <c r="D102" s="164"/>
      <c r="E102" s="414"/>
      <c r="F102" s="279"/>
      <c r="G102" s="279"/>
      <c r="H102" s="164"/>
      <c r="I102" s="414"/>
      <c r="J102" s="288"/>
      <c r="K102" s="288"/>
      <c r="L102" s="164"/>
      <c r="M102" s="22"/>
    </row>
    <row r="103" spans="1:13" x14ac:dyDescent="0.2">
      <c r="A103" s="294" t="s">
        <v>13</v>
      </c>
      <c r="B103" s="233"/>
      <c r="C103" s="287"/>
      <c r="D103" s="164"/>
      <c r="E103" s="414"/>
      <c r="F103" s="279"/>
      <c r="G103" s="279"/>
      <c r="H103" s="164"/>
      <c r="I103" s="414"/>
      <c r="J103" s="288"/>
      <c r="K103" s="288"/>
      <c r="L103" s="164"/>
      <c r="M103" s="22"/>
    </row>
    <row r="104" spans="1:13" ht="15.75" x14ac:dyDescent="0.2">
      <c r="A104" s="294" t="s">
        <v>317</v>
      </c>
      <c r="B104" s="279"/>
      <c r="C104" s="279"/>
      <c r="D104" s="164"/>
      <c r="E104" s="414"/>
      <c r="F104" s="279"/>
      <c r="G104" s="279"/>
      <c r="H104" s="164"/>
      <c r="I104" s="414"/>
      <c r="J104" s="288"/>
      <c r="K104" s="288"/>
      <c r="L104" s="164"/>
      <c r="M104" s="22"/>
    </row>
    <row r="105" spans="1:13" x14ac:dyDescent="0.2">
      <c r="A105" s="294" t="s">
        <v>12</v>
      </c>
      <c r="B105" s="233"/>
      <c r="C105" s="287"/>
      <c r="D105" s="164"/>
      <c r="E105" s="414"/>
      <c r="F105" s="279"/>
      <c r="G105" s="279"/>
      <c r="H105" s="164"/>
      <c r="I105" s="414"/>
      <c r="J105" s="288"/>
      <c r="K105" s="288"/>
      <c r="L105" s="164"/>
      <c r="M105" s="22"/>
    </row>
    <row r="106" spans="1:13" x14ac:dyDescent="0.2">
      <c r="A106" s="294" t="s">
        <v>13</v>
      </c>
      <c r="B106" s="233"/>
      <c r="C106" s="287"/>
      <c r="D106" s="164"/>
      <c r="E106" s="414"/>
      <c r="F106" s="279"/>
      <c r="G106" s="279"/>
      <c r="H106" s="164"/>
      <c r="I106" s="414"/>
      <c r="J106" s="288"/>
      <c r="K106" s="288"/>
      <c r="L106" s="164"/>
      <c r="M106" s="22"/>
    </row>
    <row r="107" spans="1:13" ht="15.75" x14ac:dyDescent="0.2">
      <c r="A107" s="20" t="s">
        <v>327</v>
      </c>
      <c r="B107" s="232"/>
      <c r="C107" s="143"/>
      <c r="D107" s="164"/>
      <c r="E107" s="26"/>
      <c r="F107" s="232"/>
      <c r="G107" s="143"/>
      <c r="H107" s="164"/>
      <c r="I107" s="26"/>
      <c r="J107" s="285"/>
      <c r="K107" s="43"/>
      <c r="L107" s="253"/>
      <c r="M107" s="26"/>
    </row>
    <row r="108" spans="1:13" ht="15.75" x14ac:dyDescent="0.2">
      <c r="A108" s="20" t="s">
        <v>328</v>
      </c>
      <c r="B108" s="232"/>
      <c r="C108" s="232"/>
      <c r="D108" s="164"/>
      <c r="E108" s="26"/>
      <c r="F108" s="232"/>
      <c r="G108" s="232"/>
      <c r="H108" s="164"/>
      <c r="I108" s="26"/>
      <c r="J108" s="285"/>
      <c r="K108" s="43"/>
      <c r="L108" s="253"/>
      <c r="M108" s="26"/>
    </row>
    <row r="109" spans="1:13" ht="15.75" x14ac:dyDescent="0.2">
      <c r="A109" s="20" t="s">
        <v>320</v>
      </c>
      <c r="B109" s="232"/>
      <c r="C109" s="232"/>
      <c r="D109" s="164"/>
      <c r="E109" s="26"/>
      <c r="F109" s="232"/>
      <c r="G109" s="232"/>
      <c r="H109" s="164"/>
      <c r="I109" s="26"/>
      <c r="J109" s="285"/>
      <c r="K109" s="43"/>
      <c r="L109" s="253"/>
      <c r="M109" s="26"/>
    </row>
    <row r="110" spans="1:13" ht="15.75" x14ac:dyDescent="0.2">
      <c r="A110" s="20" t="s">
        <v>321</v>
      </c>
      <c r="B110" s="232"/>
      <c r="C110" s="232"/>
      <c r="D110" s="164"/>
      <c r="E110" s="26"/>
      <c r="F110" s="232"/>
      <c r="G110" s="232"/>
      <c r="H110" s="164"/>
      <c r="I110" s="26"/>
      <c r="J110" s="285"/>
      <c r="K110" s="43"/>
      <c r="L110" s="253"/>
      <c r="M110" s="26"/>
    </row>
    <row r="111" spans="1:13" ht="15.75" x14ac:dyDescent="0.2">
      <c r="A111" s="13" t="s">
        <v>24</v>
      </c>
      <c r="B111" s="306"/>
      <c r="C111" s="157"/>
      <c r="D111" s="169"/>
      <c r="E111" s="11"/>
      <c r="F111" s="306"/>
      <c r="G111" s="157"/>
      <c r="H111" s="169"/>
      <c r="I111" s="11"/>
      <c r="J111" s="307"/>
      <c r="K111" s="234"/>
      <c r="L111" s="425"/>
      <c r="M111" s="11"/>
    </row>
    <row r="112" spans="1:13" x14ac:dyDescent="0.2">
      <c r="A112" s="20" t="s">
        <v>9</v>
      </c>
      <c r="B112" s="232"/>
      <c r="C112" s="143"/>
      <c r="D112" s="164"/>
      <c r="E112" s="26"/>
      <c r="F112" s="232"/>
      <c r="G112" s="143"/>
      <c r="H112" s="164"/>
      <c r="I112" s="26"/>
      <c r="J112" s="285"/>
      <c r="K112" s="43"/>
      <c r="L112" s="253"/>
      <c r="M112" s="26"/>
    </row>
    <row r="113" spans="1:14" x14ac:dyDescent="0.2">
      <c r="A113" s="20" t="s">
        <v>10</v>
      </c>
      <c r="B113" s="232"/>
      <c r="C113" s="143"/>
      <c r="D113" s="164"/>
      <c r="E113" s="26"/>
      <c r="F113" s="232"/>
      <c r="G113" s="143"/>
      <c r="H113" s="164"/>
      <c r="I113" s="26"/>
      <c r="J113" s="285"/>
      <c r="K113" s="43"/>
      <c r="L113" s="253"/>
      <c r="M113" s="26"/>
    </row>
    <row r="114" spans="1:14" x14ac:dyDescent="0.2">
      <c r="A114" s="20" t="s">
        <v>29</v>
      </c>
      <c r="B114" s="232"/>
      <c r="C114" s="143"/>
      <c r="D114" s="164"/>
      <c r="E114" s="26"/>
      <c r="F114" s="232"/>
      <c r="G114" s="143"/>
      <c r="H114" s="164"/>
      <c r="I114" s="26"/>
      <c r="J114" s="285"/>
      <c r="K114" s="43"/>
      <c r="L114" s="253"/>
      <c r="M114" s="26"/>
    </row>
    <row r="115" spans="1:14" x14ac:dyDescent="0.2">
      <c r="A115" s="294" t="s">
        <v>15</v>
      </c>
      <c r="B115" s="279"/>
      <c r="C115" s="279"/>
      <c r="D115" s="164"/>
      <c r="E115" s="414"/>
      <c r="F115" s="279"/>
      <c r="G115" s="279"/>
      <c r="H115" s="164"/>
      <c r="I115" s="414"/>
      <c r="J115" s="288"/>
      <c r="K115" s="288"/>
      <c r="L115" s="164"/>
      <c r="M115" s="22"/>
    </row>
    <row r="116" spans="1:14" ht="15.75" x14ac:dyDescent="0.2">
      <c r="A116" s="20" t="s">
        <v>329</v>
      </c>
      <c r="B116" s="232"/>
      <c r="C116" s="232"/>
      <c r="D116" s="164"/>
      <c r="E116" s="26"/>
      <c r="F116" s="232"/>
      <c r="G116" s="232"/>
      <c r="H116" s="164"/>
      <c r="I116" s="26"/>
      <c r="J116" s="285"/>
      <c r="K116" s="43"/>
      <c r="L116" s="253"/>
      <c r="M116" s="26"/>
    </row>
    <row r="117" spans="1:14" ht="15.75" x14ac:dyDescent="0.2">
      <c r="A117" s="20" t="s">
        <v>322</v>
      </c>
      <c r="B117" s="232"/>
      <c r="C117" s="232"/>
      <c r="D117" s="164"/>
      <c r="E117" s="26"/>
      <c r="F117" s="232"/>
      <c r="G117" s="232"/>
      <c r="H117" s="164"/>
      <c r="I117" s="26"/>
      <c r="J117" s="285"/>
      <c r="K117" s="43"/>
      <c r="L117" s="253"/>
      <c r="M117" s="26"/>
    </row>
    <row r="118" spans="1:14" ht="15.75" x14ac:dyDescent="0.2">
      <c r="A118" s="20" t="s">
        <v>321</v>
      </c>
      <c r="B118" s="232"/>
      <c r="C118" s="232"/>
      <c r="D118" s="164"/>
      <c r="E118" s="26"/>
      <c r="F118" s="232"/>
      <c r="G118" s="232"/>
      <c r="H118" s="164"/>
      <c r="I118" s="26"/>
      <c r="J118" s="285"/>
      <c r="K118" s="43"/>
      <c r="L118" s="253"/>
      <c r="M118" s="26"/>
    </row>
    <row r="119" spans="1:14" ht="15.75" x14ac:dyDescent="0.2">
      <c r="A119" s="13" t="s">
        <v>23</v>
      </c>
      <c r="B119" s="306"/>
      <c r="C119" s="157"/>
      <c r="D119" s="169"/>
      <c r="E119" s="11"/>
      <c r="F119" s="306"/>
      <c r="G119" s="157"/>
      <c r="H119" s="169"/>
      <c r="I119" s="11"/>
      <c r="J119" s="307"/>
      <c r="K119" s="234"/>
      <c r="L119" s="425"/>
      <c r="M119" s="11"/>
    </row>
    <row r="120" spans="1:14" x14ac:dyDescent="0.2">
      <c r="A120" s="20" t="s">
        <v>9</v>
      </c>
      <c r="B120" s="232"/>
      <c r="C120" s="143"/>
      <c r="D120" s="164"/>
      <c r="E120" s="26"/>
      <c r="F120" s="232"/>
      <c r="G120" s="143"/>
      <c r="H120" s="164"/>
      <c r="I120" s="26"/>
      <c r="J120" s="285"/>
      <c r="K120" s="43"/>
      <c r="L120" s="253"/>
      <c r="M120" s="26"/>
    </row>
    <row r="121" spans="1:14" x14ac:dyDescent="0.2">
      <c r="A121" s="20" t="s">
        <v>10</v>
      </c>
      <c r="B121" s="232"/>
      <c r="C121" s="143"/>
      <c r="D121" s="164"/>
      <c r="E121" s="26"/>
      <c r="F121" s="232"/>
      <c r="G121" s="143"/>
      <c r="H121" s="164"/>
      <c r="I121" s="26"/>
      <c r="J121" s="285"/>
      <c r="K121" s="43"/>
      <c r="L121" s="253"/>
      <c r="M121" s="26"/>
    </row>
    <row r="122" spans="1:14" x14ac:dyDescent="0.2">
      <c r="A122" s="20" t="s">
        <v>29</v>
      </c>
      <c r="B122" s="232"/>
      <c r="C122" s="143"/>
      <c r="D122" s="164"/>
      <c r="E122" s="26"/>
      <c r="F122" s="232"/>
      <c r="G122" s="143"/>
      <c r="H122" s="164"/>
      <c r="I122" s="26"/>
      <c r="J122" s="285"/>
      <c r="K122" s="43"/>
      <c r="L122" s="253"/>
      <c r="M122" s="26"/>
    </row>
    <row r="123" spans="1:14" x14ac:dyDescent="0.2">
      <c r="A123" s="294" t="s">
        <v>14</v>
      </c>
      <c r="B123" s="279"/>
      <c r="C123" s="279"/>
      <c r="D123" s="164"/>
      <c r="E123" s="414"/>
      <c r="F123" s="279"/>
      <c r="G123" s="279"/>
      <c r="H123" s="164"/>
      <c r="I123" s="414"/>
      <c r="J123" s="288"/>
      <c r="K123" s="288"/>
      <c r="L123" s="164"/>
      <c r="M123" s="22"/>
    </row>
    <row r="124" spans="1:14" ht="15.75" x14ac:dyDescent="0.2">
      <c r="A124" s="20" t="s">
        <v>319</v>
      </c>
      <c r="B124" s="232"/>
      <c r="C124" s="232"/>
      <c r="D124" s="164"/>
      <c r="E124" s="26"/>
      <c r="F124" s="232"/>
      <c r="G124" s="232"/>
      <c r="H124" s="164"/>
      <c r="I124" s="26"/>
      <c r="J124" s="285"/>
      <c r="K124" s="43"/>
      <c r="L124" s="253"/>
      <c r="M124" s="26"/>
    </row>
    <row r="125" spans="1:14" ht="15.75" x14ac:dyDescent="0.2">
      <c r="A125" s="20" t="s">
        <v>320</v>
      </c>
      <c r="B125" s="232"/>
      <c r="C125" s="232"/>
      <c r="D125" s="164"/>
      <c r="E125" s="26"/>
      <c r="F125" s="232"/>
      <c r="G125" s="232"/>
      <c r="H125" s="164"/>
      <c r="I125" s="26"/>
      <c r="J125" s="285"/>
      <c r="K125" s="43"/>
      <c r="L125" s="253"/>
      <c r="M125" s="26"/>
    </row>
    <row r="126" spans="1:14" ht="15.75" x14ac:dyDescent="0.2">
      <c r="A126" s="10" t="s">
        <v>321</v>
      </c>
      <c r="B126" s="44"/>
      <c r="C126" s="44"/>
      <c r="D126" s="165"/>
      <c r="E126" s="415"/>
      <c r="F126" s="44"/>
      <c r="G126" s="44"/>
      <c r="H126" s="165"/>
      <c r="I126" s="21"/>
      <c r="J126" s="286"/>
      <c r="K126" s="44"/>
      <c r="L126" s="254"/>
      <c r="M126" s="21"/>
    </row>
    <row r="127" spans="1:14" x14ac:dyDescent="0.2">
      <c r="A127" s="153"/>
      <c r="L127" s="25"/>
      <c r="M127" s="25"/>
      <c r="N127" s="25"/>
    </row>
    <row r="128" spans="1:14" x14ac:dyDescent="0.2">
      <c r="L128" s="25"/>
      <c r="M128" s="25"/>
      <c r="N128" s="25"/>
    </row>
    <row r="129" spans="1:15" ht="15.75" x14ac:dyDescent="0.25">
      <c r="A129" s="163" t="s">
        <v>30</v>
      </c>
    </row>
    <row r="130" spans="1:15" ht="15.75" x14ac:dyDescent="0.25">
      <c r="B130" s="963"/>
      <c r="C130" s="963"/>
      <c r="D130" s="963"/>
      <c r="E130" s="297"/>
      <c r="F130" s="963"/>
      <c r="G130" s="963"/>
      <c r="H130" s="963"/>
      <c r="I130" s="297"/>
      <c r="J130" s="963"/>
      <c r="K130" s="963"/>
      <c r="L130" s="963"/>
      <c r="M130" s="297"/>
    </row>
    <row r="131" spans="1:15" s="3" customFormat="1" x14ac:dyDescent="0.2">
      <c r="A131" s="142"/>
      <c r="B131" s="960" t="s">
        <v>0</v>
      </c>
      <c r="C131" s="961"/>
      <c r="D131" s="961"/>
      <c r="E131" s="299"/>
      <c r="F131" s="960" t="s">
        <v>1</v>
      </c>
      <c r="G131" s="961"/>
      <c r="H131" s="961"/>
      <c r="I131" s="302"/>
      <c r="J131" s="960" t="s">
        <v>2</v>
      </c>
      <c r="K131" s="961"/>
      <c r="L131" s="961"/>
      <c r="M131" s="302"/>
      <c r="N131" s="146"/>
      <c r="O131" s="146"/>
    </row>
    <row r="132" spans="1:15" s="3" customFormat="1" x14ac:dyDescent="0.2">
      <c r="A132" s="139"/>
      <c r="B132" s="150" t="s">
        <v>504</v>
      </c>
      <c r="C132" s="150" t="s">
        <v>505</v>
      </c>
      <c r="D132" s="243" t="s">
        <v>3</v>
      </c>
      <c r="E132" s="303" t="s">
        <v>32</v>
      </c>
      <c r="F132" s="150" t="s">
        <v>504</v>
      </c>
      <c r="G132" s="150" t="s">
        <v>505</v>
      </c>
      <c r="H132" s="204" t="s">
        <v>3</v>
      </c>
      <c r="I132" s="160" t="s">
        <v>32</v>
      </c>
      <c r="J132" s="244" t="s">
        <v>504</v>
      </c>
      <c r="K132" s="244" t="s">
        <v>505</v>
      </c>
      <c r="L132" s="245" t="s">
        <v>3</v>
      </c>
      <c r="M132" s="160" t="s">
        <v>32</v>
      </c>
      <c r="N132" s="146"/>
      <c r="O132" s="146"/>
    </row>
    <row r="133" spans="1:15" s="3" customFormat="1" x14ac:dyDescent="0.2">
      <c r="A133" s="934"/>
      <c r="B133" s="154"/>
      <c r="C133" s="154"/>
      <c r="D133" s="245" t="s">
        <v>4</v>
      </c>
      <c r="E133" s="154" t="s">
        <v>33</v>
      </c>
      <c r="F133" s="159"/>
      <c r="G133" s="159"/>
      <c r="H133" s="204" t="s">
        <v>4</v>
      </c>
      <c r="I133" s="154" t="s">
        <v>33</v>
      </c>
      <c r="J133" s="154"/>
      <c r="K133" s="154"/>
      <c r="L133" s="148" t="s">
        <v>4</v>
      </c>
      <c r="M133" s="154" t="s">
        <v>33</v>
      </c>
      <c r="N133" s="146"/>
      <c r="O133" s="146"/>
    </row>
    <row r="134" spans="1:15" s="3" customFormat="1" ht="15.75" x14ac:dyDescent="0.2">
      <c r="A134" s="14" t="s">
        <v>323</v>
      </c>
      <c r="B134" s="234"/>
      <c r="C134" s="307"/>
      <c r="D134" s="348"/>
      <c r="E134" s="11"/>
      <c r="F134" s="314"/>
      <c r="G134" s="315"/>
      <c r="H134" s="428"/>
      <c r="I134" s="23"/>
      <c r="J134" s="316"/>
      <c r="K134" s="316"/>
      <c r="L134" s="424"/>
      <c r="M134" s="11"/>
      <c r="N134" s="146"/>
      <c r="O134" s="146"/>
    </row>
    <row r="135" spans="1:15" s="3" customFormat="1" ht="15.75" x14ac:dyDescent="0.2">
      <c r="A135" s="13" t="s">
        <v>324</v>
      </c>
      <c r="B135" s="234"/>
      <c r="C135" s="307"/>
      <c r="D135" s="169"/>
      <c r="E135" s="11"/>
      <c r="F135" s="234"/>
      <c r="G135" s="307"/>
      <c r="H135" s="429"/>
      <c r="I135" s="23"/>
      <c r="J135" s="306"/>
      <c r="K135" s="306"/>
      <c r="L135" s="425"/>
      <c r="M135" s="11"/>
      <c r="N135" s="146"/>
      <c r="O135" s="146"/>
    </row>
    <row r="136" spans="1:15" s="3" customFormat="1" ht="15.75" x14ac:dyDescent="0.2">
      <c r="A136" s="13" t="s">
        <v>325</v>
      </c>
      <c r="B136" s="234"/>
      <c r="C136" s="307"/>
      <c r="D136" s="169"/>
      <c r="E136" s="11"/>
      <c r="F136" s="234"/>
      <c r="G136" s="307"/>
      <c r="H136" s="429"/>
      <c r="I136" s="23"/>
      <c r="J136" s="306"/>
      <c r="K136" s="306"/>
      <c r="L136" s="425"/>
      <c r="M136" s="11"/>
      <c r="N136" s="146"/>
      <c r="O136" s="146"/>
    </row>
    <row r="137" spans="1:15" s="3" customFormat="1" ht="15.75" x14ac:dyDescent="0.2">
      <c r="A137" s="40" t="s">
        <v>326</v>
      </c>
      <c r="B137" s="274"/>
      <c r="C137" s="313"/>
      <c r="D137" s="167"/>
      <c r="E137" s="9"/>
      <c r="F137" s="274"/>
      <c r="G137" s="313"/>
      <c r="H137" s="430"/>
      <c r="I137" s="35"/>
      <c r="J137" s="312"/>
      <c r="K137" s="312"/>
      <c r="L137" s="426"/>
      <c r="M137" s="35"/>
      <c r="N137" s="146"/>
      <c r="O137" s="146"/>
    </row>
    <row r="138" spans="1:15" s="3" customFormat="1" x14ac:dyDescent="0.2">
      <c r="A138" s="166"/>
      <c r="B138" s="32"/>
      <c r="C138" s="32"/>
      <c r="D138" s="157"/>
      <c r="E138" s="157"/>
      <c r="F138" s="32"/>
      <c r="G138" s="32"/>
      <c r="H138" s="157"/>
      <c r="I138" s="157"/>
      <c r="J138" s="32"/>
      <c r="K138" s="32"/>
      <c r="L138" s="157"/>
      <c r="M138" s="157"/>
      <c r="N138" s="146"/>
      <c r="O138" s="146"/>
    </row>
    <row r="139" spans="1:15" x14ac:dyDescent="0.2">
      <c r="A139" s="166"/>
      <c r="B139" s="32"/>
      <c r="C139" s="32"/>
      <c r="D139" s="157"/>
      <c r="E139" s="157"/>
      <c r="F139" s="32"/>
      <c r="G139" s="32"/>
      <c r="H139" s="157"/>
      <c r="I139" s="157"/>
      <c r="J139" s="32"/>
      <c r="K139" s="32"/>
      <c r="L139" s="157"/>
      <c r="M139" s="157"/>
      <c r="N139" s="146"/>
    </row>
    <row r="140" spans="1:15" x14ac:dyDescent="0.2">
      <c r="A140" s="166"/>
      <c r="B140" s="32"/>
      <c r="C140" s="32"/>
      <c r="D140" s="157"/>
      <c r="E140" s="157"/>
      <c r="F140" s="32"/>
      <c r="G140" s="32"/>
      <c r="H140" s="157"/>
      <c r="I140" s="157"/>
      <c r="J140" s="32"/>
      <c r="K140" s="32"/>
      <c r="L140" s="157"/>
      <c r="M140" s="157"/>
      <c r="N140" s="146"/>
    </row>
    <row r="141" spans="1:15" x14ac:dyDescent="0.2">
      <c r="A141" s="144"/>
      <c r="B141" s="144"/>
      <c r="C141" s="144"/>
      <c r="D141" s="144"/>
      <c r="E141" s="144"/>
      <c r="F141" s="144"/>
      <c r="G141" s="144"/>
      <c r="H141" s="144"/>
      <c r="I141" s="144"/>
      <c r="J141" s="144"/>
      <c r="K141" s="144"/>
      <c r="L141" s="144"/>
      <c r="M141" s="144"/>
      <c r="N141" s="144"/>
    </row>
    <row r="142" spans="1:15" ht="15.75" x14ac:dyDescent="0.25">
      <c r="B142" s="140"/>
      <c r="C142" s="140"/>
      <c r="D142" s="140"/>
      <c r="E142" s="140"/>
      <c r="F142" s="140"/>
      <c r="G142" s="140"/>
      <c r="H142" s="140"/>
      <c r="I142" s="140"/>
      <c r="J142" s="140"/>
      <c r="K142" s="140"/>
      <c r="L142" s="140"/>
      <c r="M142" s="140"/>
      <c r="N142" s="140"/>
    </row>
    <row r="143" spans="1:15" ht="15.75" x14ac:dyDescent="0.25">
      <c r="B143" s="155"/>
      <c r="C143" s="155"/>
      <c r="D143" s="155"/>
      <c r="E143" s="155"/>
      <c r="F143" s="155"/>
      <c r="G143" s="155"/>
      <c r="H143" s="155"/>
      <c r="I143" s="155"/>
      <c r="J143" s="155"/>
      <c r="K143" s="155"/>
      <c r="L143" s="155"/>
      <c r="M143" s="155"/>
      <c r="N143" s="155"/>
      <c r="O143" s="152"/>
    </row>
    <row r="144" spans="1:15" ht="15.75" x14ac:dyDescent="0.25">
      <c r="B144" s="155"/>
      <c r="C144" s="155"/>
      <c r="D144" s="155"/>
      <c r="E144" s="155"/>
      <c r="F144" s="155"/>
      <c r="G144" s="155"/>
      <c r="H144" s="155"/>
      <c r="I144" s="155"/>
      <c r="J144" s="155"/>
      <c r="K144" s="155"/>
      <c r="L144" s="155"/>
      <c r="M144" s="155"/>
      <c r="N144" s="155"/>
      <c r="O144" s="152"/>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245" priority="132">
      <formula>kvartal &lt; 4</formula>
    </cfRule>
  </conditionalFormatting>
  <conditionalFormatting sqref="B30">
    <cfRule type="expression" dxfId="244" priority="130">
      <formula>kvartal &lt; 4</formula>
    </cfRule>
  </conditionalFormatting>
  <conditionalFormatting sqref="B31">
    <cfRule type="expression" dxfId="243" priority="129">
      <formula>kvartal &lt; 4</formula>
    </cfRule>
  </conditionalFormatting>
  <conditionalFormatting sqref="B32:B33">
    <cfRule type="expression" dxfId="242" priority="128">
      <formula>kvartal &lt; 4</formula>
    </cfRule>
  </conditionalFormatting>
  <conditionalFormatting sqref="C30">
    <cfRule type="expression" dxfId="241" priority="127">
      <formula>kvartal &lt; 4</formula>
    </cfRule>
  </conditionalFormatting>
  <conditionalFormatting sqref="C31">
    <cfRule type="expression" dxfId="240" priority="126">
      <formula>kvartal &lt; 4</formula>
    </cfRule>
  </conditionalFormatting>
  <conditionalFormatting sqref="C32:C33">
    <cfRule type="expression" dxfId="239" priority="125">
      <formula>kvartal &lt; 4</formula>
    </cfRule>
  </conditionalFormatting>
  <conditionalFormatting sqref="B23:C26">
    <cfRule type="expression" dxfId="238" priority="124">
      <formula>kvartal &lt; 4</formula>
    </cfRule>
  </conditionalFormatting>
  <conditionalFormatting sqref="F23:G26">
    <cfRule type="expression" dxfId="237" priority="120">
      <formula>kvartal &lt; 4</formula>
    </cfRule>
  </conditionalFormatting>
  <conditionalFormatting sqref="F30">
    <cfRule type="expression" dxfId="236" priority="113">
      <formula>kvartal &lt; 4</formula>
    </cfRule>
  </conditionalFormatting>
  <conditionalFormatting sqref="F31">
    <cfRule type="expression" dxfId="235" priority="112">
      <formula>kvartal &lt; 4</formula>
    </cfRule>
  </conditionalFormatting>
  <conditionalFormatting sqref="F32:F33">
    <cfRule type="expression" dxfId="234" priority="111">
      <formula>kvartal &lt; 4</formula>
    </cfRule>
  </conditionalFormatting>
  <conditionalFormatting sqref="G30">
    <cfRule type="expression" dxfId="233" priority="110">
      <formula>kvartal &lt; 4</formula>
    </cfRule>
  </conditionalFormatting>
  <conditionalFormatting sqref="G31">
    <cfRule type="expression" dxfId="232" priority="109">
      <formula>kvartal &lt; 4</formula>
    </cfRule>
  </conditionalFormatting>
  <conditionalFormatting sqref="G32:G33">
    <cfRule type="expression" dxfId="231" priority="108">
      <formula>kvartal &lt; 4</formula>
    </cfRule>
  </conditionalFormatting>
  <conditionalFormatting sqref="B27">
    <cfRule type="expression" dxfId="230" priority="107">
      <formula>kvartal &lt; 4</formula>
    </cfRule>
  </conditionalFormatting>
  <conditionalFormatting sqref="C27">
    <cfRule type="expression" dxfId="229" priority="106">
      <formula>kvartal &lt; 4</formula>
    </cfRule>
  </conditionalFormatting>
  <conditionalFormatting sqref="F27">
    <cfRule type="expression" dxfId="228" priority="105">
      <formula>kvartal &lt; 4</formula>
    </cfRule>
  </conditionalFormatting>
  <conditionalFormatting sqref="G27">
    <cfRule type="expression" dxfId="227" priority="104">
      <formula>kvartal &lt; 4</formula>
    </cfRule>
  </conditionalFormatting>
  <conditionalFormatting sqref="J23:K27">
    <cfRule type="expression" dxfId="226" priority="103">
      <formula>kvartal &lt; 4</formula>
    </cfRule>
  </conditionalFormatting>
  <conditionalFormatting sqref="J30:K33">
    <cfRule type="expression" dxfId="225" priority="101">
      <formula>kvartal &lt; 4</formula>
    </cfRule>
  </conditionalFormatting>
  <conditionalFormatting sqref="B69">
    <cfRule type="expression" dxfId="224" priority="100">
      <formula>kvartal &lt; 4</formula>
    </cfRule>
  </conditionalFormatting>
  <conditionalFormatting sqref="C69">
    <cfRule type="expression" dxfId="223" priority="99">
      <formula>kvartal &lt; 4</formula>
    </cfRule>
  </conditionalFormatting>
  <conditionalFormatting sqref="B72">
    <cfRule type="expression" dxfId="222" priority="98">
      <formula>kvartal &lt; 4</formula>
    </cfRule>
  </conditionalFormatting>
  <conditionalFormatting sqref="C72">
    <cfRule type="expression" dxfId="221" priority="97">
      <formula>kvartal &lt; 4</formula>
    </cfRule>
  </conditionalFormatting>
  <conditionalFormatting sqref="B80">
    <cfRule type="expression" dxfId="220" priority="96">
      <formula>kvartal &lt; 4</formula>
    </cfRule>
  </conditionalFormatting>
  <conditionalFormatting sqref="C80">
    <cfRule type="expression" dxfId="219" priority="95">
      <formula>kvartal &lt; 4</formula>
    </cfRule>
  </conditionalFormatting>
  <conditionalFormatting sqref="B83">
    <cfRule type="expression" dxfId="218" priority="94">
      <formula>kvartal &lt; 4</formula>
    </cfRule>
  </conditionalFormatting>
  <conditionalFormatting sqref="C83">
    <cfRule type="expression" dxfId="217" priority="93">
      <formula>kvartal &lt; 4</formula>
    </cfRule>
  </conditionalFormatting>
  <conditionalFormatting sqref="B90">
    <cfRule type="expression" dxfId="216" priority="84">
      <formula>kvartal &lt; 4</formula>
    </cfRule>
  </conditionalFormatting>
  <conditionalFormatting sqref="C90">
    <cfRule type="expression" dxfId="215" priority="83">
      <formula>kvartal &lt; 4</formula>
    </cfRule>
  </conditionalFormatting>
  <conditionalFormatting sqref="B93">
    <cfRule type="expression" dxfId="214" priority="82">
      <formula>kvartal &lt; 4</formula>
    </cfRule>
  </conditionalFormatting>
  <conditionalFormatting sqref="C93">
    <cfRule type="expression" dxfId="213" priority="81">
      <formula>kvartal &lt; 4</formula>
    </cfRule>
  </conditionalFormatting>
  <conditionalFormatting sqref="B101">
    <cfRule type="expression" dxfId="212" priority="80">
      <formula>kvartal &lt; 4</formula>
    </cfRule>
  </conditionalFormatting>
  <conditionalFormatting sqref="C101">
    <cfRule type="expression" dxfId="211" priority="79">
      <formula>kvartal &lt; 4</formula>
    </cfRule>
  </conditionalFormatting>
  <conditionalFormatting sqref="B104">
    <cfRule type="expression" dxfId="210" priority="78">
      <formula>kvartal &lt; 4</formula>
    </cfRule>
  </conditionalFormatting>
  <conditionalFormatting sqref="C104">
    <cfRule type="expression" dxfId="209" priority="77">
      <formula>kvartal &lt; 4</formula>
    </cfRule>
  </conditionalFormatting>
  <conditionalFormatting sqref="B115">
    <cfRule type="expression" dxfId="208" priority="76">
      <formula>kvartal &lt; 4</formula>
    </cfRule>
  </conditionalFormatting>
  <conditionalFormatting sqref="C115">
    <cfRule type="expression" dxfId="207" priority="75">
      <formula>kvartal &lt; 4</formula>
    </cfRule>
  </conditionalFormatting>
  <conditionalFormatting sqref="B123">
    <cfRule type="expression" dxfId="206" priority="74">
      <formula>kvartal &lt; 4</formula>
    </cfRule>
  </conditionalFormatting>
  <conditionalFormatting sqref="C123">
    <cfRule type="expression" dxfId="205" priority="73">
      <formula>kvartal &lt; 4</formula>
    </cfRule>
  </conditionalFormatting>
  <conditionalFormatting sqref="F70">
    <cfRule type="expression" dxfId="204" priority="72">
      <formula>kvartal &lt; 4</formula>
    </cfRule>
  </conditionalFormatting>
  <conditionalFormatting sqref="G70">
    <cfRule type="expression" dxfId="203" priority="71">
      <formula>kvartal &lt; 4</formula>
    </cfRule>
  </conditionalFormatting>
  <conditionalFormatting sqref="F71:G71">
    <cfRule type="expression" dxfId="202" priority="70">
      <formula>kvartal &lt; 4</formula>
    </cfRule>
  </conditionalFormatting>
  <conditionalFormatting sqref="F73:G74">
    <cfRule type="expression" dxfId="201" priority="69">
      <formula>kvartal &lt; 4</formula>
    </cfRule>
  </conditionalFormatting>
  <conditionalFormatting sqref="F81:G82">
    <cfRule type="expression" dxfId="200" priority="68">
      <formula>kvartal &lt; 4</formula>
    </cfRule>
  </conditionalFormatting>
  <conditionalFormatting sqref="F84:G85">
    <cfRule type="expression" dxfId="199" priority="67">
      <formula>kvartal &lt; 4</formula>
    </cfRule>
  </conditionalFormatting>
  <conditionalFormatting sqref="F91:G92">
    <cfRule type="expression" dxfId="198" priority="62">
      <formula>kvartal &lt; 4</formula>
    </cfRule>
  </conditionalFormatting>
  <conditionalFormatting sqref="F94:G95">
    <cfRule type="expression" dxfId="197" priority="61">
      <formula>kvartal &lt; 4</formula>
    </cfRule>
  </conditionalFormatting>
  <conditionalFormatting sqref="F102:G103">
    <cfRule type="expression" dxfId="196" priority="60">
      <formula>kvartal &lt; 4</formula>
    </cfRule>
  </conditionalFormatting>
  <conditionalFormatting sqref="F105:G106">
    <cfRule type="expression" dxfId="195" priority="59">
      <formula>kvartal &lt; 4</formula>
    </cfRule>
  </conditionalFormatting>
  <conditionalFormatting sqref="F115">
    <cfRule type="expression" dxfId="194" priority="58">
      <formula>kvartal &lt; 4</formula>
    </cfRule>
  </conditionalFormatting>
  <conditionalFormatting sqref="G115">
    <cfRule type="expression" dxfId="193" priority="57">
      <formula>kvartal &lt; 4</formula>
    </cfRule>
  </conditionalFormatting>
  <conditionalFormatting sqref="F123:G123">
    <cfRule type="expression" dxfId="192" priority="56">
      <formula>kvartal &lt; 4</formula>
    </cfRule>
  </conditionalFormatting>
  <conditionalFormatting sqref="F69:G69">
    <cfRule type="expression" dxfId="191" priority="55">
      <formula>kvartal &lt; 4</formula>
    </cfRule>
  </conditionalFormatting>
  <conditionalFormatting sqref="F72:G72">
    <cfRule type="expression" dxfId="190" priority="54">
      <formula>kvartal &lt; 4</formula>
    </cfRule>
  </conditionalFormatting>
  <conditionalFormatting sqref="F80:G80">
    <cfRule type="expression" dxfId="189" priority="53">
      <formula>kvartal &lt; 4</formula>
    </cfRule>
  </conditionalFormatting>
  <conditionalFormatting sqref="F83:G83">
    <cfRule type="expression" dxfId="188" priority="52">
      <formula>kvartal &lt; 4</formula>
    </cfRule>
  </conditionalFormatting>
  <conditionalFormatting sqref="F90:G90">
    <cfRule type="expression" dxfId="187" priority="46">
      <formula>kvartal &lt; 4</formula>
    </cfRule>
  </conditionalFormatting>
  <conditionalFormatting sqref="F93">
    <cfRule type="expression" dxfId="186" priority="45">
      <formula>kvartal &lt; 4</formula>
    </cfRule>
  </conditionalFormatting>
  <conditionalFormatting sqref="G93">
    <cfRule type="expression" dxfId="185" priority="44">
      <formula>kvartal &lt; 4</formula>
    </cfRule>
  </conditionalFormatting>
  <conditionalFormatting sqref="F101">
    <cfRule type="expression" dxfId="184" priority="43">
      <formula>kvartal &lt; 4</formula>
    </cfRule>
  </conditionalFormatting>
  <conditionalFormatting sqref="G101">
    <cfRule type="expression" dxfId="183" priority="42">
      <formula>kvartal &lt; 4</formula>
    </cfRule>
  </conditionalFormatting>
  <conditionalFormatting sqref="G104">
    <cfRule type="expression" dxfId="182" priority="41">
      <formula>kvartal &lt; 4</formula>
    </cfRule>
  </conditionalFormatting>
  <conditionalFormatting sqref="F104">
    <cfRule type="expression" dxfId="181" priority="40">
      <formula>kvartal &lt; 4</formula>
    </cfRule>
  </conditionalFormatting>
  <conditionalFormatting sqref="J69:K73">
    <cfRule type="expression" dxfId="180" priority="39">
      <formula>kvartal &lt; 4</formula>
    </cfRule>
  </conditionalFormatting>
  <conditionalFormatting sqref="J74:K74">
    <cfRule type="expression" dxfId="179" priority="38">
      <formula>kvartal &lt; 4</formula>
    </cfRule>
  </conditionalFormatting>
  <conditionalFormatting sqref="J80:K85">
    <cfRule type="expression" dxfId="178" priority="37">
      <formula>kvartal &lt; 4</formula>
    </cfRule>
  </conditionalFormatting>
  <conditionalFormatting sqref="J90:K95">
    <cfRule type="expression" dxfId="177" priority="34">
      <formula>kvartal &lt; 4</formula>
    </cfRule>
  </conditionalFormatting>
  <conditionalFormatting sqref="J101:K106">
    <cfRule type="expression" dxfId="176" priority="33">
      <formula>kvartal &lt; 4</formula>
    </cfRule>
  </conditionalFormatting>
  <conditionalFormatting sqref="J115:K115">
    <cfRule type="expression" dxfId="175" priority="32">
      <formula>kvartal &lt; 4</formula>
    </cfRule>
  </conditionalFormatting>
  <conditionalFormatting sqref="J123:K123">
    <cfRule type="expression" dxfId="174" priority="31">
      <formula>kvartal &lt; 4</formula>
    </cfRule>
  </conditionalFormatting>
  <conditionalFormatting sqref="A23:A26">
    <cfRule type="expression" dxfId="173" priority="15">
      <formula>kvartal &lt; 4</formula>
    </cfRule>
  </conditionalFormatting>
  <conditionalFormatting sqref="A30:A33">
    <cfRule type="expression" dxfId="172" priority="13">
      <formula>kvartal &lt; 4</formula>
    </cfRule>
  </conditionalFormatting>
  <conditionalFormatting sqref="A50:A52">
    <cfRule type="expression" dxfId="171" priority="12">
      <formula>kvartal &lt; 4</formula>
    </cfRule>
  </conditionalFormatting>
  <conditionalFormatting sqref="A69:A74">
    <cfRule type="expression" dxfId="170" priority="10">
      <formula>kvartal &lt; 4</formula>
    </cfRule>
  </conditionalFormatting>
  <conditionalFormatting sqref="A80:A85">
    <cfRule type="expression" dxfId="169" priority="9">
      <formula>kvartal &lt; 4</formula>
    </cfRule>
  </conditionalFormatting>
  <conditionalFormatting sqref="A90:A95">
    <cfRule type="expression" dxfId="168" priority="6">
      <formula>kvartal &lt; 4</formula>
    </cfRule>
  </conditionalFormatting>
  <conditionalFormatting sqref="A101:A106">
    <cfRule type="expression" dxfId="167" priority="5">
      <formula>kvartal &lt; 4</formula>
    </cfRule>
  </conditionalFormatting>
  <conditionalFormatting sqref="A115">
    <cfRule type="expression" dxfId="166" priority="4">
      <formula>kvartal &lt; 4</formula>
    </cfRule>
  </conditionalFormatting>
  <conditionalFormatting sqref="A123">
    <cfRule type="expression" dxfId="165" priority="3">
      <formula>kvartal &lt; 4</formula>
    </cfRule>
  </conditionalFormatting>
  <conditionalFormatting sqref="A27">
    <cfRule type="expression" dxfId="164" priority="2">
      <formula>kvartal &lt; 4</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Q180"/>
  <sheetViews>
    <sheetView showGridLines="0" showZeros="0" zoomScale="90" zoomScaleNormal="90" workbookViewId="0">
      <selection activeCell="A4" sqref="A4"/>
    </sheetView>
  </sheetViews>
  <sheetFormatPr baseColWidth="10" defaultColWidth="11.42578125" defaultRowHeight="18.75" x14ac:dyDescent="0.3"/>
  <cols>
    <col min="10" max="11" width="16.7109375" customWidth="1"/>
    <col min="12" max="12" width="20.7109375" style="73" customWidth="1"/>
    <col min="13" max="14" width="15.85546875" style="73" bestFit="1" customWidth="1"/>
    <col min="15" max="15" width="22.85546875" customWidth="1"/>
    <col min="16" max="16" width="13.42578125" customWidth="1"/>
    <col min="17" max="17" width="13.85546875" customWidth="1"/>
  </cols>
  <sheetData>
    <row r="1" spans="1:15" x14ac:dyDescent="0.3">
      <c r="A1" s="72" t="s">
        <v>55</v>
      </c>
    </row>
    <row r="2" spans="1:15" x14ac:dyDescent="0.3">
      <c r="A2" s="74"/>
      <c r="B2" s="73"/>
      <c r="C2" s="73"/>
      <c r="D2" s="73"/>
      <c r="E2" s="73"/>
      <c r="F2" s="73"/>
      <c r="G2" s="73"/>
      <c r="H2" s="73"/>
      <c r="I2" s="73"/>
      <c r="J2" s="73"/>
      <c r="K2" s="73"/>
      <c r="O2" s="73"/>
    </row>
    <row r="3" spans="1:15" x14ac:dyDescent="0.3">
      <c r="A3" s="74" t="s">
        <v>35</v>
      </c>
      <c r="B3" s="73"/>
      <c r="C3" s="73"/>
      <c r="D3" s="73"/>
      <c r="E3" s="73"/>
      <c r="F3" s="73"/>
      <c r="G3" s="73"/>
      <c r="H3" s="73"/>
      <c r="I3" s="73"/>
      <c r="J3" s="73"/>
      <c r="K3" s="73"/>
      <c r="O3" s="73"/>
    </row>
    <row r="4" spans="1:15" x14ac:dyDescent="0.3">
      <c r="A4" s="73"/>
      <c r="B4" s="73"/>
      <c r="C4" s="73"/>
      <c r="D4" s="73"/>
      <c r="E4" s="73"/>
      <c r="F4" s="73"/>
      <c r="G4" s="73"/>
      <c r="H4" s="73"/>
      <c r="I4" s="73"/>
      <c r="J4" s="73"/>
      <c r="K4" s="73"/>
      <c r="L4" s="75"/>
      <c r="O4" s="73"/>
    </row>
    <row r="5" spans="1:15" x14ac:dyDescent="0.3">
      <c r="A5" s="74" t="s">
        <v>408</v>
      </c>
      <c r="B5" s="73"/>
      <c r="C5" s="73"/>
      <c r="D5" s="73"/>
      <c r="E5" s="73"/>
      <c r="F5" s="73"/>
      <c r="G5" s="73"/>
      <c r="H5" s="73"/>
      <c r="I5" s="78"/>
      <c r="J5" s="73"/>
      <c r="K5" s="73"/>
      <c r="O5" s="73"/>
    </row>
    <row r="6" spans="1:15" x14ac:dyDescent="0.3">
      <c r="A6" s="73"/>
      <c r="B6" s="73"/>
      <c r="C6" s="73"/>
      <c r="D6" s="73"/>
      <c r="E6" s="73"/>
      <c r="F6" s="73"/>
      <c r="G6" s="73"/>
      <c r="H6" s="73"/>
      <c r="I6" s="73"/>
      <c r="J6" s="73"/>
      <c r="K6" s="73"/>
      <c r="L6" s="73" t="s">
        <v>56</v>
      </c>
      <c r="O6" s="73"/>
    </row>
    <row r="7" spans="1:15" x14ac:dyDescent="0.3">
      <c r="A7" s="73"/>
      <c r="B7" s="73"/>
      <c r="C7" s="73"/>
      <c r="D7" s="73"/>
      <c r="E7" s="73"/>
      <c r="F7" s="73"/>
      <c r="G7" s="73"/>
      <c r="H7" s="73"/>
      <c r="I7" s="73"/>
      <c r="J7" s="73"/>
      <c r="K7" s="73"/>
      <c r="L7" s="73" t="s">
        <v>0</v>
      </c>
      <c r="O7" s="73"/>
    </row>
    <row r="8" spans="1:15" x14ac:dyDescent="0.3">
      <c r="A8" s="73"/>
      <c r="B8" s="73"/>
      <c r="C8" s="73"/>
      <c r="D8" s="73"/>
      <c r="E8" s="73"/>
      <c r="F8" s="73"/>
      <c r="G8" s="73"/>
      <c r="H8" s="73"/>
      <c r="I8" s="73"/>
      <c r="J8" s="73"/>
      <c r="K8" s="73"/>
      <c r="M8" s="73">
        <v>2016</v>
      </c>
      <c r="N8" s="73">
        <v>2017</v>
      </c>
      <c r="O8" s="73"/>
    </row>
    <row r="9" spans="1:15" x14ac:dyDescent="0.3">
      <c r="A9" s="73"/>
      <c r="B9" s="73"/>
      <c r="C9" s="73"/>
      <c r="D9" s="73"/>
      <c r="E9" s="73"/>
      <c r="F9" s="73"/>
      <c r="G9" s="73"/>
      <c r="H9" s="73"/>
      <c r="I9" s="73"/>
      <c r="J9" s="73"/>
      <c r="K9" s="73"/>
      <c r="L9" s="73" t="s">
        <v>57</v>
      </c>
      <c r="M9" s="76">
        <f>'Tabel 1.1'!B9</f>
        <v>0</v>
      </c>
      <c r="N9" s="76">
        <f>'Tabel 1.1'!C9</f>
        <v>0</v>
      </c>
      <c r="O9" s="73"/>
    </row>
    <row r="10" spans="1:15" x14ac:dyDescent="0.3">
      <c r="A10" s="73"/>
      <c r="B10" s="73"/>
      <c r="C10" s="73"/>
      <c r="D10" s="73"/>
      <c r="E10" s="73"/>
      <c r="F10" s="73"/>
      <c r="G10" s="73"/>
      <c r="H10" s="73"/>
      <c r="I10" s="73"/>
      <c r="J10" s="73"/>
      <c r="K10" s="73"/>
      <c r="L10" s="73" t="s">
        <v>58</v>
      </c>
      <c r="M10" s="76">
        <f>'Tabel 1.1'!B10</f>
        <v>392275.23300000001</v>
      </c>
      <c r="N10" s="76">
        <f>'Tabel 1.1'!C10</f>
        <v>397773.34500000003</v>
      </c>
      <c r="O10" s="73"/>
    </row>
    <row r="11" spans="1:15" x14ac:dyDescent="0.3">
      <c r="A11" s="73"/>
      <c r="B11" s="73"/>
      <c r="C11" s="73"/>
      <c r="D11" s="73"/>
      <c r="E11" s="73"/>
      <c r="F11" s="73"/>
      <c r="G11" s="73"/>
      <c r="H11" s="73"/>
      <c r="I11" s="73"/>
      <c r="J11" s="73"/>
      <c r="K11" s="73"/>
      <c r="L11" s="73" t="s">
        <v>59</v>
      </c>
      <c r="M11" s="76">
        <f>'Tabel 1.1'!B11</f>
        <v>6354769</v>
      </c>
      <c r="N11" s="76">
        <f>'Tabel 1.1'!C11</f>
        <v>4920017.8059999999</v>
      </c>
      <c r="O11" s="73"/>
    </row>
    <row r="12" spans="1:15" x14ac:dyDescent="0.3">
      <c r="A12" s="73"/>
      <c r="B12" s="73"/>
      <c r="C12" s="73"/>
      <c r="D12" s="73"/>
      <c r="E12" s="73"/>
      <c r="F12" s="73"/>
      <c r="G12" s="73"/>
      <c r="H12" s="73"/>
      <c r="I12" s="73"/>
      <c r="J12" s="73"/>
      <c r="K12" s="73"/>
      <c r="L12" s="73" t="s">
        <v>60</v>
      </c>
      <c r="M12" s="76">
        <f>'Tabel 1.1'!B12</f>
        <v>351394</v>
      </c>
      <c r="N12" s="76">
        <f>'Tabel 1.1'!C12</f>
        <v>267318</v>
      </c>
      <c r="O12" s="73"/>
    </row>
    <row r="13" spans="1:15" x14ac:dyDescent="0.3">
      <c r="A13" s="73"/>
      <c r="B13" s="73"/>
      <c r="C13" s="73"/>
      <c r="D13" s="73"/>
      <c r="E13" s="73"/>
      <c r="F13" s="73"/>
      <c r="G13" s="73"/>
      <c r="H13" s="73"/>
      <c r="I13" s="73"/>
      <c r="J13" s="73"/>
      <c r="K13" s="73"/>
      <c r="L13" s="73" t="s">
        <v>61</v>
      </c>
      <c r="M13" s="76">
        <f>'Tabel 1.1'!B13</f>
        <v>452991</v>
      </c>
      <c r="N13" s="76">
        <f>'Tabel 1.1'!C13</f>
        <v>494692.29999999993</v>
      </c>
      <c r="O13" s="73"/>
    </row>
    <row r="14" spans="1:15" x14ac:dyDescent="0.3">
      <c r="A14" s="73"/>
      <c r="B14" s="73"/>
      <c r="C14" s="73"/>
      <c r="D14" s="73"/>
      <c r="E14" s="73"/>
      <c r="F14" s="73"/>
      <c r="G14" s="73"/>
      <c r="H14" s="73"/>
      <c r="I14" s="73"/>
      <c r="J14" s="73"/>
      <c r="K14" s="73"/>
      <c r="L14" s="73" t="s">
        <v>62</v>
      </c>
      <c r="M14" s="76">
        <f>'Tabel 1.1'!B14</f>
        <v>4460</v>
      </c>
      <c r="N14" s="76">
        <f>'Tabel 1.1'!C14</f>
        <v>5631</v>
      </c>
      <c r="O14" s="73"/>
    </row>
    <row r="15" spans="1:15" x14ac:dyDescent="0.3">
      <c r="A15" s="73"/>
      <c r="B15" s="73"/>
      <c r="C15" s="73"/>
      <c r="D15" s="73"/>
      <c r="E15" s="73"/>
      <c r="F15" s="73"/>
      <c r="G15" s="73"/>
      <c r="H15" s="73"/>
      <c r="I15" s="73"/>
      <c r="J15" s="73"/>
      <c r="K15" s="73"/>
      <c r="L15" s="73" t="s">
        <v>63</v>
      </c>
      <c r="M15" s="76">
        <f>'Tabel 1.1'!B15</f>
        <v>1537000</v>
      </c>
      <c r="N15" s="76">
        <f>'Tabel 1.1'!C15</f>
        <v>1528867</v>
      </c>
      <c r="O15" s="73"/>
    </row>
    <row r="16" spans="1:15" x14ac:dyDescent="0.3">
      <c r="A16" s="73"/>
      <c r="B16" s="73"/>
      <c r="C16" s="73"/>
      <c r="D16" s="73"/>
      <c r="E16" s="73"/>
      <c r="F16" s="73"/>
      <c r="G16" s="73"/>
      <c r="H16" s="73"/>
      <c r="I16" s="73"/>
      <c r="J16" s="73"/>
      <c r="K16" s="73"/>
      <c r="L16" s="73" t="s">
        <v>64</v>
      </c>
      <c r="M16" s="76">
        <f>'Tabel 1.1'!B16</f>
        <v>459333</v>
      </c>
      <c r="N16" s="76">
        <f>'Tabel 1.1'!C16</f>
        <v>523633</v>
      </c>
      <c r="O16" s="73"/>
    </row>
    <row r="17" spans="1:15" x14ac:dyDescent="0.3">
      <c r="A17" s="73"/>
      <c r="B17" s="73"/>
      <c r="C17" s="73"/>
      <c r="D17" s="73"/>
      <c r="E17" s="73"/>
      <c r="F17" s="73"/>
      <c r="G17" s="73"/>
      <c r="H17" s="73"/>
      <c r="I17" s="73"/>
      <c r="J17" s="73"/>
      <c r="K17" s="73"/>
      <c r="L17" s="73" t="s">
        <v>65</v>
      </c>
      <c r="M17" s="76">
        <f>'Tabel 1.1'!B17</f>
        <v>38617</v>
      </c>
      <c r="N17" s="76">
        <f>'Tabel 1.1'!C17</f>
        <v>37362</v>
      </c>
      <c r="O17" s="73"/>
    </row>
    <row r="18" spans="1:15" x14ac:dyDescent="0.3">
      <c r="A18" s="73"/>
      <c r="B18" s="73"/>
      <c r="C18" s="73"/>
      <c r="D18" s="73"/>
      <c r="E18" s="73"/>
      <c r="F18" s="73"/>
      <c r="G18" s="73"/>
      <c r="H18" s="73"/>
      <c r="I18" s="73"/>
      <c r="J18" s="73"/>
      <c r="K18" s="73"/>
      <c r="L18" s="73" t="s">
        <v>66</v>
      </c>
      <c r="M18" s="76">
        <f>'Tabel 1.1'!B18</f>
        <v>414284.755</v>
      </c>
      <c r="N18" s="76">
        <f>'Tabel 1.1'!C18</f>
        <v>436905</v>
      </c>
      <c r="O18" s="73"/>
    </row>
    <row r="19" spans="1:15" x14ac:dyDescent="0.3">
      <c r="A19" s="73"/>
      <c r="B19" s="73"/>
      <c r="C19" s="73"/>
      <c r="D19" s="73"/>
      <c r="E19" s="73"/>
      <c r="F19" s="73"/>
      <c r="G19" s="73"/>
      <c r="H19" s="73"/>
      <c r="I19" s="73"/>
      <c r="J19" s="73"/>
      <c r="K19" s="73"/>
      <c r="L19" s="73" t="s">
        <v>67</v>
      </c>
      <c r="M19" s="76">
        <f>'Tabel 1.1'!B19</f>
        <v>33472682.388949998</v>
      </c>
      <c r="N19" s="76">
        <f>'Tabel 1.1'!C19</f>
        <v>31992253.779960003</v>
      </c>
      <c r="O19" s="73"/>
    </row>
    <row r="20" spans="1:15" x14ac:dyDescent="0.3">
      <c r="A20" s="73"/>
      <c r="B20" s="73"/>
      <c r="C20" s="73"/>
      <c r="D20" s="73"/>
      <c r="E20" s="73"/>
      <c r="F20" s="73"/>
      <c r="G20" s="73"/>
      <c r="H20" s="73"/>
      <c r="I20" s="73"/>
      <c r="J20" s="73"/>
      <c r="K20" s="73"/>
      <c r="L20" s="73" t="s">
        <v>68</v>
      </c>
      <c r="M20" s="76">
        <f>'Tabel 1.1'!B20</f>
        <v>115325</v>
      </c>
      <c r="N20" s="76">
        <f>'Tabel 1.1'!C20</f>
        <v>97233</v>
      </c>
      <c r="O20" s="73"/>
    </row>
    <row r="21" spans="1:15" x14ac:dyDescent="0.3">
      <c r="A21" s="73"/>
      <c r="B21" s="73"/>
      <c r="C21" s="73"/>
      <c r="D21" s="73"/>
      <c r="E21" s="73"/>
      <c r="F21" s="73"/>
      <c r="G21" s="73"/>
      <c r="H21" s="73"/>
      <c r="I21" s="73"/>
      <c r="J21" s="73"/>
      <c r="K21" s="73"/>
      <c r="L21" s="73" t="s">
        <v>69</v>
      </c>
      <c r="M21" s="76">
        <f>'Tabel 1.1'!B21</f>
        <v>135344</v>
      </c>
      <c r="N21" s="76">
        <f>'Tabel 1.1'!C21</f>
        <v>142740</v>
      </c>
      <c r="O21" s="73"/>
    </row>
    <row r="22" spans="1:15" x14ac:dyDescent="0.3">
      <c r="A22" s="73"/>
      <c r="B22" s="73"/>
      <c r="C22" s="73"/>
      <c r="D22" s="73"/>
      <c r="E22" s="73"/>
      <c r="F22" s="73"/>
      <c r="G22" s="73"/>
      <c r="H22" s="73"/>
      <c r="I22" s="73"/>
      <c r="J22" s="73"/>
      <c r="K22" s="73"/>
      <c r="L22" s="73" t="s">
        <v>70</v>
      </c>
      <c r="M22" s="76">
        <f>'Tabel 1.1'!B22</f>
        <v>25735</v>
      </c>
      <c r="N22" s="76">
        <f>'Tabel 1.1'!C22</f>
        <v>79056</v>
      </c>
      <c r="O22" s="73"/>
    </row>
    <row r="23" spans="1:15" x14ac:dyDescent="0.3">
      <c r="A23" s="73"/>
      <c r="B23" s="73"/>
      <c r="C23" s="73"/>
      <c r="D23" s="73"/>
      <c r="E23" s="73"/>
      <c r="F23" s="73"/>
      <c r="G23" s="73"/>
      <c r="H23" s="73"/>
      <c r="I23" s="73"/>
      <c r="J23" s="73"/>
      <c r="K23" s="73"/>
      <c r="L23" s="73" t="s">
        <v>71</v>
      </c>
      <c r="M23" s="76">
        <f>'Tabel 1.1'!B23</f>
        <v>2338</v>
      </c>
      <c r="N23" s="76">
        <f>'Tabel 1.1'!C23</f>
        <v>1147</v>
      </c>
      <c r="O23" s="73"/>
    </row>
    <row r="24" spans="1:15" x14ac:dyDescent="0.3">
      <c r="A24" s="73"/>
      <c r="B24" s="73"/>
      <c r="C24" s="73"/>
      <c r="D24" s="73"/>
      <c r="E24" s="73"/>
      <c r="F24" s="73"/>
      <c r="G24" s="73"/>
      <c r="H24" s="73"/>
      <c r="I24" s="73"/>
      <c r="J24" s="73"/>
      <c r="K24" s="73"/>
      <c r="L24" s="73" t="s">
        <v>72</v>
      </c>
      <c r="M24" s="76">
        <f>'Tabel 1.1'!B24</f>
        <v>2085502.9796573399</v>
      </c>
      <c r="N24" s="76">
        <f>'Tabel 1.1'!C24</f>
        <v>2180519.5885455562</v>
      </c>
      <c r="O24" s="73"/>
    </row>
    <row r="25" spans="1:15" x14ac:dyDescent="0.3">
      <c r="A25" s="73"/>
      <c r="B25" s="73"/>
      <c r="C25" s="73"/>
      <c r="D25" s="73"/>
      <c r="E25" s="73"/>
      <c r="F25" s="73"/>
      <c r="G25" s="73"/>
      <c r="H25" s="73"/>
      <c r="I25" s="73"/>
      <c r="J25" s="73"/>
      <c r="K25" s="73"/>
      <c r="L25" s="73" t="s">
        <v>73</v>
      </c>
      <c r="M25" s="76">
        <f>'Tabel 1.1'!B25</f>
        <v>4018088</v>
      </c>
      <c r="N25" s="76">
        <f>'Tabel 1.1'!C25</f>
        <v>4149293</v>
      </c>
      <c r="O25" s="73"/>
    </row>
    <row r="26" spans="1:15" x14ac:dyDescent="0.3">
      <c r="A26" s="73"/>
      <c r="B26" s="73"/>
      <c r="C26" s="73"/>
      <c r="D26" s="73"/>
      <c r="E26" s="73"/>
      <c r="F26" s="73"/>
      <c r="G26" s="73"/>
      <c r="H26" s="73"/>
      <c r="I26" s="73"/>
      <c r="J26" s="73"/>
      <c r="K26" s="73"/>
      <c r="L26" s="73" t="s">
        <v>74</v>
      </c>
      <c r="M26" s="76">
        <f>'Tabel 1.1'!B27</f>
        <v>2505584.0598300006</v>
      </c>
      <c r="N26" s="76">
        <f>'Tabel 1.1'!C27</f>
        <v>2772100.5251799999</v>
      </c>
      <c r="O26" s="73"/>
    </row>
    <row r="27" spans="1:15" x14ac:dyDescent="0.3">
      <c r="A27" s="73"/>
      <c r="B27" s="73"/>
      <c r="C27" s="73"/>
      <c r="D27" s="73"/>
      <c r="E27" s="73"/>
      <c r="F27" s="73"/>
      <c r="G27" s="73"/>
      <c r="H27" s="73"/>
      <c r="I27" s="73"/>
      <c r="J27" s="73"/>
      <c r="K27" s="73"/>
      <c r="L27" s="73" t="s">
        <v>75</v>
      </c>
      <c r="M27" s="76">
        <f>'Tabel 1.1'!B28</f>
        <v>6656214.8409999991</v>
      </c>
      <c r="N27" s="76">
        <f>'Tabel 1.1'!C28</f>
        <v>5689454.449</v>
      </c>
    </row>
    <row r="28" spans="1:15" x14ac:dyDescent="0.3">
      <c r="A28" s="73"/>
      <c r="B28" s="73"/>
      <c r="C28" s="73"/>
      <c r="D28" s="73"/>
      <c r="E28" s="73"/>
      <c r="F28" s="73"/>
      <c r="G28" s="73"/>
      <c r="H28" s="73"/>
      <c r="I28" s="73"/>
      <c r="J28" s="73"/>
      <c r="K28" s="73"/>
      <c r="L28" s="73" t="s">
        <v>76</v>
      </c>
      <c r="M28" s="76">
        <f>'Tabel 1.1'!B29</f>
        <v>25828</v>
      </c>
      <c r="N28" s="76">
        <f>'Tabel 1.1'!C29</f>
        <v>31971</v>
      </c>
    </row>
    <row r="29" spans="1:15" x14ac:dyDescent="0.3">
      <c r="A29" s="73"/>
      <c r="B29" s="73"/>
      <c r="C29" s="73"/>
      <c r="D29" s="73"/>
      <c r="E29" s="73"/>
      <c r="F29" s="73"/>
      <c r="G29" s="73"/>
      <c r="H29" s="73"/>
      <c r="I29" s="73"/>
      <c r="J29" s="73"/>
      <c r="K29" s="73"/>
      <c r="L29" s="73" t="s">
        <v>77</v>
      </c>
      <c r="M29" s="76">
        <f>'Tabel 1.1'!B30</f>
        <v>542694.08400000003</v>
      </c>
      <c r="N29" s="76">
        <f>'Tabel 1.1'!C30</f>
        <v>512595.94180000003</v>
      </c>
    </row>
    <row r="30" spans="1:15" x14ac:dyDescent="0.3">
      <c r="A30" s="74" t="s">
        <v>409</v>
      </c>
      <c r="B30" s="73"/>
      <c r="C30" s="73"/>
      <c r="D30" s="73"/>
      <c r="E30" s="73"/>
      <c r="F30" s="73"/>
      <c r="G30" s="73"/>
      <c r="H30" s="73"/>
      <c r="I30" s="78"/>
      <c r="J30" s="73"/>
      <c r="K30" s="73"/>
    </row>
    <row r="31" spans="1:15" x14ac:dyDescent="0.3">
      <c r="B31" s="73"/>
      <c r="C31" s="73"/>
      <c r="D31" s="73"/>
      <c r="E31" s="73"/>
      <c r="F31" s="73"/>
      <c r="G31" s="73"/>
      <c r="H31" s="73"/>
      <c r="I31" s="73"/>
      <c r="J31" s="73"/>
      <c r="K31" s="73"/>
    </row>
    <row r="32" spans="1:15" x14ac:dyDescent="0.3">
      <c r="B32" s="73"/>
      <c r="C32" s="73"/>
      <c r="D32" s="73"/>
      <c r="E32" s="73"/>
      <c r="F32" s="73"/>
      <c r="G32" s="73"/>
      <c r="H32" s="73"/>
      <c r="I32" s="73"/>
      <c r="J32" s="73"/>
      <c r="K32" s="73"/>
    </row>
    <row r="33" spans="1:15" x14ac:dyDescent="0.3">
      <c r="A33" s="73"/>
      <c r="B33" s="73"/>
      <c r="C33" s="73"/>
      <c r="D33" s="73"/>
      <c r="E33" s="73"/>
      <c r="F33" s="73"/>
      <c r="G33" s="73"/>
      <c r="H33" s="73"/>
      <c r="I33" s="73"/>
      <c r="J33" s="73"/>
      <c r="K33" s="73"/>
      <c r="L33" s="73" t="s">
        <v>56</v>
      </c>
    </row>
    <row r="34" spans="1:15" x14ac:dyDescent="0.3">
      <c r="A34" s="73"/>
      <c r="B34" s="73"/>
      <c r="C34" s="73"/>
      <c r="D34" s="73"/>
      <c r="E34" s="73"/>
      <c r="F34" s="73"/>
      <c r="G34" s="73"/>
      <c r="H34" s="73"/>
      <c r="I34" s="73"/>
      <c r="J34" s="73"/>
      <c r="K34" s="73"/>
      <c r="L34" s="73" t="s">
        <v>1</v>
      </c>
    </row>
    <row r="35" spans="1:15" x14ac:dyDescent="0.3">
      <c r="A35" s="73"/>
      <c r="B35" s="73"/>
      <c r="C35" s="73"/>
      <c r="D35" s="73"/>
      <c r="E35" s="73"/>
      <c r="F35" s="73"/>
      <c r="G35" s="73"/>
      <c r="H35" s="73"/>
      <c r="I35" s="73"/>
      <c r="J35" s="73"/>
      <c r="K35" s="73"/>
      <c r="M35" s="73">
        <v>2016</v>
      </c>
      <c r="N35" s="73">
        <v>2017</v>
      </c>
    </row>
    <row r="36" spans="1:15" x14ac:dyDescent="0.3">
      <c r="A36" s="73"/>
      <c r="B36" s="73"/>
      <c r="C36" s="73"/>
      <c r="D36" s="73"/>
      <c r="E36" s="73"/>
      <c r="F36" s="73"/>
      <c r="G36" s="73"/>
      <c r="H36" s="73"/>
      <c r="I36" s="73"/>
      <c r="J36" s="73"/>
      <c r="K36" s="73"/>
      <c r="L36" s="78" t="s">
        <v>58</v>
      </c>
      <c r="M36" s="77">
        <f>'Tabel 1.1'!B34</f>
        <v>1601249.9339999999</v>
      </c>
      <c r="N36" s="77">
        <f>'Tabel 1.1'!C34</f>
        <v>1774297.267</v>
      </c>
    </row>
    <row r="37" spans="1:15" x14ac:dyDescent="0.3">
      <c r="A37" s="73"/>
      <c r="B37" s="73"/>
      <c r="C37" s="73"/>
      <c r="D37" s="73"/>
      <c r="E37" s="73"/>
      <c r="F37" s="73"/>
      <c r="G37" s="73"/>
      <c r="H37" s="73"/>
      <c r="I37" s="73"/>
      <c r="J37" s="73"/>
      <c r="K37" s="73"/>
      <c r="L37" s="73" t="s">
        <v>59</v>
      </c>
      <c r="M37" s="77">
        <f>'Tabel 1.1'!B35</f>
        <v>7888720</v>
      </c>
      <c r="N37" s="77">
        <f>'Tabel 1.1'!C35</f>
        <v>8571932</v>
      </c>
    </row>
    <row r="38" spans="1:15" x14ac:dyDescent="0.3">
      <c r="A38" s="73"/>
      <c r="B38" s="73"/>
      <c r="C38" s="73"/>
      <c r="D38" s="73"/>
      <c r="E38" s="73"/>
      <c r="F38" s="73"/>
      <c r="G38" s="73"/>
      <c r="H38" s="73"/>
      <c r="I38" s="73"/>
      <c r="J38" s="73"/>
      <c r="K38" s="73"/>
      <c r="L38" s="73" t="s">
        <v>61</v>
      </c>
      <c r="M38" s="77">
        <f>'Tabel 1.1'!B36</f>
        <v>317316</v>
      </c>
      <c r="N38" s="77">
        <f>'Tabel 1.1'!C36</f>
        <v>368028</v>
      </c>
    </row>
    <row r="39" spans="1:15" x14ac:dyDescent="0.3">
      <c r="A39" s="73"/>
      <c r="B39" s="73"/>
      <c r="C39" s="73"/>
      <c r="D39" s="73"/>
      <c r="E39" s="73"/>
      <c r="F39" s="73"/>
      <c r="G39" s="73"/>
      <c r="H39" s="73"/>
      <c r="I39" s="73"/>
      <c r="J39" s="73"/>
      <c r="K39" s="73"/>
      <c r="L39" s="78" t="s">
        <v>64</v>
      </c>
      <c r="M39" s="77">
        <f>'Tabel 1.1'!B37</f>
        <v>2012747</v>
      </c>
      <c r="N39" s="77">
        <f>'Tabel 1.1'!C37</f>
        <v>2571137</v>
      </c>
    </row>
    <row r="40" spans="1:15" x14ac:dyDescent="0.3">
      <c r="A40" s="73"/>
      <c r="B40" s="73"/>
      <c r="C40" s="73"/>
      <c r="D40" s="73"/>
      <c r="E40" s="73"/>
      <c r="F40" s="73"/>
      <c r="G40" s="73"/>
      <c r="H40" s="73"/>
      <c r="I40" s="73"/>
      <c r="J40" s="73"/>
      <c r="K40" s="73"/>
      <c r="L40" s="73" t="s">
        <v>67</v>
      </c>
      <c r="M40" s="77">
        <f>'Tabel 1.1'!B38</f>
        <v>133629.31599999999</v>
      </c>
      <c r="N40" s="77">
        <f>'Tabel 1.1'!C38</f>
        <v>130226.34600000001</v>
      </c>
      <c r="O40" s="73"/>
    </row>
    <row r="41" spans="1:15" x14ac:dyDescent="0.3">
      <c r="A41" s="73"/>
      <c r="B41" s="73"/>
      <c r="C41" s="73"/>
      <c r="D41" s="73"/>
      <c r="E41" s="73"/>
      <c r="F41" s="73"/>
      <c r="G41" s="73"/>
      <c r="H41" s="73"/>
      <c r="I41" s="73"/>
      <c r="J41" s="73"/>
      <c r="K41" s="73"/>
      <c r="L41" s="78" t="s">
        <v>68</v>
      </c>
      <c r="M41" s="77">
        <f>'Tabel 1.1'!B39</f>
        <v>274248</v>
      </c>
      <c r="N41" s="77">
        <f>'Tabel 1.1'!C39</f>
        <v>356633</v>
      </c>
      <c r="O41" s="73"/>
    </row>
    <row r="42" spans="1:15" x14ac:dyDescent="0.3">
      <c r="A42" s="73"/>
      <c r="B42" s="73"/>
      <c r="C42" s="73"/>
      <c r="D42" s="73"/>
      <c r="E42" s="73"/>
      <c r="F42" s="73"/>
      <c r="G42" s="73"/>
      <c r="H42" s="73"/>
      <c r="I42" s="73"/>
      <c r="J42" s="73"/>
      <c r="K42" s="73"/>
      <c r="L42" s="78" t="s">
        <v>72</v>
      </c>
      <c r="M42" s="77">
        <f>'Tabel 1.1'!B40</f>
        <v>8569024.0165900029</v>
      </c>
      <c r="N42" s="77">
        <f>'Tabel 1.1'!C40</f>
        <v>9386463.9326900002</v>
      </c>
      <c r="O42" s="73"/>
    </row>
    <row r="43" spans="1:15" x14ac:dyDescent="0.3">
      <c r="A43" s="73"/>
      <c r="B43" s="73"/>
      <c r="C43" s="73"/>
      <c r="D43" s="73"/>
      <c r="E43" s="73"/>
      <c r="F43" s="73"/>
      <c r="G43" s="73"/>
      <c r="H43" s="73"/>
      <c r="I43" s="73"/>
      <c r="J43" s="73"/>
      <c r="K43" s="73"/>
      <c r="L43" s="78" t="s">
        <v>78</v>
      </c>
      <c r="M43" s="77">
        <f>'Tabel 1.1'!B41</f>
        <v>173110</v>
      </c>
      <c r="N43" s="77">
        <f>'Tabel 1.1'!C41</f>
        <v>169062.91999999998</v>
      </c>
      <c r="O43" s="73"/>
    </row>
    <row r="44" spans="1:15" x14ac:dyDescent="0.3">
      <c r="A44" s="73"/>
      <c r="B44" s="73"/>
      <c r="C44" s="73"/>
      <c r="D44" s="73"/>
      <c r="E44" s="73"/>
      <c r="F44" s="73"/>
      <c r="G44" s="73"/>
      <c r="H44" s="73"/>
      <c r="I44" s="73"/>
      <c r="J44" s="73"/>
      <c r="K44" s="73"/>
      <c r="L44" s="73" t="s">
        <v>79</v>
      </c>
      <c r="M44" s="77">
        <f>'Tabel 1.1'!B42</f>
        <v>0</v>
      </c>
      <c r="N44" s="77">
        <f>'Tabel 1.1'!C42</f>
        <v>0</v>
      </c>
      <c r="O44" s="73"/>
    </row>
    <row r="45" spans="1:15" x14ac:dyDescent="0.3">
      <c r="A45" s="73"/>
      <c r="B45" s="73"/>
      <c r="C45" s="73"/>
      <c r="D45" s="73"/>
      <c r="E45" s="73"/>
      <c r="F45" s="73"/>
      <c r="G45" s="73"/>
      <c r="H45" s="73"/>
      <c r="I45" s="73"/>
      <c r="J45" s="73"/>
      <c r="K45" s="73"/>
      <c r="L45" s="78" t="s">
        <v>74</v>
      </c>
      <c r="M45" s="77">
        <f>'Tabel 1.1'!B43</f>
        <v>2177088.1554299998</v>
      </c>
      <c r="N45" s="77">
        <f>'Tabel 1.1'!C43</f>
        <v>3137901.4883699999</v>
      </c>
      <c r="O45" s="73"/>
    </row>
    <row r="46" spans="1:15" x14ac:dyDescent="0.3">
      <c r="A46" s="73"/>
      <c r="B46" s="73"/>
      <c r="C46" s="73"/>
      <c r="D46" s="73"/>
      <c r="E46" s="73"/>
      <c r="F46" s="73"/>
      <c r="G46" s="73"/>
      <c r="H46" s="73"/>
      <c r="I46" s="73"/>
      <c r="J46" s="73"/>
      <c r="K46" s="73"/>
      <c r="L46" s="78" t="s">
        <v>80</v>
      </c>
      <c r="M46" s="77">
        <f>'Tabel 1.1'!B44</f>
        <v>9586837.9849999994</v>
      </c>
      <c r="N46" s="77">
        <f>'Tabel 1.1'!C44</f>
        <v>10339332.776999999</v>
      </c>
      <c r="O46" s="73"/>
    </row>
    <row r="47" spans="1:15" x14ac:dyDescent="0.3">
      <c r="A47" s="73"/>
      <c r="B47" s="73"/>
      <c r="C47" s="73"/>
      <c r="D47" s="73"/>
      <c r="E47" s="73"/>
      <c r="F47" s="73"/>
      <c r="G47" s="73"/>
      <c r="H47" s="73"/>
      <c r="I47" s="73"/>
      <c r="J47" s="73"/>
      <c r="K47" s="73"/>
      <c r="L47" s="78"/>
      <c r="M47" s="77"/>
      <c r="N47" s="77"/>
      <c r="O47" s="73"/>
    </row>
    <row r="48" spans="1:15" x14ac:dyDescent="0.3">
      <c r="A48" s="73"/>
      <c r="B48" s="73"/>
      <c r="C48" s="73"/>
      <c r="D48" s="73"/>
      <c r="E48" s="73"/>
      <c r="F48" s="73"/>
      <c r="G48" s="73"/>
      <c r="H48" s="73"/>
      <c r="I48" s="73"/>
      <c r="J48" s="73"/>
      <c r="K48" s="73"/>
      <c r="M48" s="76"/>
      <c r="N48" s="76"/>
      <c r="O48" s="73"/>
    </row>
    <row r="49" spans="1:15" x14ac:dyDescent="0.3">
      <c r="A49" s="73"/>
      <c r="B49" s="73"/>
      <c r="C49" s="73"/>
      <c r="D49" s="73"/>
      <c r="E49" s="73"/>
      <c r="F49" s="73"/>
      <c r="G49" s="73"/>
      <c r="H49" s="73"/>
      <c r="I49" s="73"/>
      <c r="J49" s="73"/>
      <c r="K49" s="73"/>
      <c r="M49" s="76"/>
      <c r="N49" s="76"/>
      <c r="O49" s="73"/>
    </row>
    <row r="50" spans="1:15" x14ac:dyDescent="0.3">
      <c r="A50" s="73"/>
      <c r="B50" s="73"/>
      <c r="C50" s="73"/>
      <c r="D50" s="73"/>
      <c r="E50" s="73"/>
      <c r="F50" s="73"/>
      <c r="G50" s="73"/>
      <c r="H50" s="73"/>
      <c r="I50" s="73"/>
      <c r="J50" s="73"/>
      <c r="K50" s="73"/>
      <c r="M50" s="76"/>
      <c r="N50" s="76"/>
      <c r="O50" s="73"/>
    </row>
    <row r="51" spans="1:15" x14ac:dyDescent="0.3">
      <c r="A51" s="73"/>
      <c r="B51" s="73"/>
      <c r="C51" s="73"/>
      <c r="D51" s="73"/>
      <c r="E51" s="73"/>
      <c r="F51" s="73"/>
      <c r="G51" s="73"/>
      <c r="H51" s="73"/>
      <c r="I51" s="73"/>
      <c r="J51" s="73"/>
      <c r="K51" s="73"/>
      <c r="M51" s="76"/>
      <c r="N51" s="76"/>
      <c r="O51" s="73"/>
    </row>
    <row r="52" spans="1:15" x14ac:dyDescent="0.3">
      <c r="A52" s="73"/>
      <c r="B52" s="73"/>
      <c r="C52" s="73"/>
      <c r="D52" s="73"/>
      <c r="E52" s="73"/>
      <c r="F52" s="73"/>
      <c r="G52" s="73"/>
      <c r="H52" s="73"/>
      <c r="I52" s="73"/>
      <c r="J52" s="73"/>
      <c r="K52" s="73"/>
      <c r="O52" s="73"/>
    </row>
    <row r="53" spans="1:15" x14ac:dyDescent="0.3">
      <c r="A53" s="73"/>
      <c r="B53" s="73"/>
      <c r="C53" s="73"/>
      <c r="D53" s="73"/>
      <c r="E53" s="73"/>
      <c r="F53" s="73"/>
      <c r="G53" s="73"/>
      <c r="H53" s="73"/>
      <c r="I53" s="73"/>
      <c r="J53" s="73"/>
      <c r="K53" s="73"/>
      <c r="O53" s="73"/>
    </row>
    <row r="54" spans="1:15" x14ac:dyDescent="0.3">
      <c r="A54" s="73"/>
      <c r="B54" s="73"/>
      <c r="C54" s="73"/>
      <c r="D54" s="73"/>
      <c r="E54" s="73"/>
      <c r="F54" s="73"/>
      <c r="G54" s="73"/>
      <c r="H54" s="73"/>
      <c r="I54" s="73"/>
      <c r="J54" s="73"/>
      <c r="K54" s="73"/>
      <c r="O54" s="73"/>
    </row>
    <row r="55" spans="1:15" x14ac:dyDescent="0.3">
      <c r="A55" s="73"/>
      <c r="B55" s="73"/>
      <c r="C55" s="73"/>
      <c r="D55" s="73"/>
      <c r="E55" s="73"/>
      <c r="F55" s="73"/>
      <c r="G55" s="73"/>
      <c r="H55" s="73"/>
      <c r="I55" s="73"/>
      <c r="J55" s="73"/>
      <c r="K55" s="73"/>
      <c r="O55" s="73"/>
    </row>
    <row r="56" spans="1:15" x14ac:dyDescent="0.3">
      <c r="A56" s="74" t="s">
        <v>410</v>
      </c>
      <c r="B56" s="73"/>
      <c r="C56" s="73"/>
      <c r="D56" s="73"/>
      <c r="E56" s="73"/>
      <c r="F56" s="73"/>
      <c r="G56" s="73"/>
      <c r="H56" s="73"/>
      <c r="I56" s="78"/>
      <c r="J56" s="73"/>
      <c r="K56" s="73"/>
      <c r="O56" s="73"/>
    </row>
    <row r="57" spans="1:15" x14ac:dyDescent="0.3">
      <c r="A57" s="73"/>
      <c r="B57" s="73"/>
      <c r="C57" s="73"/>
      <c r="D57" s="73"/>
      <c r="E57" s="73"/>
      <c r="F57" s="73"/>
      <c r="G57" s="73"/>
      <c r="H57" s="73"/>
      <c r="I57" s="73"/>
      <c r="J57" s="73"/>
      <c r="K57" s="73"/>
      <c r="L57" s="73" t="s">
        <v>81</v>
      </c>
      <c r="O57" s="73"/>
    </row>
    <row r="58" spans="1:15" x14ac:dyDescent="0.3">
      <c r="A58" s="73"/>
      <c r="B58" s="73"/>
      <c r="C58" s="73"/>
      <c r="D58" s="73"/>
      <c r="E58" s="73"/>
      <c r="F58" s="73"/>
      <c r="G58" s="73"/>
      <c r="H58" s="73"/>
      <c r="I58" s="73"/>
      <c r="J58" s="73"/>
      <c r="K58" s="73"/>
      <c r="L58" s="73" t="s">
        <v>0</v>
      </c>
      <c r="O58" s="73"/>
    </row>
    <row r="59" spans="1:15" x14ac:dyDescent="0.3">
      <c r="A59" s="73"/>
      <c r="B59" s="73"/>
      <c r="C59" s="73"/>
      <c r="D59" s="73"/>
      <c r="E59" s="73"/>
      <c r="F59" s="73"/>
      <c r="G59" s="73"/>
      <c r="H59" s="73"/>
      <c r="I59" s="73"/>
      <c r="J59" s="73"/>
      <c r="K59" s="73"/>
      <c r="M59" s="73">
        <v>2016</v>
      </c>
      <c r="N59" s="73">
        <v>2017</v>
      </c>
      <c r="O59" s="73"/>
    </row>
    <row r="60" spans="1:15" x14ac:dyDescent="0.3">
      <c r="A60" s="73"/>
      <c r="B60" s="73"/>
      <c r="C60" s="73"/>
      <c r="D60" s="73"/>
      <c r="E60" s="73"/>
      <c r="F60" s="73"/>
      <c r="G60" s="73"/>
      <c r="H60" s="73"/>
      <c r="I60" s="73"/>
      <c r="J60" s="73"/>
      <c r="K60" s="73"/>
      <c r="L60" s="73" t="s">
        <v>58</v>
      </c>
      <c r="M60" s="76">
        <f>'Tabel 1.1'!G10</f>
        <v>937089.42500000005</v>
      </c>
      <c r="N60" s="76">
        <f>'Tabel 1.1'!H10</f>
        <v>1023334.365</v>
      </c>
      <c r="O60" s="73"/>
    </row>
    <row r="61" spans="1:15" x14ac:dyDescent="0.3">
      <c r="A61" s="73"/>
      <c r="B61" s="73"/>
      <c r="C61" s="73"/>
      <c r="D61" s="73"/>
      <c r="E61" s="73"/>
      <c r="F61" s="73"/>
      <c r="G61" s="73"/>
      <c r="H61" s="73"/>
      <c r="I61" s="73"/>
      <c r="J61" s="73"/>
      <c r="K61" s="73"/>
      <c r="L61" s="73" t="s">
        <v>59</v>
      </c>
      <c r="M61" s="76">
        <f>'Tabel 1.1'!G11</f>
        <v>203364389</v>
      </c>
      <c r="N61" s="76">
        <f>'Tabel 1.1'!H11</f>
        <v>202997288</v>
      </c>
      <c r="O61" s="73"/>
    </row>
    <row r="62" spans="1:15" x14ac:dyDescent="0.3">
      <c r="A62" s="73"/>
      <c r="B62" s="73"/>
      <c r="C62" s="73"/>
      <c r="D62" s="73"/>
      <c r="E62" s="73"/>
      <c r="F62" s="73"/>
      <c r="G62" s="73"/>
      <c r="H62" s="73"/>
      <c r="I62" s="73"/>
      <c r="J62" s="73"/>
      <c r="K62" s="73"/>
      <c r="L62" s="73" t="s">
        <v>60</v>
      </c>
      <c r="M62" s="76">
        <f>'Tabel 1.1'!G12</f>
        <v>401746</v>
      </c>
      <c r="N62" s="76">
        <f>'Tabel 1.1'!H12</f>
        <v>422298</v>
      </c>
      <c r="O62" s="73"/>
    </row>
    <row r="63" spans="1:15" x14ac:dyDescent="0.3">
      <c r="A63" s="73"/>
      <c r="B63" s="73"/>
      <c r="C63" s="73"/>
      <c r="D63" s="73"/>
      <c r="E63" s="73"/>
      <c r="F63" s="73"/>
      <c r="G63" s="73"/>
      <c r="H63" s="73"/>
      <c r="I63" s="73"/>
      <c r="J63" s="73"/>
      <c r="K63" s="73"/>
      <c r="L63" s="73" t="s">
        <v>61</v>
      </c>
      <c r="M63" s="76">
        <f>'Tabel 1.1'!G13</f>
        <v>667456</v>
      </c>
      <c r="N63" s="76">
        <f>'Tabel 1.1'!H13</f>
        <v>774942.89</v>
      </c>
      <c r="O63" s="73"/>
    </row>
    <row r="64" spans="1:15" x14ac:dyDescent="0.3">
      <c r="A64" s="73"/>
      <c r="B64" s="73"/>
      <c r="C64" s="73"/>
      <c r="D64" s="73"/>
      <c r="E64" s="73"/>
      <c r="F64" s="73"/>
      <c r="G64" s="73"/>
      <c r="H64" s="73"/>
      <c r="I64" s="73"/>
      <c r="J64" s="73"/>
      <c r="K64" s="73"/>
      <c r="L64" s="73" t="s">
        <v>63</v>
      </c>
      <c r="M64" s="76">
        <f>'Tabel 1.1'!G14</f>
        <v>0</v>
      </c>
      <c r="N64" s="76">
        <f>'Tabel 1.1'!H14</f>
        <v>0</v>
      </c>
      <c r="O64" s="73"/>
    </row>
    <row r="65" spans="1:15" x14ac:dyDescent="0.3">
      <c r="A65" s="73"/>
      <c r="B65" s="73"/>
      <c r="C65" s="73"/>
      <c r="D65" s="73"/>
      <c r="E65" s="73"/>
      <c r="F65" s="73"/>
      <c r="G65" s="73"/>
      <c r="H65" s="73"/>
      <c r="I65" s="73"/>
      <c r="J65" s="73"/>
      <c r="K65" s="73"/>
      <c r="L65" s="73" t="s">
        <v>64</v>
      </c>
      <c r="M65" s="76">
        <f>'Tabel 1.1'!G16</f>
        <v>5409556</v>
      </c>
      <c r="N65" s="76">
        <f>'Tabel 1.1'!H16</f>
        <v>6018363</v>
      </c>
      <c r="O65" s="73"/>
    </row>
    <row r="66" spans="1:15" x14ac:dyDescent="0.3">
      <c r="A66" s="73"/>
      <c r="B66" s="73"/>
      <c r="C66" s="73"/>
      <c r="D66" s="73"/>
      <c r="E66" s="73"/>
      <c r="F66" s="73"/>
      <c r="G66" s="73"/>
      <c r="H66" s="73"/>
      <c r="I66" s="73"/>
      <c r="J66" s="73"/>
      <c r="K66" s="73"/>
      <c r="L66" s="73" t="s">
        <v>65</v>
      </c>
      <c r="M66" s="76">
        <f>'Tabel 1.1'!G17</f>
        <v>25901</v>
      </c>
      <c r="N66" s="76">
        <f>'Tabel 1.1'!H17</f>
        <v>26374</v>
      </c>
      <c r="O66" s="73"/>
    </row>
    <row r="67" spans="1:15" x14ac:dyDescent="0.3">
      <c r="A67" s="73"/>
      <c r="B67" s="73"/>
      <c r="C67" s="73"/>
      <c r="D67" s="73"/>
      <c r="E67" s="73"/>
      <c r="F67" s="73"/>
      <c r="G67" s="73"/>
      <c r="H67" s="73"/>
      <c r="I67" s="73"/>
      <c r="J67" s="73"/>
      <c r="K67" s="73"/>
      <c r="L67" s="73" t="s">
        <v>66</v>
      </c>
      <c r="M67" s="76">
        <f>'Tabel 1.1'!G18</f>
        <v>378750</v>
      </c>
      <c r="N67" s="76">
        <f>'Tabel 1.1'!H18</f>
        <v>416284</v>
      </c>
      <c r="O67" s="73"/>
    </row>
    <row r="68" spans="1:15" x14ac:dyDescent="0.3">
      <c r="A68" s="73"/>
      <c r="B68" s="73"/>
      <c r="C68" s="73"/>
      <c r="D68" s="73"/>
      <c r="E68" s="73"/>
      <c r="F68" s="73"/>
      <c r="G68" s="73"/>
      <c r="H68" s="73"/>
      <c r="I68" s="73"/>
      <c r="J68" s="73"/>
      <c r="K68" s="73"/>
      <c r="L68" s="73" t="s">
        <v>67</v>
      </c>
      <c r="M68" s="76">
        <f>'Tabel 1.1'!G19</f>
        <v>421845952.55084002</v>
      </c>
      <c r="N68" s="76">
        <f>'Tabel 1.1'!H19</f>
        <v>444493649.38739997</v>
      </c>
      <c r="O68" s="73"/>
    </row>
    <row r="69" spans="1:15" x14ac:dyDescent="0.3">
      <c r="A69" s="73"/>
      <c r="B69" s="73"/>
      <c r="C69" s="73"/>
      <c r="D69" s="73"/>
      <c r="E69" s="73"/>
      <c r="F69" s="73"/>
      <c r="G69" s="73"/>
      <c r="H69" s="73"/>
      <c r="I69" s="73"/>
      <c r="J69" s="73"/>
      <c r="K69" s="73"/>
      <c r="L69" s="73" t="s">
        <v>68</v>
      </c>
      <c r="M69" s="76">
        <f>'Tabel 1.1'!G20</f>
        <v>1500502</v>
      </c>
      <c r="N69" s="76">
        <f>'Tabel 1.1'!H20</f>
        <v>1613262</v>
      </c>
      <c r="O69" s="73"/>
    </row>
    <row r="70" spans="1:15" x14ac:dyDescent="0.3">
      <c r="A70" s="73"/>
      <c r="B70" s="73"/>
      <c r="C70" s="73"/>
      <c r="D70" s="73"/>
      <c r="E70" s="73"/>
      <c r="F70" s="73"/>
      <c r="G70" s="73"/>
      <c r="H70" s="73"/>
      <c r="I70" s="73"/>
      <c r="J70" s="73"/>
      <c r="K70" s="73"/>
      <c r="L70" s="73" t="s">
        <v>72</v>
      </c>
      <c r="M70" s="76">
        <f>'Tabel 1.1'!G24</f>
        <v>48522570.000125237</v>
      </c>
      <c r="N70" s="76">
        <f>'Tabel 1.1'!H24</f>
        <v>49563121.552480593</v>
      </c>
      <c r="O70" s="73"/>
    </row>
    <row r="71" spans="1:15" x14ac:dyDescent="0.3">
      <c r="A71" s="73"/>
      <c r="B71" s="73"/>
      <c r="C71" s="73"/>
      <c r="D71" s="73"/>
      <c r="E71" s="73"/>
      <c r="F71" s="73"/>
      <c r="G71" s="73"/>
      <c r="H71" s="73"/>
      <c r="I71" s="73"/>
      <c r="J71" s="73"/>
      <c r="K71" s="73"/>
      <c r="L71" s="73" t="s">
        <v>73</v>
      </c>
      <c r="M71" s="76">
        <f>'Tabel 1.1'!G25</f>
        <v>64732970</v>
      </c>
      <c r="N71" s="76">
        <f>'Tabel 1.1'!H25</f>
        <v>70125745</v>
      </c>
      <c r="O71" s="73"/>
    </row>
    <row r="72" spans="1:15" x14ac:dyDescent="0.3">
      <c r="A72" s="73"/>
      <c r="B72" s="73"/>
      <c r="C72" s="73"/>
      <c r="D72" s="73"/>
      <c r="E72" s="73"/>
      <c r="F72" s="73"/>
      <c r="G72" s="73"/>
      <c r="H72" s="73"/>
      <c r="I72" s="73"/>
      <c r="J72" s="73"/>
      <c r="K72" s="73"/>
      <c r="L72" s="73" t="s">
        <v>79</v>
      </c>
      <c r="M72" s="76">
        <f>'Tabel 1.1'!G26</f>
        <v>0</v>
      </c>
      <c r="N72" s="76">
        <f>'Tabel 1.1'!H26</f>
        <v>0</v>
      </c>
      <c r="O72" s="73"/>
    </row>
    <row r="73" spans="1:15" x14ac:dyDescent="0.3">
      <c r="A73" s="73"/>
      <c r="B73" s="73"/>
      <c r="C73" s="73"/>
      <c r="D73" s="73"/>
      <c r="E73" s="73"/>
      <c r="F73" s="73"/>
      <c r="G73" s="73"/>
      <c r="H73" s="73"/>
      <c r="I73" s="73"/>
      <c r="J73" s="73"/>
      <c r="K73" s="73"/>
      <c r="L73" s="73" t="s">
        <v>74</v>
      </c>
      <c r="M73" s="76">
        <f>'Tabel 1.1'!G27</f>
        <v>17312529.77214</v>
      </c>
      <c r="N73" s="76">
        <f>'Tabel 1.1'!H27</f>
        <v>18676728.652520001</v>
      </c>
      <c r="O73" s="73"/>
    </row>
    <row r="74" spans="1:15" x14ac:dyDescent="0.3">
      <c r="A74" s="73"/>
      <c r="B74" s="73"/>
      <c r="C74" s="73"/>
      <c r="D74" s="73"/>
      <c r="E74" s="73"/>
      <c r="F74" s="73"/>
      <c r="G74" s="73"/>
      <c r="H74" s="73"/>
      <c r="I74" s="73"/>
      <c r="J74" s="73"/>
      <c r="K74" s="73"/>
      <c r="L74" s="73" t="s">
        <v>75</v>
      </c>
      <c r="M74" s="76">
        <f>'Tabel 1.1'!G28</f>
        <v>176557322.10000002</v>
      </c>
      <c r="N74" s="76">
        <f>'Tabel 1.1'!H28</f>
        <v>178778748.09999999</v>
      </c>
      <c r="O74" s="73"/>
    </row>
    <row r="75" spans="1:15" x14ac:dyDescent="0.3">
      <c r="A75" s="73"/>
      <c r="B75" s="73"/>
      <c r="C75" s="73"/>
      <c r="D75" s="73"/>
      <c r="E75" s="73"/>
      <c r="F75" s="73"/>
      <c r="G75" s="73"/>
      <c r="H75" s="73"/>
      <c r="I75" s="73"/>
      <c r="J75" s="73"/>
      <c r="K75" s="73"/>
      <c r="O75" s="73"/>
    </row>
    <row r="76" spans="1:15" x14ac:dyDescent="0.3">
      <c r="A76" s="73"/>
      <c r="B76" s="73"/>
      <c r="C76" s="73"/>
      <c r="D76" s="73"/>
      <c r="E76" s="73"/>
      <c r="F76" s="73"/>
      <c r="G76" s="73"/>
      <c r="H76" s="73"/>
      <c r="I76" s="73"/>
      <c r="J76" s="73"/>
      <c r="K76" s="73"/>
      <c r="O76" s="73"/>
    </row>
    <row r="77" spans="1:15" x14ac:dyDescent="0.3">
      <c r="A77" s="73"/>
      <c r="B77" s="73"/>
      <c r="C77" s="73"/>
      <c r="D77" s="73"/>
      <c r="E77" s="73"/>
      <c r="F77" s="73"/>
      <c r="G77" s="73"/>
      <c r="H77" s="73"/>
      <c r="I77" s="73"/>
      <c r="J77" s="73"/>
      <c r="K77" s="73"/>
      <c r="O77" s="73"/>
    </row>
    <row r="78" spans="1:15" x14ac:dyDescent="0.3">
      <c r="A78" s="73"/>
      <c r="B78" s="73"/>
      <c r="C78" s="73"/>
      <c r="D78" s="73"/>
      <c r="E78" s="73"/>
      <c r="F78" s="73"/>
      <c r="G78" s="73"/>
      <c r="H78" s="73"/>
      <c r="I78" s="73"/>
      <c r="J78" s="73"/>
      <c r="K78" s="73"/>
      <c r="O78" s="73"/>
    </row>
    <row r="79" spans="1:15" x14ac:dyDescent="0.3">
      <c r="A79" s="73"/>
      <c r="B79" s="73"/>
      <c r="C79" s="73"/>
      <c r="D79" s="73"/>
      <c r="E79" s="73"/>
      <c r="F79" s="73"/>
      <c r="G79" s="73"/>
      <c r="H79" s="73"/>
      <c r="I79" s="73"/>
      <c r="J79" s="73"/>
      <c r="K79" s="73"/>
      <c r="O79" s="73"/>
    </row>
    <row r="80" spans="1:15" x14ac:dyDescent="0.3">
      <c r="A80" s="73"/>
      <c r="B80" s="73"/>
      <c r="C80" s="73"/>
      <c r="D80" s="73"/>
      <c r="E80" s="73"/>
      <c r="F80" s="73"/>
      <c r="G80" s="73"/>
      <c r="H80" s="73"/>
      <c r="I80" s="73"/>
      <c r="J80" s="73"/>
      <c r="K80" s="73"/>
      <c r="O80" s="73"/>
    </row>
    <row r="81" spans="1:15" x14ac:dyDescent="0.3">
      <c r="A81" s="74" t="s">
        <v>411</v>
      </c>
      <c r="B81" s="73"/>
      <c r="C81" s="73"/>
      <c r="D81" s="73"/>
      <c r="E81" s="73"/>
      <c r="F81" s="73"/>
      <c r="G81" s="73"/>
      <c r="H81" s="73"/>
      <c r="I81" s="78"/>
      <c r="J81" s="73"/>
      <c r="K81" s="73"/>
      <c r="O81" s="73"/>
    </row>
    <row r="82" spans="1:15" x14ac:dyDescent="0.3">
      <c r="B82" s="73"/>
      <c r="C82" s="73"/>
      <c r="D82" s="73"/>
      <c r="E82" s="73"/>
      <c r="F82" s="73"/>
      <c r="G82" s="73"/>
      <c r="H82" s="73"/>
      <c r="I82" s="73"/>
      <c r="J82" s="73"/>
      <c r="K82" s="73"/>
      <c r="L82" s="73" t="s">
        <v>81</v>
      </c>
      <c r="O82" s="73"/>
    </row>
    <row r="83" spans="1:15" x14ac:dyDescent="0.3">
      <c r="A83" s="73"/>
      <c r="B83" s="73"/>
      <c r="C83" s="73"/>
      <c r="D83" s="73"/>
      <c r="E83" s="73"/>
      <c r="F83" s="73"/>
      <c r="G83" s="73"/>
      <c r="H83" s="73"/>
      <c r="I83" s="73"/>
      <c r="J83" s="73"/>
      <c r="K83" s="73"/>
      <c r="L83" s="73" t="s">
        <v>1</v>
      </c>
      <c r="O83" s="73"/>
    </row>
    <row r="84" spans="1:15" x14ac:dyDescent="0.3">
      <c r="A84" s="73"/>
      <c r="B84" s="73"/>
      <c r="C84" s="73"/>
      <c r="D84" s="73"/>
      <c r="E84" s="73"/>
      <c r="F84" s="73"/>
      <c r="G84" s="73"/>
      <c r="H84" s="73"/>
      <c r="I84" s="73"/>
      <c r="J84" s="73"/>
      <c r="K84" s="73"/>
      <c r="M84" s="73">
        <v>2016</v>
      </c>
      <c r="N84" s="73">
        <v>2017</v>
      </c>
      <c r="O84" s="73"/>
    </row>
    <row r="85" spans="1:15" x14ac:dyDescent="0.3">
      <c r="A85" s="73"/>
      <c r="B85" s="73"/>
      <c r="C85" s="73"/>
      <c r="D85" s="73"/>
      <c r="E85" s="73"/>
      <c r="F85" s="73"/>
      <c r="G85" s="73"/>
      <c r="H85" s="73"/>
      <c r="I85" s="73"/>
      <c r="J85" s="73"/>
      <c r="K85" s="73"/>
      <c r="L85" s="73" t="s">
        <v>58</v>
      </c>
      <c r="M85" s="76">
        <f>'Tabel 1.1'!G34</f>
        <v>14037345.691</v>
      </c>
      <c r="N85" s="76">
        <f>'Tabel 1.1'!H34</f>
        <v>16948728.280999999</v>
      </c>
      <c r="O85" s="73"/>
    </row>
    <row r="86" spans="1:15" x14ac:dyDescent="0.3">
      <c r="B86" s="73"/>
      <c r="C86" s="73"/>
      <c r="D86" s="73"/>
      <c r="E86" s="73"/>
      <c r="F86" s="73"/>
      <c r="G86" s="73"/>
      <c r="H86" s="73"/>
      <c r="I86" s="73"/>
      <c r="J86" s="73"/>
      <c r="K86" s="73"/>
      <c r="L86" s="73" t="s">
        <v>59</v>
      </c>
      <c r="M86" s="76">
        <f>'Tabel 1.1'!G35</f>
        <v>60220192.588040002</v>
      </c>
      <c r="N86" s="76">
        <f>'Tabel 1.1'!H35</f>
        <v>75206078.714000002</v>
      </c>
      <c r="O86" s="73"/>
    </row>
    <row r="87" spans="1:15" x14ac:dyDescent="0.3">
      <c r="B87" s="73"/>
      <c r="C87" s="73"/>
      <c r="D87" s="73"/>
      <c r="E87" s="73"/>
      <c r="F87" s="73"/>
      <c r="G87" s="73"/>
      <c r="H87" s="73"/>
      <c r="I87" s="73"/>
      <c r="J87" s="73"/>
      <c r="K87" s="73"/>
      <c r="L87" s="73" t="s">
        <v>61</v>
      </c>
      <c r="M87" s="76">
        <f>'Tabel 1.1'!G36</f>
        <v>2660563</v>
      </c>
      <c r="N87" s="76">
        <f>'Tabel 1.1'!H36</f>
        <v>3250729.1</v>
      </c>
      <c r="O87" s="73"/>
    </row>
    <row r="88" spans="1:15" x14ac:dyDescent="0.3">
      <c r="B88" s="73"/>
      <c r="C88" s="73"/>
      <c r="D88" s="73"/>
      <c r="E88" s="73"/>
      <c r="F88" s="73"/>
      <c r="G88" s="73"/>
      <c r="H88" s="73"/>
      <c r="I88" s="73"/>
      <c r="J88" s="73"/>
      <c r="K88" s="73"/>
      <c r="L88" s="78" t="s">
        <v>64</v>
      </c>
      <c r="M88" s="76">
        <f>'Tabel 1.1'!G37</f>
        <v>17827699</v>
      </c>
      <c r="N88" s="76">
        <f>'Tabel 1.1'!H37</f>
        <v>22680593</v>
      </c>
      <c r="O88" s="73"/>
    </row>
    <row r="89" spans="1:15" x14ac:dyDescent="0.3">
      <c r="B89" s="73"/>
      <c r="C89" s="73"/>
      <c r="D89" s="73"/>
      <c r="E89" s="73"/>
      <c r="F89" s="73"/>
      <c r="G89" s="73"/>
      <c r="H89" s="73"/>
      <c r="I89" s="73"/>
      <c r="J89" s="73"/>
      <c r="K89" s="73"/>
      <c r="L89" s="73" t="s">
        <v>67</v>
      </c>
      <c r="M89" s="76">
        <f>'Tabel 1.1'!G38</f>
        <v>2181469.20615</v>
      </c>
      <c r="N89" s="76">
        <f>'Tabel 1.1'!H38</f>
        <v>2373955.5961500001</v>
      </c>
      <c r="O89" s="73"/>
    </row>
    <row r="90" spans="1:15" x14ac:dyDescent="0.3">
      <c r="B90" s="73"/>
      <c r="C90" s="73"/>
      <c r="D90" s="73"/>
      <c r="E90" s="73"/>
      <c r="F90" s="73"/>
      <c r="G90" s="73"/>
      <c r="H90" s="73"/>
      <c r="I90" s="73"/>
      <c r="J90" s="73"/>
      <c r="K90" s="73"/>
      <c r="L90" s="73" t="s">
        <v>68</v>
      </c>
      <c r="M90" s="76">
        <f>'Tabel 1.1'!G39</f>
        <v>1673718</v>
      </c>
      <c r="N90" s="76">
        <f>'Tabel 1.1'!H39</f>
        <v>2683785</v>
      </c>
      <c r="O90" s="73"/>
    </row>
    <row r="91" spans="1:15" x14ac:dyDescent="0.3">
      <c r="B91" s="73"/>
      <c r="C91" s="73"/>
      <c r="D91" s="73"/>
      <c r="E91" s="73"/>
      <c r="F91" s="73"/>
      <c r="G91" s="73"/>
      <c r="H91" s="73"/>
      <c r="I91" s="73"/>
      <c r="J91" s="73"/>
      <c r="K91" s="73"/>
      <c r="L91" s="73" t="s">
        <v>72</v>
      </c>
      <c r="M91" s="76">
        <f>'Tabel 1.1'!G40</f>
        <v>47300719.99999994</v>
      </c>
      <c r="N91" s="76">
        <f>'Tabel 1.1'!H40</f>
        <v>58646139.999999985</v>
      </c>
      <c r="O91" s="73"/>
    </row>
    <row r="92" spans="1:15" x14ac:dyDescent="0.3">
      <c r="A92" s="73"/>
      <c r="B92" s="73"/>
      <c r="C92" s="73"/>
      <c r="D92" s="73"/>
      <c r="E92" s="73"/>
      <c r="F92" s="73"/>
      <c r="G92" s="73"/>
      <c r="H92" s="73"/>
      <c r="I92" s="73"/>
      <c r="J92" s="73"/>
      <c r="K92" s="73"/>
      <c r="L92" s="73" t="s">
        <v>78</v>
      </c>
      <c r="M92" s="76">
        <f>'Tabel 1.1'!G41</f>
        <v>1764000</v>
      </c>
      <c r="N92" s="76">
        <f>'Tabel 1.1'!H41</f>
        <v>2082187</v>
      </c>
      <c r="O92" s="73"/>
    </row>
    <row r="93" spans="1:15" x14ac:dyDescent="0.3">
      <c r="A93" s="73"/>
      <c r="B93" s="73"/>
      <c r="C93" s="73"/>
      <c r="D93" s="73"/>
      <c r="E93" s="73"/>
      <c r="F93" s="73"/>
      <c r="G93" s="73"/>
      <c r="H93" s="73"/>
      <c r="I93" s="73"/>
      <c r="J93" s="73"/>
      <c r="K93" s="73"/>
      <c r="L93" s="73" t="s">
        <v>79</v>
      </c>
      <c r="M93" s="76">
        <f>'Tabel 1.1'!G42</f>
        <v>0</v>
      </c>
      <c r="N93" s="76">
        <f>'Tabel 1.1'!H42</f>
        <v>0</v>
      </c>
      <c r="O93" s="73"/>
    </row>
    <row r="94" spans="1:15" ht="18.75" customHeight="1" x14ac:dyDescent="0.3">
      <c r="A94" s="73"/>
      <c r="B94" s="73"/>
      <c r="C94" s="73"/>
      <c r="D94" s="73"/>
      <c r="E94" s="73"/>
      <c r="F94" s="73"/>
      <c r="G94" s="73"/>
      <c r="H94" s="73"/>
      <c r="I94" s="73"/>
      <c r="J94" s="73"/>
      <c r="K94" s="73"/>
      <c r="L94" s="73" t="s">
        <v>74</v>
      </c>
      <c r="M94" s="76">
        <f>'Tabel 1.1'!G43</f>
        <v>19386681.029040001</v>
      </c>
      <c r="N94" s="76">
        <f>'Tabel 1.1'!H43</f>
        <v>24894504.285070002</v>
      </c>
      <c r="O94" s="73"/>
    </row>
    <row r="95" spans="1:15" ht="18.75" customHeight="1" x14ac:dyDescent="0.3">
      <c r="A95" s="73"/>
      <c r="B95" s="73"/>
      <c r="C95" s="73"/>
      <c r="D95" s="73"/>
      <c r="E95" s="73"/>
      <c r="F95" s="73"/>
      <c r="G95" s="73"/>
      <c r="H95" s="73"/>
      <c r="I95" s="73"/>
      <c r="J95" s="73"/>
      <c r="K95" s="73"/>
      <c r="L95" s="73" t="s">
        <v>80</v>
      </c>
      <c r="M95" s="76">
        <f>'Tabel 1.1'!G44</f>
        <v>65092912.276000008</v>
      </c>
      <c r="N95" s="76">
        <f>'Tabel 1.1'!H44</f>
        <v>80323761.414470002</v>
      </c>
      <c r="O95" s="73"/>
    </row>
    <row r="96" spans="1:15" ht="18.75" customHeight="1" x14ac:dyDescent="0.3">
      <c r="A96" s="73"/>
      <c r="B96" s="73"/>
      <c r="C96" s="73"/>
      <c r="D96" s="73"/>
      <c r="E96" s="73"/>
      <c r="F96" s="73"/>
      <c r="G96" s="73"/>
      <c r="H96" s="73"/>
      <c r="I96" s="73"/>
      <c r="J96" s="73"/>
      <c r="K96" s="73"/>
      <c r="M96" s="76"/>
      <c r="O96" s="73"/>
    </row>
    <row r="97" spans="1:17" ht="18.75" customHeight="1" x14ac:dyDescent="0.3">
      <c r="A97" s="73"/>
      <c r="B97" s="73"/>
      <c r="C97" s="73"/>
      <c r="D97" s="73"/>
      <c r="E97" s="73"/>
      <c r="F97" s="73"/>
      <c r="G97" s="73"/>
      <c r="H97" s="73"/>
      <c r="I97" s="73"/>
      <c r="J97" s="73"/>
      <c r="K97" s="73"/>
      <c r="O97" s="73"/>
    </row>
    <row r="98" spans="1:17" ht="18.75" customHeight="1" x14ac:dyDescent="0.3">
      <c r="A98" s="73"/>
      <c r="B98" s="73"/>
      <c r="C98" s="73"/>
      <c r="D98" s="73"/>
      <c r="E98" s="73"/>
      <c r="F98" s="73"/>
      <c r="G98" s="73"/>
      <c r="H98" s="73"/>
      <c r="I98" s="73"/>
      <c r="J98" s="73"/>
      <c r="K98" s="73"/>
      <c r="O98" s="73"/>
    </row>
    <row r="99" spans="1:17" ht="18.75" customHeight="1" x14ac:dyDescent="0.3">
      <c r="A99" s="73"/>
      <c r="B99" s="73"/>
      <c r="C99" s="73"/>
      <c r="D99" s="73"/>
      <c r="E99" s="73"/>
      <c r="F99" s="73"/>
      <c r="G99" s="73"/>
      <c r="H99" s="73"/>
      <c r="I99" s="73"/>
      <c r="J99" s="73"/>
      <c r="K99" s="73"/>
      <c r="O99" s="73"/>
      <c r="Q99" s="73"/>
    </row>
    <row r="100" spans="1:17" ht="18.75" customHeight="1" x14ac:dyDescent="0.3">
      <c r="A100" s="73"/>
      <c r="B100" s="73"/>
      <c r="C100" s="73"/>
      <c r="D100" s="73"/>
      <c r="E100" s="73"/>
      <c r="F100" s="73"/>
      <c r="G100" s="73"/>
      <c r="H100" s="73"/>
      <c r="I100" s="73"/>
      <c r="J100" s="73"/>
      <c r="K100" s="73"/>
      <c r="O100" s="73"/>
      <c r="Q100" s="73"/>
    </row>
    <row r="101" spans="1:17" ht="18.75" customHeight="1" x14ac:dyDescent="0.3">
      <c r="A101" s="73"/>
      <c r="B101" s="73"/>
      <c r="C101" s="73"/>
      <c r="D101" s="73"/>
      <c r="E101" s="73"/>
      <c r="F101" s="73"/>
      <c r="G101" s="73"/>
      <c r="H101" s="73"/>
      <c r="I101" s="73"/>
      <c r="J101" s="73"/>
      <c r="K101" s="73"/>
      <c r="O101" s="73"/>
      <c r="Q101" s="73"/>
    </row>
    <row r="102" spans="1:17" ht="18.75" customHeight="1" x14ac:dyDescent="0.3">
      <c r="A102" s="73"/>
      <c r="B102" s="73"/>
      <c r="C102" s="73"/>
      <c r="D102" s="73"/>
      <c r="E102" s="73"/>
      <c r="F102" s="73"/>
      <c r="G102" s="73"/>
      <c r="H102" s="73"/>
      <c r="I102" s="73"/>
      <c r="J102" s="73"/>
      <c r="K102" s="73"/>
      <c r="O102" s="73"/>
      <c r="Q102" s="73"/>
    </row>
    <row r="103" spans="1:17" ht="18.75" customHeight="1" x14ac:dyDescent="0.3">
      <c r="A103" s="73"/>
      <c r="B103" s="73"/>
      <c r="C103" s="73"/>
      <c r="D103" s="73"/>
      <c r="E103" s="73"/>
      <c r="F103" s="73"/>
      <c r="G103" s="73"/>
      <c r="H103" s="73"/>
      <c r="I103" s="73"/>
      <c r="J103" s="73"/>
      <c r="K103" s="73"/>
      <c r="O103" s="73"/>
      <c r="Q103" s="73"/>
    </row>
    <row r="104" spans="1:17" ht="18.75" customHeight="1" x14ac:dyDescent="0.3">
      <c r="A104" s="73"/>
      <c r="B104" s="73"/>
      <c r="C104" s="73"/>
      <c r="D104" s="73"/>
      <c r="E104" s="73"/>
      <c r="F104" s="73"/>
      <c r="G104" s="73"/>
      <c r="H104" s="73"/>
      <c r="I104" s="73"/>
      <c r="J104" s="73"/>
      <c r="K104" s="73"/>
      <c r="O104" s="73"/>
      <c r="Q104" s="73"/>
    </row>
    <row r="105" spans="1:17" ht="18.75" customHeight="1" x14ac:dyDescent="0.3">
      <c r="A105" s="73"/>
      <c r="B105" s="73"/>
      <c r="C105" s="73"/>
      <c r="D105" s="73"/>
      <c r="E105" s="73"/>
      <c r="F105" s="73"/>
      <c r="G105" s="73"/>
      <c r="H105" s="73"/>
      <c r="I105" s="73"/>
      <c r="J105" s="73"/>
      <c r="K105" s="73"/>
      <c r="O105" s="73"/>
      <c r="Q105" s="73"/>
    </row>
    <row r="106" spans="1:17" ht="18.75" customHeight="1" x14ac:dyDescent="0.3">
      <c r="A106" s="73"/>
      <c r="B106" s="73"/>
      <c r="C106" s="73"/>
      <c r="D106" s="73"/>
      <c r="E106" s="73"/>
      <c r="F106" s="73"/>
      <c r="G106" s="73"/>
      <c r="H106" s="73"/>
      <c r="I106" s="73"/>
      <c r="J106" s="73"/>
      <c r="K106" s="73"/>
      <c r="O106" s="73"/>
      <c r="Q106" s="73"/>
    </row>
    <row r="107" spans="1:17" ht="18.75" customHeight="1" x14ac:dyDescent="0.3">
      <c r="A107" s="73"/>
      <c r="B107" s="73"/>
      <c r="C107" s="73"/>
      <c r="D107" s="73"/>
      <c r="E107" s="73"/>
      <c r="F107" s="73"/>
      <c r="G107" s="73"/>
      <c r="H107" s="73"/>
      <c r="I107" s="73"/>
      <c r="J107" s="73"/>
      <c r="K107" s="73"/>
      <c r="O107" s="73"/>
      <c r="Q107" s="73"/>
    </row>
    <row r="108" spans="1:17" ht="18.75" customHeight="1" x14ac:dyDescent="0.3">
      <c r="A108" s="74" t="s">
        <v>412</v>
      </c>
      <c r="B108" s="73"/>
      <c r="C108" s="73"/>
      <c r="D108" s="73"/>
      <c r="E108" s="73"/>
      <c r="F108" s="73"/>
      <c r="G108" s="73"/>
      <c r="H108" s="78"/>
      <c r="I108" s="73"/>
      <c r="J108" s="73"/>
      <c r="K108" s="73"/>
      <c r="O108" s="73"/>
      <c r="Q108" s="73"/>
    </row>
    <row r="109" spans="1:17" ht="18.75" customHeight="1" x14ac:dyDescent="0.3">
      <c r="A109" s="73"/>
      <c r="B109" s="73"/>
      <c r="C109" s="73"/>
      <c r="D109" s="73"/>
      <c r="E109" s="73"/>
      <c r="F109" s="73"/>
      <c r="G109" s="73"/>
      <c r="H109" s="73"/>
      <c r="I109" s="73"/>
      <c r="J109" s="73"/>
      <c r="K109" s="73"/>
      <c r="L109" s="73" t="s">
        <v>82</v>
      </c>
      <c r="O109" s="73"/>
      <c r="Q109" s="73"/>
    </row>
    <row r="110" spans="1:17" ht="18.75" customHeight="1" x14ac:dyDescent="0.3">
      <c r="A110" s="73"/>
      <c r="B110" s="73"/>
      <c r="C110" s="73"/>
      <c r="D110" s="73"/>
      <c r="E110" s="73"/>
      <c r="F110" s="73"/>
      <c r="G110" s="73"/>
      <c r="H110" s="73"/>
      <c r="I110" s="73"/>
      <c r="J110" s="73"/>
      <c r="K110" s="73"/>
      <c r="L110" s="73" t="s">
        <v>0</v>
      </c>
      <c r="O110" s="73"/>
      <c r="Q110" s="73"/>
    </row>
    <row r="111" spans="1:17" ht="18.75" customHeight="1" x14ac:dyDescent="0.3">
      <c r="A111" s="73"/>
      <c r="B111" s="73"/>
      <c r="C111" s="73"/>
      <c r="D111" s="73"/>
      <c r="E111" s="73"/>
      <c r="F111" s="73"/>
      <c r="G111" s="73"/>
      <c r="H111" s="73"/>
      <c r="I111" s="73"/>
      <c r="J111" s="73"/>
      <c r="K111" s="73"/>
      <c r="M111" s="73">
        <v>2016</v>
      </c>
      <c r="N111" s="73">
        <v>2017</v>
      </c>
      <c r="O111" s="73"/>
      <c r="Q111" s="73"/>
    </row>
    <row r="112" spans="1:17" ht="18.75" customHeight="1" x14ac:dyDescent="0.3">
      <c r="A112" s="73"/>
      <c r="B112" s="73"/>
      <c r="C112" s="73"/>
      <c r="D112" s="73"/>
      <c r="E112" s="73"/>
      <c r="F112" s="73"/>
      <c r="G112" s="73"/>
      <c r="H112" s="73"/>
      <c r="I112" s="73"/>
      <c r="J112" s="73"/>
      <c r="K112" s="73"/>
      <c r="L112" s="73" t="s">
        <v>58</v>
      </c>
      <c r="M112" s="76">
        <f>'Danica Pensjonsforsikring'!B11-'Danica Pensjonsforsikring'!B12+'Danica Pensjonsforsikring'!B34-'Danica Pensjonsforsikring'!B35+'Danica Pensjonsforsikring'!B38-'Danica Pensjonsforsikring'!B39+'Danica Pensjonsforsikring'!B111-'Danica Pensjonsforsikring'!B119+'Danica Pensjonsforsikring'!B136-'Danica Pensjonsforsikring'!B137</f>
        <v>-13497.161</v>
      </c>
      <c r="N112" s="76">
        <f>'Danica Pensjonsforsikring'!C11-'Danica Pensjonsforsikring'!C12+'Danica Pensjonsforsikring'!C34-'Danica Pensjonsforsikring'!C35+'Danica Pensjonsforsikring'!C38-'Danica Pensjonsforsikring'!C39+'Danica Pensjonsforsikring'!C111-'Danica Pensjonsforsikring'!C119+'Danica Pensjonsforsikring'!C136-'Danica Pensjonsforsikring'!C137</f>
        <v>8391.2209999999977</v>
      </c>
      <c r="O112" s="73"/>
      <c r="Q112" s="73"/>
    </row>
    <row r="113" spans="1:17" ht="18.75" customHeight="1" x14ac:dyDescent="0.3">
      <c r="A113" s="73"/>
      <c r="B113" s="73"/>
      <c r="C113" s="73"/>
      <c r="D113" s="73"/>
      <c r="E113" s="73"/>
      <c r="F113" s="73"/>
      <c r="G113" s="73"/>
      <c r="H113" s="73"/>
      <c r="I113" s="73"/>
      <c r="J113" s="73"/>
      <c r="K113" s="73"/>
      <c r="L113" s="73" t="s">
        <v>59</v>
      </c>
      <c r="M113" s="76">
        <f>'DNB Livsforsikring'!B11-'DNB Livsforsikring'!B12+'DNB Livsforsikring'!B34-'DNB Livsforsikring'!B35+'DNB Livsforsikring'!B38-'DNB Livsforsikring'!B39+'DNB Livsforsikring'!B111-'DNB Livsforsikring'!B119+'DNB Livsforsikring'!B136-'DNB Livsforsikring'!B137</f>
        <v>699030</v>
      </c>
      <c r="N113" s="76">
        <f>'DNB Livsforsikring'!C11-'DNB Livsforsikring'!C12+'DNB Livsforsikring'!C34-'DNB Livsforsikring'!C35+'DNB Livsforsikring'!C38-'DNB Livsforsikring'!C39+'DNB Livsforsikring'!C111-'DNB Livsforsikring'!C119+'DNB Livsforsikring'!C136-'DNB Livsforsikring'!C137</f>
        <v>418326</v>
      </c>
      <c r="O113" s="73"/>
      <c r="Q113" s="73"/>
    </row>
    <row r="114" spans="1:17" ht="18.75" customHeight="1" x14ac:dyDescent="0.3">
      <c r="A114" s="73"/>
      <c r="B114" s="73"/>
      <c r="C114" s="73"/>
      <c r="D114" s="73"/>
      <c r="E114" s="73"/>
      <c r="F114" s="73"/>
      <c r="G114" s="73"/>
      <c r="H114" s="73"/>
      <c r="I114" s="73"/>
      <c r="J114" s="73"/>
      <c r="K114" s="73"/>
      <c r="L114" s="78" t="s">
        <v>64</v>
      </c>
      <c r="M114" s="76">
        <f>'Gjensidige Pensjon'!B11-'Gjensidige Pensjon'!B12+'Gjensidige Pensjon'!B34-'Gjensidige Pensjon'!B35+'Gjensidige Pensjon'!B38-'Gjensidige Pensjon'!B39+'Gjensidige Pensjon'!B111-'Gjensidige Pensjon'!B119+'Gjensidige Pensjon'!B136-'Gjensidige Pensjon'!B137</f>
        <v>20522</v>
      </c>
      <c r="N114" s="76">
        <f>'Gjensidige Pensjon'!C11-'Gjensidige Pensjon'!C12+'Gjensidige Pensjon'!C34-'Gjensidige Pensjon'!C35+'Gjensidige Pensjon'!C38-'Gjensidige Pensjon'!C39+'Gjensidige Pensjon'!C111-'Gjensidige Pensjon'!C119+'Gjensidige Pensjon'!C136-'Gjensidige Pensjon'!C137</f>
        <v>49196</v>
      </c>
      <c r="O114" s="73"/>
      <c r="Q114" s="73"/>
    </row>
    <row r="115" spans="1:17" ht="18.75" customHeight="1" x14ac:dyDescent="0.3">
      <c r="A115" s="73"/>
      <c r="B115" s="73"/>
      <c r="C115" s="73"/>
      <c r="D115" s="73"/>
      <c r="E115" s="73"/>
      <c r="F115" s="73"/>
      <c r="G115" s="73"/>
      <c r="H115" s="73"/>
      <c r="I115" s="73"/>
      <c r="J115" s="73"/>
      <c r="K115" s="73"/>
      <c r="L115" s="78" t="s">
        <v>67</v>
      </c>
      <c r="M115" s="76">
        <f>KLP!B11-KLP!B12+KLP!B34-KLP!B35+KLP!B38-KLP!B39+KLP!B111-KLP!B119+KLP!B136-KLP!B137</f>
        <v>3128337.7660000003</v>
      </c>
      <c r="N115" s="76">
        <f>KLP!C11-KLP!C12+KLP!C34-KLP!C35+KLP!C38-KLP!C39+KLP!C111-KLP!C119+KLP!C136-KLP!C137</f>
        <v>60236.104999999981</v>
      </c>
      <c r="O115" s="73"/>
      <c r="Q115" s="73"/>
    </row>
    <row r="116" spans="1:17" ht="18.75" customHeight="1" x14ac:dyDescent="0.3">
      <c r="A116" s="73"/>
      <c r="B116" s="73"/>
      <c r="C116" s="73"/>
      <c r="D116" s="73"/>
      <c r="E116" s="73"/>
      <c r="F116" s="73"/>
      <c r="G116" s="73"/>
      <c r="H116" s="73"/>
      <c r="I116" s="73"/>
      <c r="J116" s="73"/>
      <c r="K116" s="73"/>
      <c r="L116" s="78" t="s">
        <v>68</v>
      </c>
      <c r="M116" s="76">
        <f>'KLP Bedriftspensjon AS'!B11-'KLP Bedriftspensjon AS'!B12+'KLP Bedriftspensjon AS'!B34-'KLP Bedriftspensjon AS'!B35+'KLP Bedriftspensjon AS'!B38-'KLP Bedriftspensjon AS'!B39+'KLP Bedriftspensjon AS'!B111-'KLP Bedriftspensjon AS'!B119+'KLP Bedriftspensjon AS'!B136-'KLP Bedriftspensjon AS'!B137</f>
        <v>1141</v>
      </c>
      <c r="N116" s="76">
        <f>'KLP Bedriftspensjon AS'!C11-'KLP Bedriftspensjon AS'!C12+'KLP Bedriftspensjon AS'!C34-'KLP Bedriftspensjon AS'!C35+'KLP Bedriftspensjon AS'!C38-'KLP Bedriftspensjon AS'!C39+'KLP Bedriftspensjon AS'!C111-'KLP Bedriftspensjon AS'!C119+'KLP Bedriftspensjon AS'!C136-'KLP Bedriftspensjon AS'!C137</f>
        <v>-13513</v>
      </c>
      <c r="O116" s="73"/>
      <c r="Q116" s="73"/>
    </row>
    <row r="117" spans="1:17" ht="18.75" customHeight="1" x14ac:dyDescent="0.3">
      <c r="A117" s="73"/>
      <c r="B117" s="73"/>
      <c r="C117" s="73"/>
      <c r="D117" s="73"/>
      <c r="E117" s="73"/>
      <c r="F117" s="73"/>
      <c r="G117" s="73"/>
      <c r="H117" s="73"/>
      <c r="I117" s="73"/>
      <c r="J117" s="73"/>
      <c r="K117" s="73"/>
      <c r="L117" s="73" t="s">
        <v>72</v>
      </c>
      <c r="M117" s="76">
        <f>'Nordea Liv '!B11-'Nordea Liv '!B12+'Nordea Liv '!B34-'Nordea Liv '!B35+'Nordea Liv '!B38-'Nordea Liv '!B39+'Nordea Liv '!B111-'Nordea Liv '!B119+'Nordea Liv '!B136-'Nordea Liv '!B137</f>
        <v>-92816.804760000028</v>
      </c>
      <c r="N117" s="76">
        <f>'Nordea Liv '!C11-'Nordea Liv '!C12+'Nordea Liv '!C34-'Nordea Liv '!C35+'Nordea Liv '!C38-'Nordea Liv '!C39+'Nordea Liv '!C111-'Nordea Liv '!C119+'Nordea Liv '!C136-'Nordea Liv '!C137</f>
        <v>-82238.518989999895</v>
      </c>
      <c r="O117" s="73"/>
      <c r="Q117" s="73"/>
    </row>
    <row r="118" spans="1:17" ht="18.75" customHeight="1" x14ac:dyDescent="0.3">
      <c r="A118" s="73"/>
      <c r="B118" s="73"/>
      <c r="C118" s="73"/>
      <c r="D118" s="73"/>
      <c r="E118" s="73"/>
      <c r="F118" s="73"/>
      <c r="G118" s="73"/>
      <c r="H118" s="73"/>
      <c r="I118" s="73"/>
      <c r="J118" s="73"/>
      <c r="K118" s="73"/>
      <c r="L118" s="73" t="s">
        <v>79</v>
      </c>
      <c r="M118" s="76">
        <f>'Silver Pensjonsforsikring AS'!B11-'Silver Pensjonsforsikring AS'!B12+'Silver Pensjonsforsikring AS'!B34-'Silver Pensjonsforsikring AS'!B35+'Silver Pensjonsforsikring AS'!B38-'Silver Pensjonsforsikring AS'!B39+'Silver Pensjonsforsikring AS'!B111-'Silver Pensjonsforsikring AS'!B119+'Silver Pensjonsforsikring AS'!B136-'Silver Pensjonsforsikring AS'!B137</f>
        <v>0</v>
      </c>
      <c r="N118" s="76">
        <f>'Silver Pensjonsforsikring AS'!C11-'Silver Pensjonsforsikring AS'!C12+'Silver Pensjonsforsikring AS'!C34-'Silver Pensjonsforsikring AS'!C35+'Silver Pensjonsforsikring AS'!C38-'Silver Pensjonsforsikring AS'!C39+'Silver Pensjonsforsikring AS'!C111-'Silver Pensjonsforsikring AS'!C119+'Silver Pensjonsforsikring AS'!C136-'Silver Pensjonsforsikring AS'!C137</f>
        <v>0</v>
      </c>
      <c r="O118" s="73"/>
      <c r="Q118" s="73"/>
    </row>
    <row r="119" spans="1:17" ht="18.75" customHeight="1" x14ac:dyDescent="0.3">
      <c r="A119" s="73"/>
      <c r="B119" s="73"/>
      <c r="C119" s="73"/>
      <c r="D119" s="73"/>
      <c r="E119" s="73"/>
      <c r="F119" s="73"/>
      <c r="G119" s="73"/>
      <c r="H119" s="73"/>
      <c r="I119" s="73"/>
      <c r="J119" s="73"/>
      <c r="K119" s="73"/>
      <c r="L119" s="73" t="s">
        <v>74</v>
      </c>
      <c r="M119" s="76">
        <f>'Sparebank 1'!B11-'Sparebank 1'!B12+'Sparebank 1'!B34-'Sparebank 1'!B35+'Sparebank 1'!B38-'Sparebank 1'!B39+'Sparebank 1'!B111-'Sparebank 1'!B119+'Sparebank 1'!B136-'Sparebank 1'!B137</f>
        <v>100246.76105</v>
      </c>
      <c r="N119" s="76">
        <f>'Sparebank 1'!C11-'Sparebank 1'!C12+'Sparebank 1'!C34-'Sparebank 1'!C35+'Sparebank 1'!C38-'Sparebank 1'!C39+'Sparebank 1'!C111-'Sparebank 1'!C119+'Sparebank 1'!C136-'Sparebank 1'!C137</f>
        <v>8306.1557399999947</v>
      </c>
      <c r="O119" s="73"/>
      <c r="Q119" s="73"/>
    </row>
    <row r="120" spans="1:17" ht="18.75" customHeight="1" x14ac:dyDescent="0.3">
      <c r="A120" s="73"/>
      <c r="B120" s="73"/>
      <c r="C120" s="73"/>
      <c r="D120" s="73"/>
      <c r="E120" s="73"/>
      <c r="F120" s="73"/>
      <c r="G120" s="73"/>
      <c r="H120" s="73"/>
      <c r="I120" s="73"/>
      <c r="J120" s="73"/>
      <c r="K120" s="73"/>
      <c r="L120" s="73" t="s">
        <v>75</v>
      </c>
      <c r="M120" s="76">
        <f>'Storebrand Livsforsikring'!B11-'Storebrand Livsforsikring'!B12+'Storebrand Livsforsikring'!B34-'Storebrand Livsforsikring'!B35+'Storebrand Livsforsikring'!B38-'Storebrand Livsforsikring'!B39+'Storebrand Livsforsikring'!B111-'Storebrand Livsforsikring'!B119+'Storebrand Livsforsikring'!B136-'Storebrand Livsforsikring'!B137</f>
        <v>-2009393.2790000001</v>
      </c>
      <c r="N120" s="76">
        <f>'Storebrand Livsforsikring'!C11-'Storebrand Livsforsikring'!C12+'Storebrand Livsforsikring'!C34-'Storebrand Livsforsikring'!C35+'Storebrand Livsforsikring'!C38-'Storebrand Livsforsikring'!C39+'Storebrand Livsforsikring'!C111-'Storebrand Livsforsikring'!C119+'Storebrand Livsforsikring'!C136-'Storebrand Livsforsikring'!C137</f>
        <v>-286957.93400000001</v>
      </c>
      <c r="O120" s="73"/>
    </row>
    <row r="121" spans="1:17" ht="18.75" customHeight="1" x14ac:dyDescent="0.3">
      <c r="A121" s="73"/>
      <c r="B121" s="73"/>
      <c r="C121" s="73"/>
      <c r="D121" s="73"/>
      <c r="E121" s="73"/>
      <c r="F121" s="73"/>
      <c r="G121" s="73"/>
      <c r="H121" s="73"/>
      <c r="I121" s="73"/>
      <c r="J121" s="73"/>
      <c r="K121" s="73"/>
      <c r="M121" s="76"/>
      <c r="N121" s="76"/>
      <c r="O121" s="73"/>
    </row>
    <row r="122" spans="1:17" ht="18.75" customHeight="1" x14ac:dyDescent="0.3">
      <c r="A122" s="73"/>
      <c r="B122" s="73"/>
      <c r="C122" s="73"/>
      <c r="D122" s="73"/>
      <c r="E122" s="73"/>
      <c r="F122" s="73"/>
      <c r="G122" s="73"/>
      <c r="H122" s="73"/>
      <c r="I122" s="73"/>
      <c r="J122" s="73"/>
      <c r="K122" s="73"/>
      <c r="M122" s="76"/>
      <c r="N122" s="76"/>
      <c r="O122" s="73"/>
    </row>
    <row r="123" spans="1:17" ht="18.75" customHeight="1" x14ac:dyDescent="0.3">
      <c r="A123" s="73"/>
      <c r="B123" s="73"/>
      <c r="C123" s="73"/>
      <c r="D123" s="73"/>
      <c r="E123" s="73"/>
      <c r="F123" s="73"/>
      <c r="G123" s="73"/>
      <c r="H123" s="73"/>
      <c r="I123" s="73"/>
      <c r="J123" s="73"/>
      <c r="K123" s="73"/>
      <c r="M123" s="76"/>
      <c r="N123" s="76"/>
      <c r="O123" s="73"/>
    </row>
    <row r="124" spans="1:17" ht="18.75" customHeight="1" x14ac:dyDescent="0.3">
      <c r="A124" s="73"/>
      <c r="B124" s="73"/>
      <c r="C124" s="73"/>
      <c r="D124" s="73"/>
      <c r="E124" s="73"/>
      <c r="F124" s="73"/>
      <c r="G124" s="73"/>
      <c r="H124" s="73"/>
      <c r="I124" s="73"/>
      <c r="J124" s="73"/>
      <c r="K124" s="73"/>
      <c r="M124" s="76"/>
      <c r="N124" s="76"/>
      <c r="O124" s="73"/>
    </row>
    <row r="125" spans="1:17" ht="18.75" customHeight="1" x14ac:dyDescent="0.3">
      <c r="A125" s="73"/>
      <c r="B125" s="73"/>
      <c r="C125" s="73"/>
      <c r="D125" s="73"/>
      <c r="E125" s="73"/>
      <c r="F125" s="73"/>
      <c r="G125" s="73"/>
      <c r="H125" s="73"/>
      <c r="I125" s="73"/>
      <c r="J125" s="73"/>
      <c r="K125" s="73"/>
      <c r="M125" s="76"/>
      <c r="N125" s="76"/>
      <c r="O125" s="73"/>
    </row>
    <row r="126" spans="1:17" x14ac:dyDescent="0.3">
      <c r="A126" s="73"/>
      <c r="B126" s="73"/>
      <c r="C126" s="73"/>
      <c r="D126" s="73"/>
      <c r="E126" s="73"/>
      <c r="F126" s="73"/>
      <c r="G126" s="73"/>
      <c r="H126" s="73"/>
      <c r="I126" s="73"/>
      <c r="J126" s="73"/>
      <c r="K126" s="73"/>
      <c r="M126" s="76"/>
      <c r="N126" s="76"/>
      <c r="O126" s="73"/>
    </row>
    <row r="127" spans="1:17" x14ac:dyDescent="0.3">
      <c r="A127" s="73"/>
      <c r="B127" s="73"/>
      <c r="C127" s="73"/>
      <c r="D127" s="73"/>
      <c r="E127" s="73"/>
      <c r="F127" s="73"/>
      <c r="G127" s="73"/>
      <c r="H127" s="73"/>
      <c r="I127" s="73"/>
      <c r="J127" s="73"/>
      <c r="K127" s="73"/>
      <c r="M127" s="76"/>
      <c r="N127" s="76"/>
      <c r="O127" s="73"/>
    </row>
    <row r="128" spans="1:17" x14ac:dyDescent="0.3">
      <c r="A128" s="73"/>
      <c r="B128" s="73"/>
      <c r="C128" s="73"/>
      <c r="D128" s="73"/>
      <c r="E128" s="73"/>
      <c r="F128" s="73"/>
      <c r="G128" s="73"/>
      <c r="H128" s="73"/>
      <c r="I128" s="73"/>
      <c r="J128" s="73"/>
      <c r="K128" s="73"/>
      <c r="M128" s="76"/>
      <c r="N128" s="76"/>
      <c r="O128" s="73"/>
    </row>
    <row r="129" spans="1:15" x14ac:dyDescent="0.3">
      <c r="A129" s="73"/>
      <c r="B129" s="73"/>
      <c r="C129" s="73"/>
      <c r="D129" s="73"/>
      <c r="E129" s="73"/>
      <c r="F129" s="73"/>
      <c r="G129" s="73"/>
      <c r="H129" s="73"/>
      <c r="I129" s="73"/>
      <c r="J129" s="73"/>
      <c r="K129" s="73"/>
      <c r="O129" s="73"/>
    </row>
    <row r="130" spans="1:15" x14ac:dyDescent="0.3">
      <c r="A130" s="73"/>
      <c r="B130" s="73"/>
      <c r="C130" s="73"/>
      <c r="D130" s="73"/>
      <c r="E130" s="73"/>
      <c r="F130" s="73"/>
      <c r="G130" s="73"/>
      <c r="H130" s="73"/>
      <c r="I130" s="73"/>
      <c r="J130" s="73"/>
      <c r="K130" s="73"/>
      <c r="O130" s="73"/>
    </row>
    <row r="131" spans="1:15" x14ac:dyDescent="0.3">
      <c r="A131" s="73"/>
      <c r="B131" s="73"/>
      <c r="C131" s="73"/>
      <c r="D131" s="73"/>
      <c r="E131" s="73"/>
      <c r="F131" s="73"/>
      <c r="G131" s="73"/>
      <c r="H131" s="73"/>
      <c r="I131" s="73"/>
      <c r="J131" s="73"/>
      <c r="K131" s="73"/>
      <c r="O131" s="73"/>
    </row>
    <row r="132" spans="1:15" x14ac:dyDescent="0.3">
      <c r="A132" s="73"/>
      <c r="B132" s="73"/>
      <c r="C132" s="73"/>
      <c r="D132" s="73"/>
      <c r="E132" s="73"/>
      <c r="F132" s="73"/>
      <c r="G132" s="73"/>
      <c r="H132" s="73"/>
      <c r="I132" s="73"/>
      <c r="J132" s="73"/>
      <c r="K132" s="73"/>
      <c r="O132" s="73"/>
    </row>
    <row r="133" spans="1:15" x14ac:dyDescent="0.3">
      <c r="A133" s="74" t="s">
        <v>413</v>
      </c>
      <c r="B133" s="73"/>
      <c r="C133" s="73"/>
      <c r="D133" s="73"/>
      <c r="E133" s="73"/>
      <c r="F133" s="73"/>
      <c r="G133" s="73"/>
      <c r="H133" s="78"/>
      <c r="I133" s="73"/>
      <c r="J133" s="73"/>
      <c r="K133" s="73"/>
      <c r="O133" s="73"/>
    </row>
    <row r="134" spans="1:15" x14ac:dyDescent="0.3">
      <c r="B134" s="73"/>
      <c r="C134" s="73"/>
      <c r="D134" s="73"/>
      <c r="E134" s="73"/>
      <c r="F134" s="73"/>
      <c r="G134" s="73"/>
      <c r="H134" s="73"/>
      <c r="I134" s="73"/>
      <c r="J134" s="73"/>
      <c r="K134" s="73"/>
      <c r="O134" s="73"/>
    </row>
    <row r="135" spans="1:15" x14ac:dyDescent="0.3">
      <c r="A135" s="73"/>
      <c r="B135" s="73"/>
      <c r="C135" s="73"/>
      <c r="D135" s="73"/>
      <c r="E135" s="73"/>
      <c r="F135" s="73"/>
      <c r="G135" s="73"/>
      <c r="H135" s="73"/>
      <c r="I135" s="73"/>
      <c r="J135" s="73"/>
      <c r="K135" s="73"/>
      <c r="L135" s="73" t="s">
        <v>83</v>
      </c>
      <c r="O135" s="73"/>
    </row>
    <row r="136" spans="1:15" x14ac:dyDescent="0.3">
      <c r="A136" s="73"/>
      <c r="B136" s="73"/>
      <c r="C136" s="73"/>
      <c r="D136" s="73"/>
      <c r="E136" s="73"/>
      <c r="F136" s="73"/>
      <c r="G136" s="73"/>
      <c r="H136" s="73"/>
      <c r="I136" s="73"/>
      <c r="J136" s="73"/>
      <c r="K136" s="73"/>
      <c r="L136" s="73" t="s">
        <v>1</v>
      </c>
      <c r="O136" s="73"/>
    </row>
    <row r="137" spans="1:15" x14ac:dyDescent="0.3">
      <c r="A137" s="73"/>
      <c r="B137" s="73"/>
      <c r="C137" s="73"/>
      <c r="D137" s="73"/>
      <c r="E137" s="73"/>
      <c r="F137" s="73"/>
      <c r="G137" s="73"/>
      <c r="H137" s="73"/>
      <c r="I137" s="73"/>
      <c r="J137" s="73"/>
      <c r="K137" s="73"/>
      <c r="M137" s="73">
        <v>2016</v>
      </c>
      <c r="N137" s="73">
        <v>2017</v>
      </c>
      <c r="O137" s="73"/>
    </row>
    <row r="138" spans="1:15" x14ac:dyDescent="0.3">
      <c r="A138" s="73"/>
      <c r="B138" s="73"/>
      <c r="C138" s="73"/>
      <c r="D138" s="73"/>
      <c r="E138" s="73"/>
      <c r="F138" s="73"/>
      <c r="G138" s="73"/>
      <c r="H138" s="73"/>
      <c r="I138" s="73"/>
      <c r="J138" s="73"/>
      <c r="K138" s="73"/>
      <c r="L138" s="73" t="s">
        <v>58</v>
      </c>
      <c r="M138" s="76">
        <f>'Danica Pensjonsforsikring'!F11-'Danica Pensjonsforsikring'!F12+'Danica Pensjonsforsikring'!F34-'Danica Pensjonsforsikring'!F35+'Danica Pensjonsforsikring'!F38-'Danica Pensjonsforsikring'!F39+'Danica Pensjonsforsikring'!F111-'Danica Pensjonsforsikring'!F119+'Danica Pensjonsforsikring'!F136-'Danica Pensjonsforsikring'!F137</f>
        <v>103090.35200000007</v>
      </c>
      <c r="N138" s="76">
        <f>'Danica Pensjonsforsikring'!G11-'Danica Pensjonsforsikring'!G12+'Danica Pensjonsforsikring'!G34-'Danica Pensjonsforsikring'!G35+'Danica Pensjonsforsikring'!G38-'Danica Pensjonsforsikring'!G39+'Danica Pensjonsforsikring'!G111-'Danica Pensjonsforsikring'!G119+'Danica Pensjonsforsikring'!G136-'Danica Pensjonsforsikring'!G137</f>
        <v>234366.00800000003</v>
      </c>
      <c r="O138" s="73"/>
    </row>
    <row r="139" spans="1:15" x14ac:dyDescent="0.3">
      <c r="A139" s="73"/>
      <c r="B139" s="73"/>
      <c r="C139" s="73"/>
      <c r="D139" s="73"/>
      <c r="E139" s="73"/>
      <c r="F139" s="73"/>
      <c r="G139" s="73"/>
      <c r="H139" s="73"/>
      <c r="I139" s="73"/>
      <c r="J139" s="73"/>
      <c r="K139" s="73"/>
      <c r="L139" s="73" t="s">
        <v>59</v>
      </c>
      <c r="M139" s="76">
        <f>'DNB Livsforsikring'!F11-'DNB Livsforsikring'!F12+'DNB Livsforsikring'!F34-'DNB Livsforsikring'!F35+'DNB Livsforsikring'!F38-'DNB Livsforsikring'!F39+'DNB Livsforsikring'!F111-'DNB Livsforsikring'!F119+'DNB Livsforsikring'!F136-'DNB Livsforsikring'!F137</f>
        <v>287011</v>
      </c>
      <c r="N139" s="76">
        <f>'DNB Livsforsikring'!G11-'DNB Livsforsikring'!G12+'DNB Livsforsikring'!G34-'DNB Livsforsikring'!G35+'DNB Livsforsikring'!G38-'DNB Livsforsikring'!G39+'DNB Livsforsikring'!G111-'DNB Livsforsikring'!G119+'DNB Livsforsikring'!G136-'DNB Livsforsikring'!G137</f>
        <v>1294346</v>
      </c>
      <c r="O139" s="73"/>
    </row>
    <row r="140" spans="1:15" x14ac:dyDescent="0.3">
      <c r="A140" s="73"/>
      <c r="B140" s="73"/>
      <c r="C140" s="73"/>
      <c r="D140" s="73"/>
      <c r="E140" s="73"/>
      <c r="F140" s="73"/>
      <c r="G140" s="73"/>
      <c r="H140" s="73"/>
      <c r="I140" s="73"/>
      <c r="J140" s="73"/>
      <c r="K140" s="73"/>
      <c r="L140" s="73" t="s">
        <v>61</v>
      </c>
      <c r="M140" s="76">
        <f>'Frende Livsforsikring'!F11-'Frende Livsforsikring'!F12+'Frende Livsforsikring'!F34-'Frende Livsforsikring'!F35+'Frende Livsforsikring'!F38-'Frende Livsforsikring'!F39+'Frende Livsforsikring'!F111-'Frende Livsforsikring'!F119+'Frende Livsforsikring'!F136-'Frende Livsforsikring'!F137</f>
        <v>-28214</v>
      </c>
      <c r="N140" s="76">
        <f>'Frende Livsforsikring'!G11-'Frende Livsforsikring'!G12+'Frende Livsforsikring'!G34-'Frende Livsforsikring'!G35+'Frende Livsforsikring'!G38-'Frende Livsforsikring'!G39+'Frende Livsforsikring'!G111-'Frende Livsforsikring'!G119+'Frende Livsforsikring'!G136-'Frende Livsforsikring'!G137</f>
        <v>-40663.235000000001</v>
      </c>
      <c r="O140" s="73"/>
    </row>
    <row r="141" spans="1:15" x14ac:dyDescent="0.3">
      <c r="A141" s="73"/>
      <c r="B141" s="73"/>
      <c r="C141" s="73"/>
      <c r="D141" s="73"/>
      <c r="E141" s="73"/>
      <c r="F141" s="73"/>
      <c r="G141" s="73"/>
      <c r="H141" s="73"/>
      <c r="I141" s="73"/>
      <c r="J141" s="73"/>
      <c r="K141" s="73"/>
      <c r="L141" s="78" t="s">
        <v>64</v>
      </c>
      <c r="M141" s="76">
        <f>'Gjensidige Pensjon'!F11-'Gjensidige Pensjon'!F12+'Gjensidige Pensjon'!F34-'Gjensidige Pensjon'!F35+'Gjensidige Pensjon'!F38-'Gjensidige Pensjon'!F39+'Gjensidige Pensjon'!F111-'Gjensidige Pensjon'!F119+'Gjensidige Pensjon'!F136-'Gjensidige Pensjon'!F137</f>
        <v>415769</v>
      </c>
      <c r="N141" s="76">
        <f>'Gjensidige Pensjon'!G11-'Gjensidige Pensjon'!G12+'Gjensidige Pensjon'!G34-'Gjensidige Pensjon'!G35+'Gjensidige Pensjon'!G38-'Gjensidige Pensjon'!G39+'Gjensidige Pensjon'!G111-'Gjensidige Pensjon'!G119+'Gjensidige Pensjon'!G136-'Gjensidige Pensjon'!G137</f>
        <v>738595</v>
      </c>
      <c r="O141" s="73"/>
    </row>
    <row r="142" spans="1:15" x14ac:dyDescent="0.3">
      <c r="A142" s="73"/>
      <c r="B142" s="73"/>
      <c r="C142" s="73"/>
      <c r="D142" s="73"/>
      <c r="E142" s="73"/>
      <c r="F142" s="73"/>
      <c r="G142" s="73"/>
      <c r="H142" s="73"/>
      <c r="I142" s="73"/>
      <c r="J142" s="73"/>
      <c r="K142" s="73"/>
      <c r="L142" s="73" t="s">
        <v>68</v>
      </c>
      <c r="M142" s="76">
        <f>'KLP Bedriftspensjon AS'!F11-'KLP Bedriftspensjon AS'!F12+'KLP Bedriftspensjon AS'!F34-'KLP Bedriftspensjon AS'!F35+'KLP Bedriftspensjon AS'!F38-'KLP Bedriftspensjon AS'!F39+'KLP Bedriftspensjon AS'!F111-'KLP Bedriftspensjon AS'!F119+'KLP Bedriftspensjon AS'!F136-'KLP Bedriftspensjon AS'!F137</f>
        <v>135635</v>
      </c>
      <c r="N142" s="76">
        <f>'KLP Bedriftspensjon AS'!G11-'KLP Bedriftspensjon AS'!G12+'KLP Bedriftspensjon AS'!G34-'KLP Bedriftspensjon AS'!G35+'KLP Bedriftspensjon AS'!G38-'KLP Bedriftspensjon AS'!G39+'KLP Bedriftspensjon AS'!G111-'KLP Bedriftspensjon AS'!G119+'KLP Bedriftspensjon AS'!G136-'KLP Bedriftspensjon AS'!G137</f>
        <v>431562</v>
      </c>
      <c r="O142" s="73"/>
    </row>
    <row r="143" spans="1:15" x14ac:dyDescent="0.3">
      <c r="A143" s="73"/>
      <c r="B143" s="73"/>
      <c r="C143" s="73"/>
      <c r="D143" s="73"/>
      <c r="E143" s="73"/>
      <c r="F143" s="73"/>
      <c r="G143" s="73"/>
      <c r="H143" s="73"/>
      <c r="I143" s="73"/>
      <c r="J143" s="73"/>
      <c r="K143" s="73"/>
      <c r="L143" s="73" t="s">
        <v>72</v>
      </c>
      <c r="M143" s="76">
        <f>'Nordea Liv '!F11-'Nordea Liv '!F12+'Nordea Liv '!F34-'Nordea Liv '!F35+'Nordea Liv '!F38-'Nordea Liv '!F39+'Nordea Liv '!F111-'Nordea Liv '!F119+'Nordea Liv '!F136-'Nordea Liv '!F137</f>
        <v>-423133.50978000008</v>
      </c>
      <c r="N143" s="76">
        <f>'Nordea Liv '!G11-'Nordea Liv '!G12+'Nordea Liv '!G34-'Nordea Liv '!G35+'Nordea Liv '!G38-'Nordea Liv '!G39+'Nordea Liv '!G111-'Nordea Liv '!G119+'Nordea Liv '!G136-'Nordea Liv '!G137</f>
        <v>-1089161.4378300002</v>
      </c>
      <c r="O143" s="73"/>
    </row>
    <row r="144" spans="1:15" x14ac:dyDescent="0.3">
      <c r="A144" s="73"/>
      <c r="B144" s="73"/>
      <c r="C144" s="73"/>
      <c r="D144" s="73"/>
      <c r="E144" s="73"/>
      <c r="F144" s="73"/>
      <c r="G144" s="73"/>
      <c r="H144" s="73"/>
      <c r="I144" s="73"/>
      <c r="J144" s="73"/>
      <c r="K144" s="73"/>
      <c r="L144" s="73" t="s">
        <v>78</v>
      </c>
      <c r="M144" s="76">
        <f>'SHB Liv'!F11-'SHB Liv'!F12+'SHB Liv'!F34-'SHB Liv'!F35+'SHB Liv'!F38-'SHB Liv'!F39+'SHB Liv'!F111-'SHB Liv'!F119+'SHB Liv'!F136-'SHB Liv'!F137</f>
        <v>87560</v>
      </c>
      <c r="N144" s="76">
        <f>'SHB Liv'!G11-'SHB Liv'!G12+'SHB Liv'!G34-'SHB Liv'!G35+'SHB Liv'!G38-'SHB Liv'!G39+'SHB Liv'!G111-'SHB Liv'!G119+'SHB Liv'!G136-'SHB Liv'!G137</f>
        <v>95800.697</v>
      </c>
      <c r="O144" s="73"/>
    </row>
    <row r="145" spans="1:15" x14ac:dyDescent="0.3">
      <c r="A145" s="73"/>
      <c r="B145" s="73"/>
      <c r="C145" s="73"/>
      <c r="D145" s="73"/>
      <c r="E145" s="73"/>
      <c r="F145" s="73"/>
      <c r="G145" s="73"/>
      <c r="H145" s="73"/>
      <c r="I145" s="73"/>
      <c r="J145" s="73"/>
      <c r="K145" s="73"/>
      <c r="L145" s="73" t="s">
        <v>79</v>
      </c>
      <c r="M145" s="76">
        <f>'Silver Pensjonsforsikring AS'!F11-'Silver Pensjonsforsikring AS'!F12+'Silver Pensjonsforsikring AS'!F34-'Silver Pensjonsforsikring AS'!F35+'Silver Pensjonsforsikring AS'!F38-'Silver Pensjonsforsikring AS'!F39+'Silver Pensjonsforsikring AS'!F111-'Silver Pensjonsforsikring AS'!F119+'Silver Pensjonsforsikring AS'!F136-'Silver Pensjonsforsikring AS'!F137</f>
        <v>0</v>
      </c>
      <c r="N145" s="76">
        <f>'Silver Pensjonsforsikring AS'!G11-'Silver Pensjonsforsikring AS'!G12+'Silver Pensjonsforsikring AS'!G34-'Silver Pensjonsforsikring AS'!G35+'Silver Pensjonsforsikring AS'!G38-'Silver Pensjonsforsikring AS'!G39+'Silver Pensjonsforsikring AS'!G111-'Silver Pensjonsforsikring AS'!G119+'Silver Pensjonsforsikring AS'!G136-'Silver Pensjonsforsikring AS'!G137</f>
        <v>0</v>
      </c>
      <c r="O145" s="73"/>
    </row>
    <row r="146" spans="1:15" x14ac:dyDescent="0.3">
      <c r="A146" s="73"/>
      <c r="B146" s="73"/>
      <c r="C146" s="73"/>
      <c r="D146" s="73"/>
      <c r="E146" s="73"/>
      <c r="F146" s="73"/>
      <c r="G146" s="73"/>
      <c r="H146" s="73"/>
      <c r="I146" s="73"/>
      <c r="J146" s="73"/>
      <c r="K146" s="73"/>
      <c r="L146" s="73" t="s">
        <v>74</v>
      </c>
      <c r="M146" s="76">
        <f>'Sparebank 1'!F11-'Sparebank 1'!F12+'Sparebank 1'!F34-'Sparebank 1'!F35+'Sparebank 1'!F38-'Sparebank 1'!F39+'Sparebank 1'!F111-'Sparebank 1'!F119+'Sparebank 1'!F136-'Sparebank 1'!F137</f>
        <v>1135606.9406599998</v>
      </c>
      <c r="N146" s="76">
        <f>'Sparebank 1'!G11-'Sparebank 1'!G12+'Sparebank 1'!G34-'Sparebank 1'!G35+'Sparebank 1'!G38-'Sparebank 1'!G39+'Sparebank 1'!G111-'Sparebank 1'!G119+'Sparebank 1'!G136-'Sparebank 1'!G137</f>
        <v>875736.41453000007</v>
      </c>
      <c r="O146" s="73"/>
    </row>
    <row r="147" spans="1:15" x14ac:dyDescent="0.3">
      <c r="A147" s="73"/>
      <c r="B147" s="73"/>
      <c r="C147" s="73"/>
      <c r="D147" s="73"/>
      <c r="E147" s="73"/>
      <c r="F147" s="73"/>
      <c r="G147" s="73"/>
      <c r="H147" s="73"/>
      <c r="I147" s="73"/>
      <c r="J147" s="73"/>
      <c r="K147" s="73"/>
      <c r="L147" s="73" t="s">
        <v>80</v>
      </c>
      <c r="M147" s="76">
        <f>'Storebrand Livsforsikring'!F11-'Storebrand Livsforsikring'!F12+'Storebrand Livsforsikring'!F34-'Storebrand Livsforsikring'!F35+'Storebrand Livsforsikring'!F38-'Storebrand Livsforsikring'!F39+'Storebrand Livsforsikring'!F111-'Storebrand Livsforsikring'!F119+'Storebrand Livsforsikring'!F136-'Storebrand Livsforsikring'!F137</f>
        <v>-1591684.1879999998</v>
      </c>
      <c r="N147" s="76">
        <f>'Storebrand Livsforsikring'!G11-'Storebrand Livsforsikring'!G12+'Storebrand Livsforsikring'!G34-'Storebrand Livsforsikring'!G35+'Storebrand Livsforsikring'!G38-'Storebrand Livsforsikring'!G39+'Storebrand Livsforsikring'!G111-'Storebrand Livsforsikring'!G119+'Storebrand Livsforsikring'!G136-'Storebrand Livsforsikring'!G137</f>
        <v>-2684655.31</v>
      </c>
      <c r="O147" s="73"/>
    </row>
    <row r="148" spans="1:15" x14ac:dyDescent="0.3">
      <c r="A148" s="73"/>
      <c r="B148" s="73"/>
      <c r="C148" s="73"/>
      <c r="D148" s="73"/>
      <c r="E148" s="73"/>
      <c r="F148" s="73"/>
      <c r="G148" s="73"/>
      <c r="H148" s="73"/>
      <c r="I148" s="73"/>
      <c r="J148" s="73"/>
      <c r="K148" s="73"/>
      <c r="O148" s="73"/>
    </row>
    <row r="149" spans="1:15" x14ac:dyDescent="0.3">
      <c r="A149" s="73"/>
      <c r="B149" s="73"/>
      <c r="C149" s="73"/>
      <c r="D149" s="73"/>
      <c r="E149" s="73"/>
      <c r="F149" s="73"/>
      <c r="G149" s="73"/>
      <c r="H149" s="73"/>
      <c r="I149" s="73"/>
      <c r="J149" s="73"/>
      <c r="K149" s="73"/>
      <c r="O149" s="73"/>
    </row>
    <row r="150" spans="1:15" x14ac:dyDescent="0.3">
      <c r="A150" s="73"/>
      <c r="B150" s="73"/>
      <c r="C150" s="73"/>
      <c r="D150" s="73"/>
      <c r="E150" s="73"/>
      <c r="F150" s="73"/>
      <c r="G150" s="73"/>
      <c r="H150" s="73"/>
      <c r="I150" s="73"/>
      <c r="J150" s="73"/>
      <c r="K150" s="73"/>
      <c r="O150" s="73"/>
    </row>
    <row r="151" spans="1:15" x14ac:dyDescent="0.3">
      <c r="A151" s="73"/>
      <c r="B151" s="73"/>
      <c r="C151" s="73"/>
      <c r="D151" s="73"/>
      <c r="E151" s="73"/>
      <c r="F151" s="73"/>
      <c r="G151" s="73"/>
      <c r="H151" s="73"/>
      <c r="I151" s="73"/>
      <c r="J151" s="73"/>
      <c r="K151" s="73"/>
      <c r="O151" s="73"/>
    </row>
    <row r="152" spans="1:15" x14ac:dyDescent="0.3">
      <c r="A152" s="73"/>
      <c r="B152" s="73"/>
      <c r="C152" s="73"/>
      <c r="D152" s="73"/>
      <c r="E152" s="73"/>
      <c r="F152" s="73"/>
      <c r="G152" s="73"/>
      <c r="H152" s="73"/>
      <c r="I152" s="73"/>
      <c r="J152" s="73"/>
      <c r="K152" s="73"/>
      <c r="O152" s="73"/>
    </row>
    <row r="153" spans="1:15" x14ac:dyDescent="0.3">
      <c r="A153" s="73"/>
      <c r="B153" s="73"/>
      <c r="C153" s="73"/>
      <c r="D153" s="73"/>
      <c r="E153" s="73"/>
      <c r="F153" s="73"/>
      <c r="G153" s="73"/>
      <c r="H153" s="73"/>
      <c r="I153" s="73"/>
      <c r="J153" s="73"/>
      <c r="K153" s="73"/>
      <c r="O153" s="73"/>
    </row>
    <row r="154" spans="1:15" x14ac:dyDescent="0.3">
      <c r="A154" s="73"/>
      <c r="B154" s="73"/>
      <c r="C154" s="73"/>
      <c r="D154" s="73"/>
      <c r="E154" s="73"/>
      <c r="F154" s="73"/>
      <c r="G154" s="73"/>
      <c r="H154" s="73"/>
      <c r="I154" s="73"/>
      <c r="J154" s="73"/>
      <c r="K154" s="73"/>
      <c r="O154" s="73"/>
    </row>
    <row r="155" spans="1:15" x14ac:dyDescent="0.3">
      <c r="A155" s="73"/>
      <c r="B155" s="73"/>
      <c r="C155" s="73"/>
      <c r="D155" s="73"/>
      <c r="E155" s="73"/>
      <c r="F155" s="73"/>
      <c r="G155" s="73"/>
      <c r="H155" s="73"/>
      <c r="I155" s="73"/>
      <c r="J155" s="73"/>
      <c r="K155" s="73"/>
      <c r="O155" s="73"/>
    </row>
    <row r="156" spans="1:15" x14ac:dyDescent="0.3">
      <c r="A156" s="73"/>
      <c r="B156" s="73"/>
      <c r="C156" s="73"/>
      <c r="D156" s="73"/>
      <c r="E156" s="73"/>
      <c r="F156" s="73"/>
      <c r="G156" s="73"/>
      <c r="H156" s="73"/>
      <c r="I156" s="73"/>
      <c r="J156" s="73"/>
      <c r="K156" s="73"/>
      <c r="O156" s="73"/>
    </row>
    <row r="157" spans="1:15" x14ac:dyDescent="0.3">
      <c r="A157" s="73"/>
      <c r="B157" s="73"/>
      <c r="C157" s="73"/>
      <c r="D157" s="73"/>
      <c r="E157" s="73"/>
      <c r="F157" s="73"/>
      <c r="G157" s="73"/>
      <c r="H157" s="73"/>
      <c r="I157" s="73"/>
      <c r="J157" s="73"/>
      <c r="K157" s="73"/>
      <c r="O157" s="73"/>
    </row>
    <row r="158" spans="1:15" x14ac:dyDescent="0.3">
      <c r="O158" s="73"/>
    </row>
    <row r="159" spans="1:15" x14ac:dyDescent="0.3">
      <c r="O159" s="73"/>
    </row>
    <row r="160" spans="1:15" x14ac:dyDescent="0.3">
      <c r="O160" s="73"/>
    </row>
    <row r="161" spans="1:15" x14ac:dyDescent="0.3">
      <c r="O161" s="73"/>
    </row>
    <row r="162" spans="1:15" x14ac:dyDescent="0.3">
      <c r="O162" s="73"/>
    </row>
    <row r="163" spans="1:15" x14ac:dyDescent="0.3">
      <c r="O163" s="73"/>
    </row>
    <row r="164" spans="1:15" x14ac:dyDescent="0.3">
      <c r="O164" s="73"/>
    </row>
    <row r="165" spans="1:15" x14ac:dyDescent="0.3">
      <c r="O165" s="73"/>
    </row>
    <row r="166" spans="1:15" x14ac:dyDescent="0.3">
      <c r="O166" s="73"/>
    </row>
    <row r="167" spans="1:15" x14ac:dyDescent="0.3">
      <c r="O167" s="73"/>
    </row>
    <row r="168" spans="1:15" x14ac:dyDescent="0.3">
      <c r="O168" s="73"/>
    </row>
    <row r="169" spans="1:15" x14ac:dyDescent="0.3">
      <c r="O169" s="73"/>
    </row>
    <row r="170" spans="1:15" x14ac:dyDescent="0.3">
      <c r="O170" s="73"/>
    </row>
    <row r="171" spans="1:15" x14ac:dyDescent="0.3">
      <c r="O171" s="73"/>
    </row>
    <row r="172" spans="1:15" x14ac:dyDescent="0.3">
      <c r="O172" s="73"/>
    </row>
    <row r="173" spans="1:15" x14ac:dyDescent="0.3">
      <c r="O173" s="73"/>
    </row>
    <row r="174" spans="1:15" x14ac:dyDescent="0.3">
      <c r="A174" s="73"/>
      <c r="B174" s="73"/>
      <c r="C174" s="73"/>
      <c r="D174" s="73"/>
      <c r="E174" s="73"/>
      <c r="F174" s="73"/>
      <c r="G174" s="73"/>
      <c r="H174" s="73"/>
      <c r="I174" s="73"/>
      <c r="J174" s="73"/>
      <c r="K174" s="73"/>
      <c r="O174" s="73"/>
    </row>
    <row r="175" spans="1:15" x14ac:dyDescent="0.3">
      <c r="A175" s="73"/>
      <c r="B175" s="73"/>
      <c r="C175" s="73"/>
      <c r="D175" s="73"/>
      <c r="E175" s="73"/>
      <c r="F175" s="73"/>
      <c r="G175" s="73"/>
      <c r="H175" s="73"/>
      <c r="I175" s="73"/>
      <c r="J175" s="73"/>
      <c r="K175" s="73"/>
      <c r="O175" s="73"/>
    </row>
    <row r="176" spans="1:15" x14ac:dyDescent="0.3">
      <c r="A176" s="73"/>
      <c r="B176" s="73"/>
      <c r="C176" s="73"/>
      <c r="D176" s="73"/>
      <c r="E176" s="73"/>
      <c r="F176" s="73"/>
      <c r="G176" s="73"/>
      <c r="H176" s="73"/>
      <c r="I176" s="73"/>
      <c r="J176" s="73"/>
      <c r="K176" s="73"/>
      <c r="O176" s="73"/>
    </row>
    <row r="177" spans="1:15" x14ac:dyDescent="0.3">
      <c r="A177" s="73"/>
      <c r="B177" s="73"/>
      <c r="C177" s="73"/>
      <c r="D177" s="73"/>
      <c r="E177" s="73"/>
      <c r="F177" s="73"/>
      <c r="G177" s="73"/>
      <c r="H177" s="73"/>
      <c r="I177" s="73"/>
      <c r="J177" s="73"/>
      <c r="K177" s="73"/>
      <c r="O177" s="73"/>
    </row>
    <row r="178" spans="1:15" x14ac:dyDescent="0.3">
      <c r="A178" s="73"/>
      <c r="B178" s="73"/>
      <c r="C178" s="73"/>
      <c r="D178" s="73"/>
      <c r="E178" s="73"/>
      <c r="F178" s="73"/>
      <c r="G178" s="73"/>
      <c r="H178" s="73"/>
      <c r="I178" s="73"/>
      <c r="J178" s="73"/>
      <c r="K178" s="73"/>
      <c r="O178" s="73"/>
    </row>
    <row r="179" spans="1:15" x14ac:dyDescent="0.3">
      <c r="A179" s="73"/>
      <c r="B179" s="73"/>
      <c r="C179" s="73"/>
      <c r="D179" s="73"/>
      <c r="E179" s="73"/>
      <c r="F179" s="73"/>
      <c r="G179" s="73"/>
      <c r="H179" s="73"/>
      <c r="I179" s="73"/>
      <c r="J179" s="73"/>
      <c r="K179" s="73"/>
      <c r="O179" s="73"/>
    </row>
    <row r="180" spans="1:15" x14ac:dyDescent="0.3">
      <c r="A180" s="73"/>
      <c r="B180" s="73"/>
      <c r="C180" s="73"/>
      <c r="D180" s="73"/>
      <c r="E180" s="73"/>
      <c r="F180" s="73"/>
      <c r="G180" s="73"/>
      <c r="H180" s="73"/>
      <c r="I180" s="73"/>
      <c r="J180" s="73"/>
      <c r="K180" s="73"/>
      <c r="O180" s="73"/>
    </row>
  </sheetData>
  <hyperlinks>
    <hyperlink ref="A1" location="Innhold!A1" display="Tilbake"/>
  </hyperlinks>
  <pageMargins left="0.7" right="0.7" top="0.78740157499999996" bottom="0.78740157499999996"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2"/>
  <dimension ref="A1:O144"/>
  <sheetViews>
    <sheetView showGridLines="0" zoomScale="90" zoomScaleNormal="90" workbookViewId="0"/>
  </sheetViews>
  <sheetFormatPr baseColWidth="10" defaultColWidth="11.42578125" defaultRowHeight="12.75" x14ac:dyDescent="0.2"/>
  <cols>
    <col min="1" max="1" width="43" style="147" customWidth="1"/>
    <col min="2" max="2" width="10.85546875" style="147" customWidth="1"/>
    <col min="3" max="3" width="11" style="147" customWidth="1"/>
    <col min="4" max="5" width="8.7109375" style="147" customWidth="1"/>
    <col min="6" max="7" width="10.85546875" style="147" customWidth="1"/>
    <col min="8" max="9" width="8.7109375" style="147" customWidth="1"/>
    <col min="10" max="11" width="10.85546875" style="147" customWidth="1"/>
    <col min="12" max="13" width="8.7109375" style="147" customWidth="1"/>
    <col min="14" max="14" width="11.42578125" style="147"/>
    <col min="15" max="15" width="3" style="146" bestFit="1" customWidth="1"/>
    <col min="16" max="16384" width="11.42578125" style="1"/>
  </cols>
  <sheetData>
    <row r="1" spans="1:15" x14ac:dyDescent="0.2">
      <c r="A1" s="170" t="s">
        <v>152</v>
      </c>
      <c r="B1" s="932"/>
      <c r="C1" s="247" t="s">
        <v>111</v>
      </c>
      <c r="D1" s="25"/>
      <c r="E1" s="25"/>
      <c r="F1" s="25"/>
      <c r="G1" s="25"/>
      <c r="H1" s="25"/>
      <c r="I1" s="25"/>
      <c r="J1" s="25"/>
      <c r="K1" s="25"/>
      <c r="L1" s="25"/>
      <c r="M1" s="25"/>
      <c r="O1" s="423"/>
    </row>
    <row r="2" spans="1:15" ht="15.75" x14ac:dyDescent="0.25">
      <c r="A2" s="163" t="s">
        <v>31</v>
      </c>
      <c r="B2" s="965"/>
      <c r="C2" s="965"/>
      <c r="D2" s="965"/>
      <c r="E2" s="297"/>
      <c r="F2" s="965"/>
      <c r="G2" s="965"/>
      <c r="H2" s="965"/>
      <c r="I2" s="297"/>
      <c r="J2" s="965"/>
      <c r="K2" s="965"/>
      <c r="L2" s="965"/>
      <c r="M2" s="297"/>
    </row>
    <row r="3" spans="1:15" ht="15.75" x14ac:dyDescent="0.25">
      <c r="A3" s="161"/>
      <c r="B3" s="297"/>
      <c r="C3" s="297"/>
      <c r="D3" s="297"/>
      <c r="E3" s="297"/>
      <c r="F3" s="297"/>
      <c r="G3" s="297"/>
      <c r="H3" s="297"/>
      <c r="I3" s="297"/>
      <c r="J3" s="297"/>
      <c r="K3" s="297"/>
      <c r="L3" s="297"/>
      <c r="M3" s="297"/>
    </row>
    <row r="4" spans="1:15" x14ac:dyDescent="0.2">
      <c r="A4" s="142"/>
      <c r="B4" s="960" t="s">
        <v>0</v>
      </c>
      <c r="C4" s="961"/>
      <c r="D4" s="961"/>
      <c r="E4" s="299"/>
      <c r="F4" s="960" t="s">
        <v>1</v>
      </c>
      <c r="G4" s="961"/>
      <c r="H4" s="961"/>
      <c r="I4" s="302"/>
      <c r="J4" s="960" t="s">
        <v>2</v>
      </c>
      <c r="K4" s="961"/>
      <c r="L4" s="961"/>
      <c r="M4" s="302"/>
    </row>
    <row r="5" spans="1:15" x14ac:dyDescent="0.2">
      <c r="A5" s="156"/>
      <c r="B5" s="150" t="s">
        <v>504</v>
      </c>
      <c r="C5" s="150" t="s">
        <v>505</v>
      </c>
      <c r="D5" s="243" t="s">
        <v>3</v>
      </c>
      <c r="E5" s="303" t="s">
        <v>32</v>
      </c>
      <c r="F5" s="150" t="s">
        <v>504</v>
      </c>
      <c r="G5" s="150" t="s">
        <v>505</v>
      </c>
      <c r="H5" s="243" t="s">
        <v>3</v>
      </c>
      <c r="I5" s="160" t="s">
        <v>32</v>
      </c>
      <c r="J5" s="150" t="s">
        <v>504</v>
      </c>
      <c r="K5" s="150" t="s">
        <v>505</v>
      </c>
      <c r="L5" s="243" t="s">
        <v>3</v>
      </c>
      <c r="M5" s="160" t="s">
        <v>32</v>
      </c>
      <c r="O5" s="931"/>
    </row>
    <row r="6" spans="1:15" x14ac:dyDescent="0.2">
      <c r="A6" s="933"/>
      <c r="B6" s="154"/>
      <c r="C6" s="154"/>
      <c r="D6" s="245" t="s">
        <v>4</v>
      </c>
      <c r="E6" s="154" t="s">
        <v>33</v>
      </c>
      <c r="F6" s="159"/>
      <c r="G6" s="159"/>
      <c r="H6" s="243" t="s">
        <v>4</v>
      </c>
      <c r="I6" s="154" t="s">
        <v>33</v>
      </c>
      <c r="J6" s="159"/>
      <c r="K6" s="159"/>
      <c r="L6" s="243" t="s">
        <v>4</v>
      </c>
      <c r="M6" s="154" t="s">
        <v>33</v>
      </c>
    </row>
    <row r="7" spans="1:15" ht="15.75" x14ac:dyDescent="0.2">
      <c r="A7" s="14" t="s">
        <v>26</v>
      </c>
      <c r="B7" s="304"/>
      <c r="C7" s="305"/>
      <c r="D7" s="348"/>
      <c r="E7" s="11"/>
      <c r="F7" s="304"/>
      <c r="G7" s="305"/>
      <c r="H7" s="348"/>
      <c r="I7" s="158"/>
      <c r="J7" s="306"/>
      <c r="K7" s="307"/>
      <c r="L7" s="424"/>
      <c r="M7" s="11"/>
    </row>
    <row r="8" spans="1:15" ht="15.75" x14ac:dyDescent="0.2">
      <c r="A8" s="20" t="s">
        <v>28</v>
      </c>
      <c r="B8" s="279"/>
      <c r="C8" s="280"/>
      <c r="D8" s="164"/>
      <c r="E8" s="26"/>
      <c r="F8" s="283"/>
      <c r="G8" s="284"/>
      <c r="H8" s="164"/>
      <c r="I8" s="174"/>
      <c r="J8" s="232"/>
      <c r="K8" s="285"/>
      <c r="L8" s="164"/>
      <c r="M8" s="26"/>
    </row>
    <row r="9" spans="1:15" ht="15.75" x14ac:dyDescent="0.2">
      <c r="A9" s="20" t="s">
        <v>27</v>
      </c>
      <c r="B9" s="279"/>
      <c r="C9" s="280"/>
      <c r="D9" s="164"/>
      <c r="E9" s="26"/>
      <c r="F9" s="283"/>
      <c r="G9" s="284"/>
      <c r="H9" s="164"/>
      <c r="I9" s="174"/>
      <c r="J9" s="232"/>
      <c r="K9" s="285"/>
      <c r="L9" s="164"/>
      <c r="M9" s="26"/>
    </row>
    <row r="10" spans="1:15" ht="15.75" x14ac:dyDescent="0.2">
      <c r="A10" s="13" t="s">
        <v>25</v>
      </c>
      <c r="B10" s="308"/>
      <c r="C10" s="309"/>
      <c r="D10" s="169"/>
      <c r="E10" s="11"/>
      <c r="F10" s="308"/>
      <c r="G10" s="309"/>
      <c r="H10" s="169"/>
      <c r="I10" s="158"/>
      <c r="J10" s="306"/>
      <c r="K10" s="307"/>
      <c r="L10" s="425"/>
      <c r="M10" s="11"/>
    </row>
    <row r="11" spans="1:15" s="42" customFormat="1" ht="15.75" x14ac:dyDescent="0.2">
      <c r="A11" s="13" t="s">
        <v>24</v>
      </c>
      <c r="B11" s="308"/>
      <c r="C11" s="309"/>
      <c r="D11" s="169"/>
      <c r="E11" s="11"/>
      <c r="F11" s="308"/>
      <c r="G11" s="309"/>
      <c r="H11" s="169"/>
      <c r="I11" s="158"/>
      <c r="J11" s="306"/>
      <c r="K11" s="307"/>
      <c r="L11" s="425"/>
      <c r="M11" s="11"/>
      <c r="N11" s="141"/>
      <c r="O11" s="146"/>
    </row>
    <row r="12" spans="1:15" s="42" customFormat="1" ht="15.75" x14ac:dyDescent="0.2">
      <c r="A12" s="40" t="s">
        <v>23</v>
      </c>
      <c r="B12" s="310"/>
      <c r="C12" s="311"/>
      <c r="D12" s="167"/>
      <c r="E12" s="35"/>
      <c r="F12" s="310"/>
      <c r="G12" s="311"/>
      <c r="H12" s="167"/>
      <c r="I12" s="167"/>
      <c r="J12" s="312"/>
      <c r="K12" s="313"/>
      <c r="L12" s="426"/>
      <c r="M12" s="35"/>
      <c r="N12" s="141"/>
      <c r="O12" s="146"/>
    </row>
    <row r="13" spans="1:15" s="42" customFormat="1" x14ac:dyDescent="0.2">
      <c r="A13" s="166"/>
      <c r="B13" s="143"/>
      <c r="C13" s="32"/>
      <c r="D13" s="157"/>
      <c r="E13" s="157"/>
      <c r="F13" s="143"/>
      <c r="G13" s="32"/>
      <c r="H13" s="157"/>
      <c r="I13" s="157"/>
      <c r="J13" s="47"/>
      <c r="K13" s="47"/>
      <c r="L13" s="157"/>
      <c r="M13" s="157"/>
      <c r="N13" s="141"/>
      <c r="O13" s="423"/>
    </row>
    <row r="14" spans="1:15" x14ac:dyDescent="0.2">
      <c r="A14" s="151" t="s">
        <v>296</v>
      </c>
      <c r="B14" s="25"/>
    </row>
    <row r="15" spans="1:15" x14ac:dyDescent="0.2">
      <c r="F15" s="144"/>
      <c r="G15" s="144"/>
      <c r="H15" s="144"/>
      <c r="I15" s="144"/>
      <c r="J15" s="144"/>
      <c r="K15" s="144"/>
      <c r="L15" s="144"/>
      <c r="M15" s="144"/>
    </row>
    <row r="16" spans="1:15" s="3" customFormat="1" ht="15.75" x14ac:dyDescent="0.25">
      <c r="A16" s="162"/>
      <c r="B16" s="146"/>
      <c r="C16" s="152"/>
      <c r="D16" s="152"/>
      <c r="E16" s="152"/>
      <c r="F16" s="152"/>
      <c r="G16" s="152"/>
      <c r="H16" s="152"/>
      <c r="I16" s="152"/>
      <c r="J16" s="152"/>
      <c r="K16" s="152"/>
      <c r="L16" s="152"/>
      <c r="M16" s="152"/>
      <c r="N16" s="146"/>
      <c r="O16" s="146"/>
    </row>
    <row r="17" spans="1:15" ht="15.75" x14ac:dyDescent="0.25">
      <c r="A17" s="145" t="s">
        <v>293</v>
      </c>
      <c r="B17" s="155"/>
      <c r="C17" s="155"/>
      <c r="D17" s="149"/>
      <c r="E17" s="149"/>
      <c r="F17" s="155"/>
      <c r="G17" s="155"/>
      <c r="H17" s="155"/>
      <c r="I17" s="155"/>
      <c r="J17" s="155"/>
      <c r="K17" s="155"/>
      <c r="L17" s="155"/>
      <c r="M17" s="155"/>
    </row>
    <row r="18" spans="1:15" ht="15.75" x14ac:dyDescent="0.25">
      <c r="B18" s="963"/>
      <c r="C18" s="963"/>
      <c r="D18" s="963"/>
      <c r="E18" s="297"/>
      <c r="F18" s="963"/>
      <c r="G18" s="963"/>
      <c r="H18" s="963"/>
      <c r="I18" s="297"/>
      <c r="J18" s="963"/>
      <c r="K18" s="963"/>
      <c r="L18" s="963"/>
      <c r="M18" s="297"/>
    </row>
    <row r="19" spans="1:15" x14ac:dyDescent="0.2">
      <c r="A19" s="142"/>
      <c r="B19" s="960" t="s">
        <v>0</v>
      </c>
      <c r="C19" s="961"/>
      <c r="D19" s="961"/>
      <c r="E19" s="299"/>
      <c r="F19" s="960" t="s">
        <v>1</v>
      </c>
      <c r="G19" s="961"/>
      <c r="H19" s="961"/>
      <c r="I19" s="302"/>
      <c r="J19" s="960" t="s">
        <v>2</v>
      </c>
      <c r="K19" s="961"/>
      <c r="L19" s="961"/>
      <c r="M19" s="302"/>
    </row>
    <row r="20" spans="1:15" x14ac:dyDescent="0.2">
      <c r="A20" s="139" t="s">
        <v>5</v>
      </c>
      <c r="B20" s="240" t="s">
        <v>504</v>
      </c>
      <c r="C20" s="240" t="s">
        <v>505</v>
      </c>
      <c r="D20" s="160" t="s">
        <v>3</v>
      </c>
      <c r="E20" s="303" t="s">
        <v>32</v>
      </c>
      <c r="F20" s="240" t="s">
        <v>504</v>
      </c>
      <c r="G20" s="240" t="s">
        <v>505</v>
      </c>
      <c r="H20" s="160" t="s">
        <v>3</v>
      </c>
      <c r="I20" s="160" t="s">
        <v>32</v>
      </c>
      <c r="J20" s="240" t="s">
        <v>504</v>
      </c>
      <c r="K20" s="240" t="s">
        <v>505</v>
      </c>
      <c r="L20" s="160" t="s">
        <v>3</v>
      </c>
      <c r="M20" s="160" t="s">
        <v>32</v>
      </c>
    </row>
    <row r="21" spans="1:15" x14ac:dyDescent="0.2">
      <c r="A21" s="934"/>
      <c r="B21" s="154"/>
      <c r="C21" s="154"/>
      <c r="D21" s="245" t="s">
        <v>4</v>
      </c>
      <c r="E21" s="154" t="s">
        <v>33</v>
      </c>
      <c r="F21" s="159"/>
      <c r="G21" s="159"/>
      <c r="H21" s="243" t="s">
        <v>4</v>
      </c>
      <c r="I21" s="154" t="s">
        <v>33</v>
      </c>
      <c r="J21" s="159"/>
      <c r="K21" s="159"/>
      <c r="L21" s="154" t="s">
        <v>4</v>
      </c>
      <c r="M21" s="154" t="s">
        <v>33</v>
      </c>
    </row>
    <row r="22" spans="1:15" ht="15.75" x14ac:dyDescent="0.2">
      <c r="A22" s="14" t="s">
        <v>26</v>
      </c>
      <c r="B22" s="314"/>
      <c r="C22" s="314"/>
      <c r="D22" s="348"/>
      <c r="E22" s="11"/>
      <c r="F22" s="314"/>
      <c r="G22" s="314"/>
      <c r="H22" s="348"/>
      <c r="I22" s="11"/>
      <c r="J22" s="314"/>
      <c r="K22" s="314"/>
      <c r="L22" s="424"/>
      <c r="M22" s="23"/>
    </row>
    <row r="23" spans="1:15" ht="15.75" x14ac:dyDescent="0.2">
      <c r="A23" s="294" t="s">
        <v>305</v>
      </c>
      <c r="B23" s="288"/>
      <c r="C23" s="288"/>
      <c r="D23" s="164"/>
      <c r="E23" s="414"/>
      <c r="F23" s="288"/>
      <c r="G23" s="288"/>
      <c r="H23" s="164"/>
      <c r="I23" s="414"/>
      <c r="J23" s="288"/>
      <c r="K23" s="288"/>
      <c r="L23" s="164"/>
      <c r="M23" s="22"/>
    </row>
    <row r="24" spans="1:15" ht="15.75" x14ac:dyDescent="0.2">
      <c r="A24" s="294" t="s">
        <v>306</v>
      </c>
      <c r="B24" s="288"/>
      <c r="C24" s="288"/>
      <c r="D24" s="164"/>
      <c r="E24" s="414"/>
      <c r="F24" s="288"/>
      <c r="G24" s="288"/>
      <c r="H24" s="164"/>
      <c r="I24" s="414"/>
      <c r="J24" s="288"/>
      <c r="K24" s="288"/>
      <c r="L24" s="164"/>
      <c r="M24" s="22"/>
    </row>
    <row r="25" spans="1:15" ht="15.75" x14ac:dyDescent="0.2">
      <c r="A25" s="294" t="s">
        <v>406</v>
      </c>
      <c r="B25" s="288"/>
      <c r="C25" s="288"/>
      <c r="D25" s="164"/>
      <c r="E25" s="414"/>
      <c r="F25" s="288"/>
      <c r="G25" s="288"/>
      <c r="H25" s="164"/>
      <c r="I25" s="414"/>
      <c r="J25" s="288"/>
      <c r="K25" s="288"/>
      <c r="L25" s="164"/>
      <c r="M25" s="22"/>
    </row>
    <row r="26" spans="1:15" ht="15.75" x14ac:dyDescent="0.2">
      <c r="A26" s="294" t="s">
        <v>307</v>
      </c>
      <c r="B26" s="288"/>
      <c r="C26" s="288"/>
      <c r="D26" s="164"/>
      <c r="E26" s="414"/>
      <c r="F26" s="288"/>
      <c r="G26" s="288"/>
      <c r="H26" s="164"/>
      <c r="I26" s="414"/>
      <c r="J26" s="288"/>
      <c r="K26" s="288"/>
      <c r="L26" s="164"/>
      <c r="M26" s="22"/>
    </row>
    <row r="27" spans="1:15" x14ac:dyDescent="0.2">
      <c r="A27" s="294" t="s">
        <v>11</v>
      </c>
      <c r="B27" s="288"/>
      <c r="C27" s="288"/>
      <c r="D27" s="164"/>
      <c r="E27" s="414"/>
      <c r="F27" s="288"/>
      <c r="G27" s="288"/>
      <c r="H27" s="164"/>
      <c r="I27" s="414"/>
      <c r="J27" s="288"/>
      <c r="K27" s="288"/>
      <c r="L27" s="164"/>
      <c r="M27" s="22"/>
    </row>
    <row r="28" spans="1:15" ht="15.75" x14ac:dyDescent="0.2">
      <c r="A28" s="48" t="s">
        <v>297</v>
      </c>
      <c r="B28" s="43"/>
      <c r="C28" s="285"/>
      <c r="D28" s="164"/>
      <c r="E28" s="26"/>
      <c r="F28" s="232"/>
      <c r="G28" s="285"/>
      <c r="H28" s="164"/>
      <c r="I28" s="26"/>
      <c r="J28" s="43"/>
      <c r="K28" s="43"/>
      <c r="L28" s="253"/>
      <c r="M28" s="22"/>
    </row>
    <row r="29" spans="1:15" s="3" customFormat="1" ht="15.75" x14ac:dyDescent="0.2">
      <c r="A29" s="13" t="s">
        <v>25</v>
      </c>
      <c r="B29" s="234"/>
      <c r="C29" s="234"/>
      <c r="D29" s="169"/>
      <c r="E29" s="11"/>
      <c r="F29" s="234"/>
      <c r="G29" s="234"/>
      <c r="H29" s="169"/>
      <c r="I29" s="11"/>
      <c r="J29" s="234"/>
      <c r="K29" s="234"/>
      <c r="L29" s="425"/>
      <c r="M29" s="23"/>
      <c r="N29" s="146"/>
      <c r="O29" s="146"/>
    </row>
    <row r="30" spans="1:15" s="3" customFormat="1" ht="15.75" x14ac:dyDescent="0.2">
      <c r="A30" s="294" t="s">
        <v>305</v>
      </c>
      <c r="B30" s="288"/>
      <c r="C30" s="288"/>
      <c r="D30" s="164"/>
      <c r="E30" s="414"/>
      <c r="F30" s="288"/>
      <c r="G30" s="288"/>
      <c r="H30" s="164"/>
      <c r="I30" s="414"/>
      <c r="J30" s="288"/>
      <c r="K30" s="288"/>
      <c r="L30" s="164"/>
      <c r="M30" s="22"/>
      <c r="N30" s="146"/>
      <c r="O30" s="146"/>
    </row>
    <row r="31" spans="1:15" s="3" customFormat="1" ht="15.75" x14ac:dyDescent="0.2">
      <c r="A31" s="294" t="s">
        <v>306</v>
      </c>
      <c r="B31" s="288"/>
      <c r="C31" s="288"/>
      <c r="D31" s="164"/>
      <c r="E31" s="414"/>
      <c r="F31" s="288"/>
      <c r="G31" s="288"/>
      <c r="H31" s="164"/>
      <c r="I31" s="414"/>
      <c r="J31" s="288"/>
      <c r="K31" s="288"/>
      <c r="L31" s="164"/>
      <c r="M31" s="22"/>
      <c r="N31" s="146"/>
      <c r="O31" s="146"/>
    </row>
    <row r="32" spans="1:15" ht="15.75" x14ac:dyDescent="0.2">
      <c r="A32" s="294" t="s">
        <v>406</v>
      </c>
      <c r="B32" s="288"/>
      <c r="C32" s="288"/>
      <c r="D32" s="164"/>
      <c r="E32" s="414"/>
      <c r="F32" s="288"/>
      <c r="G32" s="288"/>
      <c r="H32" s="164"/>
      <c r="I32" s="414"/>
      <c r="J32" s="288"/>
      <c r="K32" s="288"/>
      <c r="L32" s="164"/>
      <c r="M32" s="22"/>
    </row>
    <row r="33" spans="1:15" ht="15.75" x14ac:dyDescent="0.2">
      <c r="A33" s="294" t="s">
        <v>307</v>
      </c>
      <c r="B33" s="288"/>
      <c r="C33" s="288"/>
      <c r="D33" s="164"/>
      <c r="E33" s="414"/>
      <c r="F33" s="288"/>
      <c r="G33" s="288"/>
      <c r="H33" s="164"/>
      <c r="I33" s="414"/>
      <c r="J33" s="288"/>
      <c r="K33" s="288"/>
      <c r="L33" s="164"/>
      <c r="M33" s="22"/>
    </row>
    <row r="34" spans="1:15" ht="15.75" x14ac:dyDescent="0.2">
      <c r="A34" s="13" t="s">
        <v>24</v>
      </c>
      <c r="B34" s="234"/>
      <c r="C34" s="307"/>
      <c r="D34" s="169"/>
      <c r="E34" s="11"/>
      <c r="F34" s="306"/>
      <c r="G34" s="307"/>
      <c r="H34" s="169"/>
      <c r="I34" s="11"/>
      <c r="J34" s="234"/>
      <c r="K34" s="234"/>
      <c r="L34" s="425"/>
      <c r="M34" s="23"/>
    </row>
    <row r="35" spans="1:15" ht="15.75" x14ac:dyDescent="0.2">
      <c r="A35" s="13" t="s">
        <v>23</v>
      </c>
      <c r="B35" s="234"/>
      <c r="C35" s="307"/>
      <c r="D35" s="169"/>
      <c r="E35" s="11"/>
      <c r="F35" s="306"/>
      <c r="G35" s="307"/>
      <c r="H35" s="169"/>
      <c r="I35" s="11"/>
      <c r="J35" s="234"/>
      <c r="K35" s="234"/>
      <c r="L35" s="425"/>
      <c r="M35" s="23"/>
    </row>
    <row r="36" spans="1:15" ht="15.75" x14ac:dyDescent="0.2">
      <c r="A36" s="12" t="s">
        <v>308</v>
      </c>
      <c r="B36" s="234"/>
      <c r="C36" s="307"/>
      <c r="D36" s="169"/>
      <c r="E36" s="11"/>
      <c r="F36" s="317"/>
      <c r="G36" s="318"/>
      <c r="H36" s="169"/>
      <c r="I36" s="431"/>
      <c r="J36" s="234"/>
      <c r="K36" s="234"/>
      <c r="L36" s="425"/>
      <c r="M36" s="23"/>
    </row>
    <row r="37" spans="1:15" ht="15.75" x14ac:dyDescent="0.2">
      <c r="A37" s="12" t="s">
        <v>309</v>
      </c>
      <c r="B37" s="234"/>
      <c r="C37" s="307"/>
      <c r="D37" s="169"/>
      <c r="E37" s="11"/>
      <c r="F37" s="317"/>
      <c r="G37" s="319"/>
      <c r="H37" s="169"/>
      <c r="I37" s="431"/>
      <c r="J37" s="234"/>
      <c r="K37" s="234"/>
      <c r="L37" s="425"/>
      <c r="M37" s="23"/>
    </row>
    <row r="38" spans="1:15" ht="15.75" x14ac:dyDescent="0.2">
      <c r="A38" s="12" t="s">
        <v>310</v>
      </c>
      <c r="B38" s="234"/>
      <c r="C38" s="307"/>
      <c r="D38" s="429"/>
      <c r="E38" s="23"/>
      <c r="F38" s="317"/>
      <c r="G38" s="318"/>
      <c r="H38" s="169"/>
      <c r="I38" s="431"/>
      <c r="J38" s="234"/>
      <c r="K38" s="234"/>
      <c r="L38" s="425"/>
      <c r="M38" s="23"/>
    </row>
    <row r="39" spans="1:15" ht="15.75" x14ac:dyDescent="0.2">
      <c r="A39" s="18" t="s">
        <v>311</v>
      </c>
      <c r="B39" s="274"/>
      <c r="C39" s="313"/>
      <c r="D39" s="430"/>
      <c r="E39" s="35"/>
      <c r="F39" s="320"/>
      <c r="G39" s="321"/>
      <c r="H39" s="167"/>
      <c r="I39" s="35"/>
      <c r="J39" s="234"/>
      <c r="K39" s="234"/>
      <c r="L39" s="426"/>
      <c r="M39" s="35"/>
    </row>
    <row r="40" spans="1:15" ht="15.75" x14ac:dyDescent="0.25">
      <c r="A40" s="46"/>
      <c r="B40" s="252"/>
      <c r="C40" s="252"/>
      <c r="D40" s="964"/>
      <c r="E40" s="966"/>
      <c r="F40" s="964"/>
      <c r="G40" s="964"/>
      <c r="H40" s="964"/>
      <c r="I40" s="964"/>
      <c r="J40" s="964"/>
      <c r="K40" s="964"/>
      <c r="L40" s="964"/>
      <c r="M40" s="300"/>
    </row>
    <row r="41" spans="1:15" x14ac:dyDescent="0.2">
      <c r="A41" s="153"/>
    </row>
    <row r="42" spans="1:15" ht="15.75" x14ac:dyDescent="0.25">
      <c r="A42" s="145" t="s">
        <v>294</v>
      </c>
      <c r="B42" s="965"/>
      <c r="C42" s="965"/>
      <c r="D42" s="965"/>
      <c r="E42" s="297"/>
      <c r="F42" s="966"/>
      <c r="G42" s="966"/>
      <c r="H42" s="966"/>
      <c r="I42" s="300"/>
      <c r="J42" s="966"/>
      <c r="K42" s="966"/>
      <c r="L42" s="966"/>
      <c r="M42" s="300"/>
    </row>
    <row r="43" spans="1:15" ht="15.75" x14ac:dyDescent="0.25">
      <c r="A43" s="161"/>
      <c r="B43" s="301"/>
      <c r="C43" s="301"/>
      <c r="D43" s="301"/>
      <c r="E43" s="301"/>
      <c r="F43" s="300"/>
      <c r="G43" s="300"/>
      <c r="H43" s="300"/>
      <c r="I43" s="300"/>
      <c r="J43" s="300"/>
      <c r="K43" s="300"/>
      <c r="L43" s="300"/>
      <c r="M43" s="300"/>
    </row>
    <row r="44" spans="1:15" ht="15.75" x14ac:dyDescent="0.25">
      <c r="A44" s="246"/>
      <c r="B44" s="960" t="s">
        <v>0</v>
      </c>
      <c r="C44" s="961"/>
      <c r="D44" s="961"/>
      <c r="E44" s="241"/>
      <c r="F44" s="300"/>
      <c r="G44" s="300"/>
      <c r="H44" s="300"/>
      <c r="I44" s="300"/>
      <c r="J44" s="300"/>
      <c r="K44" s="300"/>
      <c r="L44" s="300"/>
      <c r="M44" s="300"/>
    </row>
    <row r="45" spans="1:15" s="3" customFormat="1" x14ac:dyDescent="0.2">
      <c r="A45" s="139"/>
      <c r="B45" s="171" t="s">
        <v>504</v>
      </c>
      <c r="C45" s="171" t="s">
        <v>505</v>
      </c>
      <c r="D45" s="160" t="s">
        <v>3</v>
      </c>
      <c r="E45" s="160" t="s">
        <v>32</v>
      </c>
      <c r="F45" s="173"/>
      <c r="G45" s="173"/>
      <c r="H45" s="172"/>
      <c r="I45" s="172"/>
      <c r="J45" s="173"/>
      <c r="K45" s="173"/>
      <c r="L45" s="172"/>
      <c r="M45" s="172"/>
      <c r="N45" s="146"/>
      <c r="O45" s="146"/>
    </row>
    <row r="46" spans="1:15" s="3" customFormat="1" x14ac:dyDescent="0.2">
      <c r="A46" s="934"/>
      <c r="B46" s="242"/>
      <c r="C46" s="242"/>
      <c r="D46" s="243" t="s">
        <v>4</v>
      </c>
      <c r="E46" s="154" t="s">
        <v>33</v>
      </c>
      <c r="F46" s="172"/>
      <c r="G46" s="172"/>
      <c r="H46" s="172"/>
      <c r="I46" s="172"/>
      <c r="J46" s="172"/>
      <c r="K46" s="172"/>
      <c r="L46" s="172"/>
      <c r="M46" s="172"/>
      <c r="N46" s="146"/>
      <c r="O46" s="146"/>
    </row>
    <row r="47" spans="1:15" s="3" customFormat="1" ht="15.75" x14ac:dyDescent="0.2">
      <c r="A47" s="14" t="s">
        <v>26</v>
      </c>
      <c r="B47" s="308">
        <f>SUM(B48:B49)</f>
        <v>542694.08400000003</v>
      </c>
      <c r="C47" s="309">
        <f>SUM(C48:C49)</f>
        <v>512595.94180000003</v>
      </c>
      <c r="D47" s="424">
        <f t="shared" ref="D47:D58" si="0">IF(B47=0, "    ---- ", IF(ABS(ROUND(100/B47*C47-100,1))&lt;999,ROUND(100/B47*C47-100,1),IF(ROUND(100/B47*C47-100,1)&gt;999,999,-999)))</f>
        <v>-5.5</v>
      </c>
      <c r="E47" s="11">
        <f>IFERROR(100/'Skjema total MA'!C47*C47,0)</f>
        <v>13.458963298897439</v>
      </c>
      <c r="F47" s="143"/>
      <c r="G47" s="32"/>
      <c r="H47" s="157"/>
      <c r="I47" s="157"/>
      <c r="J47" s="36"/>
      <c r="K47" s="36"/>
      <c r="L47" s="157"/>
      <c r="M47" s="157"/>
      <c r="N47" s="146"/>
      <c r="O47" s="146"/>
    </row>
    <row r="48" spans="1:15" s="3" customFormat="1" ht="15.75" x14ac:dyDescent="0.2">
      <c r="A48" s="37" t="s">
        <v>312</v>
      </c>
      <c r="B48" s="279">
        <v>262662</v>
      </c>
      <c r="C48" s="280">
        <v>233845.42524000001</v>
      </c>
      <c r="D48" s="253">
        <f t="shared" si="0"/>
        <v>-11</v>
      </c>
      <c r="E48" s="26">
        <f>IFERROR(100/'Skjema total MA'!C48*C48,0)</f>
        <v>11.411780558294563</v>
      </c>
      <c r="F48" s="143"/>
      <c r="G48" s="32"/>
      <c r="H48" s="143"/>
      <c r="I48" s="143"/>
      <c r="J48" s="32"/>
      <c r="K48" s="32"/>
      <c r="L48" s="157"/>
      <c r="M48" s="157"/>
      <c r="N48" s="146"/>
      <c r="O48" s="146"/>
    </row>
    <row r="49" spans="1:15" s="3" customFormat="1" ht="15.75" x14ac:dyDescent="0.2">
      <c r="A49" s="37" t="s">
        <v>313</v>
      </c>
      <c r="B49" s="43">
        <v>280032.08399999997</v>
      </c>
      <c r="C49" s="285">
        <v>278750.51656000002</v>
      </c>
      <c r="D49" s="253">
        <f>IF(B49=0, "    ---- ", IF(ABS(ROUND(100/B49*C49-100,1))&lt;999,ROUND(100/B49*C49-100,1),IF(ROUND(100/B49*C49-100,1)&gt;999,999,-999)))</f>
        <v>-0.5</v>
      </c>
      <c r="E49" s="26">
        <f>IFERROR(100/'Skjema total MA'!C49*C49,0)</f>
        <v>15.843264190135583</v>
      </c>
      <c r="F49" s="143"/>
      <c r="G49" s="32"/>
      <c r="H49" s="143"/>
      <c r="I49" s="143"/>
      <c r="J49" s="36"/>
      <c r="K49" s="36"/>
      <c r="L49" s="157"/>
      <c r="M49" s="157"/>
      <c r="N49" s="146"/>
      <c r="O49" s="146"/>
    </row>
    <row r="50" spans="1:15" s="3" customFormat="1" x14ac:dyDescent="0.2">
      <c r="A50" s="294" t="s">
        <v>6</v>
      </c>
      <c r="B50" s="288"/>
      <c r="C50" s="289"/>
      <c r="D50" s="253"/>
      <c r="E50" s="22"/>
      <c r="F50" s="143"/>
      <c r="G50" s="32"/>
      <c r="H50" s="143"/>
      <c r="I50" s="143"/>
      <c r="J50" s="32"/>
      <c r="K50" s="32"/>
      <c r="L50" s="157"/>
      <c r="M50" s="157"/>
      <c r="N50" s="146"/>
      <c r="O50" s="146"/>
    </row>
    <row r="51" spans="1:15" s="3" customFormat="1" x14ac:dyDescent="0.2">
      <c r="A51" s="294" t="s">
        <v>7</v>
      </c>
      <c r="B51" s="288">
        <v>268347.08399999997</v>
      </c>
      <c r="C51" s="289">
        <v>265944.78356000001</v>
      </c>
      <c r="D51" s="253">
        <f t="shared" ref="D51:D52" si="1">IF(B51=0, "    ---- ", IF(ABS(ROUND(100/B51*C51-100,1))&lt;999,ROUND(100/B51*C51-100,1),IF(ROUND(100/B51*C51-100,1)&gt;999,999,-999)))</f>
        <v>-0.9</v>
      </c>
      <c r="E51" s="26">
        <f>IFERROR(100/'Skjema total MA'!C51*C51,0)</f>
        <v>18.016971357749721</v>
      </c>
      <c r="F51" s="143"/>
      <c r="G51" s="32"/>
      <c r="H51" s="143"/>
      <c r="I51" s="143"/>
      <c r="J51" s="32"/>
      <c r="K51" s="32"/>
      <c r="L51" s="157"/>
      <c r="M51" s="157"/>
      <c r="N51" s="146"/>
      <c r="O51" s="146"/>
    </row>
    <row r="52" spans="1:15" s="3" customFormat="1" x14ac:dyDescent="0.2">
      <c r="A52" s="294" t="s">
        <v>8</v>
      </c>
      <c r="B52" s="288">
        <v>11685</v>
      </c>
      <c r="C52" s="289">
        <v>12805.733</v>
      </c>
      <c r="D52" s="253">
        <f t="shared" si="1"/>
        <v>9.6</v>
      </c>
      <c r="E52" s="26">
        <f>IFERROR(100/'Skjema total MA'!C52*C52,0)</f>
        <v>4.5629779421951993</v>
      </c>
      <c r="F52" s="143"/>
      <c r="G52" s="32"/>
      <c r="H52" s="143"/>
      <c r="I52" s="143"/>
      <c r="J52" s="32"/>
      <c r="K52" s="32"/>
      <c r="L52" s="157"/>
      <c r="M52" s="157"/>
      <c r="N52" s="146"/>
      <c r="O52" s="146"/>
    </row>
    <row r="53" spans="1:15" s="3" customFormat="1" ht="15.75" x14ac:dyDescent="0.2">
      <c r="A53" s="38" t="s">
        <v>314</v>
      </c>
      <c r="B53" s="308">
        <f>SUM(B54:B55)</f>
        <v>31499.825000000001</v>
      </c>
      <c r="C53" s="309">
        <f>SUM(C54:C55)</f>
        <v>17633.773999999998</v>
      </c>
      <c r="D53" s="425">
        <f t="shared" si="0"/>
        <v>-44</v>
      </c>
      <c r="E53" s="11">
        <f>IFERROR(100/'Skjema total MA'!C53*C53,0)</f>
        <v>10.806788321383049</v>
      </c>
      <c r="F53" s="143"/>
      <c r="G53" s="32"/>
      <c r="H53" s="143"/>
      <c r="I53" s="143"/>
      <c r="J53" s="32"/>
      <c r="K53" s="32"/>
      <c r="L53" s="157"/>
      <c r="M53" s="157"/>
      <c r="N53" s="146"/>
      <c r="O53" s="146"/>
    </row>
    <row r="54" spans="1:15" s="3" customFormat="1" ht="15.75" x14ac:dyDescent="0.2">
      <c r="A54" s="37" t="s">
        <v>312</v>
      </c>
      <c r="B54" s="279">
        <v>29724.204000000002</v>
      </c>
      <c r="C54" s="280">
        <v>14010.853999999999</v>
      </c>
      <c r="D54" s="253">
        <f t="shared" si="0"/>
        <v>-52.9</v>
      </c>
      <c r="E54" s="26">
        <f>IFERROR(100/'Skjema total MA'!C54*C54,0)</f>
        <v>13.422389209600999</v>
      </c>
      <c r="F54" s="143"/>
      <c r="G54" s="32"/>
      <c r="H54" s="143"/>
      <c r="I54" s="143"/>
      <c r="J54" s="32"/>
      <c r="K54" s="32"/>
      <c r="L54" s="157"/>
      <c r="M54" s="157"/>
      <c r="N54" s="146"/>
      <c r="O54" s="146"/>
    </row>
    <row r="55" spans="1:15" s="3" customFormat="1" ht="15.75" x14ac:dyDescent="0.2">
      <c r="A55" s="37" t="s">
        <v>313</v>
      </c>
      <c r="B55" s="279">
        <v>1775.6210000000001</v>
      </c>
      <c r="C55" s="280">
        <v>3622.92</v>
      </c>
      <c r="D55" s="253">
        <f t="shared" si="0"/>
        <v>104</v>
      </c>
      <c r="E55" s="26">
        <f>IFERROR(100/'Skjema total MA'!C55*C55,0)</f>
        <v>6.1625898213472876</v>
      </c>
      <c r="F55" s="143"/>
      <c r="G55" s="32"/>
      <c r="H55" s="143"/>
      <c r="I55" s="143"/>
      <c r="J55" s="32"/>
      <c r="K55" s="32"/>
      <c r="L55" s="157"/>
      <c r="M55" s="157"/>
      <c r="N55" s="146"/>
      <c r="O55" s="146"/>
    </row>
    <row r="56" spans="1:15" s="3" customFormat="1" ht="15.75" x14ac:dyDescent="0.2">
      <c r="A56" s="38" t="s">
        <v>315</v>
      </c>
      <c r="B56" s="308">
        <f>SUM(B57:B58)</f>
        <v>51289.288</v>
      </c>
      <c r="C56" s="309">
        <f>SUM(C57:C58)</f>
        <v>17924.628000000001</v>
      </c>
      <c r="D56" s="425">
        <f t="shared" si="0"/>
        <v>-65.099999999999994</v>
      </c>
      <c r="E56" s="11">
        <f>IFERROR(100/'Skjema total MA'!C56*C56,0)</f>
        <v>8.6195330144487148</v>
      </c>
      <c r="F56" s="143"/>
      <c r="G56" s="32"/>
      <c r="H56" s="143"/>
      <c r="I56" s="143"/>
      <c r="J56" s="32"/>
      <c r="K56" s="32"/>
      <c r="L56" s="157"/>
      <c r="M56" s="157"/>
      <c r="N56" s="146"/>
      <c r="O56" s="146"/>
    </row>
    <row r="57" spans="1:15" s="3" customFormat="1" ht="15.75" x14ac:dyDescent="0.2">
      <c r="A57" s="37" t="s">
        <v>312</v>
      </c>
      <c r="B57" s="279">
        <v>51209.05</v>
      </c>
      <c r="C57" s="280">
        <v>17924.628000000001</v>
      </c>
      <c r="D57" s="253">
        <f t="shared" si="0"/>
        <v>-65</v>
      </c>
      <c r="E57" s="26">
        <f>IFERROR(100/'Skjema total MA'!C57*C57,0)</f>
        <v>12.042981456359719</v>
      </c>
      <c r="F57" s="143"/>
      <c r="G57" s="32"/>
      <c r="H57" s="143"/>
      <c r="I57" s="143"/>
      <c r="J57" s="32"/>
      <c r="K57" s="32"/>
      <c r="L57" s="157"/>
      <c r="M57" s="157"/>
      <c r="N57" s="146"/>
      <c r="O57" s="146"/>
    </row>
    <row r="58" spans="1:15" s="3" customFormat="1" ht="15.75" x14ac:dyDescent="0.2">
      <c r="A58" s="45" t="s">
        <v>313</v>
      </c>
      <c r="B58" s="281">
        <v>80.238</v>
      </c>
      <c r="C58" s="282">
        <v>0</v>
      </c>
      <c r="D58" s="254">
        <f t="shared" si="0"/>
        <v>-100</v>
      </c>
      <c r="E58" s="21">
        <f>IFERROR(100/'Skjema total MA'!C58*C58,0)</f>
        <v>0</v>
      </c>
      <c r="F58" s="143"/>
      <c r="G58" s="32"/>
      <c r="H58" s="143"/>
      <c r="I58" s="143"/>
      <c r="J58" s="32"/>
      <c r="K58" s="32"/>
      <c r="L58" s="157"/>
      <c r="M58" s="157"/>
      <c r="N58" s="146"/>
      <c r="O58" s="146"/>
    </row>
    <row r="59" spans="1:15" s="3" customFormat="1" ht="15.75" x14ac:dyDescent="0.25">
      <c r="A59" s="162"/>
      <c r="B59" s="152"/>
      <c r="C59" s="152"/>
      <c r="D59" s="152"/>
      <c r="E59" s="152"/>
      <c r="F59" s="140"/>
      <c r="G59" s="140"/>
      <c r="H59" s="140"/>
      <c r="I59" s="140"/>
      <c r="J59" s="140"/>
      <c r="K59" s="140"/>
      <c r="L59" s="140"/>
      <c r="M59" s="140"/>
      <c r="N59" s="146"/>
      <c r="O59" s="146"/>
    </row>
    <row r="60" spans="1:15" x14ac:dyDescent="0.2">
      <c r="A60" s="153"/>
    </row>
    <row r="61" spans="1:15" ht="15.75" x14ac:dyDescent="0.25">
      <c r="A61" s="145" t="s">
        <v>295</v>
      </c>
      <c r="C61" s="25"/>
      <c r="D61" s="25"/>
      <c r="E61" s="25"/>
      <c r="F61" s="25"/>
      <c r="G61" s="25"/>
      <c r="H61" s="25"/>
      <c r="I61" s="25"/>
      <c r="J61" s="25"/>
      <c r="K61" s="25"/>
      <c r="L61" s="25"/>
      <c r="M61" s="25"/>
    </row>
    <row r="62" spans="1:15" ht="15.75" x14ac:dyDescent="0.25">
      <c r="B62" s="963"/>
      <c r="C62" s="963"/>
      <c r="D62" s="963"/>
      <c r="E62" s="297"/>
      <c r="F62" s="963"/>
      <c r="G62" s="963"/>
      <c r="H62" s="963"/>
      <c r="I62" s="297"/>
      <c r="J62" s="963"/>
      <c r="K62" s="963"/>
      <c r="L62" s="963"/>
      <c r="M62" s="297"/>
    </row>
    <row r="63" spans="1:15" x14ac:dyDescent="0.2">
      <c r="A63" s="142"/>
      <c r="B63" s="960" t="s">
        <v>0</v>
      </c>
      <c r="C63" s="961"/>
      <c r="D63" s="962"/>
      <c r="E63" s="298"/>
      <c r="F63" s="961" t="s">
        <v>1</v>
      </c>
      <c r="G63" s="961"/>
      <c r="H63" s="961"/>
      <c r="I63" s="302"/>
      <c r="J63" s="960" t="s">
        <v>2</v>
      </c>
      <c r="K63" s="961"/>
      <c r="L63" s="961"/>
      <c r="M63" s="302"/>
    </row>
    <row r="64" spans="1:15" x14ac:dyDescent="0.2">
      <c r="A64" s="139"/>
      <c r="B64" s="150" t="s">
        <v>504</v>
      </c>
      <c r="C64" s="150" t="s">
        <v>505</v>
      </c>
      <c r="D64" s="243" t="s">
        <v>3</v>
      </c>
      <c r="E64" s="303" t="s">
        <v>32</v>
      </c>
      <c r="F64" s="150" t="s">
        <v>504</v>
      </c>
      <c r="G64" s="150" t="s">
        <v>505</v>
      </c>
      <c r="H64" s="243" t="s">
        <v>3</v>
      </c>
      <c r="I64" s="303" t="s">
        <v>32</v>
      </c>
      <c r="J64" s="150" t="s">
        <v>504</v>
      </c>
      <c r="K64" s="150" t="s">
        <v>505</v>
      </c>
      <c r="L64" s="243" t="s">
        <v>3</v>
      </c>
      <c r="M64" s="160" t="s">
        <v>32</v>
      </c>
    </row>
    <row r="65" spans="1:15" x14ac:dyDescent="0.2">
      <c r="A65" s="934"/>
      <c r="B65" s="154"/>
      <c r="C65" s="154"/>
      <c r="D65" s="245" t="s">
        <v>4</v>
      </c>
      <c r="E65" s="154" t="s">
        <v>33</v>
      </c>
      <c r="F65" s="159"/>
      <c r="G65" s="159"/>
      <c r="H65" s="243" t="s">
        <v>4</v>
      </c>
      <c r="I65" s="154" t="s">
        <v>33</v>
      </c>
      <c r="J65" s="159"/>
      <c r="K65" s="204"/>
      <c r="L65" s="154" t="s">
        <v>4</v>
      </c>
      <c r="M65" s="154" t="s">
        <v>33</v>
      </c>
    </row>
    <row r="66" spans="1:15" ht="15.75" x14ac:dyDescent="0.2">
      <c r="A66" s="14" t="s">
        <v>26</v>
      </c>
      <c r="B66" s="350"/>
      <c r="C66" s="350"/>
      <c r="D66" s="348"/>
      <c r="E66" s="11"/>
      <c r="F66" s="350"/>
      <c r="G66" s="350"/>
      <c r="H66" s="348"/>
      <c r="I66" s="11"/>
      <c r="J66" s="307"/>
      <c r="K66" s="314"/>
      <c r="L66" s="425"/>
      <c r="M66" s="11"/>
    </row>
    <row r="67" spans="1:15" x14ac:dyDescent="0.2">
      <c r="A67" s="416" t="s">
        <v>9</v>
      </c>
      <c r="B67" s="43"/>
      <c r="C67" s="143"/>
      <c r="D67" s="164"/>
      <c r="E67" s="26"/>
      <c r="F67" s="232"/>
      <c r="G67" s="143"/>
      <c r="H67" s="164"/>
      <c r="I67" s="26"/>
      <c r="J67" s="285"/>
      <c r="K67" s="43"/>
      <c r="L67" s="253"/>
      <c r="M67" s="26"/>
    </row>
    <row r="68" spans="1:15" x14ac:dyDescent="0.2">
      <c r="A68" s="20" t="s">
        <v>10</v>
      </c>
      <c r="B68" s="290"/>
      <c r="C68" s="291"/>
      <c r="D68" s="164"/>
      <c r="E68" s="26"/>
      <c r="F68" s="290"/>
      <c r="G68" s="291"/>
      <c r="H68" s="164"/>
      <c r="I68" s="26"/>
      <c r="J68" s="285"/>
      <c r="K68" s="43"/>
      <c r="L68" s="253"/>
      <c r="M68" s="26"/>
    </row>
    <row r="69" spans="1:15" ht="15.75" x14ac:dyDescent="0.2">
      <c r="A69" s="294" t="s">
        <v>316</v>
      </c>
      <c r="B69" s="279"/>
      <c r="C69" s="279"/>
      <c r="D69" s="164"/>
      <c r="E69" s="414"/>
      <c r="F69" s="279"/>
      <c r="G69" s="279"/>
      <c r="H69" s="164"/>
      <c r="I69" s="414"/>
      <c r="J69" s="288"/>
      <c r="K69" s="288"/>
      <c r="L69" s="164"/>
      <c r="M69" s="22"/>
    </row>
    <row r="70" spans="1:15" x14ac:dyDescent="0.2">
      <c r="A70" s="294" t="s">
        <v>12</v>
      </c>
      <c r="B70" s="292"/>
      <c r="C70" s="293"/>
      <c r="D70" s="164"/>
      <c r="E70" s="414"/>
      <c r="F70" s="279"/>
      <c r="G70" s="279"/>
      <c r="H70" s="164"/>
      <c r="I70" s="414"/>
      <c r="J70" s="288"/>
      <c r="K70" s="288"/>
      <c r="L70" s="164"/>
      <c r="M70" s="22"/>
    </row>
    <row r="71" spans="1:15" x14ac:dyDescent="0.2">
      <c r="A71" s="294" t="s">
        <v>13</v>
      </c>
      <c r="B71" s="233"/>
      <c r="C71" s="287"/>
      <c r="D71" s="164"/>
      <c r="E71" s="414"/>
      <c r="F71" s="279"/>
      <c r="G71" s="279"/>
      <c r="H71" s="164"/>
      <c r="I71" s="414"/>
      <c r="J71" s="288"/>
      <c r="K71" s="288"/>
      <c r="L71" s="164"/>
      <c r="M71" s="22"/>
    </row>
    <row r="72" spans="1:15" ht="15.75" x14ac:dyDescent="0.2">
      <c r="A72" s="294" t="s">
        <v>317</v>
      </c>
      <c r="B72" s="279"/>
      <c r="C72" s="279"/>
      <c r="D72" s="164"/>
      <c r="E72" s="414"/>
      <c r="F72" s="279"/>
      <c r="G72" s="279"/>
      <c r="H72" s="164"/>
      <c r="I72" s="414"/>
      <c r="J72" s="288"/>
      <c r="K72" s="288"/>
      <c r="L72" s="164"/>
      <c r="M72" s="22"/>
    </row>
    <row r="73" spans="1:15" x14ac:dyDescent="0.2">
      <c r="A73" s="294" t="s">
        <v>12</v>
      </c>
      <c r="B73" s="233"/>
      <c r="C73" s="287"/>
      <c r="D73" s="164"/>
      <c r="E73" s="414"/>
      <c r="F73" s="279"/>
      <c r="G73" s="279"/>
      <c r="H73" s="164"/>
      <c r="I73" s="414"/>
      <c r="J73" s="288"/>
      <c r="K73" s="288"/>
      <c r="L73" s="164"/>
      <c r="M73" s="22"/>
    </row>
    <row r="74" spans="1:15" s="3" customFormat="1" x14ac:dyDescent="0.2">
      <c r="A74" s="294" t="s">
        <v>13</v>
      </c>
      <c r="B74" s="233"/>
      <c r="C74" s="287"/>
      <c r="D74" s="164"/>
      <c r="E74" s="414"/>
      <c r="F74" s="279"/>
      <c r="G74" s="279"/>
      <c r="H74" s="164"/>
      <c r="I74" s="414"/>
      <c r="J74" s="288"/>
      <c r="K74" s="288"/>
      <c r="L74" s="164"/>
      <c r="M74" s="22"/>
      <c r="N74" s="146"/>
      <c r="O74" s="146"/>
    </row>
    <row r="75" spans="1:15" s="3" customFormat="1" x14ac:dyDescent="0.2">
      <c r="A75" s="20" t="s">
        <v>395</v>
      </c>
      <c r="B75" s="232"/>
      <c r="C75" s="143"/>
      <c r="D75" s="164"/>
      <c r="E75" s="26"/>
      <c r="F75" s="232"/>
      <c r="G75" s="143"/>
      <c r="H75" s="164"/>
      <c r="I75" s="26"/>
      <c r="J75" s="285"/>
      <c r="K75" s="43"/>
      <c r="L75" s="253"/>
      <c r="M75" s="26"/>
      <c r="N75" s="146"/>
      <c r="O75" s="146"/>
    </row>
    <row r="76" spans="1:15" s="3" customFormat="1" x14ac:dyDescent="0.2">
      <c r="A76" s="20" t="s">
        <v>394</v>
      </c>
      <c r="B76" s="232"/>
      <c r="C76" s="143"/>
      <c r="D76" s="164"/>
      <c r="E76" s="26"/>
      <c r="F76" s="232"/>
      <c r="G76" s="143"/>
      <c r="H76" s="164"/>
      <c r="I76" s="26"/>
      <c r="J76" s="285"/>
      <c r="K76" s="43"/>
      <c r="L76" s="253"/>
      <c r="M76" s="26"/>
      <c r="N76" s="146"/>
      <c r="O76" s="146"/>
    </row>
    <row r="77" spans="1:15" ht="15.75" x14ac:dyDescent="0.2">
      <c r="A77" s="20" t="s">
        <v>318</v>
      </c>
      <c r="B77" s="232"/>
      <c r="C77" s="232"/>
      <c r="D77" s="164"/>
      <c r="E77" s="26"/>
      <c r="F77" s="232"/>
      <c r="G77" s="143"/>
      <c r="H77" s="164"/>
      <c r="I77" s="26"/>
      <c r="J77" s="285"/>
      <c r="K77" s="43"/>
      <c r="L77" s="253"/>
      <c r="M77" s="26"/>
    </row>
    <row r="78" spans="1:15" x14ac:dyDescent="0.2">
      <c r="A78" s="20" t="s">
        <v>9</v>
      </c>
      <c r="B78" s="232"/>
      <c r="C78" s="143"/>
      <c r="D78" s="164"/>
      <c r="E78" s="26"/>
      <c r="F78" s="232"/>
      <c r="G78" s="143"/>
      <c r="H78" s="164"/>
      <c r="I78" s="26"/>
      <c r="J78" s="285"/>
      <c r="K78" s="43"/>
      <c r="L78" s="253"/>
      <c r="M78" s="26"/>
    </row>
    <row r="79" spans="1:15" x14ac:dyDescent="0.2">
      <c r="A79" s="20" t="s">
        <v>10</v>
      </c>
      <c r="B79" s="290"/>
      <c r="C79" s="291"/>
      <c r="D79" s="164"/>
      <c r="E79" s="26"/>
      <c r="F79" s="290"/>
      <c r="G79" s="291"/>
      <c r="H79" s="164"/>
      <c r="I79" s="26"/>
      <c r="J79" s="285"/>
      <c r="K79" s="43"/>
      <c r="L79" s="253"/>
      <c r="M79" s="26"/>
    </row>
    <row r="80" spans="1:15" ht="15.75" x14ac:dyDescent="0.2">
      <c r="A80" s="294" t="s">
        <v>316</v>
      </c>
      <c r="B80" s="279"/>
      <c r="C80" s="279"/>
      <c r="D80" s="164"/>
      <c r="E80" s="414"/>
      <c r="F80" s="279"/>
      <c r="G80" s="279"/>
      <c r="H80" s="164"/>
      <c r="I80" s="414"/>
      <c r="J80" s="288"/>
      <c r="K80" s="288"/>
      <c r="L80" s="164"/>
      <c r="M80" s="22"/>
    </row>
    <row r="81" spans="1:13" x14ac:dyDescent="0.2">
      <c r="A81" s="294" t="s">
        <v>12</v>
      </c>
      <c r="B81" s="233"/>
      <c r="C81" s="287"/>
      <c r="D81" s="164"/>
      <c r="E81" s="414"/>
      <c r="F81" s="279"/>
      <c r="G81" s="279"/>
      <c r="H81" s="164"/>
      <c r="I81" s="414"/>
      <c r="J81" s="288"/>
      <c r="K81" s="288"/>
      <c r="L81" s="164"/>
      <c r="M81" s="22"/>
    </row>
    <row r="82" spans="1:13" x14ac:dyDescent="0.2">
      <c r="A82" s="294" t="s">
        <v>13</v>
      </c>
      <c r="B82" s="233"/>
      <c r="C82" s="287"/>
      <c r="D82" s="164"/>
      <c r="E82" s="414"/>
      <c r="F82" s="279"/>
      <c r="G82" s="279"/>
      <c r="H82" s="164"/>
      <c r="I82" s="414"/>
      <c r="J82" s="288"/>
      <c r="K82" s="288"/>
      <c r="L82" s="164"/>
      <c r="M82" s="22"/>
    </row>
    <row r="83" spans="1:13" ht="15.75" x14ac:dyDescent="0.2">
      <c r="A83" s="294" t="s">
        <v>317</v>
      </c>
      <c r="B83" s="279"/>
      <c r="C83" s="279"/>
      <c r="D83" s="164"/>
      <c r="E83" s="414"/>
      <c r="F83" s="279"/>
      <c r="G83" s="279"/>
      <c r="H83" s="164"/>
      <c r="I83" s="414"/>
      <c r="J83" s="288"/>
      <c r="K83" s="288"/>
      <c r="L83" s="164"/>
      <c r="M83" s="22"/>
    </row>
    <row r="84" spans="1:13" x14ac:dyDescent="0.2">
      <c r="A84" s="294" t="s">
        <v>12</v>
      </c>
      <c r="B84" s="233"/>
      <c r="C84" s="287"/>
      <c r="D84" s="164"/>
      <c r="E84" s="414"/>
      <c r="F84" s="279"/>
      <c r="G84" s="279"/>
      <c r="H84" s="164"/>
      <c r="I84" s="414"/>
      <c r="J84" s="288"/>
      <c r="K84" s="288"/>
      <c r="L84" s="164"/>
      <c r="M84" s="22"/>
    </row>
    <row r="85" spans="1:13" x14ac:dyDescent="0.2">
      <c r="A85" s="294" t="s">
        <v>13</v>
      </c>
      <c r="B85" s="233"/>
      <c r="C85" s="287"/>
      <c r="D85" s="164"/>
      <c r="E85" s="414"/>
      <c r="F85" s="279"/>
      <c r="G85" s="279"/>
      <c r="H85" s="164"/>
      <c r="I85" s="414"/>
      <c r="J85" s="288"/>
      <c r="K85" s="288"/>
      <c r="L85" s="164"/>
      <c r="M85" s="22"/>
    </row>
    <row r="86" spans="1:13" ht="15.75" x14ac:dyDescent="0.2">
      <c r="A86" s="20" t="s">
        <v>327</v>
      </c>
      <c r="B86" s="232"/>
      <c r="C86" s="143"/>
      <c r="D86" s="164"/>
      <c r="E86" s="26"/>
      <c r="F86" s="232"/>
      <c r="G86" s="143"/>
      <c r="H86" s="164"/>
      <c r="I86" s="26"/>
      <c r="J86" s="285"/>
      <c r="K86" s="43"/>
      <c r="L86" s="253"/>
      <c r="M86" s="26"/>
    </row>
    <row r="87" spans="1:13" ht="15.75" x14ac:dyDescent="0.2">
      <c r="A87" s="13" t="s">
        <v>25</v>
      </c>
      <c r="B87" s="350"/>
      <c r="C87" s="350"/>
      <c r="D87" s="169"/>
      <c r="E87" s="11"/>
      <c r="F87" s="350"/>
      <c r="G87" s="350"/>
      <c r="H87" s="169"/>
      <c r="I87" s="11"/>
      <c r="J87" s="307"/>
      <c r="K87" s="234"/>
      <c r="L87" s="425"/>
      <c r="M87" s="11"/>
    </row>
    <row r="88" spans="1:13" x14ac:dyDescent="0.2">
      <c r="A88" s="20" t="s">
        <v>9</v>
      </c>
      <c r="B88" s="232"/>
      <c r="C88" s="143"/>
      <c r="D88" s="164"/>
      <c r="E88" s="26"/>
      <c r="F88" s="232"/>
      <c r="G88" s="143"/>
      <c r="H88" s="164"/>
      <c r="I88" s="26"/>
      <c r="J88" s="285"/>
      <c r="K88" s="43"/>
      <c r="L88" s="253"/>
      <c r="M88" s="26"/>
    </row>
    <row r="89" spans="1:13" x14ac:dyDescent="0.2">
      <c r="A89" s="20" t="s">
        <v>10</v>
      </c>
      <c r="B89" s="232"/>
      <c r="C89" s="143"/>
      <c r="D89" s="164"/>
      <c r="E89" s="26"/>
      <c r="F89" s="232"/>
      <c r="G89" s="143"/>
      <c r="H89" s="164"/>
      <c r="I89" s="26"/>
      <c r="J89" s="285"/>
      <c r="K89" s="43"/>
      <c r="L89" s="253"/>
      <c r="M89" s="26"/>
    </row>
    <row r="90" spans="1:13" ht="15.75" x14ac:dyDescent="0.2">
      <c r="A90" s="294" t="s">
        <v>316</v>
      </c>
      <c r="B90" s="279"/>
      <c r="C90" s="279"/>
      <c r="D90" s="164"/>
      <c r="E90" s="414"/>
      <c r="F90" s="279"/>
      <c r="G90" s="279"/>
      <c r="H90" s="164"/>
      <c r="I90" s="414"/>
      <c r="J90" s="288"/>
      <c r="K90" s="288"/>
      <c r="L90" s="164"/>
      <c r="M90" s="22"/>
    </row>
    <row r="91" spans="1:13" x14ac:dyDescent="0.2">
      <c r="A91" s="294" t="s">
        <v>12</v>
      </c>
      <c r="B91" s="233"/>
      <c r="C91" s="287"/>
      <c r="D91" s="164"/>
      <c r="E91" s="414"/>
      <c r="F91" s="279"/>
      <c r="G91" s="279"/>
      <c r="H91" s="164"/>
      <c r="I91" s="414"/>
      <c r="J91" s="288"/>
      <c r="K91" s="288"/>
      <c r="L91" s="164"/>
      <c r="M91" s="22"/>
    </row>
    <row r="92" spans="1:13" x14ac:dyDescent="0.2">
      <c r="A92" s="294" t="s">
        <v>13</v>
      </c>
      <c r="B92" s="233"/>
      <c r="C92" s="287"/>
      <c r="D92" s="164"/>
      <c r="E92" s="414"/>
      <c r="F92" s="279"/>
      <c r="G92" s="279"/>
      <c r="H92" s="164"/>
      <c r="I92" s="414"/>
      <c r="J92" s="288"/>
      <c r="K92" s="288"/>
      <c r="L92" s="164"/>
      <c r="M92" s="22"/>
    </row>
    <row r="93" spans="1:13" ht="15.75" x14ac:dyDescent="0.2">
      <c r="A93" s="294" t="s">
        <v>317</v>
      </c>
      <c r="B93" s="279"/>
      <c r="C93" s="279"/>
      <c r="D93" s="164"/>
      <c r="E93" s="414"/>
      <c r="F93" s="279"/>
      <c r="G93" s="279"/>
      <c r="H93" s="164"/>
      <c r="I93" s="414"/>
      <c r="J93" s="288"/>
      <c r="K93" s="288"/>
      <c r="L93" s="164"/>
      <c r="M93" s="22"/>
    </row>
    <row r="94" spans="1:13" x14ac:dyDescent="0.2">
      <c r="A94" s="294" t="s">
        <v>12</v>
      </c>
      <c r="B94" s="233"/>
      <c r="C94" s="287"/>
      <c r="D94" s="164"/>
      <c r="E94" s="414"/>
      <c r="F94" s="279"/>
      <c r="G94" s="279"/>
      <c r="H94" s="164"/>
      <c r="I94" s="414"/>
      <c r="J94" s="288"/>
      <c r="K94" s="288"/>
      <c r="L94" s="164"/>
      <c r="M94" s="22"/>
    </row>
    <row r="95" spans="1:13" x14ac:dyDescent="0.2">
      <c r="A95" s="294" t="s">
        <v>13</v>
      </c>
      <c r="B95" s="233"/>
      <c r="C95" s="287"/>
      <c r="D95" s="164"/>
      <c r="E95" s="414"/>
      <c r="F95" s="279"/>
      <c r="G95" s="279"/>
      <c r="H95" s="164"/>
      <c r="I95" s="414"/>
      <c r="J95" s="288"/>
      <c r="K95" s="288"/>
      <c r="L95" s="164"/>
      <c r="M95" s="22"/>
    </row>
    <row r="96" spans="1:13" x14ac:dyDescent="0.2">
      <c r="A96" s="20" t="s">
        <v>393</v>
      </c>
      <c r="B96" s="232"/>
      <c r="C96" s="143"/>
      <c r="D96" s="164"/>
      <c r="E96" s="26"/>
      <c r="F96" s="232"/>
      <c r="G96" s="143"/>
      <c r="H96" s="164"/>
      <c r="I96" s="26"/>
      <c r="J96" s="285"/>
      <c r="K96" s="43"/>
      <c r="L96" s="253"/>
      <c r="M96" s="26"/>
    </row>
    <row r="97" spans="1:13" x14ac:dyDescent="0.2">
      <c r="A97" s="20" t="s">
        <v>392</v>
      </c>
      <c r="B97" s="232"/>
      <c r="C97" s="143"/>
      <c r="D97" s="164"/>
      <c r="E97" s="26"/>
      <c r="F97" s="232"/>
      <c r="G97" s="143"/>
      <c r="H97" s="164"/>
      <c r="I97" s="26"/>
      <c r="J97" s="285"/>
      <c r="K97" s="43"/>
      <c r="L97" s="253"/>
      <c r="M97" s="26"/>
    </row>
    <row r="98" spans="1:13" ht="15.75" x14ac:dyDescent="0.2">
      <c r="A98" s="20" t="s">
        <v>318</v>
      </c>
      <c r="B98" s="232"/>
      <c r="C98" s="232"/>
      <c r="D98" s="164"/>
      <c r="E98" s="26"/>
      <c r="F98" s="290"/>
      <c r="G98" s="290"/>
      <c r="H98" s="164"/>
      <c r="I98" s="26"/>
      <c r="J98" s="285"/>
      <c r="K98" s="43"/>
      <c r="L98" s="253"/>
      <c r="M98" s="26"/>
    </row>
    <row r="99" spans="1:13" x14ac:dyDescent="0.2">
      <c r="A99" s="20" t="s">
        <v>9</v>
      </c>
      <c r="B99" s="290"/>
      <c r="C99" s="291"/>
      <c r="D99" s="164"/>
      <c r="E99" s="26"/>
      <c r="F99" s="232"/>
      <c r="G99" s="143"/>
      <c r="H99" s="164"/>
      <c r="I99" s="26"/>
      <c r="J99" s="285"/>
      <c r="K99" s="43"/>
      <c r="L99" s="253"/>
      <c r="M99" s="26"/>
    </row>
    <row r="100" spans="1:13" x14ac:dyDescent="0.2">
      <c r="A100" s="20" t="s">
        <v>10</v>
      </c>
      <c r="B100" s="290"/>
      <c r="C100" s="291"/>
      <c r="D100" s="164"/>
      <c r="E100" s="26"/>
      <c r="F100" s="232"/>
      <c r="G100" s="232"/>
      <c r="H100" s="164"/>
      <c r="I100" s="26"/>
      <c r="J100" s="285"/>
      <c r="K100" s="43"/>
      <c r="L100" s="253"/>
      <c r="M100" s="26"/>
    </row>
    <row r="101" spans="1:13" ht="15.75" x14ac:dyDescent="0.2">
      <c r="A101" s="294" t="s">
        <v>316</v>
      </c>
      <c r="B101" s="279"/>
      <c r="C101" s="279"/>
      <c r="D101" s="164"/>
      <c r="E101" s="414"/>
      <c r="F101" s="279"/>
      <c r="G101" s="279"/>
      <c r="H101" s="164"/>
      <c r="I101" s="414"/>
      <c r="J101" s="288"/>
      <c r="K101" s="288"/>
      <c r="L101" s="164"/>
      <c r="M101" s="22"/>
    </row>
    <row r="102" spans="1:13" x14ac:dyDescent="0.2">
      <c r="A102" s="294" t="s">
        <v>12</v>
      </c>
      <c r="B102" s="233"/>
      <c r="C102" s="287"/>
      <c r="D102" s="164"/>
      <c r="E102" s="414"/>
      <c r="F102" s="279"/>
      <c r="G102" s="279"/>
      <c r="H102" s="164"/>
      <c r="I102" s="414"/>
      <c r="J102" s="288"/>
      <c r="K102" s="288"/>
      <c r="L102" s="164"/>
      <c r="M102" s="22"/>
    </row>
    <row r="103" spans="1:13" x14ac:dyDescent="0.2">
      <c r="A103" s="294" t="s">
        <v>13</v>
      </c>
      <c r="B103" s="233"/>
      <c r="C103" s="287"/>
      <c r="D103" s="164"/>
      <c r="E103" s="414"/>
      <c r="F103" s="279"/>
      <c r="G103" s="279"/>
      <c r="H103" s="164"/>
      <c r="I103" s="414"/>
      <c r="J103" s="288"/>
      <c r="K103" s="288"/>
      <c r="L103" s="164"/>
      <c r="M103" s="22"/>
    </row>
    <row r="104" spans="1:13" ht="15.75" x14ac:dyDescent="0.2">
      <c r="A104" s="294" t="s">
        <v>317</v>
      </c>
      <c r="B104" s="279"/>
      <c r="C104" s="279"/>
      <c r="D104" s="164"/>
      <c r="E104" s="414"/>
      <c r="F104" s="279"/>
      <c r="G104" s="279"/>
      <c r="H104" s="164"/>
      <c r="I104" s="414"/>
      <c r="J104" s="288"/>
      <c r="K104" s="288"/>
      <c r="L104" s="164"/>
      <c r="M104" s="22"/>
    </row>
    <row r="105" spans="1:13" x14ac:dyDescent="0.2">
      <c r="A105" s="294" t="s">
        <v>12</v>
      </c>
      <c r="B105" s="233"/>
      <c r="C105" s="287"/>
      <c r="D105" s="164"/>
      <c r="E105" s="414"/>
      <c r="F105" s="279"/>
      <c r="G105" s="279"/>
      <c r="H105" s="164"/>
      <c r="I105" s="414"/>
      <c r="J105" s="288"/>
      <c r="K105" s="288"/>
      <c r="L105" s="164"/>
      <c r="M105" s="22"/>
    </row>
    <row r="106" spans="1:13" x14ac:dyDescent="0.2">
      <c r="A106" s="294" t="s">
        <v>13</v>
      </c>
      <c r="B106" s="233"/>
      <c r="C106" s="287"/>
      <c r="D106" s="164"/>
      <c r="E106" s="414"/>
      <c r="F106" s="279"/>
      <c r="G106" s="279"/>
      <c r="H106" s="164"/>
      <c r="I106" s="414"/>
      <c r="J106" s="288"/>
      <c r="K106" s="288"/>
      <c r="L106" s="164"/>
      <c r="M106" s="22"/>
    </row>
    <row r="107" spans="1:13" ht="15.75" x14ac:dyDescent="0.2">
      <c r="A107" s="20" t="s">
        <v>327</v>
      </c>
      <c r="B107" s="232"/>
      <c r="C107" s="143"/>
      <c r="D107" s="164"/>
      <c r="E107" s="26"/>
      <c r="F107" s="232"/>
      <c r="G107" s="143"/>
      <c r="H107" s="164"/>
      <c r="I107" s="26"/>
      <c r="J107" s="285"/>
      <c r="K107" s="43"/>
      <c r="L107" s="253"/>
      <c r="M107" s="26"/>
    </row>
    <row r="108" spans="1:13" ht="15.75" x14ac:dyDescent="0.2">
      <c r="A108" s="20" t="s">
        <v>328</v>
      </c>
      <c r="B108" s="232"/>
      <c r="C108" s="232"/>
      <c r="D108" s="164"/>
      <c r="E108" s="26"/>
      <c r="F108" s="232"/>
      <c r="G108" s="232"/>
      <c r="H108" s="164"/>
      <c r="I108" s="26"/>
      <c r="J108" s="285"/>
      <c r="K108" s="43"/>
      <c r="L108" s="253"/>
      <c r="M108" s="26"/>
    </row>
    <row r="109" spans="1:13" ht="15.75" x14ac:dyDescent="0.2">
      <c r="A109" s="20" t="s">
        <v>320</v>
      </c>
      <c r="B109" s="232"/>
      <c r="C109" s="232"/>
      <c r="D109" s="164"/>
      <c r="E109" s="26"/>
      <c r="F109" s="232"/>
      <c r="G109" s="232"/>
      <c r="H109" s="164"/>
      <c r="I109" s="26"/>
      <c r="J109" s="285"/>
      <c r="K109" s="43"/>
      <c r="L109" s="253"/>
      <c r="M109" s="26"/>
    </row>
    <row r="110" spans="1:13" ht="15.75" x14ac:dyDescent="0.2">
      <c r="A110" s="20" t="s">
        <v>321</v>
      </c>
      <c r="B110" s="232"/>
      <c r="C110" s="232"/>
      <c r="D110" s="164"/>
      <c r="E110" s="26"/>
      <c r="F110" s="232"/>
      <c r="G110" s="232"/>
      <c r="H110" s="164"/>
      <c r="I110" s="26"/>
      <c r="J110" s="285"/>
      <c r="K110" s="43"/>
      <c r="L110" s="253"/>
      <c r="M110" s="26"/>
    </row>
    <row r="111" spans="1:13" ht="15.75" x14ac:dyDescent="0.2">
      <c r="A111" s="13" t="s">
        <v>24</v>
      </c>
      <c r="B111" s="306"/>
      <c r="C111" s="157"/>
      <c r="D111" s="169"/>
      <c r="E111" s="11"/>
      <c r="F111" s="306"/>
      <c r="G111" s="157"/>
      <c r="H111" s="169"/>
      <c r="I111" s="11"/>
      <c r="J111" s="307"/>
      <c r="K111" s="234"/>
      <c r="L111" s="425"/>
      <c r="M111" s="11"/>
    </row>
    <row r="112" spans="1:13" x14ac:dyDescent="0.2">
      <c r="A112" s="20" t="s">
        <v>9</v>
      </c>
      <c r="B112" s="232"/>
      <c r="C112" s="143"/>
      <c r="D112" s="164"/>
      <c r="E112" s="26"/>
      <c r="F112" s="232"/>
      <c r="G112" s="143"/>
      <c r="H112" s="164"/>
      <c r="I112" s="26"/>
      <c r="J112" s="285"/>
      <c r="K112" s="43"/>
      <c r="L112" s="253"/>
      <c r="M112" s="26"/>
    </row>
    <row r="113" spans="1:14" x14ac:dyDescent="0.2">
      <c r="A113" s="20" t="s">
        <v>10</v>
      </c>
      <c r="B113" s="232"/>
      <c r="C113" s="143"/>
      <c r="D113" s="164"/>
      <c r="E113" s="26"/>
      <c r="F113" s="232"/>
      <c r="G113" s="143"/>
      <c r="H113" s="164"/>
      <c r="I113" s="26"/>
      <c r="J113" s="285"/>
      <c r="K113" s="43"/>
      <c r="L113" s="253"/>
      <c r="M113" s="26"/>
    </row>
    <row r="114" spans="1:14" x14ac:dyDescent="0.2">
      <c r="A114" s="20" t="s">
        <v>29</v>
      </c>
      <c r="B114" s="232"/>
      <c r="C114" s="143"/>
      <c r="D114" s="164"/>
      <c r="E114" s="26"/>
      <c r="F114" s="232"/>
      <c r="G114" s="143"/>
      <c r="H114" s="164"/>
      <c r="I114" s="26"/>
      <c r="J114" s="285"/>
      <c r="K114" s="43"/>
      <c r="L114" s="253"/>
      <c r="M114" s="26"/>
    </row>
    <row r="115" spans="1:14" x14ac:dyDescent="0.2">
      <c r="A115" s="294" t="s">
        <v>15</v>
      </c>
      <c r="B115" s="279"/>
      <c r="C115" s="279"/>
      <c r="D115" s="164"/>
      <c r="E115" s="414"/>
      <c r="F115" s="279"/>
      <c r="G115" s="279"/>
      <c r="H115" s="164"/>
      <c r="I115" s="414"/>
      <c r="J115" s="288"/>
      <c r="K115" s="288"/>
      <c r="L115" s="164"/>
      <c r="M115" s="22"/>
    </row>
    <row r="116" spans="1:14" ht="15.75" x14ac:dyDescent="0.2">
      <c r="A116" s="20" t="s">
        <v>329</v>
      </c>
      <c r="B116" s="232"/>
      <c r="C116" s="232"/>
      <c r="D116" s="164"/>
      <c r="E116" s="26"/>
      <c r="F116" s="232"/>
      <c r="G116" s="232"/>
      <c r="H116" s="164"/>
      <c r="I116" s="26"/>
      <c r="J116" s="285"/>
      <c r="K116" s="43"/>
      <c r="L116" s="253"/>
      <c r="M116" s="26"/>
    </row>
    <row r="117" spans="1:14" ht="15.75" x14ac:dyDescent="0.2">
      <c r="A117" s="20" t="s">
        <v>322</v>
      </c>
      <c r="B117" s="232"/>
      <c r="C117" s="232"/>
      <c r="D117" s="164"/>
      <c r="E117" s="26"/>
      <c r="F117" s="232"/>
      <c r="G117" s="232"/>
      <c r="H117" s="164"/>
      <c r="I117" s="26"/>
      <c r="J117" s="285"/>
      <c r="K117" s="43"/>
      <c r="L117" s="253"/>
      <c r="M117" s="26"/>
    </row>
    <row r="118" spans="1:14" ht="15.75" x14ac:dyDescent="0.2">
      <c r="A118" s="20" t="s">
        <v>321</v>
      </c>
      <c r="B118" s="232"/>
      <c r="C118" s="232"/>
      <c r="D118" s="164"/>
      <c r="E118" s="26"/>
      <c r="F118" s="232"/>
      <c r="G118" s="232"/>
      <c r="H118" s="164"/>
      <c r="I118" s="26"/>
      <c r="J118" s="285"/>
      <c r="K118" s="43"/>
      <c r="L118" s="253"/>
      <c r="M118" s="26"/>
    </row>
    <row r="119" spans="1:14" ht="15.75" x14ac:dyDescent="0.2">
      <c r="A119" s="13" t="s">
        <v>23</v>
      </c>
      <c r="B119" s="306"/>
      <c r="C119" s="157"/>
      <c r="D119" s="169"/>
      <c r="E119" s="11"/>
      <c r="F119" s="306"/>
      <c r="G119" s="157"/>
      <c r="H119" s="169"/>
      <c r="I119" s="11"/>
      <c r="J119" s="307"/>
      <c r="K119" s="234"/>
      <c r="L119" s="425"/>
      <c r="M119" s="11"/>
    </row>
    <row r="120" spans="1:14" x14ac:dyDescent="0.2">
      <c r="A120" s="20" t="s">
        <v>9</v>
      </c>
      <c r="B120" s="232"/>
      <c r="C120" s="143"/>
      <c r="D120" s="164"/>
      <c r="E120" s="26"/>
      <c r="F120" s="232"/>
      <c r="G120" s="143"/>
      <c r="H120" s="164"/>
      <c r="I120" s="26"/>
      <c r="J120" s="285"/>
      <c r="K120" s="43"/>
      <c r="L120" s="253"/>
      <c r="M120" s="26"/>
    </row>
    <row r="121" spans="1:14" x14ac:dyDescent="0.2">
      <c r="A121" s="20" t="s">
        <v>10</v>
      </c>
      <c r="B121" s="232"/>
      <c r="C121" s="143"/>
      <c r="D121" s="164"/>
      <c r="E121" s="26"/>
      <c r="F121" s="232"/>
      <c r="G121" s="143"/>
      <c r="H121" s="164"/>
      <c r="I121" s="26"/>
      <c r="J121" s="285"/>
      <c r="K121" s="43"/>
      <c r="L121" s="253"/>
      <c r="M121" s="26"/>
    </row>
    <row r="122" spans="1:14" x14ac:dyDescent="0.2">
      <c r="A122" s="20" t="s">
        <v>29</v>
      </c>
      <c r="B122" s="232"/>
      <c r="C122" s="143"/>
      <c r="D122" s="164"/>
      <c r="E122" s="26"/>
      <c r="F122" s="232"/>
      <c r="G122" s="143"/>
      <c r="H122" s="164"/>
      <c r="I122" s="26"/>
      <c r="J122" s="285"/>
      <c r="K122" s="43"/>
      <c r="L122" s="253"/>
      <c r="M122" s="26"/>
    </row>
    <row r="123" spans="1:14" x14ac:dyDescent="0.2">
      <c r="A123" s="294" t="s">
        <v>14</v>
      </c>
      <c r="B123" s="279"/>
      <c r="C123" s="279"/>
      <c r="D123" s="164"/>
      <c r="E123" s="414"/>
      <c r="F123" s="279"/>
      <c r="G123" s="279"/>
      <c r="H123" s="164"/>
      <c r="I123" s="414"/>
      <c r="J123" s="288"/>
      <c r="K123" s="288"/>
      <c r="L123" s="164"/>
      <c r="M123" s="22"/>
    </row>
    <row r="124" spans="1:14" ht="15.75" x14ac:dyDescent="0.2">
      <c r="A124" s="20" t="s">
        <v>319</v>
      </c>
      <c r="B124" s="232"/>
      <c r="C124" s="232"/>
      <c r="D124" s="164"/>
      <c r="E124" s="26"/>
      <c r="F124" s="232"/>
      <c r="G124" s="232"/>
      <c r="H124" s="164"/>
      <c r="I124" s="26"/>
      <c r="J124" s="285"/>
      <c r="K124" s="43"/>
      <c r="L124" s="253"/>
      <c r="M124" s="26"/>
    </row>
    <row r="125" spans="1:14" ht="15.75" x14ac:dyDescent="0.2">
      <c r="A125" s="20" t="s">
        <v>320</v>
      </c>
      <c r="B125" s="232"/>
      <c r="C125" s="232"/>
      <c r="D125" s="164"/>
      <c r="E125" s="26"/>
      <c r="F125" s="232"/>
      <c r="G125" s="232"/>
      <c r="H125" s="164"/>
      <c r="I125" s="26"/>
      <c r="J125" s="285"/>
      <c r="K125" s="43"/>
      <c r="L125" s="253"/>
      <c r="M125" s="26"/>
    </row>
    <row r="126" spans="1:14" ht="15.75" x14ac:dyDescent="0.2">
      <c r="A126" s="10" t="s">
        <v>321</v>
      </c>
      <c r="B126" s="44"/>
      <c r="C126" s="44"/>
      <c r="D126" s="165"/>
      <c r="E126" s="415"/>
      <c r="F126" s="44"/>
      <c r="G126" s="44"/>
      <c r="H126" s="165"/>
      <c r="I126" s="21"/>
      <c r="J126" s="286"/>
      <c r="K126" s="44"/>
      <c r="L126" s="254"/>
      <c r="M126" s="21"/>
    </row>
    <row r="127" spans="1:14" x14ac:dyDescent="0.2">
      <c r="A127" s="153"/>
      <c r="L127" s="25"/>
      <c r="M127" s="25"/>
      <c r="N127" s="25"/>
    </row>
    <row r="128" spans="1:14" x14ac:dyDescent="0.2">
      <c r="L128" s="25"/>
      <c r="M128" s="25"/>
      <c r="N128" s="25"/>
    </row>
    <row r="129" spans="1:15" ht="15.75" x14ac:dyDescent="0.25">
      <c r="A129" s="163" t="s">
        <v>30</v>
      </c>
    </row>
    <row r="130" spans="1:15" ht="15.75" x14ac:dyDescent="0.25">
      <c r="B130" s="963"/>
      <c r="C130" s="963"/>
      <c r="D130" s="963"/>
      <c r="E130" s="297"/>
      <c r="F130" s="963"/>
      <c r="G130" s="963"/>
      <c r="H130" s="963"/>
      <c r="I130" s="297"/>
      <c r="J130" s="963"/>
      <c r="K130" s="963"/>
      <c r="L130" s="963"/>
      <c r="M130" s="297"/>
    </row>
    <row r="131" spans="1:15" s="3" customFormat="1" x14ac:dyDescent="0.2">
      <c r="A131" s="142"/>
      <c r="B131" s="960" t="s">
        <v>0</v>
      </c>
      <c r="C131" s="961"/>
      <c r="D131" s="961"/>
      <c r="E131" s="299"/>
      <c r="F131" s="960" t="s">
        <v>1</v>
      </c>
      <c r="G131" s="961"/>
      <c r="H131" s="961"/>
      <c r="I131" s="302"/>
      <c r="J131" s="960" t="s">
        <v>2</v>
      </c>
      <c r="K131" s="961"/>
      <c r="L131" s="961"/>
      <c r="M131" s="302"/>
      <c r="N131" s="146"/>
      <c r="O131" s="146"/>
    </row>
    <row r="132" spans="1:15" s="3" customFormat="1" x14ac:dyDescent="0.2">
      <c r="A132" s="139"/>
      <c r="B132" s="150" t="s">
        <v>504</v>
      </c>
      <c r="C132" s="150" t="s">
        <v>505</v>
      </c>
      <c r="D132" s="243" t="s">
        <v>3</v>
      </c>
      <c r="E132" s="303" t="s">
        <v>32</v>
      </c>
      <c r="F132" s="150" t="s">
        <v>504</v>
      </c>
      <c r="G132" s="150" t="s">
        <v>505</v>
      </c>
      <c r="H132" s="204" t="s">
        <v>3</v>
      </c>
      <c r="I132" s="160" t="s">
        <v>32</v>
      </c>
      <c r="J132" s="244" t="s">
        <v>504</v>
      </c>
      <c r="K132" s="244" t="s">
        <v>505</v>
      </c>
      <c r="L132" s="245" t="s">
        <v>3</v>
      </c>
      <c r="M132" s="160" t="s">
        <v>32</v>
      </c>
      <c r="N132" s="146"/>
      <c r="O132" s="146"/>
    </row>
    <row r="133" spans="1:15" s="3" customFormat="1" x14ac:dyDescent="0.2">
      <c r="A133" s="934"/>
      <c r="B133" s="154"/>
      <c r="C133" s="154"/>
      <c r="D133" s="245" t="s">
        <v>4</v>
      </c>
      <c r="E133" s="154" t="s">
        <v>33</v>
      </c>
      <c r="F133" s="159"/>
      <c r="G133" s="159"/>
      <c r="H133" s="204" t="s">
        <v>4</v>
      </c>
      <c r="I133" s="154" t="s">
        <v>33</v>
      </c>
      <c r="J133" s="154"/>
      <c r="K133" s="154"/>
      <c r="L133" s="148" t="s">
        <v>4</v>
      </c>
      <c r="M133" s="154" t="s">
        <v>33</v>
      </c>
      <c r="N133" s="146"/>
      <c r="O133" s="146"/>
    </row>
    <row r="134" spans="1:15" s="3" customFormat="1" ht="15.75" x14ac:dyDescent="0.2">
      <c r="A134" s="14" t="s">
        <v>323</v>
      </c>
      <c r="B134" s="234"/>
      <c r="C134" s="307"/>
      <c r="D134" s="348"/>
      <c r="E134" s="11"/>
      <c r="F134" s="314"/>
      <c r="G134" s="315"/>
      <c r="H134" s="428"/>
      <c r="I134" s="23"/>
      <c r="J134" s="316"/>
      <c r="K134" s="316"/>
      <c r="L134" s="424"/>
      <c r="M134" s="11"/>
      <c r="N134" s="146"/>
      <c r="O134" s="146"/>
    </row>
    <row r="135" spans="1:15" s="3" customFormat="1" ht="15.75" x14ac:dyDescent="0.2">
      <c r="A135" s="13" t="s">
        <v>324</v>
      </c>
      <c r="B135" s="234"/>
      <c r="C135" s="307"/>
      <c r="D135" s="169"/>
      <c r="E135" s="11"/>
      <c r="F135" s="234"/>
      <c r="G135" s="307"/>
      <c r="H135" s="429"/>
      <c r="I135" s="23"/>
      <c r="J135" s="306"/>
      <c r="K135" s="306"/>
      <c r="L135" s="425"/>
      <c r="M135" s="11"/>
      <c r="N135" s="146"/>
      <c r="O135" s="146"/>
    </row>
    <row r="136" spans="1:15" s="3" customFormat="1" ht="15.75" x14ac:dyDescent="0.2">
      <c r="A136" s="13" t="s">
        <v>325</v>
      </c>
      <c r="B136" s="234"/>
      <c r="C136" s="307"/>
      <c r="D136" s="169"/>
      <c r="E136" s="11"/>
      <c r="F136" s="234"/>
      <c r="G136" s="307"/>
      <c r="H136" s="429"/>
      <c r="I136" s="23"/>
      <c r="J136" s="306"/>
      <c r="K136" s="306"/>
      <c r="L136" s="425"/>
      <c r="M136" s="11"/>
      <c r="N136" s="146"/>
      <c r="O136" s="146"/>
    </row>
    <row r="137" spans="1:15" s="3" customFormat="1" ht="15.75" x14ac:dyDescent="0.2">
      <c r="A137" s="40" t="s">
        <v>326</v>
      </c>
      <c r="B137" s="274"/>
      <c r="C137" s="313"/>
      <c r="D137" s="167"/>
      <c r="E137" s="9"/>
      <c r="F137" s="274"/>
      <c r="G137" s="313"/>
      <c r="H137" s="430"/>
      <c r="I137" s="35"/>
      <c r="J137" s="312"/>
      <c r="K137" s="312"/>
      <c r="L137" s="426"/>
      <c r="M137" s="35"/>
      <c r="N137" s="146"/>
      <c r="O137" s="146"/>
    </row>
    <row r="138" spans="1:15" s="3" customFormat="1" x14ac:dyDescent="0.2">
      <c r="A138" s="166"/>
      <c r="B138" s="32"/>
      <c r="C138" s="32"/>
      <c r="D138" s="157"/>
      <c r="E138" s="157"/>
      <c r="F138" s="32"/>
      <c r="G138" s="32"/>
      <c r="H138" s="157"/>
      <c r="I138" s="157"/>
      <c r="J138" s="32"/>
      <c r="K138" s="32"/>
      <c r="L138" s="157"/>
      <c r="M138" s="157"/>
      <c r="N138" s="146"/>
      <c r="O138" s="146"/>
    </row>
    <row r="139" spans="1:15" x14ac:dyDescent="0.2">
      <c r="A139" s="166"/>
      <c r="B139" s="32"/>
      <c r="C139" s="32"/>
      <c r="D139" s="157"/>
      <c r="E139" s="157"/>
      <c r="F139" s="32"/>
      <c r="G139" s="32"/>
      <c r="H139" s="157"/>
      <c r="I139" s="157"/>
      <c r="J139" s="32"/>
      <c r="K139" s="32"/>
      <c r="L139" s="157"/>
      <c r="M139" s="157"/>
      <c r="N139" s="146"/>
    </row>
    <row r="140" spans="1:15" x14ac:dyDescent="0.2">
      <c r="A140" s="166"/>
      <c r="B140" s="32"/>
      <c r="C140" s="32"/>
      <c r="D140" s="157"/>
      <c r="E140" s="157"/>
      <c r="F140" s="32"/>
      <c r="G140" s="32"/>
      <c r="H140" s="157"/>
      <c r="I140" s="157"/>
      <c r="J140" s="32"/>
      <c r="K140" s="32"/>
      <c r="L140" s="157"/>
      <c r="M140" s="157"/>
      <c r="N140" s="146"/>
    </row>
    <row r="141" spans="1:15" x14ac:dyDescent="0.2">
      <c r="A141" s="144"/>
      <c r="B141" s="144"/>
      <c r="C141" s="144"/>
      <c r="D141" s="144"/>
      <c r="E141" s="144"/>
      <c r="F141" s="144"/>
      <c r="G141" s="144"/>
      <c r="H141" s="144"/>
      <c r="I141" s="144"/>
      <c r="J141" s="144"/>
      <c r="K141" s="144"/>
      <c r="L141" s="144"/>
      <c r="M141" s="144"/>
      <c r="N141" s="144"/>
    </row>
    <row r="142" spans="1:15" ht="15.75" x14ac:dyDescent="0.25">
      <c r="B142" s="140"/>
      <c r="C142" s="140"/>
      <c r="D142" s="140"/>
      <c r="E142" s="140"/>
      <c r="F142" s="140"/>
      <c r="G142" s="140"/>
      <c r="H142" s="140"/>
      <c r="I142" s="140"/>
      <c r="J142" s="140"/>
      <c r="K142" s="140"/>
      <c r="L142" s="140"/>
      <c r="M142" s="140"/>
      <c r="N142" s="140"/>
    </row>
    <row r="143" spans="1:15" ht="15.75" x14ac:dyDescent="0.25">
      <c r="B143" s="155"/>
      <c r="C143" s="155"/>
      <c r="D143" s="155"/>
      <c r="E143" s="155"/>
      <c r="F143" s="155"/>
      <c r="G143" s="155"/>
      <c r="H143" s="155"/>
      <c r="I143" s="155"/>
      <c r="J143" s="155"/>
      <c r="K143" s="155"/>
      <c r="L143" s="155"/>
      <c r="M143" s="155"/>
      <c r="N143" s="155"/>
      <c r="O143" s="152"/>
    </row>
    <row r="144" spans="1:15" ht="15.75" x14ac:dyDescent="0.25">
      <c r="B144" s="155"/>
      <c r="C144" s="155"/>
      <c r="D144" s="155"/>
      <c r="E144" s="155"/>
      <c r="F144" s="155"/>
      <c r="G144" s="155"/>
      <c r="H144" s="155"/>
      <c r="I144" s="155"/>
      <c r="J144" s="155"/>
      <c r="K144" s="155"/>
      <c r="L144" s="155"/>
      <c r="M144" s="155"/>
      <c r="N144" s="155"/>
      <c r="O144" s="152"/>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50:C52">
    <cfRule type="expression" dxfId="163" priority="117">
      <formula>kvartal &lt; 4</formula>
    </cfRule>
  </conditionalFormatting>
  <conditionalFormatting sqref="B30">
    <cfRule type="expression" dxfId="162" priority="115">
      <formula>kvartal &lt; 4</formula>
    </cfRule>
  </conditionalFormatting>
  <conditionalFormatting sqref="B31">
    <cfRule type="expression" dxfId="161" priority="114">
      <formula>kvartal &lt; 4</formula>
    </cfRule>
  </conditionalFormatting>
  <conditionalFormatting sqref="B32:B33">
    <cfRule type="expression" dxfId="160" priority="113">
      <formula>kvartal &lt; 4</formula>
    </cfRule>
  </conditionalFormatting>
  <conditionalFormatting sqref="C30">
    <cfRule type="expression" dxfId="159" priority="112">
      <formula>kvartal &lt; 4</formula>
    </cfRule>
  </conditionalFormatting>
  <conditionalFormatting sqref="C31">
    <cfRule type="expression" dxfId="158" priority="111">
      <formula>kvartal &lt; 4</formula>
    </cfRule>
  </conditionalFormatting>
  <conditionalFormatting sqref="C32:C33">
    <cfRule type="expression" dxfId="157" priority="110">
      <formula>kvartal &lt; 4</formula>
    </cfRule>
  </conditionalFormatting>
  <conditionalFormatting sqref="B23:C26">
    <cfRule type="expression" dxfId="156" priority="109">
      <formula>kvartal &lt; 4</formula>
    </cfRule>
  </conditionalFormatting>
  <conditionalFormatting sqref="F23:G26">
    <cfRule type="expression" dxfId="155" priority="105">
      <formula>kvartal &lt; 4</formula>
    </cfRule>
  </conditionalFormatting>
  <conditionalFormatting sqref="F30">
    <cfRule type="expression" dxfId="154" priority="98">
      <formula>kvartal &lt; 4</formula>
    </cfRule>
  </conditionalFormatting>
  <conditionalFormatting sqref="F31">
    <cfRule type="expression" dxfId="153" priority="97">
      <formula>kvartal &lt; 4</formula>
    </cfRule>
  </conditionalFormatting>
  <conditionalFormatting sqref="F32:F33">
    <cfRule type="expression" dxfId="152" priority="96">
      <formula>kvartal &lt; 4</formula>
    </cfRule>
  </conditionalFormatting>
  <conditionalFormatting sqref="G30">
    <cfRule type="expression" dxfId="151" priority="95">
      <formula>kvartal &lt; 4</formula>
    </cfRule>
  </conditionalFormatting>
  <conditionalFormatting sqref="G31">
    <cfRule type="expression" dxfId="150" priority="94">
      <formula>kvartal &lt; 4</formula>
    </cfRule>
  </conditionalFormatting>
  <conditionalFormatting sqref="G32:G33">
    <cfRule type="expression" dxfId="149" priority="93">
      <formula>kvartal &lt; 4</formula>
    </cfRule>
  </conditionalFormatting>
  <conditionalFormatting sqref="B27">
    <cfRule type="expression" dxfId="148" priority="92">
      <formula>kvartal &lt; 4</formula>
    </cfRule>
  </conditionalFormatting>
  <conditionalFormatting sqref="C27">
    <cfRule type="expression" dxfId="147" priority="91">
      <formula>kvartal &lt; 4</formula>
    </cfRule>
  </conditionalFormatting>
  <conditionalFormatting sqref="F27">
    <cfRule type="expression" dxfId="146" priority="90">
      <formula>kvartal &lt; 4</formula>
    </cfRule>
  </conditionalFormatting>
  <conditionalFormatting sqref="G27">
    <cfRule type="expression" dxfId="145" priority="89">
      <formula>kvartal &lt; 4</formula>
    </cfRule>
  </conditionalFormatting>
  <conditionalFormatting sqref="J23:K27">
    <cfRule type="expression" dxfId="144" priority="88">
      <formula>kvartal &lt; 4</formula>
    </cfRule>
  </conditionalFormatting>
  <conditionalFormatting sqref="J30:K33">
    <cfRule type="expression" dxfId="143" priority="86">
      <formula>kvartal &lt; 4</formula>
    </cfRule>
  </conditionalFormatting>
  <conditionalFormatting sqref="B69">
    <cfRule type="expression" dxfId="142" priority="85">
      <formula>kvartal &lt; 4</formula>
    </cfRule>
  </conditionalFormatting>
  <conditionalFormatting sqref="C69">
    <cfRule type="expression" dxfId="141" priority="84">
      <formula>kvartal &lt; 4</formula>
    </cfRule>
  </conditionalFormatting>
  <conditionalFormatting sqref="B72">
    <cfRule type="expression" dxfId="140" priority="83">
      <formula>kvartal &lt; 4</formula>
    </cfRule>
  </conditionalFormatting>
  <conditionalFormatting sqref="C72">
    <cfRule type="expression" dxfId="139" priority="82">
      <formula>kvartal &lt; 4</formula>
    </cfRule>
  </conditionalFormatting>
  <conditionalFormatting sqref="B80">
    <cfRule type="expression" dxfId="138" priority="81">
      <formula>kvartal &lt; 4</formula>
    </cfRule>
  </conditionalFormatting>
  <conditionalFormatting sqref="C80">
    <cfRule type="expression" dxfId="137" priority="80">
      <formula>kvartal &lt; 4</formula>
    </cfRule>
  </conditionalFormatting>
  <conditionalFormatting sqref="B83">
    <cfRule type="expression" dxfId="136" priority="79">
      <formula>kvartal &lt; 4</formula>
    </cfRule>
  </conditionalFormatting>
  <conditionalFormatting sqref="C83">
    <cfRule type="expression" dxfId="135" priority="78">
      <formula>kvartal &lt; 4</formula>
    </cfRule>
  </conditionalFormatting>
  <conditionalFormatting sqref="B90">
    <cfRule type="expression" dxfId="134" priority="69">
      <formula>kvartal &lt; 4</formula>
    </cfRule>
  </conditionalFormatting>
  <conditionalFormatting sqref="C90">
    <cfRule type="expression" dxfId="133" priority="68">
      <formula>kvartal &lt; 4</formula>
    </cfRule>
  </conditionalFormatting>
  <conditionalFormatting sqref="B93">
    <cfRule type="expression" dxfId="132" priority="67">
      <formula>kvartal &lt; 4</formula>
    </cfRule>
  </conditionalFormatting>
  <conditionalFormatting sqref="C93">
    <cfRule type="expression" dxfId="131" priority="66">
      <formula>kvartal &lt; 4</formula>
    </cfRule>
  </conditionalFormatting>
  <conditionalFormatting sqref="B101">
    <cfRule type="expression" dxfId="130" priority="65">
      <formula>kvartal &lt; 4</formula>
    </cfRule>
  </conditionalFormatting>
  <conditionalFormatting sqref="C101">
    <cfRule type="expression" dxfId="129" priority="64">
      <formula>kvartal &lt; 4</formula>
    </cfRule>
  </conditionalFormatting>
  <conditionalFormatting sqref="B104">
    <cfRule type="expression" dxfId="128" priority="63">
      <formula>kvartal &lt; 4</formula>
    </cfRule>
  </conditionalFormatting>
  <conditionalFormatting sqref="C104">
    <cfRule type="expression" dxfId="127" priority="62">
      <formula>kvartal &lt; 4</formula>
    </cfRule>
  </conditionalFormatting>
  <conditionalFormatting sqref="B115">
    <cfRule type="expression" dxfId="126" priority="61">
      <formula>kvartal &lt; 4</formula>
    </cfRule>
  </conditionalFormatting>
  <conditionalFormatting sqref="C115">
    <cfRule type="expression" dxfId="125" priority="60">
      <formula>kvartal &lt; 4</formula>
    </cfRule>
  </conditionalFormatting>
  <conditionalFormatting sqref="B123">
    <cfRule type="expression" dxfId="124" priority="59">
      <formula>kvartal &lt; 4</formula>
    </cfRule>
  </conditionalFormatting>
  <conditionalFormatting sqref="C123">
    <cfRule type="expression" dxfId="123" priority="58">
      <formula>kvartal &lt; 4</formula>
    </cfRule>
  </conditionalFormatting>
  <conditionalFormatting sqref="F70">
    <cfRule type="expression" dxfId="122" priority="57">
      <formula>kvartal &lt; 4</formula>
    </cfRule>
  </conditionalFormatting>
  <conditionalFormatting sqref="G70">
    <cfRule type="expression" dxfId="121" priority="56">
      <formula>kvartal &lt; 4</formula>
    </cfRule>
  </conditionalFormatting>
  <conditionalFormatting sqref="F71:G71">
    <cfRule type="expression" dxfId="120" priority="55">
      <formula>kvartal &lt; 4</formula>
    </cfRule>
  </conditionalFormatting>
  <conditionalFormatting sqref="F73:G74">
    <cfRule type="expression" dxfId="119" priority="54">
      <formula>kvartal &lt; 4</formula>
    </cfRule>
  </conditionalFormatting>
  <conditionalFormatting sqref="F81:G82">
    <cfRule type="expression" dxfId="118" priority="53">
      <formula>kvartal &lt; 4</formula>
    </cfRule>
  </conditionalFormatting>
  <conditionalFormatting sqref="F84:G85">
    <cfRule type="expression" dxfId="117" priority="52">
      <formula>kvartal &lt; 4</formula>
    </cfRule>
  </conditionalFormatting>
  <conditionalFormatting sqref="F91:G92">
    <cfRule type="expression" dxfId="116" priority="47">
      <formula>kvartal &lt; 4</formula>
    </cfRule>
  </conditionalFormatting>
  <conditionalFormatting sqref="F94:G95">
    <cfRule type="expression" dxfId="115" priority="46">
      <formula>kvartal &lt; 4</formula>
    </cfRule>
  </conditionalFormatting>
  <conditionalFormatting sqref="F102:G103">
    <cfRule type="expression" dxfId="114" priority="45">
      <formula>kvartal &lt; 4</formula>
    </cfRule>
  </conditionalFormatting>
  <conditionalFormatting sqref="F105:G106">
    <cfRule type="expression" dxfId="113" priority="44">
      <formula>kvartal &lt; 4</formula>
    </cfRule>
  </conditionalFormatting>
  <conditionalFormatting sqref="F115">
    <cfRule type="expression" dxfId="112" priority="43">
      <formula>kvartal &lt; 4</formula>
    </cfRule>
  </conditionalFormatting>
  <conditionalFormatting sqref="G115">
    <cfRule type="expression" dxfId="111" priority="42">
      <formula>kvartal &lt; 4</formula>
    </cfRule>
  </conditionalFormatting>
  <conditionalFormatting sqref="F123:G123">
    <cfRule type="expression" dxfId="110" priority="41">
      <formula>kvartal &lt; 4</formula>
    </cfRule>
  </conditionalFormatting>
  <conditionalFormatting sqref="F69:G69">
    <cfRule type="expression" dxfId="109" priority="40">
      <formula>kvartal &lt; 4</formula>
    </cfRule>
  </conditionalFormatting>
  <conditionalFormatting sqref="F72:G72">
    <cfRule type="expression" dxfId="108" priority="39">
      <formula>kvartal &lt; 4</formula>
    </cfRule>
  </conditionalFormatting>
  <conditionalFormatting sqref="F80:G80">
    <cfRule type="expression" dxfId="107" priority="38">
      <formula>kvartal &lt; 4</formula>
    </cfRule>
  </conditionalFormatting>
  <conditionalFormatting sqref="F83:G83">
    <cfRule type="expression" dxfId="106" priority="37">
      <formula>kvartal &lt; 4</formula>
    </cfRule>
  </conditionalFormatting>
  <conditionalFormatting sqref="F90:G90">
    <cfRule type="expression" dxfId="105" priority="31">
      <formula>kvartal &lt; 4</formula>
    </cfRule>
  </conditionalFormatting>
  <conditionalFormatting sqref="F93">
    <cfRule type="expression" dxfId="104" priority="30">
      <formula>kvartal &lt; 4</formula>
    </cfRule>
  </conditionalFormatting>
  <conditionalFormatting sqref="G93">
    <cfRule type="expression" dxfId="103" priority="29">
      <formula>kvartal &lt; 4</formula>
    </cfRule>
  </conditionalFormatting>
  <conditionalFormatting sqref="F101">
    <cfRule type="expression" dxfId="102" priority="28">
      <formula>kvartal &lt; 4</formula>
    </cfRule>
  </conditionalFormatting>
  <conditionalFormatting sqref="G101">
    <cfRule type="expression" dxfId="101" priority="27">
      <formula>kvartal &lt; 4</formula>
    </cfRule>
  </conditionalFormatting>
  <conditionalFormatting sqref="G104">
    <cfRule type="expression" dxfId="100" priority="26">
      <formula>kvartal &lt; 4</formula>
    </cfRule>
  </conditionalFormatting>
  <conditionalFormatting sqref="F104">
    <cfRule type="expression" dxfId="99" priority="25">
      <formula>kvartal &lt; 4</formula>
    </cfRule>
  </conditionalFormatting>
  <conditionalFormatting sqref="J69:K73">
    <cfRule type="expression" dxfId="98" priority="24">
      <formula>kvartal &lt; 4</formula>
    </cfRule>
  </conditionalFormatting>
  <conditionalFormatting sqref="J74:K74">
    <cfRule type="expression" dxfId="97" priority="23">
      <formula>kvartal &lt; 4</formula>
    </cfRule>
  </conditionalFormatting>
  <conditionalFormatting sqref="J80:K85">
    <cfRule type="expression" dxfId="96" priority="22">
      <formula>kvartal &lt; 4</formula>
    </cfRule>
  </conditionalFormatting>
  <conditionalFormatting sqref="J90:K95">
    <cfRule type="expression" dxfId="95" priority="19">
      <formula>kvartal &lt; 4</formula>
    </cfRule>
  </conditionalFormatting>
  <conditionalFormatting sqref="J101:K106">
    <cfRule type="expression" dxfId="94" priority="18">
      <formula>kvartal &lt; 4</formula>
    </cfRule>
  </conditionalFormatting>
  <conditionalFormatting sqref="J115:K115">
    <cfRule type="expression" dxfId="93" priority="17">
      <formula>kvartal &lt; 4</formula>
    </cfRule>
  </conditionalFormatting>
  <conditionalFormatting sqref="J123:K123">
    <cfRule type="expression" dxfId="92" priority="16">
      <formula>kvartal &lt; 4</formula>
    </cfRule>
  </conditionalFormatting>
  <conditionalFormatting sqref="A23:A26">
    <cfRule type="expression" dxfId="91" priority="15">
      <formula>kvartal &lt; 4</formula>
    </cfRule>
  </conditionalFormatting>
  <conditionalFormatting sqref="A30:A33">
    <cfRule type="expression" dxfId="90" priority="13">
      <formula>kvartal &lt; 4</formula>
    </cfRule>
  </conditionalFormatting>
  <conditionalFormatting sqref="A50:A52">
    <cfRule type="expression" dxfId="89" priority="12">
      <formula>kvartal &lt; 4</formula>
    </cfRule>
  </conditionalFormatting>
  <conditionalFormatting sqref="A69:A74">
    <cfRule type="expression" dxfId="88" priority="10">
      <formula>kvartal &lt; 4</formula>
    </cfRule>
  </conditionalFormatting>
  <conditionalFormatting sqref="A80:A85">
    <cfRule type="expression" dxfId="87" priority="9">
      <formula>kvartal &lt; 4</formula>
    </cfRule>
  </conditionalFormatting>
  <conditionalFormatting sqref="A90:A95">
    <cfRule type="expression" dxfId="86" priority="6">
      <formula>kvartal &lt; 4</formula>
    </cfRule>
  </conditionalFormatting>
  <conditionalFormatting sqref="A101:A106">
    <cfRule type="expression" dxfId="85" priority="5">
      <formula>kvartal &lt; 4</formula>
    </cfRule>
  </conditionalFormatting>
  <conditionalFormatting sqref="A115">
    <cfRule type="expression" dxfId="84" priority="4">
      <formula>kvartal &lt; 4</formula>
    </cfRule>
  </conditionalFormatting>
  <conditionalFormatting sqref="A123">
    <cfRule type="expression" dxfId="83" priority="3">
      <formula>kvartal &lt; 4</formula>
    </cfRule>
  </conditionalFormatting>
  <conditionalFormatting sqref="A27">
    <cfRule type="expression" dxfId="82" priority="2">
      <formula>kvartal &lt; 4</formula>
    </cfRule>
  </conditionalFormatting>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3"/>
  <dimension ref="A1:AU63"/>
  <sheetViews>
    <sheetView showGridLines="0" zoomScale="60" zoomScaleNormal="60" workbookViewId="0">
      <pane xSplit="1" ySplit="8" topLeftCell="B9" activePane="bottomRight" state="frozen"/>
      <selection activeCell="AU39" sqref="AU39"/>
      <selection pane="topRight" activeCell="AU39" sqref="AU39"/>
      <selection pane="bottomLeft" activeCell="AU39" sqref="AU39"/>
      <selection pane="bottomRight" activeCell="A4" sqref="A4"/>
    </sheetView>
  </sheetViews>
  <sheetFormatPr baseColWidth="10" defaultColWidth="11.42578125" defaultRowHeight="12.75" x14ac:dyDescent="0.2"/>
  <cols>
    <col min="1" max="1" width="90" style="536" customWidth="1"/>
    <col min="2" max="46" width="11.7109375" style="536" customWidth="1"/>
    <col min="47" max="16384" width="11.42578125" style="536"/>
  </cols>
  <sheetData>
    <row r="1" spans="1:46" ht="20.25" x14ac:dyDescent="0.3">
      <c r="A1" s="534" t="s">
        <v>330</v>
      </c>
      <c r="B1" s="495" t="s">
        <v>55</v>
      </c>
      <c r="C1" s="535"/>
      <c r="D1" s="535"/>
      <c r="E1" s="535"/>
      <c r="F1" s="535"/>
      <c r="G1" s="535"/>
      <c r="H1" s="535"/>
      <c r="I1" s="535"/>
      <c r="J1" s="535"/>
    </row>
    <row r="2" spans="1:46" ht="20.25" x14ac:dyDescent="0.3">
      <c r="A2" s="534" t="s">
        <v>277</v>
      </c>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37"/>
      <c r="AF2" s="537"/>
      <c r="AG2" s="537"/>
      <c r="AH2" s="537"/>
      <c r="AI2" s="537"/>
      <c r="AJ2" s="537"/>
      <c r="AK2" s="537"/>
      <c r="AL2" s="537"/>
      <c r="AM2" s="537"/>
      <c r="AN2" s="537"/>
      <c r="AO2" s="537"/>
      <c r="AP2" s="537"/>
      <c r="AQ2" s="537"/>
      <c r="AR2" s="537"/>
      <c r="AS2" s="537"/>
      <c r="AT2" s="537"/>
    </row>
    <row r="3" spans="1:46" ht="18.75" x14ac:dyDescent="0.3">
      <c r="A3" s="538" t="s">
        <v>331</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539"/>
      <c r="AM3" s="539"/>
      <c r="AN3" s="539"/>
      <c r="AO3" s="539"/>
      <c r="AP3" s="539"/>
      <c r="AQ3" s="539"/>
      <c r="AR3" s="539"/>
      <c r="AS3" s="539"/>
      <c r="AT3" s="539"/>
    </row>
    <row r="4" spans="1:46" ht="18.75" customHeight="1" x14ac:dyDescent="0.25">
      <c r="A4" s="540" t="s">
        <v>414</v>
      </c>
      <c r="B4" s="541"/>
      <c r="C4" s="541"/>
      <c r="D4" s="542"/>
      <c r="E4" s="543"/>
      <c r="F4" s="541"/>
      <c r="G4" s="542"/>
      <c r="H4" s="543"/>
      <c r="I4" s="541"/>
      <c r="J4" s="542"/>
      <c r="K4" s="544"/>
      <c r="L4" s="544"/>
      <c r="M4" s="544"/>
      <c r="N4" s="545"/>
      <c r="O4" s="544"/>
      <c r="P4" s="546"/>
      <c r="Q4" s="545"/>
      <c r="R4" s="544"/>
      <c r="S4" s="546"/>
      <c r="T4" s="545"/>
      <c r="U4" s="544"/>
      <c r="V4" s="546"/>
      <c r="W4" s="545"/>
      <c r="X4" s="544"/>
      <c r="Y4" s="546"/>
      <c r="Z4" s="545"/>
      <c r="AA4" s="544"/>
      <c r="AB4" s="546"/>
      <c r="AC4" s="545"/>
      <c r="AD4" s="544"/>
      <c r="AE4" s="546"/>
      <c r="AF4" s="545"/>
      <c r="AG4" s="544"/>
      <c r="AH4" s="546"/>
      <c r="AI4" s="545"/>
      <c r="AJ4" s="544"/>
      <c r="AK4" s="546"/>
      <c r="AL4" s="545"/>
      <c r="AM4" s="544"/>
      <c r="AN4" s="546"/>
      <c r="AO4" s="547"/>
      <c r="AP4" s="548"/>
      <c r="AQ4" s="549"/>
      <c r="AR4" s="545"/>
      <c r="AS4" s="544"/>
      <c r="AT4" s="550"/>
    </row>
    <row r="5" spans="1:46" ht="18.75" customHeight="1" x14ac:dyDescent="0.3">
      <c r="A5" s="551" t="s">
        <v>114</v>
      </c>
      <c r="B5" s="973" t="s">
        <v>192</v>
      </c>
      <c r="C5" s="974"/>
      <c r="D5" s="975"/>
      <c r="E5" s="973" t="s">
        <v>193</v>
      </c>
      <c r="F5" s="974"/>
      <c r="G5" s="975"/>
      <c r="H5" s="973" t="s">
        <v>194</v>
      </c>
      <c r="I5" s="974"/>
      <c r="J5" s="975"/>
      <c r="K5" s="973" t="s">
        <v>195</v>
      </c>
      <c r="L5" s="974"/>
      <c r="M5" s="975"/>
      <c r="N5" s="973" t="s">
        <v>196</v>
      </c>
      <c r="O5" s="974"/>
      <c r="P5" s="975"/>
      <c r="Q5" s="973"/>
      <c r="R5" s="974"/>
      <c r="S5" s="975"/>
      <c r="T5" s="973" t="s">
        <v>67</v>
      </c>
      <c r="U5" s="974"/>
      <c r="V5" s="975"/>
      <c r="W5" s="552"/>
      <c r="X5" s="553"/>
      <c r="Y5" s="554"/>
      <c r="Z5" s="973" t="s">
        <v>197</v>
      </c>
      <c r="AA5" s="974"/>
      <c r="AB5" s="975"/>
      <c r="AC5" s="552"/>
      <c r="AD5" s="553"/>
      <c r="AE5" s="554"/>
      <c r="AF5" s="973" t="s">
        <v>79</v>
      </c>
      <c r="AG5" s="974"/>
      <c r="AH5" s="975"/>
      <c r="AI5" s="973"/>
      <c r="AJ5" s="974"/>
      <c r="AK5" s="975"/>
      <c r="AL5" s="973" t="s">
        <v>80</v>
      </c>
      <c r="AM5" s="974"/>
      <c r="AN5" s="975"/>
      <c r="AO5" s="976" t="s">
        <v>2</v>
      </c>
      <c r="AP5" s="977"/>
      <c r="AQ5" s="978"/>
      <c r="AR5" s="973" t="s">
        <v>332</v>
      </c>
      <c r="AS5" s="974"/>
      <c r="AT5" s="975"/>
    </row>
    <row r="6" spans="1:46" ht="21" customHeight="1" x14ac:dyDescent="0.3">
      <c r="A6" s="555"/>
      <c r="B6" s="967" t="s">
        <v>198</v>
      </c>
      <c r="C6" s="968"/>
      <c r="D6" s="969"/>
      <c r="E6" s="967" t="s">
        <v>199</v>
      </c>
      <c r="F6" s="968"/>
      <c r="G6" s="969"/>
      <c r="H6" s="967" t="s">
        <v>199</v>
      </c>
      <c r="I6" s="968"/>
      <c r="J6" s="969"/>
      <c r="K6" s="967" t="s">
        <v>200</v>
      </c>
      <c r="L6" s="968"/>
      <c r="M6" s="969"/>
      <c r="N6" s="967" t="s">
        <v>100</v>
      </c>
      <c r="O6" s="968"/>
      <c r="P6" s="969"/>
      <c r="Q6" s="967" t="s">
        <v>67</v>
      </c>
      <c r="R6" s="968"/>
      <c r="S6" s="969"/>
      <c r="T6" s="967" t="s">
        <v>201</v>
      </c>
      <c r="U6" s="968"/>
      <c r="V6" s="969"/>
      <c r="W6" s="967" t="s">
        <v>72</v>
      </c>
      <c r="X6" s="968"/>
      <c r="Y6" s="969"/>
      <c r="Z6" s="967" t="s">
        <v>198</v>
      </c>
      <c r="AA6" s="968"/>
      <c r="AB6" s="969"/>
      <c r="AC6" s="967" t="s">
        <v>78</v>
      </c>
      <c r="AD6" s="968"/>
      <c r="AE6" s="969"/>
      <c r="AF6" s="967" t="s">
        <v>202</v>
      </c>
      <c r="AG6" s="968"/>
      <c r="AH6" s="969"/>
      <c r="AI6" s="967" t="s">
        <v>74</v>
      </c>
      <c r="AJ6" s="968"/>
      <c r="AK6" s="969"/>
      <c r="AL6" s="967" t="s">
        <v>199</v>
      </c>
      <c r="AM6" s="968"/>
      <c r="AN6" s="969"/>
      <c r="AO6" s="970" t="s">
        <v>333</v>
      </c>
      <c r="AP6" s="971"/>
      <c r="AQ6" s="972"/>
      <c r="AR6" s="967" t="s">
        <v>334</v>
      </c>
      <c r="AS6" s="968"/>
      <c r="AT6" s="969"/>
    </row>
    <row r="7" spans="1:46" ht="18.75" customHeight="1" x14ac:dyDescent="0.3">
      <c r="A7" s="555"/>
      <c r="B7" s="555"/>
      <c r="C7" s="555"/>
      <c r="D7" s="556" t="s">
        <v>89</v>
      </c>
      <c r="E7" s="555"/>
      <c r="F7" s="555"/>
      <c r="G7" s="556" t="s">
        <v>89</v>
      </c>
      <c r="H7" s="555"/>
      <c r="I7" s="555"/>
      <c r="J7" s="556" t="s">
        <v>89</v>
      </c>
      <c r="K7" s="555"/>
      <c r="L7" s="555"/>
      <c r="M7" s="556" t="s">
        <v>89</v>
      </c>
      <c r="N7" s="555"/>
      <c r="O7" s="555"/>
      <c r="P7" s="556" t="s">
        <v>89</v>
      </c>
      <c r="Q7" s="555"/>
      <c r="R7" s="555"/>
      <c r="S7" s="556" t="s">
        <v>89</v>
      </c>
      <c r="T7" s="555"/>
      <c r="U7" s="555"/>
      <c r="V7" s="556" t="s">
        <v>89</v>
      </c>
      <c r="W7" s="555"/>
      <c r="X7" s="555"/>
      <c r="Y7" s="556" t="s">
        <v>89</v>
      </c>
      <c r="Z7" s="555"/>
      <c r="AA7" s="555"/>
      <c r="AB7" s="556" t="s">
        <v>89</v>
      </c>
      <c r="AC7" s="555"/>
      <c r="AD7" s="555"/>
      <c r="AE7" s="556" t="s">
        <v>89</v>
      </c>
      <c r="AF7" s="555"/>
      <c r="AG7" s="555"/>
      <c r="AH7" s="556" t="s">
        <v>89</v>
      </c>
      <c r="AI7" s="555"/>
      <c r="AJ7" s="555"/>
      <c r="AK7" s="556" t="s">
        <v>89</v>
      </c>
      <c r="AL7" s="555"/>
      <c r="AM7" s="555"/>
      <c r="AN7" s="556" t="s">
        <v>89</v>
      </c>
      <c r="AO7" s="555"/>
      <c r="AP7" s="555"/>
      <c r="AQ7" s="556" t="s">
        <v>89</v>
      </c>
      <c r="AR7" s="555"/>
      <c r="AS7" s="555"/>
      <c r="AT7" s="556" t="s">
        <v>89</v>
      </c>
    </row>
    <row r="8" spans="1:46" ht="18.75" customHeight="1" x14ac:dyDescent="0.25">
      <c r="A8" s="557" t="s">
        <v>335</v>
      </c>
      <c r="B8" s="558">
        <v>2016</v>
      </c>
      <c r="C8" s="558">
        <v>2017</v>
      </c>
      <c r="D8" s="559" t="s">
        <v>91</v>
      </c>
      <c r="E8" s="558">
        <v>2016</v>
      </c>
      <c r="F8" s="558">
        <v>2017</v>
      </c>
      <c r="G8" s="559" t="s">
        <v>91</v>
      </c>
      <c r="H8" s="558">
        <v>2016</v>
      </c>
      <c r="I8" s="558">
        <v>2017</v>
      </c>
      <c r="J8" s="559" t="s">
        <v>91</v>
      </c>
      <c r="K8" s="558">
        <v>2016</v>
      </c>
      <c r="L8" s="558">
        <v>2017</v>
      </c>
      <c r="M8" s="559" t="s">
        <v>91</v>
      </c>
      <c r="N8" s="558">
        <v>2016</v>
      </c>
      <c r="O8" s="558">
        <v>2017</v>
      </c>
      <c r="P8" s="559" t="s">
        <v>91</v>
      </c>
      <c r="Q8" s="558">
        <v>2016</v>
      </c>
      <c r="R8" s="558">
        <v>2017</v>
      </c>
      <c r="S8" s="559" t="s">
        <v>91</v>
      </c>
      <c r="T8" s="558">
        <v>2016</v>
      </c>
      <c r="U8" s="558">
        <v>2017</v>
      </c>
      <c r="V8" s="559" t="s">
        <v>91</v>
      </c>
      <c r="W8" s="558">
        <v>2016</v>
      </c>
      <c r="X8" s="558">
        <v>2017</v>
      </c>
      <c r="Y8" s="559" t="s">
        <v>91</v>
      </c>
      <c r="Z8" s="558">
        <v>2016</v>
      </c>
      <c r="AA8" s="558">
        <v>2017</v>
      </c>
      <c r="AB8" s="559" t="s">
        <v>91</v>
      </c>
      <c r="AC8" s="558">
        <v>2016</v>
      </c>
      <c r="AD8" s="558">
        <v>2017</v>
      </c>
      <c r="AE8" s="559" t="s">
        <v>91</v>
      </c>
      <c r="AF8" s="558">
        <v>2016</v>
      </c>
      <c r="AG8" s="558">
        <v>2017</v>
      </c>
      <c r="AH8" s="559" t="s">
        <v>91</v>
      </c>
      <c r="AI8" s="558">
        <v>2016</v>
      </c>
      <c r="AJ8" s="558">
        <v>2017</v>
      </c>
      <c r="AK8" s="559" t="s">
        <v>91</v>
      </c>
      <c r="AL8" s="558">
        <v>2016</v>
      </c>
      <c r="AM8" s="558">
        <v>2017</v>
      </c>
      <c r="AN8" s="559" t="s">
        <v>91</v>
      </c>
      <c r="AO8" s="558">
        <v>2016</v>
      </c>
      <c r="AP8" s="558">
        <v>2017</v>
      </c>
      <c r="AQ8" s="559" t="s">
        <v>91</v>
      </c>
      <c r="AR8" s="558">
        <v>2016</v>
      </c>
      <c r="AS8" s="558">
        <v>2017</v>
      </c>
      <c r="AT8" s="559" t="s">
        <v>91</v>
      </c>
    </row>
    <row r="9" spans="1:46" ht="18.75" customHeight="1" x14ac:dyDescent="0.3">
      <c r="A9" s="555" t="s">
        <v>336</v>
      </c>
      <c r="B9" s="560"/>
      <c r="C9" s="561"/>
      <c r="D9" s="562"/>
      <c r="E9" s="560"/>
      <c r="F9" s="561"/>
      <c r="G9" s="562"/>
      <c r="H9" s="560"/>
      <c r="I9" s="561"/>
      <c r="J9" s="562"/>
      <c r="K9" s="560"/>
      <c r="L9" s="561"/>
      <c r="M9" s="561"/>
      <c r="N9" s="563"/>
      <c r="O9" s="564"/>
      <c r="P9" s="562"/>
      <c r="Q9" s="565"/>
      <c r="R9" s="562"/>
      <c r="S9" s="562"/>
      <c r="T9" s="560"/>
      <c r="U9" s="561"/>
      <c r="V9" s="562"/>
      <c r="W9" s="560"/>
      <c r="X9" s="561"/>
      <c r="Y9" s="562"/>
      <c r="Z9" s="565"/>
      <c r="AA9" s="562"/>
      <c r="AB9" s="562"/>
      <c r="AC9" s="560"/>
      <c r="AD9" s="561"/>
      <c r="AE9" s="562"/>
      <c r="AF9" s="565"/>
      <c r="AG9" s="562"/>
      <c r="AH9" s="562"/>
      <c r="AI9" s="560"/>
      <c r="AJ9" s="561"/>
      <c r="AK9" s="562"/>
      <c r="AL9" s="560"/>
      <c r="AM9" s="561"/>
      <c r="AN9" s="562"/>
      <c r="AO9" s="562"/>
      <c r="AP9" s="562"/>
      <c r="AQ9" s="562"/>
      <c r="AR9" s="566"/>
      <c r="AS9" s="566"/>
      <c r="AT9" s="566"/>
    </row>
    <row r="10" spans="1:46" s="537" customFormat="1" ht="18.75" customHeight="1" x14ac:dyDescent="0.3">
      <c r="A10" s="567" t="s">
        <v>337</v>
      </c>
      <c r="B10" s="568"/>
      <c r="C10" s="569"/>
      <c r="D10" s="570"/>
      <c r="E10" s="568"/>
      <c r="F10" s="569"/>
      <c r="G10" s="570"/>
      <c r="H10" s="568"/>
      <c r="I10" s="569"/>
      <c r="J10" s="570"/>
      <c r="K10" s="568"/>
      <c r="L10" s="569"/>
      <c r="M10" s="569"/>
      <c r="N10" s="571"/>
      <c r="O10" s="572"/>
      <c r="P10" s="570"/>
      <c r="Q10" s="573"/>
      <c r="R10" s="570"/>
      <c r="S10" s="570"/>
      <c r="T10" s="568"/>
      <c r="U10" s="569"/>
      <c r="V10" s="570"/>
      <c r="W10" s="568"/>
      <c r="X10" s="569"/>
      <c r="Y10" s="570"/>
      <c r="Z10" s="573"/>
      <c r="AA10" s="570"/>
      <c r="AB10" s="570"/>
      <c r="AC10" s="568"/>
      <c r="AD10" s="569"/>
      <c r="AE10" s="570"/>
      <c r="AF10" s="573"/>
      <c r="AG10" s="570"/>
      <c r="AH10" s="570"/>
      <c r="AI10" s="568"/>
      <c r="AJ10" s="569"/>
      <c r="AK10" s="570"/>
      <c r="AL10" s="568"/>
      <c r="AM10" s="569"/>
      <c r="AN10" s="570"/>
      <c r="AO10" s="570"/>
      <c r="AP10" s="570"/>
      <c r="AQ10" s="570"/>
      <c r="AR10" s="574"/>
      <c r="AS10" s="574"/>
      <c r="AT10" s="574"/>
    </row>
    <row r="11" spans="1:46" s="537" customFormat="1" ht="18.75" customHeight="1" x14ac:dyDescent="0.3">
      <c r="A11" s="567" t="s">
        <v>338</v>
      </c>
      <c r="B11" s="573">
        <v>1996.7320000000002</v>
      </c>
      <c r="C11" s="570">
        <v>2172.0700000000002</v>
      </c>
      <c r="D11" s="570">
        <f t="shared" ref="D11:D16" si="0">IF(B11=0, "    ---- ", IF(ABS(ROUND(100/B11*C11-100,1))&lt;999,ROUND(100/B11*C11-100,1),IF(ROUND(100/B11*C11-100,1)&gt;999,999,-999)))</f>
        <v>8.8000000000000007</v>
      </c>
      <c r="E11" s="573">
        <v>14980.591</v>
      </c>
      <c r="F11" s="570">
        <v>13910.584000000001</v>
      </c>
      <c r="G11" s="570">
        <f t="shared" ref="G11:G17" si="1">IF(E11=0, "    ---- ", IF(ABS(ROUND(100/E11*F11-100,1))&lt;999,ROUND(100/E11*F11-100,1),IF(ROUND(100/E11*F11-100,1)&gt;999,999,-999)))</f>
        <v>-7.1</v>
      </c>
      <c r="H11" s="573">
        <v>788.09900000000005</v>
      </c>
      <c r="I11" s="570">
        <v>885.303</v>
      </c>
      <c r="J11" s="570">
        <f t="shared" ref="J11:J17" si="2">IF(H11=0, "    ---- ", IF(ABS(ROUND(100/H11*I11-100,1))&lt;999,ROUND(100/H11*I11-100,1),IF(ROUND(100/H11*I11-100,1)&gt;999,999,-999)))</f>
        <v>12.3</v>
      </c>
      <c r="K11" s="573">
        <v>2472.1</v>
      </c>
      <c r="L11" s="570">
        <v>3094.8</v>
      </c>
      <c r="M11" s="570">
        <f t="shared" ref="M11:M16" si="3">IF(K11=0, "    ---- ", IF(ABS(ROUND(100/K11*L11-100,1))&lt;999,ROUND(100/K11*L11-100,1),IF(ROUND(100/K11*L11-100,1)&gt;999,999,-999)))</f>
        <v>25.2</v>
      </c>
      <c r="N11" s="573">
        <v>39</v>
      </c>
      <c r="O11" s="570">
        <v>37</v>
      </c>
      <c r="P11" s="570">
        <f>IF(N11=0, "    ---- ", IF(ABS(ROUND(100/N11*O11-100,1))&lt;999,ROUND(100/N11*O11-100,1),IF(ROUND(100/N11*O11-100,1)&gt;999,999,-999)))</f>
        <v>-5.0999999999999996</v>
      </c>
      <c r="Q11" s="573">
        <v>33606.31170495</v>
      </c>
      <c r="R11" s="570">
        <v>32122.480125959999</v>
      </c>
      <c r="S11" s="570">
        <f t="shared" ref="S11:S17" si="4">IF(Q11=0, "    ---- ", IF(ABS(ROUND(100/Q11*R11-100,1))&lt;999,ROUND(100/Q11*R11-100,1),IF(ROUND(100/Q11*R11-100,1)&gt;999,999,-999)))</f>
        <v>-4.4000000000000004</v>
      </c>
      <c r="T11" s="573">
        <v>389.6</v>
      </c>
      <c r="U11" s="570">
        <v>453.9</v>
      </c>
      <c r="V11" s="570">
        <f t="shared" ref="V11:V30" si="5">IF(T11=0, "    ---- ", IF(ABS(ROUND(100/T11*U11-100,1))&lt;999,ROUND(100/T11*U11-100,1),IF(ROUND(100/T11*U11-100,1)&gt;999,999,-999)))</f>
        <v>16.5</v>
      </c>
      <c r="W11" s="573">
        <v>10786</v>
      </c>
      <c r="X11" s="570">
        <v>11221</v>
      </c>
      <c r="Y11" s="570">
        <f t="shared" ref="Y11:Y17" si="6">IF(W11=0, "    ---- ", IF(ABS(ROUND(100/W11*X11-100,1))&lt;999,ROUND(100/W11*X11-100,1),IF(ROUND(100/W11*X11-100,1)&gt;999,999,-999)))</f>
        <v>4</v>
      </c>
      <c r="Z11" s="573">
        <v>4018</v>
      </c>
      <c r="AA11" s="570">
        <v>4149</v>
      </c>
      <c r="AB11" s="570">
        <f t="shared" ref="AB11:AB17" si="7">IF(Z11=0, "    ---- ", IF(ABS(ROUND(100/Z11*AA11-100,1))&lt;999,ROUND(100/Z11*AA11-100,1),IF(ROUND(100/Z11*AA11-100,1)&gt;999,999,-999)))</f>
        <v>3.3</v>
      </c>
      <c r="AC11" s="573">
        <v>173</v>
      </c>
      <c r="AD11" s="570">
        <v>169</v>
      </c>
      <c r="AE11" s="570">
        <f t="shared" ref="AE11:AE16" si="8">IF(AC11=0, "    ---- ", IF(ABS(ROUND(100/AC11*AD11-100,1))&lt;999,ROUND(100/AC11*AD11-100,1),IF(ROUND(100/AC11*AD11-100,1)&gt;999,999,-999)))</f>
        <v>-2.2999999999999998</v>
      </c>
      <c r="AF11" s="573"/>
      <c r="AG11" s="570"/>
      <c r="AH11" s="570"/>
      <c r="AI11" s="573">
        <v>4986.8166738999989</v>
      </c>
      <c r="AJ11" s="570">
        <v>6236.78092517</v>
      </c>
      <c r="AK11" s="570">
        <f t="shared" ref="AK11:AK17" si="9">IF(AI11=0, "    ---- ", IF(ABS(ROUND(100/AI11*AJ11-100,1))&lt;999,ROUND(100/AI11*AJ11-100,1),IF(ROUND(100/AI11*AJ11-100,1)&gt;999,999,-999)))</f>
        <v>25.1</v>
      </c>
      <c r="AL11" s="573">
        <v>16588.599999999999</v>
      </c>
      <c r="AM11" s="570">
        <v>16357</v>
      </c>
      <c r="AN11" s="570">
        <f t="shared" ref="AN11:AN17" si="10">IF(AL11=0, "    ---- ", IF(ABS(ROUND(100/AL11*AM11-100,1))&lt;999,ROUND(100/AL11*AM11-100,1),IF(ROUND(100/AL11*AM11-100,1)&gt;999,999,-999)))</f>
        <v>-1.4</v>
      </c>
      <c r="AO11" s="570">
        <f>B11+E11+H11+K11+Q11+T11+W11+Z11+AF11+AI11+AL11</f>
        <v>90612.850378850009</v>
      </c>
      <c r="AP11" s="570">
        <f>C11+F11+I11+L11+R11+U11+X11+AA11+AG11+AJ11+AM11</f>
        <v>90602.918051129993</v>
      </c>
      <c r="AQ11" s="570">
        <f t="shared" ref="AQ11:AQ45" si="11">IF(AO11=0, "    ---- ", IF(ABS(ROUND(100/AO11*AP11-100,1))&lt;999,ROUND(100/AO11*AP11-100,1),IF(ROUND(100/AO11*AP11-100,1)&gt;999,999,-999)))</f>
        <v>0</v>
      </c>
      <c r="AR11" s="575">
        <f>+B11+E11+H11+K11+N11+Q11+T11+W11+Z11+AC11+AF11+AI11+AL11</f>
        <v>90824.850378850009</v>
      </c>
      <c r="AS11" s="570">
        <f>+C11+F11+I11+L11+O11+R11+U11+X11+AA11+AD11+AG11+AJ11+AM11</f>
        <v>90808.918051129993</v>
      </c>
      <c r="AT11" s="570">
        <f t="shared" ref="AT11:AT17" si="12">IF(AR11=0, "    ---- ", IF(ABS(ROUND(100/AR11*AS11-100,1))&lt;999,ROUND(100/AR11*AS11-100,1),IF(ROUND(100/AR11*AS11-100,1)&gt;999,999,-999)))</f>
        <v>0</v>
      </c>
    </row>
    <row r="12" spans="1:46" s="537" customFormat="1" ht="18.75" customHeight="1" x14ac:dyDescent="0.3">
      <c r="A12" s="567" t="s">
        <v>339</v>
      </c>
      <c r="B12" s="573">
        <v>-89.631</v>
      </c>
      <c r="C12" s="570">
        <v>-88.344999999999999</v>
      </c>
      <c r="D12" s="570">
        <f t="shared" si="0"/>
        <v>-1.4</v>
      </c>
      <c r="E12" s="573">
        <v>-507.649</v>
      </c>
      <c r="F12" s="570">
        <v>-456.21</v>
      </c>
      <c r="G12" s="570">
        <f t="shared" si="1"/>
        <v>-10.1</v>
      </c>
      <c r="H12" s="573">
        <v>-43.671999999999997</v>
      </c>
      <c r="I12" s="570">
        <v>-51.439</v>
      </c>
      <c r="J12" s="570">
        <f t="shared" si="2"/>
        <v>17.8</v>
      </c>
      <c r="K12" s="573">
        <v>-5.4</v>
      </c>
      <c r="L12" s="570">
        <v>-6.9</v>
      </c>
      <c r="M12" s="570">
        <f t="shared" si="3"/>
        <v>27.8</v>
      </c>
      <c r="N12" s="573"/>
      <c r="O12" s="570"/>
      <c r="P12" s="570"/>
      <c r="Q12" s="573">
        <v>-1.454731</v>
      </c>
      <c r="R12" s="570">
        <v>-3.4298280000000001</v>
      </c>
      <c r="S12" s="570">
        <f t="shared" si="4"/>
        <v>135.80000000000001</v>
      </c>
      <c r="T12" s="573"/>
      <c r="U12" s="570"/>
      <c r="V12" s="570"/>
      <c r="W12" s="573">
        <v>-98</v>
      </c>
      <c r="X12" s="570">
        <v>-85</v>
      </c>
      <c r="Y12" s="570">
        <f t="shared" si="6"/>
        <v>-13.3</v>
      </c>
      <c r="Z12" s="573">
        <v>-2</v>
      </c>
      <c r="AA12" s="570">
        <v>-1</v>
      </c>
      <c r="AB12" s="570">
        <f>IF(Z12=0, "    ---- ", IF(ABS(ROUND(100/Z12*AA12-100,1))&lt;999,ROUND(100/Z12*AA12-100,1),IF(ROUND(100/Z12*AA12-100,1)&gt;999,999,-999)))</f>
        <v>-50</v>
      </c>
      <c r="AC12" s="573"/>
      <c r="AD12" s="570"/>
      <c r="AE12" s="570"/>
      <c r="AF12" s="573"/>
      <c r="AG12" s="570"/>
      <c r="AH12" s="570"/>
      <c r="AI12" s="573">
        <v>-201.988</v>
      </c>
      <c r="AJ12" s="570">
        <v>-211.11</v>
      </c>
      <c r="AK12" s="570">
        <f t="shared" si="9"/>
        <v>4.5</v>
      </c>
      <c r="AL12" s="573">
        <v>-29.7</v>
      </c>
      <c r="AM12" s="570">
        <v>-31</v>
      </c>
      <c r="AN12" s="570">
        <f t="shared" si="10"/>
        <v>4.4000000000000004</v>
      </c>
      <c r="AO12" s="570">
        <f t="shared" ref="AO12:AP45" si="13">B12+E12+H12+K12+Q12+T12+W12+Z12+AF12+AI12+AL12</f>
        <v>-979.494731</v>
      </c>
      <c r="AP12" s="570">
        <f t="shared" si="13"/>
        <v>-934.43382799999995</v>
      </c>
      <c r="AQ12" s="570">
        <f t="shared" si="11"/>
        <v>-4.5999999999999996</v>
      </c>
      <c r="AR12" s="575">
        <f t="shared" ref="AR12:AS17" si="14">+B12+E12+H12+K12+N12+Q12+T12+W12+Z12+AC12+AF12+AI12+AL12</f>
        <v>-979.494731</v>
      </c>
      <c r="AS12" s="570">
        <f t="shared" si="14"/>
        <v>-934.43382799999995</v>
      </c>
      <c r="AT12" s="570">
        <f t="shared" si="12"/>
        <v>-4.5999999999999996</v>
      </c>
    </row>
    <row r="13" spans="1:46" s="537" customFormat="1" ht="18.75" customHeight="1" x14ac:dyDescent="0.3">
      <c r="A13" s="567" t="s">
        <v>340</v>
      </c>
      <c r="B13" s="573">
        <v>727.923</v>
      </c>
      <c r="C13" s="570">
        <v>774.83399999999995</v>
      </c>
      <c r="D13" s="570">
        <f t="shared" si="0"/>
        <v>6.4</v>
      </c>
      <c r="E13" s="573">
        <v>2406.9140000000002</v>
      </c>
      <c r="F13" s="570">
        <v>3552.9140000000002</v>
      </c>
      <c r="G13" s="570">
        <f t="shared" si="1"/>
        <v>47.6</v>
      </c>
      <c r="H13" s="573">
        <v>64.495999999999995</v>
      </c>
      <c r="I13" s="570">
        <v>81.673000000000002</v>
      </c>
      <c r="J13" s="570">
        <f t="shared" si="2"/>
        <v>26.6</v>
      </c>
      <c r="K13" s="573">
        <v>1132.0999999999999</v>
      </c>
      <c r="L13" s="570">
        <v>2019</v>
      </c>
      <c r="M13" s="570">
        <f t="shared" si="3"/>
        <v>78.3</v>
      </c>
      <c r="N13" s="573"/>
      <c r="O13" s="570"/>
      <c r="P13" s="570"/>
      <c r="Q13" s="573">
        <v>3249.50227</v>
      </c>
      <c r="R13" s="570">
        <v>297.56955199999999</v>
      </c>
      <c r="S13" s="570">
        <f t="shared" si="4"/>
        <v>-90.8</v>
      </c>
      <c r="T13" s="573">
        <v>185</v>
      </c>
      <c r="U13" s="570">
        <v>543.1</v>
      </c>
      <c r="V13" s="570">
        <f t="shared" si="5"/>
        <v>193.6</v>
      </c>
      <c r="W13" s="573">
        <v>1151</v>
      </c>
      <c r="X13" s="570">
        <v>1100.5999999999999</v>
      </c>
      <c r="Y13" s="570">
        <f t="shared" si="6"/>
        <v>-4.4000000000000004</v>
      </c>
      <c r="Z13" s="573">
        <v>0</v>
      </c>
      <c r="AA13" s="570"/>
      <c r="AB13" s="570"/>
      <c r="AC13" s="573">
        <v>92</v>
      </c>
      <c r="AD13" s="570">
        <v>119.605</v>
      </c>
      <c r="AE13" s="570">
        <f t="shared" si="8"/>
        <v>30</v>
      </c>
      <c r="AF13" s="573"/>
      <c r="AG13" s="570"/>
      <c r="AH13" s="570"/>
      <c r="AI13" s="573">
        <v>1658.75788528</v>
      </c>
      <c r="AJ13" s="570">
        <v>1615.9610888699999</v>
      </c>
      <c r="AK13" s="570">
        <f t="shared" si="9"/>
        <v>-2.6</v>
      </c>
      <c r="AL13" s="573">
        <v>805.7</v>
      </c>
      <c r="AM13" s="570">
        <v>1203</v>
      </c>
      <c r="AN13" s="570">
        <f t="shared" si="10"/>
        <v>49.3</v>
      </c>
      <c r="AO13" s="570">
        <f t="shared" si="13"/>
        <v>11381.393155280002</v>
      </c>
      <c r="AP13" s="570">
        <f t="shared" si="13"/>
        <v>11188.651640870001</v>
      </c>
      <c r="AQ13" s="570">
        <f t="shared" si="11"/>
        <v>-1.7</v>
      </c>
      <c r="AR13" s="575">
        <f t="shared" si="14"/>
        <v>11473.393155280002</v>
      </c>
      <c r="AS13" s="570">
        <f t="shared" si="14"/>
        <v>11308.25664087</v>
      </c>
      <c r="AT13" s="570">
        <f t="shared" si="12"/>
        <v>-1.4</v>
      </c>
    </row>
    <row r="14" spans="1:46" s="537" customFormat="1" ht="18.75" customHeight="1" x14ac:dyDescent="0.3">
      <c r="A14" s="567" t="s">
        <v>341</v>
      </c>
      <c r="B14" s="576">
        <v>2635.0240000000003</v>
      </c>
      <c r="C14" s="577">
        <f>SUM(C11:C13)</f>
        <v>2858.5590000000002</v>
      </c>
      <c r="D14" s="570">
        <f t="shared" si="0"/>
        <v>8.5</v>
      </c>
      <c r="E14" s="568">
        <v>16879.856</v>
      </c>
      <c r="F14" s="569">
        <f>SUM(F11:F13)</f>
        <v>17007.288</v>
      </c>
      <c r="G14" s="570">
        <f t="shared" si="1"/>
        <v>0.8</v>
      </c>
      <c r="H14" s="568">
        <v>808.923</v>
      </c>
      <c r="I14" s="569">
        <f>SUM(I11:I13)</f>
        <v>915.53700000000003</v>
      </c>
      <c r="J14" s="570">
        <f t="shared" si="2"/>
        <v>13.2</v>
      </c>
      <c r="K14" s="568">
        <v>3598.7999999999997</v>
      </c>
      <c r="L14" s="569">
        <f>SUM(L11:L13)</f>
        <v>5106.8999999999996</v>
      </c>
      <c r="M14" s="570">
        <f t="shared" si="3"/>
        <v>41.9</v>
      </c>
      <c r="N14" s="568">
        <v>39</v>
      </c>
      <c r="O14" s="569">
        <f>SUM(O11:O13)</f>
        <v>37</v>
      </c>
      <c r="P14" s="570">
        <f>IF(N14=0, "    ---- ", IF(ABS(ROUND(100/N14*O14-100,1))&lt;999,ROUND(100/N14*O14-100,1),IF(ROUND(100/N14*O14-100,1)&gt;999,999,-999)))</f>
        <v>-5.0999999999999996</v>
      </c>
      <c r="Q14" s="568">
        <v>36854.359243949999</v>
      </c>
      <c r="R14" s="569">
        <f>SUM(R11:R13)</f>
        <v>32416.61984996</v>
      </c>
      <c r="S14" s="570">
        <f t="shared" si="4"/>
        <v>-12</v>
      </c>
      <c r="T14" s="568">
        <v>574.6</v>
      </c>
      <c r="U14" s="569">
        <f>SUM(U11:U13)</f>
        <v>997</v>
      </c>
      <c r="V14" s="570">
        <f t="shared" si="5"/>
        <v>73.5</v>
      </c>
      <c r="W14" s="568">
        <v>11839</v>
      </c>
      <c r="X14" s="569">
        <f>SUM(X11:X13)</f>
        <v>12236.6</v>
      </c>
      <c r="Y14" s="570">
        <f t="shared" si="6"/>
        <v>3.4</v>
      </c>
      <c r="Z14" s="568">
        <v>4016</v>
      </c>
      <c r="AA14" s="569">
        <f>SUM(AA11:AA13)</f>
        <v>4148</v>
      </c>
      <c r="AB14" s="570">
        <f t="shared" si="7"/>
        <v>3.3</v>
      </c>
      <c r="AC14" s="568">
        <v>265</v>
      </c>
      <c r="AD14" s="569">
        <f>SUM(AD11:AD13)</f>
        <v>288.60500000000002</v>
      </c>
      <c r="AE14" s="570">
        <f t="shared" si="8"/>
        <v>8.9</v>
      </c>
      <c r="AF14" s="568"/>
      <c r="AG14" s="569"/>
      <c r="AH14" s="570"/>
      <c r="AI14" s="568">
        <v>6443.5865591799984</v>
      </c>
      <c r="AJ14" s="569">
        <f>SUM(AJ11:AJ13)</f>
        <v>7641.6320140400003</v>
      </c>
      <c r="AK14" s="570">
        <f t="shared" si="9"/>
        <v>18.600000000000001</v>
      </c>
      <c r="AL14" s="568">
        <v>17364.599999999999</v>
      </c>
      <c r="AM14" s="569">
        <f>SUM(AM11:AM13)</f>
        <v>17529</v>
      </c>
      <c r="AN14" s="570">
        <f t="shared" si="10"/>
        <v>0.9</v>
      </c>
      <c r="AO14" s="570">
        <f t="shared" si="13"/>
        <v>101014.74880313</v>
      </c>
      <c r="AP14" s="570">
        <f t="shared" si="13"/>
        <v>100857.13586400001</v>
      </c>
      <c r="AQ14" s="570">
        <f t="shared" si="11"/>
        <v>-0.2</v>
      </c>
      <c r="AR14" s="575">
        <f t="shared" si="14"/>
        <v>101318.74880313</v>
      </c>
      <c r="AS14" s="570">
        <f t="shared" si="14"/>
        <v>101182.74086400001</v>
      </c>
      <c r="AT14" s="570">
        <f t="shared" si="12"/>
        <v>-0.1</v>
      </c>
    </row>
    <row r="15" spans="1:46" s="537" customFormat="1" ht="18.75" customHeight="1" x14ac:dyDescent="0.3">
      <c r="A15" s="567" t="s">
        <v>342</v>
      </c>
      <c r="B15" s="578">
        <v>31.852</v>
      </c>
      <c r="C15" s="579">
        <v>31.201000000000001</v>
      </c>
      <c r="D15" s="570">
        <f t="shared" si="0"/>
        <v>-2</v>
      </c>
      <c r="E15" s="578">
        <v>8811.1820000000007</v>
      </c>
      <c r="F15" s="579">
        <v>10025.691999999999</v>
      </c>
      <c r="G15" s="570">
        <f t="shared" si="1"/>
        <v>13.8</v>
      </c>
      <c r="H15" s="580">
        <v>28.684999999999999</v>
      </c>
      <c r="I15" s="581">
        <v>41.512</v>
      </c>
      <c r="J15" s="570">
        <f t="shared" si="2"/>
        <v>44.7</v>
      </c>
      <c r="K15" s="578">
        <v>236.4</v>
      </c>
      <c r="L15" s="579">
        <v>236</v>
      </c>
      <c r="M15" s="570">
        <f t="shared" si="3"/>
        <v>-0.2</v>
      </c>
      <c r="N15" s="582"/>
      <c r="O15" s="583"/>
      <c r="P15" s="570"/>
      <c r="Q15" s="578">
        <v>24588.344888290001</v>
      </c>
      <c r="R15" s="579">
        <v>30809.731222499999</v>
      </c>
      <c r="S15" s="570">
        <f t="shared" si="4"/>
        <v>25.3</v>
      </c>
      <c r="T15" s="578">
        <v>84.4</v>
      </c>
      <c r="U15" s="579">
        <v>87.6</v>
      </c>
      <c r="V15" s="570">
        <f t="shared" si="5"/>
        <v>3.8</v>
      </c>
      <c r="W15" s="578">
        <v>2111</v>
      </c>
      <c r="X15" s="579">
        <v>2363</v>
      </c>
      <c r="Y15" s="570">
        <f t="shared" si="6"/>
        <v>11.9</v>
      </c>
      <c r="Z15" s="578">
        <v>3685</v>
      </c>
      <c r="AA15" s="579">
        <v>6770</v>
      </c>
      <c r="AB15" s="570">
        <f t="shared" si="7"/>
        <v>83.7</v>
      </c>
      <c r="AC15" s="582"/>
      <c r="AD15" s="583"/>
      <c r="AE15" s="570"/>
      <c r="AF15" s="578"/>
      <c r="AG15" s="579"/>
      <c r="AH15" s="570"/>
      <c r="AI15" s="584">
        <v>967.26892525999926</v>
      </c>
      <c r="AJ15" s="585">
        <v>1671.8663193700011</v>
      </c>
      <c r="AK15" s="570">
        <f t="shared" si="9"/>
        <v>72.8</v>
      </c>
      <c r="AL15" s="578">
        <v>8502.2999999999993</v>
      </c>
      <c r="AM15" s="579">
        <v>9565</v>
      </c>
      <c r="AN15" s="570">
        <f t="shared" si="10"/>
        <v>12.5</v>
      </c>
      <c r="AO15" s="570">
        <f t="shared" si="13"/>
        <v>49046.432813549996</v>
      </c>
      <c r="AP15" s="570">
        <f t="shared" si="13"/>
        <v>61601.602541869994</v>
      </c>
      <c r="AQ15" s="570">
        <f t="shared" si="11"/>
        <v>25.6</v>
      </c>
      <c r="AR15" s="575">
        <f t="shared" si="14"/>
        <v>49046.432813549996</v>
      </c>
      <c r="AS15" s="570">
        <f t="shared" si="14"/>
        <v>61601.602541869994</v>
      </c>
      <c r="AT15" s="570">
        <f t="shared" si="12"/>
        <v>25.6</v>
      </c>
    </row>
    <row r="16" spans="1:46" s="537" customFormat="1" ht="18.75" customHeight="1" x14ac:dyDescent="0.3">
      <c r="A16" s="567" t="s">
        <v>343</v>
      </c>
      <c r="B16" s="578">
        <v>506.91899999999998</v>
      </c>
      <c r="C16" s="579">
        <v>1569.336</v>
      </c>
      <c r="D16" s="570">
        <f t="shared" si="0"/>
        <v>209.6</v>
      </c>
      <c r="E16" s="578">
        <v>4068.7370000000001</v>
      </c>
      <c r="F16" s="579">
        <v>7018.848</v>
      </c>
      <c r="G16" s="570">
        <f t="shared" si="1"/>
        <v>72.5</v>
      </c>
      <c r="H16" s="580">
        <v>53.645000000000003</v>
      </c>
      <c r="I16" s="581">
        <v>262.64299999999997</v>
      </c>
      <c r="J16" s="570">
        <f t="shared" si="2"/>
        <v>389.6</v>
      </c>
      <c r="K16" s="578">
        <v>640.4</v>
      </c>
      <c r="L16" s="579">
        <v>1970</v>
      </c>
      <c r="M16" s="569">
        <f t="shared" si="3"/>
        <v>207.6</v>
      </c>
      <c r="N16" s="582"/>
      <c r="O16" s="583"/>
      <c r="P16" s="586"/>
      <c r="Q16" s="578">
        <v>127.03957245000001</v>
      </c>
      <c r="R16" s="579">
        <v>163.88613774000001</v>
      </c>
      <c r="S16" s="586">
        <f t="shared" si="4"/>
        <v>29</v>
      </c>
      <c r="T16" s="578">
        <v>100</v>
      </c>
      <c r="U16" s="579">
        <v>246.7</v>
      </c>
      <c r="V16" s="586">
        <f t="shared" si="5"/>
        <v>146.69999999999999</v>
      </c>
      <c r="W16" s="578">
        <v>2558</v>
      </c>
      <c r="X16" s="579">
        <v>5713.6</v>
      </c>
      <c r="Y16" s="570">
        <f t="shared" si="6"/>
        <v>123.4</v>
      </c>
      <c r="Z16" s="578"/>
      <c r="AA16" s="579"/>
      <c r="AB16" s="570"/>
      <c r="AC16" s="582">
        <v>43</v>
      </c>
      <c r="AD16" s="583">
        <v>271</v>
      </c>
      <c r="AE16" s="570">
        <f t="shared" si="8"/>
        <v>530.20000000000005</v>
      </c>
      <c r="AF16" s="578"/>
      <c r="AG16" s="579"/>
      <c r="AH16" s="570"/>
      <c r="AI16" s="584">
        <v>868.83227395000006</v>
      </c>
      <c r="AJ16" s="585">
        <v>2477.9702488899993</v>
      </c>
      <c r="AK16" s="570">
        <f t="shared" si="9"/>
        <v>185.2</v>
      </c>
      <c r="AL16" s="578">
        <v>3901.7</v>
      </c>
      <c r="AM16" s="579">
        <v>8199</v>
      </c>
      <c r="AN16" s="570">
        <f t="shared" si="10"/>
        <v>110.1</v>
      </c>
      <c r="AO16" s="570">
        <f t="shared" si="13"/>
        <v>12825.272846399999</v>
      </c>
      <c r="AP16" s="570">
        <f t="shared" si="13"/>
        <v>27621.983386630003</v>
      </c>
      <c r="AQ16" s="570">
        <f t="shared" si="11"/>
        <v>115.4</v>
      </c>
      <c r="AR16" s="575">
        <f t="shared" si="14"/>
        <v>12868.272846399999</v>
      </c>
      <c r="AS16" s="570">
        <f t="shared" si="14"/>
        <v>27892.983386630003</v>
      </c>
      <c r="AT16" s="570">
        <f t="shared" si="12"/>
        <v>116.8</v>
      </c>
    </row>
    <row r="17" spans="1:46" s="537" customFormat="1" ht="18.75" customHeight="1" x14ac:dyDescent="0.3">
      <c r="A17" s="567" t="s">
        <v>344</v>
      </c>
      <c r="B17" s="578"/>
      <c r="C17" s="579"/>
      <c r="D17" s="570"/>
      <c r="E17" s="578">
        <v>9.0399999999999991</v>
      </c>
      <c r="F17" s="579">
        <v>7.1660000000000004</v>
      </c>
      <c r="G17" s="570">
        <f t="shared" si="1"/>
        <v>-20.7</v>
      </c>
      <c r="H17" s="580">
        <v>10.01</v>
      </c>
      <c r="I17" s="581">
        <v>11.265000000000001</v>
      </c>
      <c r="J17" s="570">
        <f t="shared" si="2"/>
        <v>12.5</v>
      </c>
      <c r="K17" s="578"/>
      <c r="L17" s="579">
        <v>130</v>
      </c>
      <c r="M17" s="570"/>
      <c r="N17" s="582"/>
      <c r="O17" s="583"/>
      <c r="P17" s="570"/>
      <c r="Q17" s="578">
        <v>932.52154470000005</v>
      </c>
      <c r="R17" s="579">
        <v>984.43963599999995</v>
      </c>
      <c r="S17" s="570">
        <f t="shared" si="4"/>
        <v>5.6</v>
      </c>
      <c r="T17" s="578">
        <v>3.3</v>
      </c>
      <c r="U17" s="579">
        <v>2.7</v>
      </c>
      <c r="V17" s="570">
        <f t="shared" si="5"/>
        <v>-18.2</v>
      </c>
      <c r="W17" s="578">
        <v>138</v>
      </c>
      <c r="X17" s="579">
        <v>169</v>
      </c>
      <c r="Y17" s="570">
        <f t="shared" si="6"/>
        <v>22.5</v>
      </c>
      <c r="Z17" s="578">
        <v>178</v>
      </c>
      <c r="AA17" s="579">
        <v>204</v>
      </c>
      <c r="AB17" s="570">
        <f t="shared" si="7"/>
        <v>14.6</v>
      </c>
      <c r="AC17" s="582"/>
      <c r="AD17" s="583"/>
      <c r="AE17" s="570"/>
      <c r="AF17" s="578"/>
      <c r="AG17" s="579"/>
      <c r="AH17" s="570"/>
      <c r="AI17" s="584">
        <v>114.03957980999999</v>
      </c>
      <c r="AJ17" s="585">
        <v>125.17113317000002</v>
      </c>
      <c r="AK17" s="570">
        <f t="shared" si="9"/>
        <v>9.8000000000000007</v>
      </c>
      <c r="AL17" s="578">
        <v>453.8</v>
      </c>
      <c r="AM17" s="579">
        <v>551</v>
      </c>
      <c r="AN17" s="570">
        <f t="shared" si="10"/>
        <v>21.4</v>
      </c>
      <c r="AO17" s="570">
        <f t="shared" si="13"/>
        <v>1838.71112451</v>
      </c>
      <c r="AP17" s="570">
        <f t="shared" si="13"/>
        <v>2184.7417691700002</v>
      </c>
      <c r="AQ17" s="570">
        <f t="shared" si="11"/>
        <v>18.8</v>
      </c>
      <c r="AR17" s="575">
        <f t="shared" si="14"/>
        <v>1838.71112451</v>
      </c>
      <c r="AS17" s="570">
        <f t="shared" si="14"/>
        <v>2184.7417691700002</v>
      </c>
      <c r="AT17" s="570">
        <f t="shared" si="12"/>
        <v>18.8</v>
      </c>
    </row>
    <row r="18" spans="1:46" s="537" customFormat="1" ht="18.75" customHeight="1" x14ac:dyDescent="0.3">
      <c r="A18" s="567" t="s">
        <v>345</v>
      </c>
      <c r="B18" s="578"/>
      <c r="C18" s="579"/>
      <c r="D18" s="570"/>
      <c r="E18" s="578"/>
      <c r="F18" s="579"/>
      <c r="G18" s="570"/>
      <c r="H18" s="580"/>
      <c r="I18" s="581"/>
      <c r="J18" s="570"/>
      <c r="K18" s="578"/>
      <c r="L18" s="579"/>
      <c r="M18" s="569"/>
      <c r="N18" s="582"/>
      <c r="O18" s="583"/>
      <c r="P18" s="570"/>
      <c r="Q18" s="578"/>
      <c r="R18" s="579"/>
      <c r="S18" s="570"/>
      <c r="T18" s="578"/>
      <c r="U18" s="579"/>
      <c r="V18" s="570"/>
      <c r="W18" s="587"/>
      <c r="X18" s="588"/>
      <c r="Y18" s="570"/>
      <c r="Z18" s="578"/>
      <c r="AA18" s="579"/>
      <c r="AB18" s="570"/>
      <c r="AC18" s="582"/>
      <c r="AD18" s="583"/>
      <c r="AE18" s="570"/>
      <c r="AF18" s="578"/>
      <c r="AG18" s="579"/>
      <c r="AH18" s="570"/>
      <c r="AI18" s="584"/>
      <c r="AJ18" s="585"/>
      <c r="AK18" s="570"/>
      <c r="AL18" s="578"/>
      <c r="AM18" s="579"/>
      <c r="AN18" s="570"/>
      <c r="AO18" s="570"/>
      <c r="AP18" s="570"/>
      <c r="AQ18" s="570"/>
      <c r="AR18" s="589"/>
      <c r="AS18" s="574"/>
      <c r="AT18" s="574"/>
    </row>
    <row r="19" spans="1:46" s="537" customFormat="1" ht="18.75" customHeight="1" x14ac:dyDescent="0.3">
      <c r="A19" s="567" t="s">
        <v>346</v>
      </c>
      <c r="B19" s="568">
        <v>-452.851</v>
      </c>
      <c r="C19" s="569">
        <v>-534.43499999999995</v>
      </c>
      <c r="D19" s="570">
        <f>IF(B19=0, "    ---- ", IF(ABS(ROUND(100/B19*C19-100,1))&lt;999,ROUND(100/B19*C19-100,1),IF(ROUND(100/B19*C19-100,1)&gt;999,999,-999)))</f>
        <v>18</v>
      </c>
      <c r="E19" s="568">
        <v>-13482.784</v>
      </c>
      <c r="F19" s="569">
        <v>-14125.118</v>
      </c>
      <c r="G19" s="570">
        <f>IF(E19=0, "    ---- ", IF(ABS(ROUND(100/E19*F19-100,1))&lt;999,ROUND(100/E19*F19-100,1),IF(ROUND(100/E19*F19-100,1)&gt;999,999,-999)))</f>
        <v>4.8</v>
      </c>
      <c r="H19" s="568">
        <v>-106.544</v>
      </c>
      <c r="I19" s="569">
        <v>-120.646</v>
      </c>
      <c r="J19" s="570">
        <f>IF(H19=0, "    ---- ", IF(ABS(ROUND(100/H19*I19-100,1))&lt;999,ROUND(100/H19*I19-100,1),IF(ROUND(100/H19*I19-100,1)&gt;999,999,-999)))</f>
        <v>13.2</v>
      </c>
      <c r="K19" s="568">
        <v>-402.09999999999997</v>
      </c>
      <c r="L19" s="569">
        <v>-428</v>
      </c>
      <c r="M19" s="570">
        <f>IF(K19=0, "    ---- ", IF(ABS(ROUND(100/K19*L19-100,1))&lt;999,ROUND(100/K19*L19-100,1),IF(ROUND(100/K19*L19-100,1)&gt;999,999,-999)))</f>
        <v>6.4</v>
      </c>
      <c r="N19" s="568">
        <v>-30</v>
      </c>
      <c r="O19" s="569">
        <v>-22</v>
      </c>
      <c r="P19" s="570">
        <f>IF(N19=0, "    ---- ", IF(ABS(ROUND(100/N19*O19-100,1))&lt;999,ROUND(100/N19*O19-100,1),IF(ROUND(100/N19*O19-100,1)&gt;999,999,-999)))</f>
        <v>-26.7</v>
      </c>
      <c r="Q19" s="568">
        <v>-16263.421058</v>
      </c>
      <c r="R19" s="569">
        <v>-17174.016592</v>
      </c>
      <c r="S19" s="570">
        <f>IF(Q19=0, "    ---- ", IF(ABS(ROUND(100/Q19*R19-100,1))&lt;999,ROUND(100/Q19*R19-100,1),IF(ROUND(100/Q19*R19-100,1)&gt;999,999,-999)))</f>
        <v>5.6</v>
      </c>
      <c r="T19" s="568">
        <v>-63.9</v>
      </c>
      <c r="U19" s="569">
        <v>-73.7</v>
      </c>
      <c r="V19" s="570">
        <f t="shared" si="5"/>
        <v>15.3</v>
      </c>
      <c r="W19" s="568">
        <v>-4349.5</v>
      </c>
      <c r="X19" s="569">
        <v>-4471</v>
      </c>
      <c r="Y19" s="570">
        <f>IF(W19=0, "    ---- ", IF(ABS(ROUND(100/W19*X19-100,1))&lt;999,ROUND(100/W19*X19-100,1),IF(ROUND(100/W19*X19-100,1)&gt;999,999,-999)))</f>
        <v>2.8</v>
      </c>
      <c r="Z19" s="568">
        <v>-2614</v>
      </c>
      <c r="AA19" s="569">
        <v>-2689</v>
      </c>
      <c r="AB19" s="570">
        <f>IF(Z19=0, "    ---- ", IF(ABS(ROUND(100/Z19*AA19-100,1))&lt;999,ROUND(100/Z19*AA19-100,1),IF(ROUND(100/Z19*AA19-100,1)&gt;999,999,-999)))</f>
        <v>2.9</v>
      </c>
      <c r="AC19" s="568">
        <v>-140</v>
      </c>
      <c r="AD19" s="569">
        <v>-207</v>
      </c>
      <c r="AE19" s="570">
        <f>IF(AC19=0, "    ---- ", IF(ABS(ROUND(100/AC19*AD19-100,1))&lt;999,ROUND(100/AC19*AD19-100,1),IF(ROUND(100/AC19*AD19-100,1)&gt;999,999,-999)))</f>
        <v>47.9</v>
      </c>
      <c r="AF19" s="568"/>
      <c r="AG19" s="569"/>
      <c r="AH19" s="570"/>
      <c r="AI19" s="590">
        <v>-1994.98463889</v>
      </c>
      <c r="AJ19" s="591">
        <v>-2135.5605121699996</v>
      </c>
      <c r="AK19" s="570">
        <f>IF(AI19=0, "    ---- ", IF(ABS(ROUND(100/AI19*AJ19-100,1))&lt;999,ROUND(100/AI19*AJ19-100,1),IF(ROUND(100/AI19*AJ19-100,1)&gt;999,999,-999)))</f>
        <v>7</v>
      </c>
      <c r="AL19" s="568">
        <v>-9949.1</v>
      </c>
      <c r="AM19" s="569">
        <v>-10255</v>
      </c>
      <c r="AN19" s="570">
        <f>IF(AL19=0, "    ---- ", IF(ABS(ROUND(100/AL19*AM19-100,1))&lt;999,ROUND(100/AL19*AM19-100,1),IF(ROUND(100/AL19*AM19-100,1)&gt;999,999,-999)))</f>
        <v>3.1</v>
      </c>
      <c r="AO19" s="570">
        <f t="shared" si="13"/>
        <v>-49679.184696889999</v>
      </c>
      <c r="AP19" s="570">
        <f t="shared" si="13"/>
        <v>-52006.476104170004</v>
      </c>
      <c r="AQ19" s="570">
        <f t="shared" si="11"/>
        <v>4.7</v>
      </c>
      <c r="AR19" s="575">
        <f t="shared" ref="AR19:AS21" si="15">+B19+E19+H19+K19+N19+Q19+T19+W19+Z19+AC19+AF19+AI19+AL19</f>
        <v>-49849.184696889999</v>
      </c>
      <c r="AS19" s="570">
        <f t="shared" si="15"/>
        <v>-52235.476104170004</v>
      </c>
      <c r="AT19" s="570">
        <f>IF(AR19=0, "    ---- ", IF(ABS(ROUND(100/AR19*AS19-100,1))&lt;999,ROUND(100/AR19*AS19-100,1),IF(ROUND(100/AR19*AS19-100,1)&gt;999,999,-999)))</f>
        <v>4.8</v>
      </c>
    </row>
    <row r="20" spans="1:46" s="537" customFormat="1" ht="18.75" customHeight="1" x14ac:dyDescent="0.3">
      <c r="A20" s="567" t="s">
        <v>419</v>
      </c>
      <c r="B20" s="573">
        <v>-638.32899999999995</v>
      </c>
      <c r="C20" s="570">
        <v>-619.52300000000002</v>
      </c>
      <c r="D20" s="570">
        <f>IF(B20=0, "    ---- ", IF(ABS(ROUND(100/B20*C20-100,1))&lt;999,ROUND(100/B20*C20-100,1),IF(ROUND(100/B20*C20-100,1)&gt;999,999,-999)))</f>
        <v>-2.9</v>
      </c>
      <c r="E20" s="573">
        <v>-3271.2849999999999</v>
      </c>
      <c r="F20" s="570">
        <v>-1863.396</v>
      </c>
      <c r="G20" s="570">
        <f>IF(E20=0, "    ---- ", IF(ABS(ROUND(100/E20*F20-100,1))&lt;999,ROUND(100/E20*F20-100,1),IF(ROUND(100/E20*F20-100,1)&gt;999,999,-999)))</f>
        <v>-43</v>
      </c>
      <c r="H20" s="573">
        <v>-100.145</v>
      </c>
      <c r="I20" s="570">
        <v>-124.113</v>
      </c>
      <c r="J20" s="570">
        <f>IF(H20=0, "    ---- ", IF(ABS(ROUND(100/H20*I20-100,1))&lt;999,ROUND(100/H20*I20-100,1),IF(ROUND(100/H20*I20-100,1)&gt;999,999,-999)))</f>
        <v>23.9</v>
      </c>
      <c r="K20" s="573">
        <v>-691.1</v>
      </c>
      <c r="L20" s="570">
        <v>-1231</v>
      </c>
      <c r="M20" s="570">
        <f>IF(K20=0, "    ---- ", IF(ABS(ROUND(100/K20*L20-100,1))&lt;999,ROUND(100/K20*L20-100,1),IF(ROUND(100/K20*L20-100,1)&gt;999,999,-999)))</f>
        <v>78.099999999999994</v>
      </c>
      <c r="N20" s="573">
        <v>7</v>
      </c>
      <c r="O20" s="570"/>
      <c r="P20" s="570"/>
      <c r="Q20" s="573">
        <v>-123.887451</v>
      </c>
      <c r="R20" s="570">
        <v>-212.09832</v>
      </c>
      <c r="S20" s="570">
        <f>IF(Q20=0, "    ---- ", IF(ABS(ROUND(100/Q20*R20-100,1))&lt;999,ROUND(100/Q20*R20-100,1),IF(ROUND(100/Q20*R20-100,1)&gt;999,999,-999)))</f>
        <v>71.2</v>
      </c>
      <c r="T20" s="573">
        <v>-48.2</v>
      </c>
      <c r="U20" s="570">
        <v>-125.4</v>
      </c>
      <c r="V20" s="570">
        <f t="shared" si="5"/>
        <v>160.19999999999999</v>
      </c>
      <c r="W20" s="592">
        <v>-1676</v>
      </c>
      <c r="X20" s="593">
        <v>-2272</v>
      </c>
      <c r="Y20" s="570">
        <f>IF(W20=0, "    ---- ", IF(ABS(ROUND(100/W20*X20-100,1))&lt;999,ROUND(100/W20*X20-100,1),IF(ROUND(100/W20*X20-100,1)&gt;999,999,-999)))</f>
        <v>35.6</v>
      </c>
      <c r="Z20" s="592"/>
      <c r="AA20" s="593"/>
      <c r="AB20" s="570"/>
      <c r="AC20" s="573">
        <v>-5</v>
      </c>
      <c r="AD20" s="570">
        <v>-24</v>
      </c>
      <c r="AE20" s="570">
        <f>IF(AC20=0, "    ---- ", IF(ABS(ROUND(100/AC20*AD20-100,1))&lt;999,ROUND(100/AC20*AD20-100,1),IF(ROUND(100/AC20*AD20-100,1)&gt;999,999,-999)))</f>
        <v>380</v>
      </c>
      <c r="AF20" s="573"/>
      <c r="AG20" s="570"/>
      <c r="AH20" s="570"/>
      <c r="AI20" s="592">
        <v>-422.91217556999999</v>
      </c>
      <c r="AJ20" s="593">
        <v>-731.91851959999997</v>
      </c>
      <c r="AK20" s="570">
        <f>IF(AI20=0, "    ---- ", IF(ABS(ROUND(100/AI20*AJ20-100,1))&lt;999,ROUND(100/AI20*AJ20-100,1),IF(ROUND(100/AI20*AJ20-100,1)&gt;999,999,-999)))</f>
        <v>73.099999999999994</v>
      </c>
      <c r="AL20" s="573">
        <v>-4170.1000000000004</v>
      </c>
      <c r="AM20" s="570">
        <v>-3829</v>
      </c>
      <c r="AN20" s="570">
        <f>IF(AL20=0, "    ---- ", IF(ABS(ROUND(100/AL20*AM20-100,1))&lt;999,ROUND(100/AL20*AM20-100,1),IF(ROUND(100/AL20*AM20-100,1)&gt;999,999,-999)))</f>
        <v>-8.1999999999999993</v>
      </c>
      <c r="AO20" s="570">
        <f t="shared" si="13"/>
        <v>-11141.958626569998</v>
      </c>
      <c r="AP20" s="570">
        <f t="shared" si="13"/>
        <v>-11008.4488396</v>
      </c>
      <c r="AQ20" s="570">
        <f t="shared" si="11"/>
        <v>-1.2</v>
      </c>
      <c r="AR20" s="575">
        <f t="shared" si="15"/>
        <v>-11139.958626569998</v>
      </c>
      <c r="AS20" s="570">
        <f t="shared" si="15"/>
        <v>-11032.4488396</v>
      </c>
      <c r="AT20" s="570">
        <f>IF(AR20=0, "    ---- ", IF(ABS(ROUND(100/AR20*AS20-100,1))&lt;999,ROUND(100/AR20*AS20-100,1),IF(ROUND(100/AR20*AS20-100,1)&gt;999,999,-999)))</f>
        <v>-1</v>
      </c>
    </row>
    <row r="21" spans="1:46" s="537" customFormat="1" ht="18.75" customHeight="1" x14ac:dyDescent="0.3">
      <c r="A21" s="567" t="s">
        <v>347</v>
      </c>
      <c r="B21" s="576">
        <v>-1091.1799999999998</v>
      </c>
      <c r="C21" s="569">
        <f>SUM(C19:C20)</f>
        <v>-1153.9580000000001</v>
      </c>
      <c r="D21" s="570">
        <f>IF(B21=0, "    ---- ", IF(ABS(ROUND(100/B21*C21-100,1))&lt;999,ROUND(100/B21*C21-100,1),IF(ROUND(100/B21*C21-100,1)&gt;999,999,-999)))</f>
        <v>5.8</v>
      </c>
      <c r="E21" s="568">
        <v>-16754.069</v>
      </c>
      <c r="F21" s="569">
        <f>SUM(F19:F20)</f>
        <v>-15988.514000000001</v>
      </c>
      <c r="G21" s="570">
        <f>IF(E21=0, "    ---- ", IF(ABS(ROUND(100/E21*F21-100,1))&lt;999,ROUND(100/E21*F21-100,1),IF(ROUND(100/E21*F21-100,1)&gt;999,999,-999)))</f>
        <v>-4.5999999999999996</v>
      </c>
      <c r="H21" s="568">
        <v>-206.68899999999999</v>
      </c>
      <c r="I21" s="569">
        <f>SUM(I19:I20)</f>
        <v>-244.75900000000001</v>
      </c>
      <c r="J21" s="570">
        <f>IF(H21=0, "    ---- ", IF(ABS(ROUND(100/H21*I21-100,1))&lt;999,ROUND(100/H21*I21-100,1),IF(ROUND(100/H21*I21-100,1)&gt;999,999,-999)))</f>
        <v>18.399999999999999</v>
      </c>
      <c r="K21" s="568">
        <v>-1093.2</v>
      </c>
      <c r="L21" s="569">
        <f>SUM(L19:L20)</f>
        <v>-1659</v>
      </c>
      <c r="M21" s="570">
        <f>IF(K21=0, "    ---- ", IF(ABS(ROUND(100/K21*L21-100,1))&lt;999,ROUND(100/K21*L21-100,1),IF(ROUND(100/K21*L21-100,1)&gt;999,999,-999)))</f>
        <v>51.8</v>
      </c>
      <c r="N21" s="568">
        <v>-23</v>
      </c>
      <c r="O21" s="569">
        <f>SUM(O19:O20)</f>
        <v>-22</v>
      </c>
      <c r="P21" s="570">
        <f>IF(N21=0, "    ---- ", IF(ABS(ROUND(100/N21*O21-100,1))&lt;999,ROUND(100/N21*O21-100,1),IF(ROUND(100/N21*O21-100,1)&gt;999,999,-999)))</f>
        <v>-4.3</v>
      </c>
      <c r="Q21" s="568">
        <v>-16387.308508999999</v>
      </c>
      <c r="R21" s="569">
        <f>SUM(R19:R20)</f>
        <v>-17386.114912000001</v>
      </c>
      <c r="S21" s="570">
        <f>IF(Q21=0, "    ---- ", IF(ABS(ROUND(100/Q21*R21-100,1))&lt;999,ROUND(100/Q21*R21-100,1),IF(ROUND(100/Q21*R21-100,1)&gt;999,999,-999)))</f>
        <v>6.1</v>
      </c>
      <c r="T21" s="568">
        <v>-112.1</v>
      </c>
      <c r="U21" s="569">
        <f>SUM(U19:U20)</f>
        <v>-199.10000000000002</v>
      </c>
      <c r="V21" s="570">
        <f t="shared" si="5"/>
        <v>77.599999999999994</v>
      </c>
      <c r="W21" s="568">
        <v>-6025.5</v>
      </c>
      <c r="X21" s="569">
        <f>SUM(X19:X20)</f>
        <v>-6743</v>
      </c>
      <c r="Y21" s="570">
        <f>IF(W21=0, "    ---- ", IF(ABS(ROUND(100/W21*X21-100,1))&lt;999,ROUND(100/W21*X21-100,1),IF(ROUND(100/W21*X21-100,1)&gt;999,999,-999)))</f>
        <v>11.9</v>
      </c>
      <c r="Z21" s="568">
        <v>-2614</v>
      </c>
      <c r="AA21" s="569">
        <f>SUM(AA19:AA20)</f>
        <v>-2689</v>
      </c>
      <c r="AB21" s="570">
        <f>IF(Z21=0, "    ---- ", IF(ABS(ROUND(100/Z21*AA21-100,1))&lt;999,ROUND(100/Z21*AA21-100,1),IF(ROUND(100/Z21*AA21-100,1)&gt;999,999,-999)))</f>
        <v>2.9</v>
      </c>
      <c r="AC21" s="568">
        <v>-145</v>
      </c>
      <c r="AD21" s="569">
        <f>SUM(AD19:AD20)</f>
        <v>-231</v>
      </c>
      <c r="AE21" s="570">
        <f>IF(AC21=0, "    ---- ", IF(ABS(ROUND(100/AC21*AD21-100,1))&lt;999,ROUND(100/AC21*AD21-100,1),IF(ROUND(100/AC21*AD21-100,1)&gt;999,999,-999)))</f>
        <v>59.3</v>
      </c>
      <c r="AF21" s="568"/>
      <c r="AG21" s="569"/>
      <c r="AH21" s="570"/>
      <c r="AI21" s="568">
        <v>-2417.8968144599999</v>
      </c>
      <c r="AJ21" s="569">
        <f>SUM(AJ19:AJ20)</f>
        <v>-2867.4790317699994</v>
      </c>
      <c r="AK21" s="570">
        <f>IF(AI21=0, "    ---- ", IF(ABS(ROUND(100/AI21*AJ21-100,1))&lt;999,ROUND(100/AI21*AJ21-100,1),IF(ROUND(100/AI21*AJ21-100,1)&gt;999,999,-999)))</f>
        <v>18.600000000000001</v>
      </c>
      <c r="AL21" s="568">
        <v>-14119.2</v>
      </c>
      <c r="AM21" s="569">
        <f>SUM(AM19:AM20)</f>
        <v>-14084</v>
      </c>
      <c r="AN21" s="570">
        <f>IF(AL21=0, "    ---- ", IF(ABS(ROUND(100/AL21*AM21-100,1))&lt;999,ROUND(100/AL21*AM21-100,1),IF(ROUND(100/AL21*AM21-100,1)&gt;999,999,-999)))</f>
        <v>-0.2</v>
      </c>
      <c r="AO21" s="570">
        <f t="shared" si="13"/>
        <v>-60821.143323459997</v>
      </c>
      <c r="AP21" s="570">
        <f t="shared" si="13"/>
        <v>-63014.924943770005</v>
      </c>
      <c r="AQ21" s="570">
        <f t="shared" si="11"/>
        <v>3.6</v>
      </c>
      <c r="AR21" s="575">
        <f t="shared" si="15"/>
        <v>-60989.143323459997</v>
      </c>
      <c r="AS21" s="570">
        <f t="shared" si="15"/>
        <v>-63267.924943770005</v>
      </c>
      <c r="AT21" s="570">
        <f>IF(AR21=0, "    ---- ", IF(ABS(ROUND(100/AR21*AS21-100,1))&lt;999,ROUND(100/AR21*AS21-100,1),IF(ROUND(100/AR21*AS21-100,1)&gt;999,999,-999)))</f>
        <v>3.7</v>
      </c>
    </row>
    <row r="22" spans="1:46" s="537" customFormat="1" ht="18.75" customHeight="1" x14ac:dyDescent="0.3">
      <c r="A22" s="567" t="s">
        <v>348</v>
      </c>
      <c r="B22" s="578"/>
      <c r="C22" s="579"/>
      <c r="D22" s="570"/>
      <c r="E22" s="578"/>
      <c r="F22" s="579"/>
      <c r="G22" s="570"/>
      <c r="H22" s="582"/>
      <c r="I22" s="583"/>
      <c r="J22" s="570"/>
      <c r="K22" s="578"/>
      <c r="L22" s="579"/>
      <c r="M22" s="570"/>
      <c r="N22" s="582"/>
      <c r="O22" s="583"/>
      <c r="P22" s="570"/>
      <c r="Q22" s="578"/>
      <c r="R22" s="579"/>
      <c r="S22" s="570"/>
      <c r="T22" s="582"/>
      <c r="U22" s="583"/>
      <c r="V22" s="570"/>
      <c r="W22" s="582"/>
      <c r="X22" s="583"/>
      <c r="Y22" s="570"/>
      <c r="Z22" s="582"/>
      <c r="AA22" s="583"/>
      <c r="AB22" s="570"/>
      <c r="AC22" s="582"/>
      <c r="AD22" s="583"/>
      <c r="AE22" s="570"/>
      <c r="AF22" s="578"/>
      <c r="AG22" s="579"/>
      <c r="AH22" s="570"/>
      <c r="AI22" s="582"/>
      <c r="AJ22" s="583"/>
      <c r="AK22" s="570"/>
      <c r="AL22" s="578"/>
      <c r="AM22" s="579"/>
      <c r="AN22" s="570"/>
      <c r="AO22" s="570"/>
      <c r="AP22" s="570"/>
      <c r="AQ22" s="570"/>
      <c r="AR22" s="570"/>
      <c r="AS22" s="570"/>
      <c r="AT22" s="570"/>
    </row>
    <row r="23" spans="1:46" s="537" customFormat="1" ht="18.75" customHeight="1" x14ac:dyDescent="0.3">
      <c r="A23" s="567" t="s">
        <v>349</v>
      </c>
      <c r="B23" s="573">
        <v>-44.548000000000002</v>
      </c>
      <c r="C23" s="570">
        <v>-56.533000000000001</v>
      </c>
      <c r="D23" s="570">
        <f t="shared" ref="D23:D29" si="16">IF(B23=0, "    ---- ", IF(ABS(ROUND(100/B23*C23-100,1))&lt;999,ROUND(100/B23*C23-100,1),IF(ROUND(100/B23*C23-100,1)&gt;999,999,-999)))</f>
        <v>26.9</v>
      </c>
      <c r="E23" s="573">
        <v>1286.5360000000001</v>
      </c>
      <c r="F23" s="570">
        <v>2434.5100000000002</v>
      </c>
      <c r="G23" s="570">
        <f t="shared" ref="G23:G29" si="17">IF(E23=0, "    ---- ", IF(ABS(ROUND(100/E23*F23-100,1))&lt;999,ROUND(100/E23*F23-100,1),IF(ROUND(100/E23*F23-100,1)&gt;999,999,-999)))</f>
        <v>89.2</v>
      </c>
      <c r="H23" s="573">
        <v>-39.450000000000003</v>
      </c>
      <c r="I23" s="570">
        <v>-50.621000000000002</v>
      </c>
      <c r="J23" s="570">
        <f>IF(H23=0, "    ---- ", IF(ABS(ROUND(100/H23*I23-100,1))&lt;999,ROUND(100/H23*I23-100,1),IF(ROUND(100/H23*I23-100,1)&gt;999,999,-999)))</f>
        <v>28.3</v>
      </c>
      <c r="K23" s="573">
        <v>-444.3</v>
      </c>
      <c r="L23" s="570">
        <v>-555</v>
      </c>
      <c r="M23" s="570">
        <f t="shared" ref="M23:M31" si="18">IF(K23=0, "    ---- ", IF(ABS(ROUND(100/K23*L23-100,1))&lt;999,ROUND(100/K23*L23-100,1),IF(ROUND(100/K23*L23-100,1)&gt;999,999,-999)))</f>
        <v>24.9</v>
      </c>
      <c r="N23" s="573"/>
      <c r="O23" s="570">
        <v>21</v>
      </c>
      <c r="P23" s="570" t="str">
        <f>IF(N23=0, "    ---- ", IF(ABS(ROUND(100/N23*O23-100,1))&lt;999,ROUND(100/N23*O23-100,1),IF(ROUND(100/N23*O23-100,1)&gt;999,999,-999)))</f>
        <v xml:space="preserve">    ---- </v>
      </c>
      <c r="Q23" s="573">
        <v>-27291.15480167</v>
      </c>
      <c r="R23" s="570">
        <v>-23275.90631423</v>
      </c>
      <c r="S23" s="570">
        <f t="shared" ref="S23:S30" si="19">IF(Q23=0, "    ---- ", IF(ABS(ROUND(100/Q23*R23-100,1))&lt;999,ROUND(100/Q23*R23-100,1),IF(ROUND(100/Q23*R23-100,1)&gt;999,999,-999)))</f>
        <v>-14.7</v>
      </c>
      <c r="T23" s="573">
        <v>-103.7</v>
      </c>
      <c r="U23" s="570">
        <v>-49.3</v>
      </c>
      <c r="V23" s="570">
        <f t="shared" si="5"/>
        <v>-52.5</v>
      </c>
      <c r="W23" s="573">
        <v>-913.8</v>
      </c>
      <c r="X23" s="570">
        <v>-393</v>
      </c>
      <c r="Y23" s="570">
        <f t="shared" ref="Y23:Y29" si="20">IF(W23=0, "    ---- ", IF(ABS(ROUND(100/W23*X23-100,1))&lt;999,ROUND(100/W23*X23-100,1),IF(ROUND(100/W23*X23-100,1)&gt;999,999,-999)))</f>
        <v>-57</v>
      </c>
      <c r="Z23" s="573">
        <v>-2344</v>
      </c>
      <c r="AA23" s="570">
        <v>-2363</v>
      </c>
      <c r="AB23" s="570">
        <f t="shared" ref="AB23:AB29" si="21">IF(Z23=0, "    ---- ", IF(ABS(ROUND(100/Z23*AA23-100,1))&lt;999,ROUND(100/Z23*AA23-100,1),IF(ROUND(100/Z23*AA23-100,1)&gt;999,999,-999)))</f>
        <v>0.8</v>
      </c>
      <c r="AC23" s="573"/>
      <c r="AD23" s="570"/>
      <c r="AE23" s="570"/>
      <c r="AF23" s="573"/>
      <c r="AG23" s="570"/>
      <c r="AH23" s="570"/>
      <c r="AI23" s="573">
        <v>-797.12750142000004</v>
      </c>
      <c r="AJ23" s="570">
        <v>-758.36937836000072</v>
      </c>
      <c r="AK23" s="570">
        <f t="shared" ref="AK23:AK29" si="22">IF(AI23=0, "    ---- ", IF(ABS(ROUND(100/AI23*AJ23-100,1))&lt;999,ROUND(100/AI23*AJ23-100,1),IF(ROUND(100/AI23*AJ23-100,1)&gt;999,999,-999)))</f>
        <v>-4.9000000000000004</v>
      </c>
      <c r="AL23" s="573">
        <v>-1510.1</v>
      </c>
      <c r="AM23" s="570">
        <v>-832</v>
      </c>
      <c r="AN23" s="570">
        <f t="shared" ref="AN23:AN29" si="23">IF(AL23=0, "    ---- ", IF(ABS(ROUND(100/AL23*AM23-100,1))&lt;999,ROUND(100/AL23*AM23-100,1),IF(ROUND(100/AL23*AM23-100,1)&gt;999,999,-999)))</f>
        <v>-44.9</v>
      </c>
      <c r="AO23" s="570">
        <f t="shared" si="13"/>
        <v>-32201.644303089997</v>
      </c>
      <c r="AP23" s="570">
        <f t="shared" si="13"/>
        <v>-25899.219692589999</v>
      </c>
      <c r="AQ23" s="570">
        <f t="shared" si="11"/>
        <v>-19.600000000000001</v>
      </c>
      <c r="AR23" s="570"/>
      <c r="AS23" s="570"/>
      <c r="AT23" s="570"/>
    </row>
    <row r="24" spans="1:46" s="537" customFormat="1" ht="18.75" customHeight="1" x14ac:dyDescent="0.3">
      <c r="A24" s="567" t="s">
        <v>350</v>
      </c>
      <c r="B24" s="573">
        <v>0</v>
      </c>
      <c r="C24" s="570">
        <v>0</v>
      </c>
      <c r="D24" s="570"/>
      <c r="E24" s="573">
        <v>-907.56600000000003</v>
      </c>
      <c r="F24" s="570">
        <v>-1046.7629999999999</v>
      </c>
      <c r="G24" s="570">
        <f t="shared" si="17"/>
        <v>15.3</v>
      </c>
      <c r="H24" s="573">
        <v>-1.347</v>
      </c>
      <c r="I24" s="570">
        <v>-1.9119999999999999</v>
      </c>
      <c r="J24" s="570">
        <f>IF(H24=0, "    ---- ", IF(ABS(ROUND(100/H24*I24-100,1))&lt;999,ROUND(100/H24*I24-100,1),IF(ROUND(100/H24*I24-100,1)&gt;999,999,-999)))</f>
        <v>41.9</v>
      </c>
      <c r="K24" s="573">
        <v>-20.399999999999999</v>
      </c>
      <c r="L24" s="570">
        <v>-12</v>
      </c>
      <c r="M24" s="570">
        <f t="shared" si="18"/>
        <v>-41.2</v>
      </c>
      <c r="N24" s="573"/>
      <c r="O24" s="570"/>
      <c r="P24" s="570"/>
      <c r="Q24" s="573">
        <v>-3987.1005799999998</v>
      </c>
      <c r="R24" s="570">
        <v>-1118.9038169999999</v>
      </c>
      <c r="S24" s="570">
        <f t="shared" si="19"/>
        <v>-71.900000000000006</v>
      </c>
      <c r="T24" s="573">
        <v>-13.5</v>
      </c>
      <c r="U24" s="570">
        <v>-61.1</v>
      </c>
      <c r="V24" s="570">
        <f t="shared" si="5"/>
        <v>352.6</v>
      </c>
      <c r="W24" s="573">
        <v>-187.9</v>
      </c>
      <c r="X24" s="570">
        <v>-318</v>
      </c>
      <c r="Y24" s="570">
        <f t="shared" si="20"/>
        <v>69.2</v>
      </c>
      <c r="Z24" s="573">
        <v>-1975</v>
      </c>
      <c r="AA24" s="570">
        <v>-3033</v>
      </c>
      <c r="AB24" s="570">
        <f t="shared" si="21"/>
        <v>53.6</v>
      </c>
      <c r="AC24" s="573"/>
      <c r="AD24" s="570"/>
      <c r="AE24" s="570"/>
      <c r="AF24" s="573"/>
      <c r="AG24" s="570"/>
      <c r="AH24" s="570"/>
      <c r="AI24" s="573">
        <v>-74.471464190000006</v>
      </c>
      <c r="AJ24" s="570">
        <v>-219.00367817000009</v>
      </c>
      <c r="AK24" s="570">
        <f t="shared" si="22"/>
        <v>194.1</v>
      </c>
      <c r="AL24" s="573">
        <v>-1489.9</v>
      </c>
      <c r="AM24" s="570">
        <v>-1371</v>
      </c>
      <c r="AN24" s="570">
        <f t="shared" si="23"/>
        <v>-8</v>
      </c>
      <c r="AO24" s="570">
        <f t="shared" si="13"/>
        <v>-8657.1850441899987</v>
      </c>
      <c r="AP24" s="570">
        <f t="shared" si="13"/>
        <v>-7181.68249517</v>
      </c>
      <c r="AQ24" s="570">
        <f t="shared" si="11"/>
        <v>-17</v>
      </c>
      <c r="AR24" s="570"/>
      <c r="AS24" s="570"/>
      <c r="AT24" s="570"/>
    </row>
    <row r="25" spans="1:46" s="537" customFormat="1" ht="18.75" customHeight="1" x14ac:dyDescent="0.3">
      <c r="A25" s="567" t="s">
        <v>351</v>
      </c>
      <c r="B25" s="573">
        <v>-14.522</v>
      </c>
      <c r="C25" s="570">
        <v>-10.819000000000001</v>
      </c>
      <c r="D25" s="570">
        <f t="shared" si="16"/>
        <v>-25.5</v>
      </c>
      <c r="E25" s="573">
        <v>-130.654</v>
      </c>
      <c r="F25" s="570">
        <v>-837.72199999999998</v>
      </c>
      <c r="G25" s="570">
        <f t="shared" si="17"/>
        <v>541.20000000000005</v>
      </c>
      <c r="H25" s="573"/>
      <c r="I25" s="570"/>
      <c r="J25" s="570"/>
      <c r="K25" s="573">
        <v>-26.9</v>
      </c>
      <c r="L25" s="570">
        <v>-28</v>
      </c>
      <c r="M25" s="570">
        <f t="shared" si="18"/>
        <v>4.0999999999999996</v>
      </c>
      <c r="N25" s="573"/>
      <c r="O25" s="570"/>
      <c r="P25" s="570"/>
      <c r="Q25" s="573">
        <v>-6865.3799150000004</v>
      </c>
      <c r="R25" s="570">
        <v>-13940.169257</v>
      </c>
      <c r="S25" s="570">
        <f t="shared" si="19"/>
        <v>103.1</v>
      </c>
      <c r="T25" s="573">
        <v>-10.199999999999999</v>
      </c>
      <c r="U25" s="570">
        <v>35.700000000000003</v>
      </c>
      <c r="V25" s="570">
        <f t="shared" si="5"/>
        <v>-450</v>
      </c>
      <c r="W25" s="573">
        <v>-166.7</v>
      </c>
      <c r="X25" s="570">
        <v>-317</v>
      </c>
      <c r="Y25" s="570">
        <f t="shared" si="20"/>
        <v>90.2</v>
      </c>
      <c r="Z25" s="573">
        <v>69</v>
      </c>
      <c r="AA25" s="570">
        <v>-1662</v>
      </c>
      <c r="AB25" s="570">
        <f t="shared" si="21"/>
        <v>-999</v>
      </c>
      <c r="AC25" s="573"/>
      <c r="AD25" s="570"/>
      <c r="AE25" s="570"/>
      <c r="AF25" s="573"/>
      <c r="AG25" s="570"/>
      <c r="AH25" s="570"/>
      <c r="AI25" s="573">
        <v>-175.33414149999999</v>
      </c>
      <c r="AJ25" s="570">
        <v>-394.57463885000004</v>
      </c>
      <c r="AK25" s="570">
        <f t="shared" si="22"/>
        <v>125</v>
      </c>
      <c r="AL25" s="573">
        <v>1836.4</v>
      </c>
      <c r="AM25" s="570">
        <v>-1024</v>
      </c>
      <c r="AN25" s="570">
        <f t="shared" si="23"/>
        <v>-155.80000000000001</v>
      </c>
      <c r="AO25" s="570">
        <f t="shared" si="13"/>
        <v>-5484.2900565</v>
      </c>
      <c r="AP25" s="570">
        <f t="shared" si="13"/>
        <v>-18178.584895849999</v>
      </c>
      <c r="AQ25" s="570">
        <f t="shared" si="11"/>
        <v>231.5</v>
      </c>
      <c r="AR25" s="570"/>
      <c r="AS25" s="570"/>
      <c r="AT25" s="570"/>
    </row>
    <row r="26" spans="1:46" s="537" customFormat="1" ht="18.75" customHeight="1" x14ac:dyDescent="0.3">
      <c r="A26" s="567" t="s">
        <v>352</v>
      </c>
      <c r="B26" s="573"/>
      <c r="C26" s="570"/>
      <c r="D26" s="570"/>
      <c r="E26" s="573">
        <v>-28.262</v>
      </c>
      <c r="F26" s="570">
        <v>-21.356000000000002</v>
      </c>
      <c r="G26" s="570">
        <f t="shared" si="17"/>
        <v>-24.4</v>
      </c>
      <c r="H26" s="573"/>
      <c r="I26" s="570"/>
      <c r="J26" s="570"/>
      <c r="K26" s="573">
        <v>2.5</v>
      </c>
      <c r="L26" s="570">
        <v>0</v>
      </c>
      <c r="M26" s="570"/>
      <c r="N26" s="573"/>
      <c r="O26" s="570"/>
      <c r="P26" s="570"/>
      <c r="Q26" s="573">
        <v>-287.34542599999997</v>
      </c>
      <c r="R26" s="570">
        <v>-280.060765</v>
      </c>
      <c r="S26" s="570">
        <f t="shared" si="19"/>
        <v>-2.5</v>
      </c>
      <c r="T26" s="573">
        <v>0.2</v>
      </c>
      <c r="U26" s="570">
        <v>-0.4</v>
      </c>
      <c r="V26" s="570">
        <f t="shared" si="5"/>
        <v>-300</v>
      </c>
      <c r="W26" s="573">
        <v>-17</v>
      </c>
      <c r="X26" s="570">
        <v>-8.6</v>
      </c>
      <c r="Y26" s="570">
        <f t="shared" si="20"/>
        <v>-49.4</v>
      </c>
      <c r="Z26" s="573">
        <v>-43</v>
      </c>
      <c r="AA26" s="570">
        <v>-42</v>
      </c>
      <c r="AB26" s="570">
        <f t="shared" si="21"/>
        <v>-2.2999999999999998</v>
      </c>
      <c r="AC26" s="573"/>
      <c r="AD26" s="570"/>
      <c r="AE26" s="570"/>
      <c r="AF26" s="573"/>
      <c r="AG26" s="570"/>
      <c r="AH26" s="570"/>
      <c r="AI26" s="573">
        <v>-3.6874820000000001</v>
      </c>
      <c r="AJ26" s="570">
        <v>-2.5094150000000002</v>
      </c>
      <c r="AK26" s="570">
        <f t="shared" si="22"/>
        <v>-31.9</v>
      </c>
      <c r="AL26" s="573">
        <v>-11.3</v>
      </c>
      <c r="AM26" s="570">
        <v>-23</v>
      </c>
      <c r="AN26" s="570">
        <f t="shared" si="23"/>
        <v>103.5</v>
      </c>
      <c r="AO26" s="570">
        <f t="shared" si="13"/>
        <v>-387.89490799999999</v>
      </c>
      <c r="AP26" s="570">
        <f t="shared" si="13"/>
        <v>-377.92617999999999</v>
      </c>
      <c r="AQ26" s="570">
        <f t="shared" si="11"/>
        <v>-2.6</v>
      </c>
      <c r="AR26" s="570"/>
      <c r="AS26" s="570"/>
      <c r="AT26" s="570"/>
    </row>
    <row r="27" spans="1:46" s="537" customFormat="1" ht="18.75" customHeight="1" x14ac:dyDescent="0.3">
      <c r="A27" s="567" t="s">
        <v>353</v>
      </c>
      <c r="B27" s="573">
        <v>9.0389999999999997</v>
      </c>
      <c r="C27" s="570">
        <v>-2.8039999999999998</v>
      </c>
      <c r="D27" s="570">
        <f t="shared" si="16"/>
        <v>-131</v>
      </c>
      <c r="E27" s="573">
        <v>32.073</v>
      </c>
      <c r="F27" s="570">
        <v>3.1179999999999999</v>
      </c>
      <c r="G27" s="570">
        <f t="shared" si="17"/>
        <v>-90.3</v>
      </c>
      <c r="H27" s="573">
        <v>-2.17</v>
      </c>
      <c r="I27" s="570">
        <v>-3.819</v>
      </c>
      <c r="J27" s="570">
        <f>IF(H27=0, "    ---- ", IF(ABS(ROUND(100/H27*I27-100,1))&lt;999,ROUND(100/H27*I27-100,1),IF(ROUND(100/H27*I27-100,1)&gt;999,999,-999)))</f>
        <v>76</v>
      </c>
      <c r="K27" s="573"/>
      <c r="L27" s="570"/>
      <c r="M27" s="570"/>
      <c r="N27" s="573"/>
      <c r="O27" s="570"/>
      <c r="P27" s="570"/>
      <c r="Q27" s="573"/>
      <c r="R27" s="570"/>
      <c r="S27" s="570"/>
      <c r="T27" s="573"/>
      <c r="U27" s="570"/>
      <c r="V27" s="570"/>
      <c r="W27" s="573"/>
      <c r="X27" s="570"/>
      <c r="Y27" s="570"/>
      <c r="Z27" s="573"/>
      <c r="AA27" s="570">
        <v>39</v>
      </c>
      <c r="AB27" s="570" t="str">
        <f t="shared" si="21"/>
        <v xml:space="preserve">    ---- </v>
      </c>
      <c r="AC27" s="573"/>
      <c r="AD27" s="570"/>
      <c r="AE27" s="570"/>
      <c r="AF27" s="573"/>
      <c r="AG27" s="570"/>
      <c r="AH27" s="570"/>
      <c r="AI27" s="573"/>
      <c r="AJ27" s="570"/>
      <c r="AK27" s="570"/>
      <c r="AL27" s="573">
        <v>-34.4</v>
      </c>
      <c r="AM27" s="570">
        <v>9</v>
      </c>
      <c r="AN27" s="570">
        <f t="shared" si="23"/>
        <v>-126.2</v>
      </c>
      <c r="AO27" s="570">
        <f t="shared" si="13"/>
        <v>4.5420000000000016</v>
      </c>
      <c r="AP27" s="570">
        <f t="shared" si="13"/>
        <v>44.494999999999997</v>
      </c>
      <c r="AQ27" s="570">
        <f t="shared" si="11"/>
        <v>879.6</v>
      </c>
      <c r="AR27" s="570"/>
      <c r="AS27" s="570"/>
      <c r="AT27" s="570"/>
    </row>
    <row r="28" spans="1:46" s="537" customFormat="1" ht="18.75" customHeight="1" x14ac:dyDescent="0.3">
      <c r="A28" s="567" t="s">
        <v>354</v>
      </c>
      <c r="B28" s="573"/>
      <c r="C28" s="570"/>
      <c r="D28" s="570"/>
      <c r="E28" s="573">
        <v>18.308</v>
      </c>
      <c r="F28" s="570">
        <v>23.154</v>
      </c>
      <c r="G28" s="570">
        <f t="shared" si="17"/>
        <v>26.5</v>
      </c>
      <c r="H28" s="573"/>
      <c r="I28" s="570"/>
      <c r="J28" s="570"/>
      <c r="K28" s="573"/>
      <c r="L28" s="570"/>
      <c r="M28" s="570"/>
      <c r="N28" s="573"/>
      <c r="O28" s="570"/>
      <c r="P28" s="570"/>
      <c r="Q28" s="573">
        <v>-2.6871149999999999</v>
      </c>
      <c r="R28" s="570">
        <v>0</v>
      </c>
      <c r="S28" s="570">
        <f t="shared" si="19"/>
        <v>-100</v>
      </c>
      <c r="T28" s="573">
        <v>0.2</v>
      </c>
      <c r="U28" s="570">
        <v>0.2</v>
      </c>
      <c r="V28" s="570">
        <f t="shared" si="5"/>
        <v>0</v>
      </c>
      <c r="W28" s="573">
        <v>3</v>
      </c>
      <c r="X28" s="570">
        <v>1</v>
      </c>
      <c r="Y28" s="570">
        <f t="shared" si="20"/>
        <v>-66.7</v>
      </c>
      <c r="Z28" s="573">
        <v>-31</v>
      </c>
      <c r="AA28" s="570"/>
      <c r="AB28" s="570"/>
      <c r="AC28" s="573"/>
      <c r="AD28" s="570"/>
      <c r="AE28" s="570"/>
      <c r="AF28" s="573"/>
      <c r="AG28" s="570"/>
      <c r="AH28" s="570"/>
      <c r="AI28" s="573"/>
      <c r="AJ28" s="570"/>
      <c r="AK28" s="570"/>
      <c r="AL28" s="573">
        <v>1.8</v>
      </c>
      <c r="AM28" s="570">
        <v>-16</v>
      </c>
      <c r="AN28" s="570">
        <f t="shared" si="23"/>
        <v>-988.9</v>
      </c>
      <c r="AO28" s="570">
        <f t="shared" si="13"/>
        <v>-10.379115000000002</v>
      </c>
      <c r="AP28" s="570">
        <f t="shared" si="13"/>
        <v>8.3539999999999992</v>
      </c>
      <c r="AQ28" s="570">
        <f t="shared" si="11"/>
        <v>-180.5</v>
      </c>
      <c r="AR28" s="570"/>
      <c r="AS28" s="570"/>
      <c r="AT28" s="570"/>
    </row>
    <row r="29" spans="1:46" s="537" customFormat="1" ht="18.75" customHeight="1" x14ac:dyDescent="0.3">
      <c r="A29" s="567" t="s">
        <v>355</v>
      </c>
      <c r="B29" s="573">
        <v>-50.030999999999999</v>
      </c>
      <c r="C29" s="570">
        <f>SUM(C23:C28)</f>
        <v>-70.156000000000006</v>
      </c>
      <c r="D29" s="570">
        <f t="shared" si="16"/>
        <v>40.200000000000003</v>
      </c>
      <c r="E29" s="568">
        <v>270.43500000000006</v>
      </c>
      <c r="F29" s="570">
        <f>SUM(F23:F28)</f>
        <v>554.94100000000037</v>
      </c>
      <c r="G29" s="570">
        <f t="shared" si="17"/>
        <v>105.2</v>
      </c>
      <c r="H29" s="573">
        <v>-42.967000000000006</v>
      </c>
      <c r="I29" s="570">
        <f>SUM(I23:I28)</f>
        <v>-56.352000000000004</v>
      </c>
      <c r="J29" s="570">
        <f>IF(H29=0, "    ---- ", IF(ABS(ROUND(100/H29*I29-100,1))&lt;999,ROUND(100/H29*I29-100,1),IF(ROUND(100/H29*I29-100,1)&gt;999,999,-999)))</f>
        <v>31.2</v>
      </c>
      <c r="K29" s="573">
        <v>-489.09999999999997</v>
      </c>
      <c r="L29" s="570">
        <f>SUM(L23:L28)</f>
        <v>-595</v>
      </c>
      <c r="M29" s="570">
        <f t="shared" si="18"/>
        <v>21.7</v>
      </c>
      <c r="N29" s="573">
        <v>0</v>
      </c>
      <c r="O29" s="570">
        <f>SUM(O23:O28)</f>
        <v>21</v>
      </c>
      <c r="P29" s="570" t="str">
        <f>IF(N29=0, "    ---- ", IF(ABS(ROUND(100/N29*O29-100,1))&lt;999,ROUND(100/N29*O29-100,1),IF(ROUND(100/N29*O29-100,1)&gt;999,999,-999)))</f>
        <v xml:space="preserve">    ---- </v>
      </c>
      <c r="Q29" s="573">
        <v>-38433.66783767</v>
      </c>
      <c r="R29" s="570">
        <f>SUM(R23:R28)</f>
        <v>-38615.040153230002</v>
      </c>
      <c r="S29" s="570">
        <f t="shared" si="19"/>
        <v>0.5</v>
      </c>
      <c r="T29" s="573">
        <v>-127</v>
      </c>
      <c r="U29" s="570">
        <f>SUM(U23:U28)</f>
        <v>-74.900000000000006</v>
      </c>
      <c r="V29" s="570">
        <f t="shared" si="5"/>
        <v>-41</v>
      </c>
      <c r="W29" s="573">
        <v>-1282.4000000000001</v>
      </c>
      <c r="X29" s="570">
        <f>SUM(X23:X28)</f>
        <v>-1035.5999999999999</v>
      </c>
      <c r="Y29" s="570">
        <f t="shared" si="20"/>
        <v>-19.2</v>
      </c>
      <c r="Z29" s="573">
        <v>-4324</v>
      </c>
      <c r="AA29" s="570">
        <f>SUM(AA23:AA28)</f>
        <v>-7061</v>
      </c>
      <c r="AB29" s="570">
        <f t="shared" si="21"/>
        <v>63.3</v>
      </c>
      <c r="AC29" s="573"/>
      <c r="AD29" s="570"/>
      <c r="AE29" s="570"/>
      <c r="AF29" s="573"/>
      <c r="AG29" s="570"/>
      <c r="AH29" s="570"/>
      <c r="AI29" s="573">
        <v>-1050.6205891100001</v>
      </c>
      <c r="AJ29" s="570">
        <f>SUM(AJ23:AJ28)</f>
        <v>-1374.4571103800008</v>
      </c>
      <c r="AK29" s="570">
        <f t="shared" si="22"/>
        <v>30.8</v>
      </c>
      <c r="AL29" s="573">
        <v>-1207.5</v>
      </c>
      <c r="AM29" s="570">
        <f>SUM(AM23:AM28)</f>
        <v>-3257</v>
      </c>
      <c r="AN29" s="570">
        <f t="shared" si="23"/>
        <v>169.7</v>
      </c>
      <c r="AO29" s="570">
        <f t="shared" si="13"/>
        <v>-46736.851426780006</v>
      </c>
      <c r="AP29" s="570">
        <f t="shared" si="13"/>
        <v>-51584.564263610009</v>
      </c>
      <c r="AQ29" s="570">
        <f t="shared" si="11"/>
        <v>10.4</v>
      </c>
      <c r="AR29" s="570"/>
      <c r="AS29" s="570"/>
      <c r="AT29" s="570"/>
    </row>
    <row r="30" spans="1:46" s="537" customFormat="1" ht="18.75" customHeight="1" x14ac:dyDescent="0.3">
      <c r="A30" s="567" t="s">
        <v>356</v>
      </c>
      <c r="B30" s="573">
        <v>-1714.3309999999999</v>
      </c>
      <c r="C30" s="570">
        <v>-2923.4029999999998</v>
      </c>
      <c r="D30" s="570">
        <f>IF(B30=0, "    ---- ", IF(ABS(ROUND(100/B30*C30-100,1))&lt;999,ROUND(100/B30*C30-100,1),IF(ROUND(100/B30*C30-100,1)&gt;999,999,-999)))</f>
        <v>70.5</v>
      </c>
      <c r="E30" s="573">
        <v>-10509.259</v>
      </c>
      <c r="F30" s="570">
        <v>-14942.475</v>
      </c>
      <c r="G30" s="570">
        <f>IF(E30=0, "    ---- ", IF(ABS(ROUND(100/E30*F30-100,1))&lt;999,ROUND(100/E30*F30-100,1),IF(ROUND(100/E30*F30-100,1)&gt;999,999,-999)))</f>
        <v>42.2</v>
      </c>
      <c r="H30" s="573">
        <v>-327.04700000000003</v>
      </c>
      <c r="I30" s="570">
        <v>-570.67700000000002</v>
      </c>
      <c r="J30" s="570"/>
      <c r="K30" s="573">
        <v>-2672.6</v>
      </c>
      <c r="L30" s="570">
        <v>-4856</v>
      </c>
      <c r="M30" s="570">
        <f t="shared" si="18"/>
        <v>81.7</v>
      </c>
      <c r="N30" s="573"/>
      <c r="O30" s="570"/>
      <c r="P30" s="570"/>
      <c r="Q30" s="573">
        <v>-108.073449</v>
      </c>
      <c r="R30" s="570">
        <v>-94.942638000000002</v>
      </c>
      <c r="S30" s="570">
        <f t="shared" si="19"/>
        <v>-12.1</v>
      </c>
      <c r="T30" s="573">
        <v>-495.3</v>
      </c>
      <c r="U30" s="570">
        <v>-1014.2</v>
      </c>
      <c r="V30" s="570">
        <f t="shared" si="5"/>
        <v>104.8</v>
      </c>
      <c r="W30" s="573">
        <v>-8141.5197209300004</v>
      </c>
      <c r="X30" s="570">
        <v>-11348</v>
      </c>
      <c r="Y30" s="570">
        <f>IF(W30=0, "    ---- ", IF(ABS(ROUND(100/W30*X30-100,1))&lt;999,ROUND(100/W30*X30-100,1),IF(ROUND(100/W30*X30-100,1)&gt;999,999,-999)))</f>
        <v>39.4</v>
      </c>
      <c r="Z30" s="573"/>
      <c r="AA30" s="570"/>
      <c r="AB30" s="570"/>
      <c r="AC30" s="573">
        <v>-153</v>
      </c>
      <c r="AD30" s="570">
        <v>-318</v>
      </c>
      <c r="AE30" s="570">
        <f>IF(AC30=0, "    ---- ", IF(ABS(ROUND(100/AC30*AD30-100,1))&lt;999,ROUND(100/AC30*AD30-100,1),IF(ROUND(100/AC30*AD30-100,1)&gt;999,999,-999)))</f>
        <v>107.8</v>
      </c>
      <c r="AF30" s="573"/>
      <c r="AG30" s="570"/>
      <c r="AH30" s="570"/>
      <c r="AI30" s="573">
        <v>-3543.5897965700001</v>
      </c>
      <c r="AJ30" s="570">
        <v>-5775.2955953900009</v>
      </c>
      <c r="AK30" s="570">
        <f>IF(AI30=0, "    ---- ", IF(ABS(ROUND(100/AI30*AJ30-100,1))&lt;999,ROUND(100/AI30*AJ30-100,1),IF(ROUND(100/AI30*AJ30-100,1)&gt;999,999,-999)))</f>
        <v>63</v>
      </c>
      <c r="AL30" s="573">
        <v>-11255.8</v>
      </c>
      <c r="AM30" s="570">
        <v>-15232</v>
      </c>
      <c r="AN30" s="570">
        <f>IF(AL30=0, "    ---- ", IF(ABS(ROUND(100/AL30*AM30-100,1))&lt;999,ROUND(100/AL30*AM30-100,1),IF(ROUND(100/AL30*AM30-100,1)&gt;999,999,-999)))</f>
        <v>35.299999999999997</v>
      </c>
      <c r="AO30" s="570">
        <f t="shared" si="13"/>
        <v>-38767.519966499996</v>
      </c>
      <c r="AP30" s="570">
        <f t="shared" si="13"/>
        <v>-56756.99323339</v>
      </c>
      <c r="AQ30" s="570">
        <f t="shared" si="11"/>
        <v>46.4</v>
      </c>
      <c r="AR30" s="570"/>
      <c r="AS30" s="570"/>
      <c r="AT30" s="570"/>
    </row>
    <row r="31" spans="1:46" s="537" customFormat="1" ht="18.75" customHeight="1" x14ac:dyDescent="0.3">
      <c r="A31" s="567" t="s">
        <v>357</v>
      </c>
      <c r="B31" s="573">
        <v>0</v>
      </c>
      <c r="C31" s="570">
        <v>-0.161</v>
      </c>
      <c r="D31" s="570" t="str">
        <f>IF(B31=0, "    ---- ", IF(ABS(ROUND(100/B31*C31-100,1))&lt;999,ROUND(100/B31*C31-100,1),IF(ROUND(100/B31*C31-100,1)&gt;999,999,-999)))</f>
        <v xml:space="preserve">    ---- </v>
      </c>
      <c r="E31" s="573">
        <v>-493.11700000000002</v>
      </c>
      <c r="F31" s="570">
        <v>-1272.106</v>
      </c>
      <c r="G31" s="570">
        <f>IF(E31=0, "    ---- ", IF(ABS(ROUND(100/E31*F31-100,1))&lt;999,ROUND(100/E31*F31-100,1),IF(ROUND(100/E31*F31-100,1)&gt;999,999,-999)))</f>
        <v>158</v>
      </c>
      <c r="H31" s="573"/>
      <c r="I31" s="570"/>
      <c r="J31" s="570"/>
      <c r="K31" s="573">
        <v>-6.4</v>
      </c>
      <c r="L31" s="570">
        <v>-3</v>
      </c>
      <c r="M31" s="570">
        <f t="shared" si="18"/>
        <v>-53.1</v>
      </c>
      <c r="N31" s="573"/>
      <c r="O31" s="570"/>
      <c r="P31" s="570"/>
      <c r="Q31" s="573">
        <v>-4319.3234069999999</v>
      </c>
      <c r="R31" s="570">
        <v>-5199.2808219999997</v>
      </c>
      <c r="S31" s="570">
        <f>IF(Q31=0, "    ---- ", IF(ABS(ROUND(100/Q31*R31-100,1))&lt;999,ROUND(100/Q31*R31-100,1),IF(ROUND(100/Q31*R31-100,1)&gt;999,999,-999)))</f>
        <v>20.399999999999999</v>
      </c>
      <c r="T31" s="573">
        <v>-9</v>
      </c>
      <c r="U31" s="570">
        <v>-16.5</v>
      </c>
      <c r="V31" s="570"/>
      <c r="W31" s="573">
        <v>-45.033991</v>
      </c>
      <c r="X31" s="570">
        <v>-85</v>
      </c>
      <c r="Y31" s="570">
        <f>IF(W31=0, "    ---- ", IF(ABS(ROUND(100/W31*X31-100,1))&lt;999,ROUND(100/W31*X31-100,1),IF(ROUND(100/W31*X31-100,1)&gt;999,999,-999)))</f>
        <v>88.7</v>
      </c>
      <c r="Z31" s="573">
        <v>-342</v>
      </c>
      <c r="AA31" s="570">
        <v>-481</v>
      </c>
      <c r="AB31" s="570">
        <f>IF(Z31=0, "    ---- ", IF(ABS(ROUND(100/Z31*AA31-100,1))&lt;999,ROUND(100/Z31*AA31-100,1),IF(ROUND(100/Z31*AA31-100,1)&gt;999,999,-999)))</f>
        <v>40.6</v>
      </c>
      <c r="AC31" s="573"/>
      <c r="AD31" s="570"/>
      <c r="AE31" s="570"/>
      <c r="AF31" s="573"/>
      <c r="AG31" s="570"/>
      <c r="AH31" s="570"/>
      <c r="AI31" s="573">
        <v>-105.01435339</v>
      </c>
      <c r="AJ31" s="570">
        <v>-289.21020633000001</v>
      </c>
      <c r="AK31" s="570">
        <f>IF(AI31=0, "    ---- ", IF(ABS(ROUND(100/AI31*AJ31-100,1))&lt;999,ROUND(100/AI31*AJ31-100,1),IF(ROUND(100/AI31*AJ31-100,1)&gt;999,999,-999)))</f>
        <v>175.4</v>
      </c>
      <c r="AL31" s="573">
        <v>-760.8</v>
      </c>
      <c r="AM31" s="570">
        <v>-568</v>
      </c>
      <c r="AN31" s="570">
        <f>IF(AL31=0, "    ---- ", IF(ABS(ROUND(100/AL31*AM31-100,1))&lt;999,ROUND(100/AL31*AM31-100,1),IF(ROUND(100/AL31*AM31-100,1)&gt;999,999,-999)))</f>
        <v>-25.3</v>
      </c>
      <c r="AO31" s="570">
        <f t="shared" si="13"/>
        <v>-6080.6887513900001</v>
      </c>
      <c r="AP31" s="570">
        <f t="shared" si="13"/>
        <v>-7914.2580283299994</v>
      </c>
      <c r="AQ31" s="570">
        <f t="shared" si="11"/>
        <v>30.2</v>
      </c>
      <c r="AR31" s="570"/>
      <c r="AS31" s="570"/>
      <c r="AT31" s="570"/>
    </row>
    <row r="32" spans="1:46" s="537" customFormat="1" ht="18.75" customHeight="1" x14ac:dyDescent="0.3">
      <c r="A32" s="567" t="s">
        <v>358</v>
      </c>
      <c r="B32" s="573">
        <v>-197.80699999999999</v>
      </c>
      <c r="C32" s="570">
        <v>-189.83199999999999</v>
      </c>
      <c r="D32" s="570">
        <f>IF(B32=0, "    ---- ", IF(ABS(ROUND(100/B32*C32-100,1))&lt;999,ROUND(100/B32*C32-100,1),IF(ROUND(100/B32*C32-100,1)&gt;999,999,-999)))</f>
        <v>-4</v>
      </c>
      <c r="E32" s="573">
        <v>-1297.5160000000001</v>
      </c>
      <c r="F32" s="570">
        <v>-1228.1500000000001</v>
      </c>
      <c r="G32" s="570">
        <f>IF(E32=0, "    ---- ", IF(ABS(ROUND(100/E32*F32-100,1))&lt;999,ROUND(100/E32*F32-100,1),IF(ROUND(100/E32*F32-100,1)&gt;999,999,-999)))</f>
        <v>-5.3</v>
      </c>
      <c r="H32" s="573">
        <v>-213.30600000000001</v>
      </c>
      <c r="I32" s="570">
        <v>-242.10300000000001</v>
      </c>
      <c r="J32" s="570">
        <f>IF(H32=0, "    ---- ", IF(ABS(ROUND(100/H32*I32-100,1))&lt;999,ROUND(100/H32*I32-100,1),IF(ROUND(100/H32*I32-100,1)&gt;999,999,-999)))</f>
        <v>13.5</v>
      </c>
      <c r="K32" s="573">
        <v>-191.1</v>
      </c>
      <c r="L32" s="570">
        <v>-227</v>
      </c>
      <c r="M32" s="570">
        <f>IF(K32=0, "    ---- ", IF(ABS(ROUND(100/K32*L32-100,1))&lt;999,ROUND(100/K32*L32-100,1),IF(ROUND(100/K32*L32-100,1)&gt;999,999,-999)))</f>
        <v>18.8</v>
      </c>
      <c r="N32" s="573">
        <v>-12</v>
      </c>
      <c r="O32" s="570">
        <v>-11</v>
      </c>
      <c r="P32" s="570">
        <f>IF(N32=0, "    ---- ", IF(ABS(ROUND(100/N32*O32-100,1))&lt;999,ROUND(100/N32*O32-100,1),IF(ROUND(100/N32*O32-100,1)&gt;999,999,-999)))</f>
        <v>-8.3000000000000007</v>
      </c>
      <c r="Q32" s="573">
        <v>-1140.0509184</v>
      </c>
      <c r="R32" s="570">
        <v>-1001.43555411</v>
      </c>
      <c r="S32" s="570">
        <f>IF(Q32=0, "    ---- ", IF(ABS(ROUND(100/Q32*R32-100,1))&lt;999,ROUND(100/Q32*R32-100,1),IF(ROUND(100/Q32*R32-100,1)&gt;999,999,-999)))</f>
        <v>-12.2</v>
      </c>
      <c r="T32" s="573">
        <v>-52.8</v>
      </c>
      <c r="U32" s="570">
        <v>-61.9</v>
      </c>
      <c r="V32" s="570">
        <f>IF(T32=0, "    ---- ", IF(ABS(ROUND(100/T32*U32-100,1))&lt;999,ROUND(100/T32*U32-100,1),IF(ROUND(100/T32*U32-100,1)&gt;999,999,-999)))</f>
        <v>17.2</v>
      </c>
      <c r="W32" s="573">
        <v>-662.1</v>
      </c>
      <c r="X32" s="570">
        <v>-636</v>
      </c>
      <c r="Y32" s="570">
        <f>IF(W32=0, "    ---- ", IF(ABS(ROUND(100/W32*X32-100,1))&lt;999,ROUND(100/W32*X32-100,1),IF(ROUND(100/W32*X32-100,1)&gt;999,999,-999)))</f>
        <v>-3.9</v>
      </c>
      <c r="Z32" s="573">
        <v>-169</v>
      </c>
      <c r="AA32" s="570">
        <v>-156</v>
      </c>
      <c r="AB32" s="570">
        <f>IF(Z32=0, "    ---- ", IF(ABS(ROUND(100/Z32*AA32-100,1))&lt;999,ROUND(100/Z32*AA32-100,1),IF(ROUND(100/Z32*AA32-100,1)&gt;999,999,-999)))</f>
        <v>-7.7</v>
      </c>
      <c r="AC32" s="573">
        <v>-1</v>
      </c>
      <c r="AD32" s="570">
        <v>2.6</v>
      </c>
      <c r="AE32" s="570">
        <f>IF(AC32=0, "    ---- ", IF(ABS(ROUND(100/AC32*AD32-100,1))&lt;999,ROUND(100/AC32*AD32-100,1),IF(ROUND(100/AC32*AD32-100,1)&gt;999,999,-999)))</f>
        <v>-360</v>
      </c>
      <c r="AF32" s="573"/>
      <c r="AG32" s="570"/>
      <c r="AH32" s="570"/>
      <c r="AI32" s="573">
        <v>-960.803343842</v>
      </c>
      <c r="AJ32" s="570">
        <v>-1026.5496009412</v>
      </c>
      <c r="AK32" s="570">
        <f>IF(AI32=0, "    ---- ", IF(ABS(ROUND(100/AI32*AJ32-100,1))&lt;999,ROUND(100/AI32*AJ32-100,1),IF(ROUND(100/AI32*AJ32-100,1)&gt;999,999,-999)))</f>
        <v>6.8</v>
      </c>
      <c r="AL32" s="573">
        <v>-1367.6</v>
      </c>
      <c r="AM32" s="570">
        <v>-1409</v>
      </c>
      <c r="AN32" s="570">
        <f>IF(AL32=0, "    ---- ", IF(ABS(ROUND(100/AL32*AM32-100,1))&lt;999,ROUND(100/AL32*AM32-100,1),IF(ROUND(100/AL32*AM32-100,1)&gt;999,999,-999)))</f>
        <v>3</v>
      </c>
      <c r="AO32" s="570">
        <f t="shared" si="13"/>
        <v>-6252.0832622420003</v>
      </c>
      <c r="AP32" s="570">
        <f t="shared" si="13"/>
        <v>-6177.9701550512</v>
      </c>
      <c r="AQ32" s="570">
        <f t="shared" si="11"/>
        <v>-1.2</v>
      </c>
      <c r="AR32" s="570"/>
      <c r="AS32" s="570"/>
      <c r="AT32" s="570"/>
    </row>
    <row r="33" spans="1:47" s="595" customFormat="1" ht="18.75" customHeight="1" x14ac:dyDescent="0.3">
      <c r="A33" s="567" t="s">
        <v>359</v>
      </c>
      <c r="B33" s="594"/>
      <c r="C33" s="575"/>
      <c r="D33" s="575"/>
      <c r="E33" s="594">
        <v>-56.356999999999999</v>
      </c>
      <c r="F33" s="575">
        <v>-26.917999999999999</v>
      </c>
      <c r="G33" s="575">
        <f>IF(E33=0, "    ---- ", IF(ABS(ROUND(100/E33*F33-100,1))&lt;999,ROUND(100/E33*F33-100,1),IF(ROUND(100/E33*F33-100,1)&gt;999,999,-999)))</f>
        <v>-52.2</v>
      </c>
      <c r="H33" s="594"/>
      <c r="I33" s="575"/>
      <c r="J33" s="575"/>
      <c r="K33" s="594"/>
      <c r="L33" s="575"/>
      <c r="M33" s="575"/>
      <c r="N33" s="594"/>
      <c r="O33" s="575"/>
      <c r="P33" s="575"/>
      <c r="Q33" s="594">
        <v>-933.98501399999998</v>
      </c>
      <c r="R33" s="575">
        <v>-980.23609499999998</v>
      </c>
      <c r="S33" s="575">
        <f>IF(Q33=0, "    ---- ", IF(ABS(ROUND(100/Q33*R33-100,1))&lt;999,ROUND(100/Q33*R33-100,1),IF(ROUND(100/Q33*R33-100,1)&gt;999,999,-999)))</f>
        <v>5</v>
      </c>
      <c r="T33" s="594">
        <v>-0.6</v>
      </c>
      <c r="U33" s="575">
        <v>-1</v>
      </c>
      <c r="V33" s="575">
        <f>IF(T33=0, "    ---- ", IF(ABS(ROUND(100/T33*U33-100,1))&lt;999,ROUND(100/T33*U33-100,1),IF(ROUND(100/T33*U33-100,1)&gt;999,999,-999)))</f>
        <v>66.7</v>
      </c>
      <c r="W33" s="594">
        <v>-8.8136600600005117</v>
      </c>
      <c r="X33" s="575">
        <v>-8.4380929600000005</v>
      </c>
      <c r="Y33" s="575">
        <f>IF(W33=0, "    ---- ", IF(ABS(ROUND(100/W33*X33-100,1))&lt;999,ROUND(100/W33*X33-100,1),IF(ROUND(100/W33*X33-100,1)&gt;999,999,-999)))</f>
        <v>-4.3</v>
      </c>
      <c r="Z33" s="594"/>
      <c r="AA33" s="575"/>
      <c r="AB33" s="575"/>
      <c r="AC33" s="594"/>
      <c r="AD33" s="575"/>
      <c r="AE33" s="575"/>
      <c r="AF33" s="594"/>
      <c r="AG33" s="575"/>
      <c r="AH33" s="575"/>
      <c r="AI33" s="594">
        <v>-10.987012409999998</v>
      </c>
      <c r="AJ33" s="575">
        <v>-11.01792062</v>
      </c>
      <c r="AK33" s="575">
        <f>IF(AI33=0, "    ---- ", IF(ABS(ROUND(100/AI33*AJ33-100,1))&lt;999,ROUND(100/AI33*AJ33-100,1),IF(ROUND(100/AI33*AJ33-100,1)&gt;999,999,-999)))</f>
        <v>0.3</v>
      </c>
      <c r="AL33" s="594">
        <v>-411.5</v>
      </c>
      <c r="AM33" s="575">
        <v>-138</v>
      </c>
      <c r="AN33" s="575">
        <f>IF(AL33=0, "    ---- ", IF(ABS(ROUND(100/AL33*AM33-100,1))&lt;999,ROUND(100/AL33*AM33-100,1),IF(ROUND(100/AL33*AM33-100,1)&gt;999,999,-999)))</f>
        <v>-66.5</v>
      </c>
      <c r="AO33" s="575">
        <f t="shared" si="13"/>
        <v>-1422.2426864700005</v>
      </c>
      <c r="AP33" s="575">
        <f t="shared" si="13"/>
        <v>-1165.6101085799999</v>
      </c>
      <c r="AQ33" s="575">
        <f t="shared" si="11"/>
        <v>-18</v>
      </c>
      <c r="AR33" s="575"/>
      <c r="AS33" s="575"/>
      <c r="AT33" s="575"/>
    </row>
    <row r="34" spans="1:47" s="601" customFormat="1" ht="18.75" customHeight="1" x14ac:dyDescent="0.3">
      <c r="A34" s="596" t="s">
        <v>360</v>
      </c>
      <c r="B34" s="597">
        <v>120.4460000000004</v>
      </c>
      <c r="C34" s="598">
        <f>SUM(C14+C15+C16+C17+C21+C29+C30+C31+C32+C33)</f>
        <v>121.58600000000064</v>
      </c>
      <c r="D34" s="599">
        <f>IF(B34=0, "    ---- ", IF(ABS(ROUND(100/B34*C34-100,1))&lt;999,ROUND(100/B34*C34-100,1),IF(ROUND(100/B34*C34-100,1)&gt;999,999,-999)))</f>
        <v>0.9</v>
      </c>
      <c r="E34" s="600">
        <v>928.93200000000206</v>
      </c>
      <c r="F34" s="598">
        <f>SUM(F14+F15+F16+F17+F21+F29+F30+F31+F32+F33)</f>
        <v>1155.7719999999947</v>
      </c>
      <c r="G34" s="599">
        <f>IF(E34=0, "    ---- ", IF(ABS(ROUND(100/E34*F34-100,1))&lt;999,ROUND(100/E34*F34-100,1),IF(ROUND(100/E34*F34-100,1)&gt;999,999,-999)))</f>
        <v>24.4</v>
      </c>
      <c r="H34" s="597">
        <v>111.25399999999993</v>
      </c>
      <c r="I34" s="598">
        <f>SUM(I14+I15+I16+I17+I21+I29+I30+I31+I32+I33)</f>
        <v>117.06600000000009</v>
      </c>
      <c r="J34" s="599">
        <f>IF(H34=0, "    ---- ", IF(ABS(ROUND(100/H34*I34-100,1))&lt;999,ROUND(100/H34*I34-100,1),IF(ROUND(100/H34*I34-100,1)&gt;999,999,-999)))</f>
        <v>5.2</v>
      </c>
      <c r="K34" s="597">
        <v>23.199999999999818</v>
      </c>
      <c r="L34" s="598">
        <f>SUM(L14+L15+L16+L17+L21+L29+L30+L31+L32+L33)</f>
        <v>102.89999999999964</v>
      </c>
      <c r="M34" s="599">
        <f>IF(K34=0, "    ---- ", IF(ABS(ROUND(100/K34*L34-100,1))&lt;999,ROUND(100/K34*L34-100,1),IF(ROUND(100/K34*L34-100,1)&gt;999,999,-999)))</f>
        <v>343.5</v>
      </c>
      <c r="N34" s="597">
        <v>4</v>
      </c>
      <c r="O34" s="598">
        <f>SUM(O14+O15+O16+O17+O21+O29+O30+O31+O32+O33)</f>
        <v>25</v>
      </c>
      <c r="P34" s="599">
        <f>IF(N34=0, "    ---- ", IF(ABS(ROUND(100/N34*O34-100,1))&lt;999,ROUND(100/N34*O34-100,1),IF(ROUND(100/N34*O34-100,1)&gt;999,999,-999)))</f>
        <v>525</v>
      </c>
      <c r="Q34" s="597">
        <v>1179.8561143199995</v>
      </c>
      <c r="R34" s="598">
        <f>SUM(R14+R15+R16+R17+R21+R29+R30+R31+R32+R33)</f>
        <v>1097.626671859997</v>
      </c>
      <c r="S34" s="599">
        <f>IF(Q34=0, "    ---- ", IF(ABS(ROUND(100/Q34*R34-100,1))&lt;999,ROUND(100/Q34*R34-100,1),IF(ROUND(100/Q34*R34-100,1)&gt;999,999,-999)))</f>
        <v>-7</v>
      </c>
      <c r="T34" s="597">
        <v>-34.500000000000078</v>
      </c>
      <c r="U34" s="598">
        <f>SUM(U14+U15+U16+U17+U21+U29+U30+U31+U32+U33)</f>
        <v>-33.600000000000044</v>
      </c>
      <c r="V34" s="599">
        <f>IF(T34=0, "    ---- ", IF(ABS(ROUND(100/T34*U34-100,1))&lt;999,ROUND(100/T34*U34-100,1),IF(ROUND(100/T34*U34-100,1)&gt;999,999,-999)))</f>
        <v>-2.6</v>
      </c>
      <c r="W34" s="597">
        <v>480.63262800999939</v>
      </c>
      <c r="X34" s="598">
        <f>SUM(X14+X15+X16+X17+X21+X29+X30+X31+X32+X33)</f>
        <v>626.16190704000041</v>
      </c>
      <c r="Y34" s="599">
        <f>IF(W34=0, "    ---- ", IF(ABS(ROUND(100/W34*X34-100,1))&lt;999,ROUND(100/W34*X34-100,1),IF(ROUND(100/W34*X34-100,1)&gt;999,999,-999)))</f>
        <v>30.3</v>
      </c>
      <c r="Z34" s="597">
        <v>430</v>
      </c>
      <c r="AA34" s="598">
        <f>SUM(AA14+AA15+AA16+AA17+AA21+AA29+AA30+AA31+AA32+AA33)</f>
        <v>735</v>
      </c>
      <c r="AB34" s="599">
        <f>IF(Z34=0, "    ---- ", IF(ABS(ROUND(100/Z34*AA34-100,1))&lt;999,ROUND(100/Z34*AA34-100,1),IF(ROUND(100/Z34*AA34-100,1)&gt;999,999,-999)))</f>
        <v>70.900000000000006</v>
      </c>
      <c r="AC34" s="597">
        <v>9</v>
      </c>
      <c r="AD34" s="598">
        <f>SUM(AD14+AD15+AD16+AD17+AD21+AD29+AD30+AD31+AD32+AD33)</f>
        <v>13.205000000000018</v>
      </c>
      <c r="AE34" s="599">
        <f>IF(AC34=0, "    ---- ", IF(ABS(ROUND(100/AC34*AD34-100,1))&lt;999,ROUND(100/AC34*AD34-100,1),IF(ROUND(100/AC34*AD34-100,1)&gt;999,999,-999)))</f>
        <v>46.7</v>
      </c>
      <c r="AF34" s="597"/>
      <c r="AG34" s="598"/>
      <c r="AH34" s="599"/>
      <c r="AI34" s="597">
        <v>304.81542841799825</v>
      </c>
      <c r="AJ34" s="598">
        <f>SUM(AJ14+AJ15+AJ16+AJ17+AJ21+AJ29+AJ30+AJ31+AJ32+AJ33)</f>
        <v>572.63025003880011</v>
      </c>
      <c r="AK34" s="599">
        <f>IF(AI34=0, "    ---- ", IF(ABS(ROUND(100/AI34*AJ34-100,1))&lt;999,ROUND(100/AI34*AJ34-100,1),IF(ROUND(100/AI34*AJ34-100,1)&gt;999,999,-999)))</f>
        <v>87.9</v>
      </c>
      <c r="AL34" s="597">
        <v>1099.9999999999977</v>
      </c>
      <c r="AM34" s="598">
        <f>SUM(AM14+AM15+AM16+AM17+AM21+AM29+AM30+AM31+AM32+AM33)</f>
        <v>1156</v>
      </c>
      <c r="AN34" s="599">
        <f>IF(AL34=0, "    ---- ", IF(ABS(ROUND(100/AL34*AM34-100,1))&lt;999,ROUND(100/AL34*AM34-100,1),IF(ROUND(100/AL34*AM34-100,1)&gt;999,999,-999)))</f>
        <v>5.0999999999999996</v>
      </c>
      <c r="AO34" s="599">
        <f>B34+E34+H34+K34+Q34+T34+W34+Z34+AF34+AI34+AL34</f>
        <v>4644.6361707479973</v>
      </c>
      <c r="AP34" s="599">
        <f>C34+F34+I34+L34+R34+U34+X34+AA34+AG34+AJ34+AM34</f>
        <v>5651.1428289387932</v>
      </c>
      <c r="AQ34" s="599">
        <f t="shared" si="11"/>
        <v>21.7</v>
      </c>
      <c r="AR34" s="599"/>
      <c r="AS34" s="599"/>
      <c r="AT34" s="599"/>
    </row>
    <row r="35" spans="1:47" s="601" customFormat="1" ht="18.75" customHeight="1" x14ac:dyDescent="0.3">
      <c r="A35" s="602"/>
      <c r="B35" s="603"/>
      <c r="C35" s="604"/>
      <c r="D35" s="605"/>
      <c r="E35" s="603"/>
      <c r="F35" s="604"/>
      <c r="G35" s="605"/>
      <c r="H35" s="603"/>
      <c r="I35" s="604"/>
      <c r="J35" s="605"/>
      <c r="K35" s="603"/>
      <c r="L35" s="604"/>
      <c r="M35" s="605"/>
      <c r="N35" s="603"/>
      <c r="O35" s="604"/>
      <c r="P35" s="605"/>
      <c r="Q35" s="603"/>
      <c r="R35" s="604"/>
      <c r="S35" s="605"/>
      <c r="T35" s="603"/>
      <c r="U35" s="604"/>
      <c r="V35" s="605"/>
      <c r="W35" s="603"/>
      <c r="X35" s="604"/>
      <c r="Y35" s="605"/>
      <c r="Z35" s="603"/>
      <c r="AA35" s="604"/>
      <c r="AB35" s="605"/>
      <c r="AC35" s="603"/>
      <c r="AD35" s="604"/>
      <c r="AE35" s="605"/>
      <c r="AF35" s="603"/>
      <c r="AG35" s="604"/>
      <c r="AH35" s="605"/>
      <c r="AI35" s="603"/>
      <c r="AJ35" s="604"/>
      <c r="AK35" s="606"/>
      <c r="AL35" s="603"/>
      <c r="AM35" s="604"/>
      <c r="AN35" s="606"/>
      <c r="AO35" s="606"/>
      <c r="AP35" s="606"/>
      <c r="AQ35" s="606"/>
      <c r="AR35" s="607"/>
      <c r="AS35" s="608"/>
      <c r="AT35" s="609"/>
    </row>
    <row r="36" spans="1:47" s="601" customFormat="1" ht="18.75" customHeight="1" x14ac:dyDescent="0.3">
      <c r="A36" s="555" t="s">
        <v>361</v>
      </c>
      <c r="B36" s="603"/>
      <c r="C36" s="604"/>
      <c r="D36" s="605"/>
      <c r="E36" s="603"/>
      <c r="F36" s="604"/>
      <c r="G36" s="605"/>
      <c r="H36" s="603"/>
      <c r="I36" s="604"/>
      <c r="J36" s="605"/>
      <c r="K36" s="603"/>
      <c r="L36" s="604"/>
      <c r="M36" s="605"/>
      <c r="N36" s="603"/>
      <c r="O36" s="604"/>
      <c r="P36" s="605"/>
      <c r="Q36" s="603"/>
      <c r="R36" s="604"/>
      <c r="S36" s="605"/>
      <c r="T36" s="603"/>
      <c r="U36" s="604"/>
      <c r="V36" s="605"/>
      <c r="W36" s="603"/>
      <c r="X36" s="604"/>
      <c r="Y36" s="605"/>
      <c r="Z36" s="603"/>
      <c r="AA36" s="604"/>
      <c r="AB36" s="605"/>
      <c r="AC36" s="603"/>
      <c r="AD36" s="604"/>
      <c r="AE36" s="605"/>
      <c r="AF36" s="603"/>
      <c r="AG36" s="604"/>
      <c r="AH36" s="605"/>
      <c r="AI36" s="603"/>
      <c r="AJ36" s="604"/>
      <c r="AK36" s="605"/>
      <c r="AL36" s="603"/>
      <c r="AM36" s="604"/>
      <c r="AN36" s="605"/>
      <c r="AO36" s="605"/>
      <c r="AP36" s="605"/>
      <c r="AQ36" s="605"/>
      <c r="AR36" s="610"/>
      <c r="AS36" s="611"/>
      <c r="AT36" s="612"/>
    </row>
    <row r="37" spans="1:47" s="614" customFormat="1" ht="18.75" customHeight="1" x14ac:dyDescent="0.3">
      <c r="A37" s="567" t="s">
        <v>362</v>
      </c>
      <c r="B37" s="571">
        <v>-1.355</v>
      </c>
      <c r="C37" s="572">
        <v>-3.9E-2</v>
      </c>
      <c r="D37" s="570">
        <f t="shared" ref="D37:D43" si="24">IF(B37=0, "    ---- ", IF(ABS(ROUND(100/B37*C37-100,1))&lt;999,ROUND(100/B37*C37-100,1),IF(ROUND(100/B37*C37-100,1)&gt;999,999,-999)))</f>
        <v>-97.1</v>
      </c>
      <c r="E37" s="571">
        <v>720.59699999999998</v>
      </c>
      <c r="F37" s="572">
        <v>1001.908</v>
      </c>
      <c r="G37" s="570">
        <f t="shared" ref="G37:G44" si="25">IF(E37=0, "    ---- ", IF(ABS(ROUND(100/E37*F37-100,1))&lt;999,ROUND(100/E37*F37-100,1),IF(ROUND(100/E37*F37-100,1)&gt;999,999,-999)))</f>
        <v>39</v>
      </c>
      <c r="H37" s="571">
        <v>8.6750000000000007</v>
      </c>
      <c r="I37" s="572">
        <v>9.8840000000000003</v>
      </c>
      <c r="J37" s="570">
        <f t="shared" ref="J37:J43" si="26">IF(H37=0, "    ---- ", IF(ABS(ROUND(100/H37*I37-100,1))&lt;999,ROUND(100/H37*I37-100,1),IF(ROUND(100/H37*I37-100,1)&gt;999,999,-999)))</f>
        <v>13.9</v>
      </c>
      <c r="K37" s="571">
        <v>7.8</v>
      </c>
      <c r="L37" s="572">
        <v>1</v>
      </c>
      <c r="M37" s="570">
        <f t="shared" ref="M37:M44" si="27">IF(K37=0, "    ---- ", IF(ABS(ROUND(100/K37*L37-100,1))&lt;999,ROUND(100/K37*L37-100,1),IF(ROUND(100/K37*L37-100,1)&gt;999,999,-999)))</f>
        <v>-87.2</v>
      </c>
      <c r="N37" s="571">
        <v>2</v>
      </c>
      <c r="O37" s="572">
        <v>2</v>
      </c>
      <c r="P37" s="570">
        <f t="shared" ref="P37:P43" si="28">IF(N37=0, "    ---- ", IF(ABS(ROUND(100/N37*O37-100,1))&lt;999,ROUND(100/N37*O37-100,1),IF(ROUND(100/N37*O37-100,1)&gt;999,999,-999)))</f>
        <v>0</v>
      </c>
      <c r="Q37" s="571">
        <v>1353.5172428699998</v>
      </c>
      <c r="R37" s="572">
        <v>1261.4612703599998</v>
      </c>
      <c r="S37" s="570">
        <f t="shared" ref="S37:S44" si="29">IF(Q37=0, "    ---- ", IF(ABS(ROUND(100/Q37*R37-100,1))&lt;999,ROUND(100/Q37*R37-100,1),IF(ROUND(100/Q37*R37-100,1)&gt;999,999,-999)))</f>
        <v>-6.8</v>
      </c>
      <c r="T37" s="571">
        <v>7.5</v>
      </c>
      <c r="U37" s="572">
        <v>9.1999999999999993</v>
      </c>
      <c r="V37" s="570">
        <f t="shared" ref="V37:V44" si="30">IF(T37=0, "    ---- ", IF(ABS(ROUND(100/T37*U37-100,1))&lt;999,ROUND(100/T37*U37-100,1),IF(ROUND(100/T37*U37-100,1)&gt;999,999,-999)))</f>
        <v>22.7</v>
      </c>
      <c r="W37" s="571">
        <v>89</v>
      </c>
      <c r="X37" s="572">
        <v>105</v>
      </c>
      <c r="Y37" s="570">
        <f t="shared" ref="Y37:Y44" si="31">IF(W37=0, "    ---- ", IF(ABS(ROUND(100/W37*X37-100,1))&lt;999,ROUND(100/W37*X37-100,1),IF(ROUND(100/W37*X37-100,1)&gt;999,999,-999)))</f>
        <v>18</v>
      </c>
      <c r="Z37" s="571">
        <v>385</v>
      </c>
      <c r="AA37" s="572">
        <v>514</v>
      </c>
      <c r="AB37" s="570">
        <f t="shared" ref="AB37:AB44" si="32">IF(Z37=0, "    ---- ", IF(ABS(ROUND(100/Z37*AA37-100,1))&lt;999,ROUND(100/Z37*AA37-100,1),IF(ROUND(100/Z37*AA37-100,1)&gt;999,999,-999)))</f>
        <v>33.5</v>
      </c>
      <c r="AC37" s="571"/>
      <c r="AD37" s="572"/>
      <c r="AE37" s="570"/>
      <c r="AF37" s="571"/>
      <c r="AG37" s="572"/>
      <c r="AH37" s="570"/>
      <c r="AI37" s="571">
        <v>190.83687760999996</v>
      </c>
      <c r="AJ37" s="572">
        <v>309.61657667000003</v>
      </c>
      <c r="AK37" s="570">
        <f t="shared" ref="AK37:AK44" si="33">IF(AI37=0, "    ---- ", IF(ABS(ROUND(100/AI37*AJ37-100,1))&lt;999,ROUND(100/AI37*AJ37-100,1),IF(ROUND(100/AI37*AJ37-100,1)&gt;999,999,-999)))</f>
        <v>62.2</v>
      </c>
      <c r="AL37" s="571">
        <v>722.2</v>
      </c>
      <c r="AM37" s="572">
        <v>771.3</v>
      </c>
      <c r="AN37" s="570">
        <f t="shared" ref="AN37:AN44" si="34">IF(AL37=0, "    ---- ", IF(ABS(ROUND(100/AL37*AM37-100,1))&lt;999,ROUND(100/AL37*AM37-100,1),IF(ROUND(100/AL37*AM37-100,1)&gt;999,999,-999)))</f>
        <v>6.8</v>
      </c>
      <c r="AO37" s="570">
        <f t="shared" si="13"/>
        <v>3483.7711204799998</v>
      </c>
      <c r="AP37" s="570">
        <f t="shared" si="13"/>
        <v>3983.3308470299999</v>
      </c>
      <c r="AQ37" s="570">
        <f t="shared" si="11"/>
        <v>14.3</v>
      </c>
      <c r="AR37" s="574"/>
      <c r="AS37" s="613"/>
      <c r="AT37" s="583"/>
    </row>
    <row r="38" spans="1:47" s="614" customFormat="1" ht="18.75" customHeight="1" x14ac:dyDescent="0.3">
      <c r="A38" s="567" t="s">
        <v>363</v>
      </c>
      <c r="B38" s="571"/>
      <c r="C38" s="572"/>
      <c r="D38" s="570"/>
      <c r="E38" s="571">
        <v>26.529</v>
      </c>
      <c r="F38" s="572">
        <v>33.569000000000003</v>
      </c>
      <c r="G38" s="570">
        <f t="shared" si="25"/>
        <v>26.5</v>
      </c>
      <c r="H38" s="571">
        <v>4.2000000000000003E-2</v>
      </c>
      <c r="I38" s="572">
        <v>4.2000000000000003E-2</v>
      </c>
      <c r="J38" s="570">
        <f t="shared" si="26"/>
        <v>0</v>
      </c>
      <c r="K38" s="571">
        <v>83.6</v>
      </c>
      <c r="L38" s="572">
        <v>0</v>
      </c>
      <c r="M38" s="570">
        <f t="shared" si="27"/>
        <v>-100</v>
      </c>
      <c r="N38" s="571"/>
      <c r="O38" s="572"/>
      <c r="P38" s="570"/>
      <c r="Q38" s="571">
        <v>7.4860897</v>
      </c>
      <c r="R38" s="572">
        <v>11.60851194</v>
      </c>
      <c r="S38" s="570">
        <f t="shared" si="29"/>
        <v>55.1</v>
      </c>
      <c r="T38" s="571">
        <v>0.4</v>
      </c>
      <c r="U38" s="572">
        <v>0.7</v>
      </c>
      <c r="V38" s="570">
        <f t="shared" si="30"/>
        <v>75</v>
      </c>
      <c r="W38" s="571">
        <v>1</v>
      </c>
      <c r="X38" s="572">
        <v>2</v>
      </c>
      <c r="Y38" s="570">
        <f t="shared" si="31"/>
        <v>100</v>
      </c>
      <c r="Z38" s="571">
        <v>7</v>
      </c>
      <c r="AA38" s="572">
        <v>7</v>
      </c>
      <c r="AB38" s="570">
        <f t="shared" si="32"/>
        <v>0</v>
      </c>
      <c r="AC38" s="571"/>
      <c r="AD38" s="572"/>
      <c r="AE38" s="570"/>
      <c r="AF38" s="571"/>
      <c r="AG38" s="572"/>
      <c r="AH38" s="570"/>
      <c r="AI38" s="571">
        <v>33.50093789000001</v>
      </c>
      <c r="AJ38" s="572">
        <v>1.6303164399999996</v>
      </c>
      <c r="AK38" s="570">
        <f t="shared" si="33"/>
        <v>-95.1</v>
      </c>
      <c r="AL38" s="571">
        <v>24.3</v>
      </c>
      <c r="AM38" s="572">
        <v>16</v>
      </c>
      <c r="AN38" s="570">
        <f t="shared" si="34"/>
        <v>-34.200000000000003</v>
      </c>
      <c r="AO38" s="570">
        <f t="shared" si="13"/>
        <v>183.85802759000001</v>
      </c>
      <c r="AP38" s="570">
        <f t="shared" si="13"/>
        <v>72.549828380000008</v>
      </c>
      <c r="AQ38" s="570">
        <f t="shared" si="11"/>
        <v>-60.5</v>
      </c>
      <c r="AR38" s="570"/>
      <c r="AS38" s="615"/>
      <c r="AT38" s="570"/>
    </row>
    <row r="39" spans="1:47" s="614" customFormat="1" ht="18.75" customHeight="1" x14ac:dyDescent="0.3">
      <c r="A39" s="567" t="s">
        <v>364</v>
      </c>
      <c r="B39" s="571"/>
      <c r="C39" s="572"/>
      <c r="D39" s="570"/>
      <c r="E39" s="571">
        <v>-224.363</v>
      </c>
      <c r="F39" s="572">
        <v>-213.95400000000001</v>
      </c>
      <c r="G39" s="570">
        <f t="shared" si="25"/>
        <v>-4.5999999999999996</v>
      </c>
      <c r="H39" s="571"/>
      <c r="I39" s="572"/>
      <c r="J39" s="570" t="str">
        <f t="shared" si="26"/>
        <v xml:space="preserve">    ---- </v>
      </c>
      <c r="K39" s="571">
        <v>-1.3</v>
      </c>
      <c r="L39" s="572">
        <v>0</v>
      </c>
      <c r="M39" s="570">
        <f t="shared" si="27"/>
        <v>-100</v>
      </c>
      <c r="N39" s="571"/>
      <c r="O39" s="572"/>
      <c r="P39" s="570"/>
      <c r="Q39" s="571">
        <v>-416.03894000999998</v>
      </c>
      <c r="R39" s="572">
        <v>-385.62101326999999</v>
      </c>
      <c r="S39" s="570">
        <f t="shared" si="29"/>
        <v>-7.3</v>
      </c>
      <c r="T39" s="571">
        <v>-0.3</v>
      </c>
      <c r="U39" s="572">
        <v>-0.5</v>
      </c>
      <c r="V39" s="570">
        <f t="shared" si="30"/>
        <v>66.7</v>
      </c>
      <c r="W39" s="571">
        <v>-90</v>
      </c>
      <c r="X39" s="572">
        <v>-94</v>
      </c>
      <c r="Y39" s="570">
        <f t="shared" si="31"/>
        <v>4.4000000000000004</v>
      </c>
      <c r="Z39" s="571">
        <v>-90</v>
      </c>
      <c r="AA39" s="572">
        <v>-90</v>
      </c>
      <c r="AB39" s="570">
        <f t="shared" si="32"/>
        <v>0</v>
      </c>
      <c r="AC39" s="571"/>
      <c r="AD39" s="572"/>
      <c r="AE39" s="570"/>
      <c r="AF39" s="571"/>
      <c r="AG39" s="572"/>
      <c r="AH39" s="570"/>
      <c r="AI39" s="571">
        <v>-7.7036793080000008</v>
      </c>
      <c r="AJ39" s="572">
        <v>-58.317451458799994</v>
      </c>
      <c r="AK39" s="570">
        <f t="shared" si="33"/>
        <v>657</v>
      </c>
      <c r="AL39" s="571">
        <v>-387.9</v>
      </c>
      <c r="AM39" s="572">
        <v>-483</v>
      </c>
      <c r="AN39" s="570">
        <f t="shared" si="34"/>
        <v>24.5</v>
      </c>
      <c r="AO39" s="570">
        <f t="shared" si="13"/>
        <v>-1217.605619318</v>
      </c>
      <c r="AP39" s="570">
        <f t="shared" si="13"/>
        <v>-1325.3924647288</v>
      </c>
      <c r="AQ39" s="570">
        <f t="shared" si="11"/>
        <v>8.9</v>
      </c>
      <c r="AR39" s="570"/>
      <c r="AS39" s="615"/>
      <c r="AT39" s="570"/>
      <c r="AU39" s="636"/>
    </row>
    <row r="40" spans="1:47" s="617" customFormat="1" ht="18.75" customHeight="1" x14ac:dyDescent="0.3">
      <c r="A40" s="602" t="s">
        <v>365</v>
      </c>
      <c r="B40" s="603">
        <v>-1.355</v>
      </c>
      <c r="C40" s="604">
        <f>SUM(C37:C39)</f>
        <v>-3.9E-2</v>
      </c>
      <c r="D40" s="605">
        <f t="shared" si="24"/>
        <v>-97.1</v>
      </c>
      <c r="E40" s="603">
        <v>522.76299999999992</v>
      </c>
      <c r="F40" s="604">
        <f>SUM(F37:F39)</f>
        <v>821.52300000000014</v>
      </c>
      <c r="G40" s="605">
        <f t="shared" si="25"/>
        <v>57.2</v>
      </c>
      <c r="H40" s="603">
        <v>8.7170000000000005</v>
      </c>
      <c r="I40" s="604">
        <f>SUM(I37:I39)</f>
        <v>9.9260000000000002</v>
      </c>
      <c r="J40" s="605">
        <f t="shared" si="26"/>
        <v>13.9</v>
      </c>
      <c r="K40" s="603">
        <v>90.1</v>
      </c>
      <c r="L40" s="604">
        <f>SUM(L37:L39)</f>
        <v>1</v>
      </c>
      <c r="M40" s="605">
        <f t="shared" si="27"/>
        <v>-98.9</v>
      </c>
      <c r="N40" s="603">
        <v>2</v>
      </c>
      <c r="O40" s="604">
        <f>SUM(O37:O39)</f>
        <v>2</v>
      </c>
      <c r="P40" s="605">
        <f t="shared" si="28"/>
        <v>0</v>
      </c>
      <c r="Q40" s="603">
        <v>944.96439255999985</v>
      </c>
      <c r="R40" s="604">
        <f>SUM(R37:R39)</f>
        <v>887.44876902999977</v>
      </c>
      <c r="S40" s="605">
        <f t="shared" si="29"/>
        <v>-6.1</v>
      </c>
      <c r="T40" s="603">
        <v>7.6000000000000005</v>
      </c>
      <c r="U40" s="604">
        <f>SUM(U37:U39)</f>
        <v>9.3999999999999986</v>
      </c>
      <c r="V40" s="605">
        <f t="shared" si="30"/>
        <v>23.7</v>
      </c>
      <c r="W40" s="603">
        <v>0</v>
      </c>
      <c r="X40" s="604">
        <f>SUM(X37:X39)</f>
        <v>13</v>
      </c>
      <c r="Y40" s="605" t="str">
        <f t="shared" si="31"/>
        <v xml:space="preserve">    ---- </v>
      </c>
      <c r="Z40" s="603">
        <v>302</v>
      </c>
      <c r="AA40" s="604">
        <f>SUM(AA37:AA39)</f>
        <v>431</v>
      </c>
      <c r="AB40" s="605">
        <f t="shared" si="32"/>
        <v>42.7</v>
      </c>
      <c r="AC40" s="603">
        <v>0</v>
      </c>
      <c r="AD40" s="604">
        <f>SUM(AD37:AD39)</f>
        <v>0</v>
      </c>
      <c r="AE40" s="605"/>
      <c r="AF40" s="603"/>
      <c r="AG40" s="604"/>
      <c r="AH40" s="605"/>
      <c r="AI40" s="603">
        <v>216.63413619199997</v>
      </c>
      <c r="AJ40" s="604">
        <f>SUM(AJ37:AJ39)</f>
        <v>252.92944165120002</v>
      </c>
      <c r="AK40" s="605">
        <f t="shared" si="33"/>
        <v>16.8</v>
      </c>
      <c r="AL40" s="603">
        <v>358.6</v>
      </c>
      <c r="AM40" s="604">
        <f>SUM(AM37:AM39)</f>
        <v>304.29999999999995</v>
      </c>
      <c r="AN40" s="605">
        <f t="shared" si="34"/>
        <v>-15.1</v>
      </c>
      <c r="AO40" s="605">
        <f t="shared" si="13"/>
        <v>2450.0235287519995</v>
      </c>
      <c r="AP40" s="605">
        <f t="shared" si="13"/>
        <v>2730.4882106812001</v>
      </c>
      <c r="AQ40" s="605">
        <f t="shared" si="11"/>
        <v>11.4</v>
      </c>
      <c r="AR40" s="605"/>
      <c r="AS40" s="616"/>
      <c r="AT40" s="605"/>
    </row>
    <row r="41" spans="1:47" s="617" customFormat="1" ht="18.75" customHeight="1" x14ac:dyDescent="0.3">
      <c r="A41" s="602" t="s">
        <v>366</v>
      </c>
      <c r="B41" s="603">
        <v>119.09100000000039</v>
      </c>
      <c r="C41" s="604">
        <f>C34+C40</f>
        <v>121.54700000000064</v>
      </c>
      <c r="D41" s="605">
        <f t="shared" si="24"/>
        <v>2.1</v>
      </c>
      <c r="E41" s="603">
        <v>1451.695000000002</v>
      </c>
      <c r="F41" s="604">
        <f>F34+F40</f>
        <v>1977.2949999999948</v>
      </c>
      <c r="G41" s="605">
        <f t="shared" si="25"/>
        <v>36.200000000000003</v>
      </c>
      <c r="H41" s="603">
        <v>119.97099999999993</v>
      </c>
      <c r="I41" s="604">
        <f>I34+I40</f>
        <v>126.99200000000009</v>
      </c>
      <c r="J41" s="605">
        <f t="shared" si="26"/>
        <v>5.9</v>
      </c>
      <c r="K41" s="603">
        <v>113.29999999999981</v>
      </c>
      <c r="L41" s="604">
        <f>L34+L40</f>
        <v>103.89999999999964</v>
      </c>
      <c r="M41" s="605">
        <f t="shared" si="27"/>
        <v>-8.3000000000000007</v>
      </c>
      <c r="N41" s="603">
        <v>6</v>
      </c>
      <c r="O41" s="604">
        <f>O34+O40</f>
        <v>27</v>
      </c>
      <c r="P41" s="605">
        <f t="shared" si="28"/>
        <v>350</v>
      </c>
      <c r="Q41" s="603">
        <v>2124.8205068799994</v>
      </c>
      <c r="R41" s="604">
        <f>R34+R40</f>
        <v>1985.0754408899968</v>
      </c>
      <c r="S41" s="605">
        <f t="shared" si="29"/>
        <v>-6.6</v>
      </c>
      <c r="T41" s="603">
        <v>-26.900000000000077</v>
      </c>
      <c r="U41" s="604">
        <f>U34+U40</f>
        <v>-24.200000000000045</v>
      </c>
      <c r="V41" s="605">
        <f t="shared" si="30"/>
        <v>-10</v>
      </c>
      <c r="W41" s="603">
        <v>480.63262800999939</v>
      </c>
      <c r="X41" s="604">
        <f>X34+X40</f>
        <v>639.16190704000041</v>
      </c>
      <c r="Y41" s="605">
        <f t="shared" si="31"/>
        <v>33</v>
      </c>
      <c r="Z41" s="603">
        <v>732</v>
      </c>
      <c r="AA41" s="604">
        <f>AA34+AA40</f>
        <v>1166</v>
      </c>
      <c r="AB41" s="605">
        <f t="shared" si="32"/>
        <v>59.3</v>
      </c>
      <c r="AC41" s="603">
        <v>9</v>
      </c>
      <c r="AD41" s="604">
        <f>AD34+AD40</f>
        <v>13.205000000000018</v>
      </c>
      <c r="AE41" s="605">
        <f>IF(AC41=0, "    ---- ", IF(ABS(ROUND(100/AC41*AD41-100,1))&lt;999,ROUND(100/AC41*AD41-100,1),IF(ROUND(100/AC41*AD41-100,1)&gt;999,999,-999)))</f>
        <v>46.7</v>
      </c>
      <c r="AF41" s="603"/>
      <c r="AG41" s="604"/>
      <c r="AH41" s="605"/>
      <c r="AI41" s="603">
        <v>521.44956460999822</v>
      </c>
      <c r="AJ41" s="604">
        <f>AJ34+AJ40</f>
        <v>825.55969169000014</v>
      </c>
      <c r="AK41" s="605">
        <f t="shared" si="33"/>
        <v>58.3</v>
      </c>
      <c r="AL41" s="603">
        <v>1458.5999999999976</v>
      </c>
      <c r="AM41" s="604">
        <f>AM34+AM40</f>
        <v>1460.3</v>
      </c>
      <c r="AN41" s="605">
        <f t="shared" si="34"/>
        <v>0.1</v>
      </c>
      <c r="AO41" s="605">
        <f t="shared" si="13"/>
        <v>7094.6596994999973</v>
      </c>
      <c r="AP41" s="605">
        <f t="shared" si="13"/>
        <v>8381.6310396199933</v>
      </c>
      <c r="AQ41" s="605">
        <f t="shared" si="11"/>
        <v>18.100000000000001</v>
      </c>
      <c r="AR41" s="605"/>
      <c r="AS41" s="616"/>
      <c r="AT41" s="605"/>
    </row>
    <row r="42" spans="1:47" s="614" customFormat="1" ht="18.75" customHeight="1" x14ac:dyDescent="0.3">
      <c r="A42" s="567" t="s">
        <v>367</v>
      </c>
      <c r="B42" s="571">
        <v>-30.023</v>
      </c>
      <c r="C42" s="572">
        <v>-30.414999999999999</v>
      </c>
      <c r="D42" s="570">
        <f t="shared" si="24"/>
        <v>1.3</v>
      </c>
      <c r="E42" s="571">
        <v>-127.139</v>
      </c>
      <c r="F42" s="572" t="s">
        <v>420</v>
      </c>
      <c r="G42" s="570">
        <f t="shared" si="25"/>
        <v>-119.8</v>
      </c>
      <c r="H42" s="571">
        <v>-25.314</v>
      </c>
      <c r="I42" s="572">
        <v>-24.823</v>
      </c>
      <c r="J42" s="570">
        <f t="shared" si="26"/>
        <v>-1.9</v>
      </c>
      <c r="K42" s="571">
        <v>-28.7</v>
      </c>
      <c r="L42" s="572">
        <v>-28</v>
      </c>
      <c r="M42" s="570">
        <f t="shared" si="27"/>
        <v>-2.4</v>
      </c>
      <c r="N42" s="571">
        <v>-1</v>
      </c>
      <c r="O42" s="572">
        <v>-6</v>
      </c>
      <c r="P42" s="570">
        <f t="shared" si="28"/>
        <v>500</v>
      </c>
      <c r="Q42" s="571">
        <v>775</v>
      </c>
      <c r="R42" s="572">
        <v>-496.35485805000002</v>
      </c>
      <c r="S42" s="570">
        <f t="shared" si="29"/>
        <v>-164</v>
      </c>
      <c r="T42" s="571"/>
      <c r="U42" s="572"/>
      <c r="V42" s="570"/>
      <c r="W42" s="571">
        <v>571.50641150000001</v>
      </c>
      <c r="X42" s="572">
        <v>-62</v>
      </c>
      <c r="Y42" s="570">
        <f t="shared" si="31"/>
        <v>-110.8</v>
      </c>
      <c r="Z42" s="571">
        <v>-197</v>
      </c>
      <c r="AA42" s="572">
        <v>-266</v>
      </c>
      <c r="AB42" s="570">
        <f t="shared" si="32"/>
        <v>35</v>
      </c>
      <c r="AC42" s="571"/>
      <c r="AD42" s="572"/>
      <c r="AE42" s="570"/>
      <c r="AF42" s="571"/>
      <c r="AG42" s="572"/>
      <c r="AH42" s="570"/>
      <c r="AI42" s="571">
        <v>-114.090024</v>
      </c>
      <c r="AJ42" s="572">
        <v>-161.69271920999998</v>
      </c>
      <c r="AK42" s="570">
        <f t="shared" si="33"/>
        <v>41.7</v>
      </c>
      <c r="AL42" s="571">
        <v>-204.9</v>
      </c>
      <c r="AM42" s="572">
        <v>210</v>
      </c>
      <c r="AN42" s="570">
        <f t="shared" si="34"/>
        <v>-202.5</v>
      </c>
      <c r="AO42" s="570">
        <f t="shared" si="13"/>
        <v>619.34038750000013</v>
      </c>
      <c r="AP42" s="570">
        <f t="shared" si="13"/>
        <v>-834.13857725999992</v>
      </c>
      <c r="AQ42" s="570">
        <f t="shared" si="11"/>
        <v>-234.7</v>
      </c>
      <c r="AR42" s="570"/>
      <c r="AS42" s="615"/>
      <c r="AT42" s="570"/>
    </row>
    <row r="43" spans="1:47" s="617" customFormat="1" ht="18.75" customHeight="1" x14ac:dyDescent="0.3">
      <c r="A43" s="602" t="s">
        <v>368</v>
      </c>
      <c r="B43" s="603">
        <v>89.068000000000396</v>
      </c>
      <c r="C43" s="604">
        <f>C41+C42</f>
        <v>91.13200000000063</v>
      </c>
      <c r="D43" s="605">
        <f t="shared" si="24"/>
        <v>2.2999999999999998</v>
      </c>
      <c r="E43" s="603">
        <v>1324.5560000000021</v>
      </c>
      <c r="F43" s="604">
        <f>F41+F42</f>
        <v>2002.4419999999948</v>
      </c>
      <c r="G43" s="605">
        <f t="shared" si="25"/>
        <v>51.2</v>
      </c>
      <c r="H43" s="603">
        <v>94.656999999999925</v>
      </c>
      <c r="I43" s="604">
        <f>I41+I42</f>
        <v>102.1690000000001</v>
      </c>
      <c r="J43" s="605">
        <f t="shared" si="26"/>
        <v>7.9</v>
      </c>
      <c r="K43" s="603">
        <v>84.59999999999981</v>
      </c>
      <c r="L43" s="604">
        <f>L41+L42</f>
        <v>75.899999999999636</v>
      </c>
      <c r="M43" s="605">
        <f t="shared" si="27"/>
        <v>-10.3</v>
      </c>
      <c r="N43" s="603">
        <v>5</v>
      </c>
      <c r="O43" s="604">
        <f>O41+O42</f>
        <v>21</v>
      </c>
      <c r="P43" s="605">
        <f t="shared" si="28"/>
        <v>320</v>
      </c>
      <c r="Q43" s="604">
        <f>Q41+Q42</f>
        <v>2899.8205068799994</v>
      </c>
      <c r="R43" s="604">
        <f>R41+R42</f>
        <v>1488.7205828399967</v>
      </c>
      <c r="S43" s="605">
        <f t="shared" si="29"/>
        <v>-48.7</v>
      </c>
      <c r="T43" s="603">
        <v>-26.900000000000077</v>
      </c>
      <c r="U43" s="604">
        <f>U41+U42</f>
        <v>-24.200000000000045</v>
      </c>
      <c r="V43" s="605">
        <f t="shared" si="30"/>
        <v>-10</v>
      </c>
      <c r="W43" s="603">
        <v>1052.1390395099993</v>
      </c>
      <c r="X43" s="604">
        <f>X41+X42</f>
        <v>577.16190704000041</v>
      </c>
      <c r="Y43" s="605">
        <f t="shared" si="31"/>
        <v>-45.1</v>
      </c>
      <c r="Z43" s="603">
        <v>535</v>
      </c>
      <c r="AA43" s="604">
        <f>AA41+AA42</f>
        <v>900</v>
      </c>
      <c r="AB43" s="605">
        <f t="shared" si="32"/>
        <v>68.2</v>
      </c>
      <c r="AC43" s="603">
        <v>9</v>
      </c>
      <c r="AD43" s="604">
        <f>AD41+AD42</f>
        <v>13.205000000000018</v>
      </c>
      <c r="AE43" s="605">
        <f>IF(AC43=0, "    ---- ", IF(ABS(ROUND(100/AC43*AD43-100,1))&lt;999,ROUND(100/AC43*AD43-100,1),IF(ROUND(100/AC43*AD43-100,1)&gt;999,999,-999)))</f>
        <v>46.7</v>
      </c>
      <c r="AF43" s="603"/>
      <c r="AG43" s="604"/>
      <c r="AH43" s="605"/>
      <c r="AI43" s="603">
        <v>407.35954060999825</v>
      </c>
      <c r="AJ43" s="604">
        <f>AJ41+AJ42</f>
        <v>663.86697248000019</v>
      </c>
      <c r="AK43" s="605">
        <f t="shared" si="33"/>
        <v>63</v>
      </c>
      <c r="AL43" s="603">
        <v>1253.6999999999975</v>
      </c>
      <c r="AM43" s="604">
        <f>AM41+AM42</f>
        <v>1670.3</v>
      </c>
      <c r="AN43" s="605">
        <f t="shared" si="34"/>
        <v>33.200000000000003</v>
      </c>
      <c r="AO43" s="605">
        <f t="shared" si="13"/>
        <v>7714.0000869999985</v>
      </c>
      <c r="AP43" s="605">
        <f t="shared" si="13"/>
        <v>7547.4924623599927</v>
      </c>
      <c r="AQ43" s="605">
        <f t="shared" si="11"/>
        <v>-2.2000000000000002</v>
      </c>
      <c r="AR43" s="605"/>
      <c r="AS43" s="616"/>
      <c r="AT43" s="605"/>
    </row>
    <row r="44" spans="1:47" s="614" customFormat="1" ht="18.75" customHeight="1" x14ac:dyDescent="0.3">
      <c r="A44" s="567" t="s">
        <v>369</v>
      </c>
      <c r="B44" s="571"/>
      <c r="C44" s="572"/>
      <c r="D44" s="570"/>
      <c r="E44" s="571">
        <v>-2.1349999999999998</v>
      </c>
      <c r="F44" s="572">
        <v>4.1340000000000003</v>
      </c>
      <c r="G44" s="570">
        <f t="shared" si="25"/>
        <v>-293.60000000000002</v>
      </c>
      <c r="H44" s="571">
        <v>-0.187</v>
      </c>
      <c r="I44" s="572">
        <v>-0.41299999999999998</v>
      </c>
      <c r="J44" s="570"/>
      <c r="K44" s="571">
        <v>0.49999999999999994</v>
      </c>
      <c r="L44" s="572"/>
      <c r="M44" s="570">
        <f t="shared" si="27"/>
        <v>-100</v>
      </c>
      <c r="N44" s="571"/>
      <c r="O44" s="572"/>
      <c r="P44" s="570"/>
      <c r="Q44" s="571">
        <v>-26</v>
      </c>
      <c r="R44" s="572">
        <v>-23.652869150000001</v>
      </c>
      <c r="S44" s="570">
        <f t="shared" si="29"/>
        <v>-9</v>
      </c>
      <c r="T44" s="571">
        <v>-0.3</v>
      </c>
      <c r="U44" s="572">
        <v>-0.8</v>
      </c>
      <c r="V44" s="570">
        <f t="shared" si="30"/>
        <v>166.7</v>
      </c>
      <c r="W44" s="571">
        <v>-24</v>
      </c>
      <c r="X44" s="572">
        <v>-21</v>
      </c>
      <c r="Y44" s="570">
        <f t="shared" si="31"/>
        <v>-12.5</v>
      </c>
      <c r="Z44" s="571"/>
      <c r="AA44" s="572">
        <v>16</v>
      </c>
      <c r="AB44" s="570" t="str">
        <f t="shared" si="32"/>
        <v xml:space="preserve">    ---- </v>
      </c>
      <c r="AC44" s="571"/>
      <c r="AD44" s="572"/>
      <c r="AE44" s="570"/>
      <c r="AF44" s="571"/>
      <c r="AG44" s="572"/>
      <c r="AH44" s="570"/>
      <c r="AI44" s="571">
        <v>-3.5478787699999956</v>
      </c>
      <c r="AJ44" s="572">
        <v>7.4984380100000001</v>
      </c>
      <c r="AK44" s="570">
        <f t="shared" si="33"/>
        <v>-311.3</v>
      </c>
      <c r="AL44" s="571">
        <v>-58.3</v>
      </c>
      <c r="AM44" s="572">
        <v>12</v>
      </c>
      <c r="AN44" s="570">
        <f t="shared" si="34"/>
        <v>-120.6</v>
      </c>
      <c r="AO44" s="570">
        <f t="shared" si="13"/>
        <v>-113.96987876999999</v>
      </c>
      <c r="AP44" s="570">
        <f t="shared" si="13"/>
        <v>-6.2334311400000004</v>
      </c>
      <c r="AQ44" s="570">
        <f t="shared" si="11"/>
        <v>-94.5</v>
      </c>
      <c r="AR44" s="570"/>
      <c r="AS44" s="615"/>
      <c r="AT44" s="570"/>
    </row>
    <row r="45" spans="1:47" s="617" customFormat="1" ht="18.75" customHeight="1" x14ac:dyDescent="0.3">
      <c r="A45" s="596" t="s">
        <v>370</v>
      </c>
      <c r="B45" s="618">
        <v>89.068000000000396</v>
      </c>
      <c r="C45" s="619">
        <f>C43+C44</f>
        <v>91.13200000000063</v>
      </c>
      <c r="D45" s="599">
        <f>IF(B45=0, "    ---- ", IF(ABS(ROUND(100/B45*C45-100,1))&lt;999,ROUND(100/B45*C45-100,1),IF(ROUND(100/B45*C45-100,1)&gt;999,999,-999)))</f>
        <v>2.2999999999999998</v>
      </c>
      <c r="E45" s="600">
        <v>1322.4210000000021</v>
      </c>
      <c r="F45" s="619">
        <f>F43+F44</f>
        <v>2006.5759999999948</v>
      </c>
      <c r="G45" s="599">
        <f>IF(E45=0, "    ---- ", IF(ABS(ROUND(100/E45*F45-100,1))&lt;999,ROUND(100/E45*F45-100,1),IF(ROUND(100/E45*F45-100,1)&gt;999,999,-999)))</f>
        <v>51.7</v>
      </c>
      <c r="H45" s="618">
        <v>94.469999999999928</v>
      </c>
      <c r="I45" s="619">
        <f>I43+I44</f>
        <v>101.7560000000001</v>
      </c>
      <c r="J45" s="599">
        <f>IF(H45=0, "    ---- ", IF(ABS(ROUND(100/H45*I45-100,1))&lt;999,ROUND(100/H45*I45-100,1),IF(ROUND(100/H45*I45-100,1)&gt;999,999,-999)))</f>
        <v>7.7</v>
      </c>
      <c r="K45" s="618">
        <v>85.09999999999981</v>
      </c>
      <c r="L45" s="619">
        <f>L43+L44</f>
        <v>75.899999999999636</v>
      </c>
      <c r="M45" s="599">
        <f>IF(K45=0, "    ---- ", IF(ABS(ROUND(100/K45*L45-100,1))&lt;999,ROUND(100/K45*L45-100,1),IF(ROUND(100/K45*L45-100,1)&gt;999,999,-999)))</f>
        <v>-10.8</v>
      </c>
      <c r="N45" s="618">
        <v>5</v>
      </c>
      <c r="O45" s="619">
        <f>O43+O44</f>
        <v>21</v>
      </c>
      <c r="P45" s="599">
        <f>IF(N45=0, "    ---- ", IF(ABS(ROUND(100/N45*O45-100,1))&lt;999,ROUND(100/N45*O45-100,1),IF(ROUND(100/N45*O45-100,1)&gt;999,999,-999)))</f>
        <v>320</v>
      </c>
      <c r="Q45" s="619">
        <f>Q43+Q44</f>
        <v>2873.8205068799994</v>
      </c>
      <c r="R45" s="619">
        <f>R43+R44</f>
        <v>1465.0677136899967</v>
      </c>
      <c r="S45" s="599">
        <f>IF(Q45=0, "    ---- ", IF(ABS(ROUND(100/Q45*R45-100,1))&lt;999,ROUND(100/Q45*R45-100,1),IF(ROUND(100/Q45*R45-100,1)&gt;999,999,-999)))</f>
        <v>-49</v>
      </c>
      <c r="T45" s="618">
        <v>-27.200000000000077</v>
      </c>
      <c r="U45" s="619">
        <f>U43+U44</f>
        <v>-25.000000000000046</v>
      </c>
      <c r="V45" s="599">
        <f>IF(T45=0, "    ---- ", IF(ABS(ROUND(100/T45*U45-100,1))&lt;999,ROUND(100/T45*U45-100,1),IF(ROUND(100/T45*U45-100,1)&gt;999,999,-999)))</f>
        <v>-8.1</v>
      </c>
      <c r="W45" s="618">
        <v>1028.1390395099993</v>
      </c>
      <c r="X45" s="619">
        <f>X43+X44</f>
        <v>556.16190704000041</v>
      </c>
      <c r="Y45" s="599">
        <f>IF(W45=0, "    ---- ", IF(ABS(ROUND(100/W45*X45-100,1))&lt;999,ROUND(100/W45*X45-100,1),IF(ROUND(100/W45*X45-100,1)&gt;999,999,-999)))</f>
        <v>-45.9</v>
      </c>
      <c r="Z45" s="618">
        <v>535</v>
      </c>
      <c r="AA45" s="619">
        <f>AA43+AA44</f>
        <v>916</v>
      </c>
      <c r="AB45" s="599">
        <f>IF(Z45=0, "    ---- ", IF(ABS(ROUND(100/Z45*AA45-100,1))&lt;999,ROUND(100/Z45*AA45-100,1),IF(ROUND(100/Z45*AA45-100,1)&gt;999,999,-999)))</f>
        <v>71.2</v>
      </c>
      <c r="AC45" s="618">
        <v>9</v>
      </c>
      <c r="AD45" s="619">
        <f>AD43+AD44</f>
        <v>13.205000000000018</v>
      </c>
      <c r="AE45" s="599">
        <f>IF(AC45=0, "    ---- ", IF(ABS(ROUND(100/AC45*AD45-100,1))&lt;999,ROUND(100/AC45*AD45-100,1),IF(ROUND(100/AC45*AD45-100,1)&gt;999,999,-999)))</f>
        <v>46.7</v>
      </c>
      <c r="AF45" s="618"/>
      <c r="AG45" s="619"/>
      <c r="AH45" s="599"/>
      <c r="AI45" s="618">
        <v>403.81166183999824</v>
      </c>
      <c r="AJ45" s="619">
        <f>AJ43+AJ44</f>
        <v>671.36541049000016</v>
      </c>
      <c r="AK45" s="599">
        <f>IF(AI45=0, "    ---- ", IF(ABS(ROUND(100/AI45*AJ45-100,1))&lt;999,ROUND(100/AI45*AJ45-100,1),IF(ROUND(100/AI45*AJ45-100,1)&gt;999,999,-999)))</f>
        <v>66.3</v>
      </c>
      <c r="AL45" s="618">
        <v>1195.3999999999976</v>
      </c>
      <c r="AM45" s="619">
        <f>AM43+AM44</f>
        <v>1682.3</v>
      </c>
      <c r="AN45" s="599">
        <f>IF(AL45=0, "    ---- ", IF(ABS(ROUND(100/AL45*AM45-100,1))&lt;999,ROUND(100/AL45*AM45-100,1),IF(ROUND(100/AL45*AM45-100,1)&gt;999,999,-999)))</f>
        <v>40.700000000000003</v>
      </c>
      <c r="AO45" s="599">
        <f t="shared" si="13"/>
        <v>7600.0302082299968</v>
      </c>
      <c r="AP45" s="599">
        <f t="shared" si="13"/>
        <v>7541.2590312199927</v>
      </c>
      <c r="AQ45" s="599">
        <f t="shared" si="11"/>
        <v>-0.8</v>
      </c>
      <c r="AR45" s="620"/>
      <c r="AS45" s="621"/>
      <c r="AT45" s="622"/>
    </row>
    <row r="46" spans="1:47" s="617" customFormat="1" ht="18.75" customHeight="1" x14ac:dyDescent="0.3">
      <c r="A46" s="623"/>
      <c r="B46" s="624"/>
      <c r="C46" s="625"/>
      <c r="D46" s="626"/>
      <c r="E46" s="624"/>
      <c r="F46" s="625"/>
      <c r="G46" s="606"/>
      <c r="H46" s="624"/>
      <c r="I46" s="625"/>
      <c r="J46" s="606"/>
      <c r="K46" s="624"/>
      <c r="L46" s="625"/>
      <c r="M46" s="626"/>
      <c r="N46" s="624"/>
      <c r="O46" s="625"/>
      <c r="P46" s="606"/>
      <c r="Q46" s="624"/>
      <c r="R46" s="625"/>
      <c r="S46" s="606"/>
      <c r="T46" s="624"/>
      <c r="U46" s="625"/>
      <c r="V46" s="606"/>
      <c r="W46" s="624"/>
      <c r="X46" s="625"/>
      <c r="Y46" s="606"/>
      <c r="Z46" s="624"/>
      <c r="AA46" s="625"/>
      <c r="AB46" s="606"/>
      <c r="AC46" s="624"/>
      <c r="AD46" s="625"/>
      <c r="AE46" s="606"/>
      <c r="AF46" s="624"/>
      <c r="AG46" s="625"/>
      <c r="AH46" s="606"/>
      <c r="AI46" s="624"/>
      <c r="AJ46" s="625"/>
      <c r="AK46" s="606"/>
      <c r="AL46" s="624"/>
      <c r="AM46" s="625"/>
      <c r="AN46" s="606"/>
      <c r="AO46" s="626"/>
      <c r="AP46" s="626"/>
      <c r="AQ46" s="606"/>
      <c r="AR46" s="627"/>
      <c r="AS46" s="627"/>
      <c r="AT46" s="628"/>
    </row>
    <row r="47" spans="1:47" s="634" customFormat="1" ht="18.75" customHeight="1" x14ac:dyDescent="0.3">
      <c r="A47" s="629" t="s">
        <v>371</v>
      </c>
      <c r="B47" s="630"/>
      <c r="C47" s="631"/>
      <c r="D47" s="631"/>
      <c r="E47" s="632"/>
      <c r="F47" s="631"/>
      <c r="G47" s="631"/>
      <c r="H47" s="632"/>
      <c r="I47" s="631"/>
      <c r="J47" s="631"/>
      <c r="K47" s="632"/>
      <c r="L47" s="631"/>
      <c r="M47" s="631"/>
      <c r="N47" s="632"/>
      <c r="O47" s="631"/>
      <c r="P47" s="631"/>
      <c r="Q47" s="632"/>
      <c r="R47" s="631"/>
      <c r="S47" s="631"/>
      <c r="T47" s="632"/>
      <c r="U47" s="631"/>
      <c r="V47" s="631"/>
      <c r="W47" s="632"/>
      <c r="X47" s="631"/>
      <c r="Y47" s="631"/>
      <c r="Z47" s="632"/>
      <c r="AA47" s="631"/>
      <c r="AB47" s="631"/>
      <c r="AC47" s="632"/>
      <c r="AD47" s="631"/>
      <c r="AE47" s="631"/>
      <c r="AF47" s="632"/>
      <c r="AG47" s="631"/>
      <c r="AH47" s="631"/>
      <c r="AI47" s="632"/>
      <c r="AJ47" s="631"/>
      <c r="AK47" s="631"/>
      <c r="AL47" s="632"/>
      <c r="AM47" s="631"/>
      <c r="AN47" s="631"/>
      <c r="AO47" s="633"/>
      <c r="AP47" s="633"/>
      <c r="AQ47" s="631"/>
      <c r="AR47" s="631"/>
      <c r="AS47" s="631"/>
      <c r="AT47" s="631"/>
    </row>
    <row r="48" spans="1:47" s="636" customFormat="1" ht="18.75" customHeight="1" x14ac:dyDescent="0.3">
      <c r="A48" s="631" t="s">
        <v>372</v>
      </c>
      <c r="B48" s="630"/>
      <c r="C48" s="631"/>
      <c r="D48" s="631"/>
      <c r="E48" s="635"/>
      <c r="F48" s="631"/>
      <c r="G48" s="631"/>
      <c r="H48" s="635"/>
      <c r="I48" s="631"/>
      <c r="J48" s="631"/>
      <c r="K48" s="635"/>
      <c r="L48" s="631"/>
      <c r="M48" s="631"/>
      <c r="N48" s="635"/>
      <c r="O48" s="631"/>
      <c r="P48" s="631"/>
      <c r="Q48" s="635"/>
      <c r="R48" s="631"/>
      <c r="S48" s="631"/>
      <c r="T48" s="635"/>
      <c r="U48" s="631"/>
      <c r="V48" s="631"/>
      <c r="W48" s="635"/>
      <c r="X48" s="631"/>
      <c r="Y48" s="631"/>
      <c r="Z48" s="635"/>
      <c r="AA48" s="631"/>
      <c r="AB48" s="631"/>
      <c r="AC48" s="635"/>
      <c r="AD48" s="631"/>
      <c r="AE48" s="631"/>
      <c r="AF48" s="635"/>
      <c r="AG48" s="631"/>
      <c r="AH48" s="631"/>
      <c r="AI48" s="635"/>
      <c r="AJ48" s="631"/>
      <c r="AK48" s="631"/>
      <c r="AL48" s="635"/>
      <c r="AM48" s="631"/>
      <c r="AN48" s="631"/>
      <c r="AO48" s="633"/>
      <c r="AP48" s="633"/>
      <c r="AQ48" s="631"/>
      <c r="AR48" s="631"/>
      <c r="AS48" s="631"/>
      <c r="AT48" s="631"/>
    </row>
    <row r="49" spans="1:46" s="636" customFormat="1" ht="18.75" customHeight="1" x14ac:dyDescent="0.3">
      <c r="A49" s="631" t="s">
        <v>373</v>
      </c>
      <c r="B49" s="630"/>
      <c r="C49" s="631"/>
      <c r="D49" s="631"/>
      <c r="E49" s="635"/>
      <c r="F49" s="631"/>
      <c r="G49" s="631"/>
      <c r="H49" s="635"/>
      <c r="I49" s="631"/>
      <c r="J49" s="631"/>
      <c r="K49" s="635"/>
      <c r="L49" s="631"/>
      <c r="M49" s="631"/>
      <c r="N49" s="635"/>
      <c r="O49" s="631"/>
      <c r="P49" s="631"/>
      <c r="Q49" s="635"/>
      <c r="R49" s="631"/>
      <c r="S49" s="631"/>
      <c r="T49" s="635"/>
      <c r="U49" s="631"/>
      <c r="V49" s="631"/>
      <c r="W49" s="635"/>
      <c r="X49" s="631"/>
      <c r="Y49" s="631"/>
      <c r="Z49" s="635"/>
      <c r="AA49" s="631"/>
      <c r="AB49" s="631"/>
      <c r="AC49" s="635"/>
      <c r="AD49" s="631"/>
      <c r="AE49" s="631"/>
      <c r="AF49" s="635"/>
      <c r="AG49" s="631"/>
      <c r="AH49" s="631"/>
      <c r="AI49" s="635"/>
      <c r="AJ49" s="631"/>
      <c r="AK49" s="631"/>
      <c r="AL49" s="635"/>
      <c r="AM49" s="631"/>
      <c r="AN49" s="631"/>
      <c r="AO49" s="633"/>
      <c r="AP49" s="633"/>
      <c r="AQ49" s="631"/>
      <c r="AR49" s="631"/>
      <c r="AS49" s="631"/>
      <c r="AT49" s="631"/>
    </row>
    <row r="50" spans="1:46" s="636" customFormat="1" ht="18.75" customHeight="1" x14ac:dyDescent="0.3">
      <c r="A50" s="631" t="s">
        <v>374</v>
      </c>
      <c r="B50" s="630"/>
      <c r="C50" s="631"/>
      <c r="D50" s="631"/>
      <c r="E50" s="635"/>
      <c r="F50" s="631"/>
      <c r="G50" s="631"/>
      <c r="H50" s="635"/>
      <c r="I50" s="631"/>
      <c r="J50" s="631"/>
      <c r="K50" s="635"/>
      <c r="L50" s="631"/>
      <c r="M50" s="631"/>
      <c r="N50" s="635"/>
      <c r="O50" s="631"/>
      <c r="P50" s="631"/>
      <c r="Q50" s="635"/>
      <c r="R50" s="631"/>
      <c r="S50" s="631"/>
      <c r="T50" s="635">
        <v>27</v>
      </c>
      <c r="U50" s="631">
        <v>25</v>
      </c>
      <c r="V50" s="631"/>
      <c r="W50" s="635"/>
      <c r="X50" s="631"/>
      <c r="Y50" s="631"/>
      <c r="Z50" s="635"/>
      <c r="AA50" s="631"/>
      <c r="AB50" s="631"/>
      <c r="AC50" s="635"/>
      <c r="AD50" s="631"/>
      <c r="AE50" s="631"/>
      <c r="AF50" s="635"/>
      <c r="AG50" s="631"/>
      <c r="AH50" s="631"/>
      <c r="AI50" s="635"/>
      <c r="AJ50" s="631"/>
      <c r="AK50" s="631"/>
      <c r="AL50" s="635"/>
      <c r="AM50" s="631"/>
      <c r="AN50" s="631"/>
      <c r="AO50" s="633">
        <f t="shared" ref="AO50:AP57" si="35">B50+E50+H50+K50+Q50+T50+W50+Z50+AF50+AI50+AL50</f>
        <v>27</v>
      </c>
      <c r="AP50" s="633">
        <f t="shared" si="35"/>
        <v>25</v>
      </c>
      <c r="AQ50" s="631"/>
      <c r="AR50" s="631"/>
      <c r="AS50" s="631"/>
      <c r="AT50" s="631"/>
    </row>
    <row r="51" spans="1:46" s="636" customFormat="1" ht="18.75" customHeight="1" x14ac:dyDescent="0.3">
      <c r="A51" s="631" t="s">
        <v>375</v>
      </c>
      <c r="B51" s="630"/>
      <c r="C51" s="631"/>
      <c r="D51" s="631"/>
      <c r="E51" s="635"/>
      <c r="F51" s="631"/>
      <c r="G51" s="631"/>
      <c r="H51" s="635"/>
      <c r="I51" s="631"/>
      <c r="J51" s="631"/>
      <c r="K51" s="635"/>
      <c r="L51" s="631"/>
      <c r="M51" s="631"/>
      <c r="N51" s="635"/>
      <c r="O51" s="631"/>
      <c r="P51" s="631"/>
      <c r="Q51" s="635"/>
      <c r="R51" s="631"/>
      <c r="S51" s="631"/>
      <c r="T51" s="635">
        <v>27</v>
      </c>
      <c r="U51" s="631">
        <v>25</v>
      </c>
      <c r="V51" s="631"/>
      <c r="W51" s="635"/>
      <c r="X51" s="631"/>
      <c r="Y51" s="631"/>
      <c r="Z51" s="635"/>
      <c r="AA51" s="631"/>
      <c r="AB51" s="631"/>
      <c r="AC51" s="635"/>
      <c r="AD51" s="631"/>
      <c r="AE51" s="631"/>
      <c r="AF51" s="635"/>
      <c r="AG51" s="631"/>
      <c r="AH51" s="631"/>
      <c r="AI51" s="635"/>
      <c r="AJ51" s="631"/>
      <c r="AK51" s="631"/>
      <c r="AL51" s="635"/>
      <c r="AM51" s="631"/>
      <c r="AN51" s="631"/>
      <c r="AO51" s="633">
        <f t="shared" si="35"/>
        <v>27</v>
      </c>
      <c r="AP51" s="633">
        <f t="shared" si="35"/>
        <v>25</v>
      </c>
      <c r="AQ51" s="631"/>
      <c r="AR51" s="631"/>
      <c r="AS51" s="631"/>
      <c r="AT51" s="631"/>
    </row>
    <row r="52" spans="1:46" s="636" customFormat="1" ht="18.75" customHeight="1" x14ac:dyDescent="0.3">
      <c r="A52" s="631" t="s">
        <v>376</v>
      </c>
      <c r="B52" s="630"/>
      <c r="C52" s="631"/>
      <c r="D52" s="631"/>
      <c r="E52" s="635"/>
      <c r="F52" s="631"/>
      <c r="G52" s="631"/>
      <c r="H52" s="635"/>
      <c r="I52" s="631"/>
      <c r="J52" s="631"/>
      <c r="K52" s="635"/>
      <c r="L52" s="631"/>
      <c r="M52" s="631"/>
      <c r="N52" s="635"/>
      <c r="O52" s="631"/>
      <c r="P52" s="631"/>
      <c r="Q52" s="635"/>
      <c r="R52" s="631"/>
      <c r="S52" s="631"/>
      <c r="T52" s="635"/>
      <c r="U52" s="631"/>
      <c r="V52" s="631"/>
      <c r="W52" s="635"/>
      <c r="X52" s="631"/>
      <c r="Y52" s="631"/>
      <c r="Z52" s="635"/>
      <c r="AA52" s="631"/>
      <c r="AB52" s="631"/>
      <c r="AC52" s="635"/>
      <c r="AD52" s="631"/>
      <c r="AE52" s="631"/>
      <c r="AF52" s="635"/>
      <c r="AG52" s="631"/>
      <c r="AH52" s="631"/>
      <c r="AI52" s="635"/>
      <c r="AJ52" s="631"/>
      <c r="AK52" s="631"/>
      <c r="AL52" s="635"/>
      <c r="AM52" s="631"/>
      <c r="AN52" s="631"/>
      <c r="AO52" s="633"/>
      <c r="AP52" s="633"/>
      <c r="AQ52" s="631"/>
      <c r="AR52" s="631"/>
      <c r="AS52" s="631"/>
      <c r="AT52" s="631"/>
    </row>
    <row r="53" spans="1:46" s="636" customFormat="1" ht="18.75" customHeight="1" x14ac:dyDescent="0.3">
      <c r="A53" s="631" t="s">
        <v>377</v>
      </c>
      <c r="B53" s="630"/>
      <c r="C53" s="631"/>
      <c r="D53" s="631"/>
      <c r="E53" s="635"/>
      <c r="F53" s="631"/>
      <c r="G53" s="631"/>
      <c r="H53" s="635">
        <v>61</v>
      </c>
      <c r="I53" s="631">
        <v>65</v>
      </c>
      <c r="J53" s="631"/>
      <c r="K53" s="635"/>
      <c r="L53" s="631"/>
      <c r="M53" s="631"/>
      <c r="N53" s="635"/>
      <c r="O53" s="631"/>
      <c r="P53" s="631"/>
      <c r="Q53" s="635"/>
      <c r="R53" s="631"/>
      <c r="S53" s="631"/>
      <c r="T53" s="635"/>
      <c r="U53" s="631"/>
      <c r="V53" s="631"/>
      <c r="W53" s="635"/>
      <c r="X53" s="631"/>
      <c r="Y53" s="631"/>
      <c r="Z53" s="635"/>
      <c r="AA53" s="631"/>
      <c r="AB53" s="631"/>
      <c r="AC53" s="635"/>
      <c r="AD53" s="631"/>
      <c r="AE53" s="631"/>
      <c r="AF53" s="635"/>
      <c r="AG53" s="631"/>
      <c r="AH53" s="631"/>
      <c r="AI53" s="635"/>
      <c r="AJ53" s="631"/>
      <c r="AK53" s="631"/>
      <c r="AL53" s="635"/>
      <c r="AM53" s="631">
        <v>1300</v>
      </c>
      <c r="AN53" s="631"/>
      <c r="AO53" s="633">
        <f t="shared" si="35"/>
        <v>61</v>
      </c>
      <c r="AP53" s="633">
        <f t="shared" si="35"/>
        <v>1365</v>
      </c>
      <c r="AQ53" s="631"/>
      <c r="AR53" s="631"/>
      <c r="AS53" s="631"/>
      <c r="AT53" s="631"/>
    </row>
    <row r="54" spans="1:46" s="636" customFormat="1" ht="18.75" customHeight="1" x14ac:dyDescent="0.3">
      <c r="A54" s="631" t="s">
        <v>378</v>
      </c>
      <c r="B54" s="630"/>
      <c r="C54" s="631"/>
      <c r="D54" s="631"/>
      <c r="E54" s="635"/>
      <c r="F54" s="631"/>
      <c r="G54" s="631"/>
      <c r="H54" s="635"/>
      <c r="I54" s="631"/>
      <c r="J54" s="631"/>
      <c r="K54" s="635"/>
      <c r="L54" s="631"/>
      <c r="M54" s="631"/>
      <c r="N54" s="635"/>
      <c r="O54" s="631"/>
      <c r="P54" s="631"/>
      <c r="Q54" s="635"/>
      <c r="R54" s="631"/>
      <c r="S54" s="631"/>
      <c r="T54" s="635"/>
      <c r="U54" s="631"/>
      <c r="V54" s="631"/>
      <c r="W54" s="635"/>
      <c r="X54" s="631"/>
      <c r="Y54" s="631"/>
      <c r="Z54" s="635"/>
      <c r="AA54" s="631"/>
      <c r="AB54" s="631"/>
      <c r="AC54" s="635"/>
      <c r="AD54" s="631"/>
      <c r="AE54" s="631"/>
      <c r="AF54" s="635"/>
      <c r="AG54" s="631"/>
      <c r="AH54" s="631"/>
      <c r="AI54" s="635">
        <v>-403.81957399999999</v>
      </c>
      <c r="AJ54" s="637">
        <v>-671.36599999999999</v>
      </c>
      <c r="AK54" s="631"/>
      <c r="AL54" s="635"/>
      <c r="AM54" s="631"/>
      <c r="AN54" s="631"/>
      <c r="AO54" s="633">
        <f t="shared" si="35"/>
        <v>-403.81957399999999</v>
      </c>
      <c r="AP54" s="633">
        <f t="shared" si="35"/>
        <v>-671.36599999999999</v>
      </c>
      <c r="AQ54" s="631"/>
      <c r="AR54" s="631"/>
      <c r="AS54" s="631"/>
      <c r="AT54" s="631"/>
    </row>
    <row r="55" spans="1:46" s="636" customFormat="1" ht="18.75" customHeight="1" x14ac:dyDescent="0.3">
      <c r="A55" s="631" t="s">
        <v>379</v>
      </c>
      <c r="B55" s="638">
        <v>82.856999999999999</v>
      </c>
      <c r="C55" s="631">
        <v>91.131</v>
      </c>
      <c r="D55" s="631"/>
      <c r="E55" s="635">
        <v>1322</v>
      </c>
      <c r="F55" s="631">
        <v>2007</v>
      </c>
      <c r="G55" s="631"/>
      <c r="H55" s="635">
        <v>33.468000000000004</v>
      </c>
      <c r="I55" s="631">
        <v>37</v>
      </c>
      <c r="J55" s="631"/>
      <c r="K55" s="635">
        <v>85</v>
      </c>
      <c r="L55" s="631">
        <v>76</v>
      </c>
      <c r="M55" s="631"/>
      <c r="N55" s="635"/>
      <c r="O55" s="631"/>
      <c r="P55" s="631"/>
      <c r="Q55" s="635"/>
      <c r="R55" s="631"/>
      <c r="S55" s="631"/>
      <c r="T55" s="635"/>
      <c r="U55" s="631"/>
      <c r="V55" s="631"/>
      <c r="W55" s="635"/>
      <c r="X55" s="631"/>
      <c r="Y55" s="631"/>
      <c r="Z55" s="635">
        <v>608</v>
      </c>
      <c r="AA55" s="631">
        <v>915</v>
      </c>
      <c r="AB55" s="631"/>
      <c r="AC55" s="635"/>
      <c r="AD55" s="631"/>
      <c r="AE55" s="631"/>
      <c r="AF55" s="635"/>
      <c r="AG55" s="631"/>
      <c r="AH55" s="631"/>
      <c r="AI55" s="635"/>
      <c r="AJ55" s="631"/>
      <c r="AK55" s="631"/>
      <c r="AL55" s="635">
        <v>1195</v>
      </c>
      <c r="AM55" s="631">
        <v>382.29999999999995</v>
      </c>
      <c r="AN55" s="631"/>
      <c r="AO55" s="633">
        <f t="shared" si="35"/>
        <v>3326.3249999999998</v>
      </c>
      <c r="AP55" s="633">
        <f t="shared" si="35"/>
        <v>3508.4309999999996</v>
      </c>
      <c r="AQ55" s="631"/>
      <c r="AR55" s="631"/>
      <c r="AS55" s="631"/>
      <c r="AT55" s="631"/>
    </row>
    <row r="56" spans="1:46" s="636" customFormat="1" ht="18.75" customHeight="1" x14ac:dyDescent="0.3">
      <c r="A56" s="631" t="s">
        <v>380</v>
      </c>
      <c r="B56" s="638">
        <v>82.856999999999999</v>
      </c>
      <c r="C56" s="631">
        <f>SUM(C53:C55)</f>
        <v>91.131</v>
      </c>
      <c r="D56" s="631"/>
      <c r="E56" s="635">
        <v>1322</v>
      </c>
      <c r="F56" s="631">
        <f>SUM(F53:F55)</f>
        <v>2007</v>
      </c>
      <c r="G56" s="631"/>
      <c r="H56" s="635">
        <v>94.468000000000004</v>
      </c>
      <c r="I56" s="631">
        <f>SUM(I53:I55)</f>
        <v>102</v>
      </c>
      <c r="J56" s="631"/>
      <c r="K56" s="635">
        <v>85</v>
      </c>
      <c r="L56" s="631">
        <f>SUM(L53:L55)</f>
        <v>76</v>
      </c>
      <c r="M56" s="631"/>
      <c r="N56" s="635"/>
      <c r="O56" s="631"/>
      <c r="P56" s="631"/>
      <c r="Q56" s="635"/>
      <c r="R56" s="631"/>
      <c r="S56" s="631"/>
      <c r="T56" s="635"/>
      <c r="U56" s="631">
        <f>SUM(U53:U55)</f>
        <v>0</v>
      </c>
      <c r="V56" s="631"/>
      <c r="W56" s="635"/>
      <c r="X56" s="631"/>
      <c r="Y56" s="631"/>
      <c r="Z56" s="635">
        <v>608</v>
      </c>
      <c r="AA56" s="631">
        <f>SUM(AA53:AA55)</f>
        <v>915</v>
      </c>
      <c r="AB56" s="631"/>
      <c r="AC56" s="635"/>
      <c r="AD56" s="631"/>
      <c r="AE56" s="631"/>
      <c r="AF56" s="635"/>
      <c r="AG56" s="631"/>
      <c r="AH56" s="631"/>
      <c r="AI56" s="635">
        <v>-403.81957399999999</v>
      </c>
      <c r="AJ56" s="637">
        <f>SUM(AJ53:AJ55)</f>
        <v>-671.36599999999999</v>
      </c>
      <c r="AK56" s="631"/>
      <c r="AL56" s="635">
        <v>1195</v>
      </c>
      <c r="AM56" s="631">
        <f>SUM(AM53:AM55)</f>
        <v>1682.3</v>
      </c>
      <c r="AN56" s="631"/>
      <c r="AO56" s="633">
        <f t="shared" si="35"/>
        <v>2983.5054259999997</v>
      </c>
      <c r="AP56" s="633">
        <f t="shared" si="35"/>
        <v>4202.0649999999996</v>
      </c>
      <c r="AQ56" s="631"/>
      <c r="AR56" s="631"/>
      <c r="AS56" s="631"/>
      <c r="AT56" s="631"/>
    </row>
    <row r="57" spans="1:46" s="634" customFormat="1" ht="18.75" customHeight="1" x14ac:dyDescent="0.3">
      <c r="A57" s="639" t="s">
        <v>381</v>
      </c>
      <c r="B57" s="640">
        <v>82.856999999999999</v>
      </c>
      <c r="C57" s="639">
        <f>C56+C51</f>
        <v>91.131</v>
      </c>
      <c r="D57" s="639"/>
      <c r="E57" s="641">
        <v>1322</v>
      </c>
      <c r="F57" s="639">
        <f>F56+F51</f>
        <v>2007</v>
      </c>
      <c r="G57" s="639"/>
      <c r="H57" s="641">
        <v>94.468000000000004</v>
      </c>
      <c r="I57" s="639">
        <f>I56+I51</f>
        <v>102</v>
      </c>
      <c r="J57" s="639"/>
      <c r="K57" s="641">
        <v>85</v>
      </c>
      <c r="L57" s="639">
        <f>L56+L51</f>
        <v>76</v>
      </c>
      <c r="M57" s="639"/>
      <c r="N57" s="641"/>
      <c r="O57" s="639"/>
      <c r="P57" s="639"/>
      <c r="Q57" s="641"/>
      <c r="R57" s="639"/>
      <c r="S57" s="639"/>
      <c r="T57" s="641"/>
      <c r="U57" s="639">
        <f>U56+U51</f>
        <v>25</v>
      </c>
      <c r="V57" s="639"/>
      <c r="W57" s="641"/>
      <c r="X57" s="639"/>
      <c r="Y57" s="639"/>
      <c r="Z57" s="641">
        <v>608</v>
      </c>
      <c r="AA57" s="639">
        <f>AA56+AA51</f>
        <v>915</v>
      </c>
      <c r="AB57" s="639"/>
      <c r="AC57" s="641"/>
      <c r="AD57" s="639"/>
      <c r="AE57" s="639"/>
      <c r="AF57" s="641"/>
      <c r="AG57" s="639"/>
      <c r="AH57" s="639"/>
      <c r="AI57" s="641">
        <v>-403.81957399999999</v>
      </c>
      <c r="AJ57" s="642">
        <f>AJ56+AJ51</f>
        <v>-671.36599999999999</v>
      </c>
      <c r="AK57" s="639"/>
      <c r="AL57" s="641">
        <v>1195</v>
      </c>
      <c r="AM57" s="639">
        <f>AM56+AM51</f>
        <v>1682.3</v>
      </c>
      <c r="AN57" s="639"/>
      <c r="AO57" s="643">
        <f t="shared" si="35"/>
        <v>2983.5054259999997</v>
      </c>
      <c r="AP57" s="643">
        <f t="shared" si="35"/>
        <v>4227.0649999999996</v>
      </c>
      <c r="AQ57" s="644"/>
      <c r="AR57" s="644"/>
      <c r="AS57" s="644"/>
      <c r="AT57" s="644"/>
    </row>
    <row r="58" spans="1:46" s="646" customFormat="1" ht="18.75" customHeight="1" x14ac:dyDescent="0.3">
      <c r="A58" s="614" t="s">
        <v>273</v>
      </c>
      <c r="B58" s="614"/>
      <c r="C58" s="645"/>
      <c r="D58" s="645"/>
      <c r="E58" s="645"/>
      <c r="F58" s="645"/>
      <c r="G58" s="645"/>
      <c r="H58" s="645"/>
      <c r="I58" s="645"/>
      <c r="J58" s="645"/>
      <c r="K58" s="645"/>
      <c r="L58" s="645"/>
      <c r="M58" s="645"/>
      <c r="N58" s="645"/>
      <c r="O58" s="645"/>
      <c r="P58" s="645"/>
      <c r="Q58" s="645"/>
      <c r="R58" s="645"/>
      <c r="S58" s="645"/>
      <c r="T58" s="645"/>
      <c r="U58" s="645"/>
      <c r="V58" s="645"/>
      <c r="W58" s="645"/>
      <c r="X58" s="645"/>
      <c r="Y58" s="645"/>
      <c r="Z58" s="645"/>
      <c r="AA58" s="645"/>
      <c r="AB58" s="645"/>
      <c r="AC58" s="645"/>
      <c r="AD58" s="645"/>
      <c r="AE58" s="645"/>
      <c r="AF58" s="645"/>
      <c r="AG58" s="645"/>
      <c r="AH58" s="645"/>
      <c r="AI58" s="645"/>
      <c r="AJ58" s="645"/>
      <c r="AK58" s="645"/>
      <c r="AL58" s="645"/>
      <c r="AM58" s="645"/>
      <c r="AN58" s="645"/>
      <c r="AO58" s="645"/>
      <c r="AP58" s="645"/>
      <c r="AQ58" s="645"/>
      <c r="AR58" s="645"/>
      <c r="AS58" s="645"/>
    </row>
    <row r="59" spans="1:46" s="646" customFormat="1" ht="18.75" customHeight="1" x14ac:dyDescent="0.3">
      <c r="A59" s="614" t="s">
        <v>274</v>
      </c>
    </row>
    <row r="60" spans="1:46" s="646" customFormat="1" ht="18.75" customHeight="1" x14ac:dyDescent="0.3">
      <c r="A60" s="614" t="s">
        <v>275</v>
      </c>
    </row>
    <row r="61" spans="1:46" s="646" customFormat="1" ht="18.75" x14ac:dyDescent="0.3"/>
    <row r="62" spans="1:46" s="646" customFormat="1" ht="18.75" x14ac:dyDescent="0.3"/>
    <row r="63" spans="1:46" s="647" customFormat="1" x14ac:dyDescent="0.2">
      <c r="C63" s="648"/>
      <c r="H63" s="648"/>
      <c r="I63" s="648"/>
      <c r="AO63" s="650"/>
      <c r="AP63" s="651"/>
    </row>
  </sheetData>
  <mergeCells count="28">
    <mergeCell ref="AO5:AQ5"/>
    <mergeCell ref="B5:D5"/>
    <mergeCell ref="E5:G5"/>
    <mergeCell ref="H5:J5"/>
    <mergeCell ref="K5:M5"/>
    <mergeCell ref="N5:P5"/>
    <mergeCell ref="Q5:S5"/>
    <mergeCell ref="AR6:AT6"/>
    <mergeCell ref="AR5:AT5"/>
    <mergeCell ref="B6:D6"/>
    <mergeCell ref="E6:G6"/>
    <mergeCell ref="H6:J6"/>
    <mergeCell ref="K6:M6"/>
    <mergeCell ref="N6:P6"/>
    <mergeCell ref="Q6:S6"/>
    <mergeCell ref="T6:V6"/>
    <mergeCell ref="W6:Y6"/>
    <mergeCell ref="Z6:AB6"/>
    <mergeCell ref="T5:V5"/>
    <mergeCell ref="Z5:AB5"/>
    <mergeCell ref="AF5:AH5"/>
    <mergeCell ref="AI5:AK5"/>
    <mergeCell ref="AL5:AN5"/>
    <mergeCell ref="AC6:AE6"/>
    <mergeCell ref="AF6:AH6"/>
    <mergeCell ref="AI6:AK6"/>
    <mergeCell ref="AL6:AN6"/>
    <mergeCell ref="AO6:AQ6"/>
  </mergeCells>
  <conditionalFormatting sqref="B14:C14 E14:F14 H14:I14 K14:L14 N14:O14 Q14:R14 T14:U14 W14:X14 Z14:AA14 AC14:AD14 AI14:AJ14 AL14:AM14 AO14:AP14 AR14:AS14 AF14:AG14">
    <cfRule type="expression" dxfId="81" priority="133">
      <formula>#REF! ="14≠11+12+13"</formula>
    </cfRule>
  </conditionalFormatting>
  <conditionalFormatting sqref="B21:C21 E21:F21 H21:I21 K21:L21 N21:O21 Q21:R21 T21:U21 W21:X21 Z21:AA21 AC21:AD21 AI21:AJ21 AL21:AM21 AO21:AP21 AR21:AS21 AF21:AG21">
    <cfRule type="expression" dxfId="80" priority="148">
      <formula>#REF! ="22≠19+20+21"</formula>
    </cfRule>
  </conditionalFormatting>
  <conditionalFormatting sqref="B29:C29 E29:F29 H29:I29 K29:L29 N29:O29 Q29:R29 T29:U29 W29:X29 Z29:AA29 AC29:AD29 AI29:AJ29 AL29:AM29 AO29:AP29 AR29:AS29 AF29:AG29">
    <cfRule type="expression" dxfId="79" priority="163">
      <formula>#REF! ="30≠24+25+26+27+28+29"</formula>
    </cfRule>
  </conditionalFormatting>
  <conditionalFormatting sqref="B34:C34 E34:F34 H34:I34 K34:L34 N34:O34 Q34:R34 T34:U34 W34:X34 Z34:AA34 AC34:AD34 AI34:AJ34 AL34:AM34 AO34:AP34 AR34:AS34 AF34:AG34">
    <cfRule type="expression" dxfId="78" priority="178">
      <formula>#REF! ="35≠14+15+16+17+22+30+31+32+33+34"</formula>
    </cfRule>
  </conditionalFormatting>
  <conditionalFormatting sqref="B45:C45 E45:F45 H45:I45 K45:L45 N45:O45 T45:U45 W45:X45 Z45:AA45 AC45:AD45 AI45:AJ45 AL45:AM45 AO45:AP45 AR45:AS45 AF45:AG45 Q45:R45">
    <cfRule type="expression" dxfId="77" priority="193">
      <formula>#REF! ="46≠35+38+39+40+43+45"</formula>
    </cfRule>
  </conditionalFormatting>
  <hyperlinks>
    <hyperlink ref="B1" location="Innhold!A1" display="Tilbake"/>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5"/>
  <dimension ref="A1:AU190"/>
  <sheetViews>
    <sheetView showGridLines="0" zoomScale="60" zoomScaleNormal="60" workbookViewId="0">
      <pane xSplit="1" ySplit="9" topLeftCell="B34" activePane="bottomRight" state="frozen"/>
      <selection activeCell="AU39" sqref="AU39"/>
      <selection pane="topRight" activeCell="AU39" sqref="AU39"/>
      <selection pane="bottomLeft" activeCell="AU39" sqref="AU39"/>
      <selection pane="bottomRight" activeCell="C46" sqref="C46"/>
    </sheetView>
  </sheetViews>
  <sheetFormatPr baseColWidth="10" defaultColWidth="11.42578125" defaultRowHeight="12.75" x14ac:dyDescent="0.2"/>
  <cols>
    <col min="1" max="1" width="68.5703125" style="654" customWidth="1"/>
    <col min="2" max="46" width="11.7109375" style="654" customWidth="1"/>
    <col min="47" max="47" width="14.7109375" style="654" bestFit="1" customWidth="1"/>
    <col min="48" max="16384" width="11.42578125" style="654"/>
  </cols>
  <sheetData>
    <row r="1" spans="1:47" ht="20.25" customHeight="1" x14ac:dyDescent="0.3">
      <c r="A1" s="652" t="s">
        <v>189</v>
      </c>
      <c r="B1" s="495" t="s">
        <v>55</v>
      </c>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653"/>
      <c r="AK1" s="653"/>
      <c r="AL1" s="653"/>
      <c r="AM1" s="653"/>
      <c r="AN1" s="653"/>
      <c r="AO1" s="653"/>
      <c r="AP1" s="653"/>
      <c r="AQ1" s="653"/>
      <c r="AR1" s="653"/>
      <c r="AS1" s="653"/>
      <c r="AT1" s="653"/>
      <c r="AU1" s="653"/>
    </row>
    <row r="2" spans="1:47" ht="20.100000000000001" customHeight="1" x14ac:dyDescent="0.3">
      <c r="A2" s="655" t="s">
        <v>279</v>
      </c>
      <c r="B2" s="653"/>
      <c r="C2" s="653"/>
      <c r="D2" s="653"/>
      <c r="E2" s="653"/>
      <c r="F2" s="653"/>
      <c r="G2" s="653"/>
      <c r="H2" s="653"/>
      <c r="I2" s="653"/>
      <c r="J2" s="653"/>
      <c r="K2" s="653"/>
      <c r="L2" s="653"/>
      <c r="M2" s="653"/>
      <c r="N2" s="653"/>
      <c r="O2" s="653"/>
      <c r="P2" s="653"/>
      <c r="Q2" s="653"/>
      <c r="R2" s="653"/>
      <c r="S2" s="653"/>
      <c r="T2" s="653"/>
      <c r="U2" s="653"/>
      <c r="V2" s="653"/>
      <c r="W2" s="653"/>
      <c r="X2" s="653"/>
      <c r="Y2" s="653"/>
      <c r="Z2" s="653"/>
      <c r="AA2" s="653"/>
      <c r="AB2" s="653"/>
      <c r="AC2" s="653"/>
      <c r="AD2" s="653"/>
      <c r="AE2" s="653"/>
      <c r="AF2" s="653"/>
      <c r="AG2" s="653"/>
      <c r="AH2" s="653"/>
      <c r="AI2" s="653"/>
      <c r="AJ2" s="653"/>
      <c r="AK2" s="653"/>
      <c r="AL2" s="653"/>
      <c r="AM2" s="653"/>
      <c r="AN2" s="653"/>
      <c r="AO2" s="653"/>
      <c r="AP2" s="653"/>
      <c r="AQ2" s="653"/>
      <c r="AR2" s="653"/>
      <c r="AS2" s="653"/>
      <c r="AT2" s="653"/>
      <c r="AU2" s="653"/>
    </row>
    <row r="3" spans="1:47" ht="20.100000000000001" customHeight="1" x14ac:dyDescent="0.3">
      <c r="A3" s="656" t="s">
        <v>421</v>
      </c>
      <c r="B3" s="653"/>
      <c r="C3" s="653"/>
      <c r="D3" s="653"/>
      <c r="E3" s="653"/>
      <c r="F3" s="653"/>
      <c r="G3" s="653"/>
      <c r="H3" s="653"/>
      <c r="I3" s="653"/>
      <c r="J3" s="653"/>
      <c r="K3" s="653"/>
      <c r="L3" s="653"/>
      <c r="M3" s="653"/>
      <c r="N3" s="653"/>
      <c r="O3" s="653"/>
      <c r="P3" s="653"/>
      <c r="Q3" s="653"/>
      <c r="R3" s="653"/>
      <c r="S3" s="653"/>
      <c r="T3" s="653"/>
      <c r="U3" s="653"/>
      <c r="V3" s="653"/>
      <c r="W3" s="653"/>
      <c r="X3" s="653"/>
      <c r="Y3" s="653"/>
      <c r="Z3" s="653"/>
      <c r="AA3" s="653"/>
      <c r="AB3" s="653"/>
      <c r="AC3" s="653"/>
      <c r="AD3" s="653"/>
      <c r="AE3" s="653"/>
      <c r="AF3" s="653"/>
      <c r="AG3" s="653"/>
      <c r="AH3" s="653"/>
      <c r="AI3" s="653"/>
      <c r="AJ3" s="653"/>
      <c r="AK3" s="653"/>
      <c r="AL3" s="653"/>
      <c r="AM3" s="653"/>
      <c r="AN3" s="653"/>
      <c r="AO3" s="653"/>
      <c r="AP3" s="653"/>
      <c r="AQ3" s="653"/>
      <c r="AR3" s="653"/>
      <c r="AS3" s="653"/>
      <c r="AT3" s="653"/>
      <c r="AU3" s="653"/>
    </row>
    <row r="4" spans="1:47" ht="20.100000000000001" customHeight="1" x14ac:dyDescent="0.3">
      <c r="A4" s="657" t="s">
        <v>422</v>
      </c>
      <c r="B4" s="653"/>
      <c r="C4" s="653"/>
      <c r="D4" s="653"/>
      <c r="E4" s="653"/>
      <c r="F4" s="653"/>
      <c r="G4" s="653"/>
      <c r="H4" s="653"/>
      <c r="I4" s="653"/>
      <c r="J4" s="653"/>
      <c r="K4" s="653"/>
      <c r="L4" s="653"/>
      <c r="M4" s="653"/>
      <c r="N4" s="653"/>
      <c r="O4" s="653"/>
      <c r="P4" s="653"/>
      <c r="Q4" s="653"/>
      <c r="R4" s="653"/>
      <c r="S4" s="653"/>
      <c r="T4" s="653"/>
      <c r="U4" s="653"/>
      <c r="V4" s="653"/>
      <c r="W4" s="653"/>
      <c r="X4" s="653"/>
      <c r="Y4" s="653"/>
      <c r="Z4" s="653"/>
      <c r="AA4" s="653"/>
      <c r="AB4" s="653"/>
      <c r="AC4" s="653"/>
      <c r="AD4" s="653"/>
      <c r="AE4" s="653"/>
      <c r="AF4" s="653"/>
      <c r="AG4" s="653"/>
      <c r="AH4" s="653"/>
      <c r="AI4" s="653"/>
      <c r="AJ4" s="653"/>
      <c r="AK4" s="653"/>
      <c r="AL4" s="653"/>
      <c r="AM4" s="653"/>
      <c r="AN4" s="653"/>
      <c r="AO4" s="653"/>
      <c r="AP4" s="653"/>
      <c r="AQ4" s="653"/>
      <c r="AR4" s="653"/>
      <c r="AS4" s="653"/>
      <c r="AT4" s="653"/>
      <c r="AU4" s="653"/>
    </row>
    <row r="5" spans="1:47" ht="18.75" customHeight="1" x14ac:dyDescent="0.3">
      <c r="A5" s="658" t="s">
        <v>414</v>
      </c>
      <c r="B5" s="659"/>
      <c r="C5" s="659"/>
      <c r="D5" s="660"/>
      <c r="E5" s="661"/>
      <c r="F5" s="659"/>
      <c r="G5" s="660"/>
      <c r="H5" s="661"/>
      <c r="I5" s="659"/>
      <c r="J5" s="660"/>
      <c r="K5" s="659"/>
      <c r="L5" s="659"/>
      <c r="M5" s="659"/>
      <c r="N5" s="661"/>
      <c r="O5" s="659"/>
      <c r="P5" s="660"/>
      <c r="Q5" s="661"/>
      <c r="R5" s="659"/>
      <c r="S5" s="660"/>
      <c r="T5" s="661"/>
      <c r="U5" s="659"/>
      <c r="V5" s="660"/>
      <c r="W5" s="661"/>
      <c r="X5" s="659"/>
      <c r="Y5" s="660"/>
      <c r="Z5" s="661"/>
      <c r="AA5" s="659"/>
      <c r="AB5" s="660"/>
      <c r="AC5" s="661"/>
      <c r="AD5" s="659"/>
      <c r="AE5" s="660"/>
      <c r="AF5" s="661"/>
      <c r="AG5" s="659"/>
      <c r="AH5" s="660"/>
      <c r="AI5" s="661"/>
      <c r="AJ5" s="659"/>
      <c r="AK5" s="660"/>
      <c r="AL5" s="661"/>
      <c r="AM5" s="659"/>
      <c r="AN5" s="660"/>
      <c r="AO5" s="661"/>
      <c r="AP5" s="659"/>
      <c r="AQ5" s="660"/>
      <c r="AR5" s="661"/>
      <c r="AS5" s="659"/>
      <c r="AT5" s="660"/>
      <c r="AU5" s="653"/>
    </row>
    <row r="6" spans="1:47" ht="18.75" customHeight="1" x14ac:dyDescent="0.3">
      <c r="A6" s="662" t="s">
        <v>114</v>
      </c>
      <c r="B6" s="988" t="s">
        <v>192</v>
      </c>
      <c r="C6" s="989"/>
      <c r="D6" s="990"/>
      <c r="E6" s="988" t="s">
        <v>193</v>
      </c>
      <c r="F6" s="989"/>
      <c r="G6" s="990"/>
      <c r="H6" s="988" t="s">
        <v>194</v>
      </c>
      <c r="I6" s="989"/>
      <c r="J6" s="990"/>
      <c r="K6" s="988" t="s">
        <v>195</v>
      </c>
      <c r="L6" s="989"/>
      <c r="M6" s="990"/>
      <c r="N6" s="988" t="s">
        <v>196</v>
      </c>
      <c r="O6" s="989"/>
      <c r="P6" s="990"/>
      <c r="Q6" s="663" t="s">
        <v>196</v>
      </c>
      <c r="R6" s="664"/>
      <c r="S6" s="665"/>
      <c r="T6" s="988" t="s">
        <v>67</v>
      </c>
      <c r="U6" s="989"/>
      <c r="V6" s="990"/>
      <c r="W6" s="663"/>
      <c r="X6" s="664"/>
      <c r="Y6" s="665"/>
      <c r="Z6" s="988" t="s">
        <v>197</v>
      </c>
      <c r="AA6" s="989"/>
      <c r="AB6" s="990"/>
      <c r="AC6" s="663"/>
      <c r="AD6" s="664"/>
      <c r="AE6" s="665"/>
      <c r="AF6" s="988" t="s">
        <v>79</v>
      </c>
      <c r="AG6" s="989"/>
      <c r="AH6" s="990"/>
      <c r="AI6" s="988"/>
      <c r="AJ6" s="989"/>
      <c r="AK6" s="990"/>
      <c r="AL6" s="988" t="s">
        <v>80</v>
      </c>
      <c r="AM6" s="989"/>
      <c r="AN6" s="990"/>
      <c r="AO6" s="991" t="s">
        <v>2</v>
      </c>
      <c r="AP6" s="992"/>
      <c r="AQ6" s="993"/>
      <c r="AR6" s="988" t="s">
        <v>2</v>
      </c>
      <c r="AS6" s="989"/>
      <c r="AT6" s="990"/>
      <c r="AU6" s="653"/>
    </row>
    <row r="7" spans="1:47" ht="21" customHeight="1" x14ac:dyDescent="0.3">
      <c r="A7" s="666"/>
      <c r="B7" s="985" t="s">
        <v>198</v>
      </c>
      <c r="C7" s="986"/>
      <c r="D7" s="987"/>
      <c r="E7" s="985" t="s">
        <v>199</v>
      </c>
      <c r="F7" s="986"/>
      <c r="G7" s="987"/>
      <c r="H7" s="985" t="s">
        <v>199</v>
      </c>
      <c r="I7" s="986"/>
      <c r="J7" s="987"/>
      <c r="K7" s="985" t="s">
        <v>200</v>
      </c>
      <c r="L7" s="986"/>
      <c r="M7" s="987"/>
      <c r="N7" s="985" t="s">
        <v>100</v>
      </c>
      <c r="O7" s="986"/>
      <c r="P7" s="987"/>
      <c r="Q7" s="985" t="s">
        <v>67</v>
      </c>
      <c r="R7" s="986"/>
      <c r="S7" s="987"/>
      <c r="T7" s="985" t="s">
        <v>201</v>
      </c>
      <c r="U7" s="986"/>
      <c r="V7" s="987"/>
      <c r="W7" s="985" t="s">
        <v>72</v>
      </c>
      <c r="X7" s="986"/>
      <c r="Y7" s="987"/>
      <c r="Z7" s="985" t="s">
        <v>198</v>
      </c>
      <c r="AA7" s="986"/>
      <c r="AB7" s="987"/>
      <c r="AC7" s="985" t="s">
        <v>78</v>
      </c>
      <c r="AD7" s="986"/>
      <c r="AE7" s="987"/>
      <c r="AF7" s="985" t="s">
        <v>202</v>
      </c>
      <c r="AG7" s="986"/>
      <c r="AH7" s="987"/>
      <c r="AI7" s="985" t="s">
        <v>74</v>
      </c>
      <c r="AJ7" s="986"/>
      <c r="AK7" s="987"/>
      <c r="AL7" s="985" t="s">
        <v>199</v>
      </c>
      <c r="AM7" s="986"/>
      <c r="AN7" s="987"/>
      <c r="AO7" s="979" t="s">
        <v>333</v>
      </c>
      <c r="AP7" s="980"/>
      <c r="AQ7" s="981"/>
      <c r="AR7" s="982" t="s">
        <v>334</v>
      </c>
      <c r="AS7" s="983"/>
      <c r="AT7" s="984"/>
      <c r="AU7" s="653"/>
    </row>
    <row r="8" spans="1:47" ht="18.75" customHeight="1" x14ac:dyDescent="0.3">
      <c r="A8" s="666"/>
      <c r="B8" s="667"/>
      <c r="C8" s="667"/>
      <c r="D8" s="668" t="s">
        <v>89</v>
      </c>
      <c r="E8" s="667"/>
      <c r="F8" s="667"/>
      <c r="G8" s="668" t="s">
        <v>89</v>
      </c>
      <c r="H8" s="667"/>
      <c r="I8" s="667"/>
      <c r="J8" s="668" t="s">
        <v>89</v>
      </c>
      <c r="K8" s="667"/>
      <c r="L8" s="667"/>
      <c r="M8" s="668" t="s">
        <v>89</v>
      </c>
      <c r="N8" s="667"/>
      <c r="O8" s="667"/>
      <c r="P8" s="668" t="s">
        <v>89</v>
      </c>
      <c r="Q8" s="667"/>
      <c r="R8" s="667"/>
      <c r="S8" s="668" t="s">
        <v>89</v>
      </c>
      <c r="T8" s="667"/>
      <c r="U8" s="667"/>
      <c r="V8" s="668" t="s">
        <v>89</v>
      </c>
      <c r="W8" s="667"/>
      <c r="X8" s="667"/>
      <c r="Y8" s="668" t="s">
        <v>89</v>
      </c>
      <c r="Z8" s="667"/>
      <c r="AA8" s="667"/>
      <c r="AB8" s="668" t="s">
        <v>89</v>
      </c>
      <c r="AC8" s="667"/>
      <c r="AD8" s="667"/>
      <c r="AE8" s="668" t="s">
        <v>89</v>
      </c>
      <c r="AF8" s="667"/>
      <c r="AG8" s="667"/>
      <c r="AH8" s="668" t="s">
        <v>89</v>
      </c>
      <c r="AI8" s="667"/>
      <c r="AJ8" s="667"/>
      <c r="AK8" s="668" t="s">
        <v>89</v>
      </c>
      <c r="AL8" s="667"/>
      <c r="AM8" s="667"/>
      <c r="AN8" s="668" t="s">
        <v>89</v>
      </c>
      <c r="AO8" s="667"/>
      <c r="AP8" s="667"/>
      <c r="AQ8" s="668" t="s">
        <v>89</v>
      </c>
      <c r="AR8" s="667"/>
      <c r="AS8" s="667"/>
      <c r="AT8" s="668" t="s">
        <v>89</v>
      </c>
      <c r="AU8" s="653"/>
    </row>
    <row r="9" spans="1:47" ht="18.75" customHeight="1" x14ac:dyDescent="0.3">
      <c r="A9" s="669" t="s">
        <v>335</v>
      </c>
      <c r="B9" s="670">
        <v>2016</v>
      </c>
      <c r="C9" s="670">
        <v>2017</v>
      </c>
      <c r="D9" s="671" t="s">
        <v>91</v>
      </c>
      <c r="E9" s="670">
        <v>2016</v>
      </c>
      <c r="F9" s="670">
        <v>2017</v>
      </c>
      <c r="G9" s="671" t="s">
        <v>91</v>
      </c>
      <c r="H9" s="670">
        <v>2016</v>
      </c>
      <c r="I9" s="670">
        <v>2017</v>
      </c>
      <c r="J9" s="671" t="s">
        <v>91</v>
      </c>
      <c r="K9" s="670">
        <v>2016</v>
      </c>
      <c r="L9" s="670">
        <v>2017</v>
      </c>
      <c r="M9" s="671" t="s">
        <v>91</v>
      </c>
      <c r="N9" s="670">
        <v>2016</v>
      </c>
      <c r="O9" s="670">
        <v>2017</v>
      </c>
      <c r="P9" s="671" t="s">
        <v>91</v>
      </c>
      <c r="Q9" s="670">
        <v>2016</v>
      </c>
      <c r="R9" s="670">
        <v>2017</v>
      </c>
      <c r="S9" s="671" t="s">
        <v>91</v>
      </c>
      <c r="T9" s="670">
        <v>2016</v>
      </c>
      <c r="U9" s="670">
        <v>2017</v>
      </c>
      <c r="V9" s="671" t="s">
        <v>91</v>
      </c>
      <c r="W9" s="670">
        <v>2016</v>
      </c>
      <c r="X9" s="670">
        <v>2017</v>
      </c>
      <c r="Y9" s="671" t="s">
        <v>91</v>
      </c>
      <c r="Z9" s="670">
        <v>2016</v>
      </c>
      <c r="AA9" s="670">
        <v>2017</v>
      </c>
      <c r="AB9" s="671" t="s">
        <v>91</v>
      </c>
      <c r="AC9" s="670">
        <v>2016</v>
      </c>
      <c r="AD9" s="670">
        <v>2017</v>
      </c>
      <c r="AE9" s="671" t="s">
        <v>91</v>
      </c>
      <c r="AF9" s="670">
        <v>2016</v>
      </c>
      <c r="AG9" s="670">
        <v>2017</v>
      </c>
      <c r="AH9" s="671" t="s">
        <v>91</v>
      </c>
      <c r="AI9" s="670">
        <v>2016</v>
      </c>
      <c r="AJ9" s="670">
        <v>2017</v>
      </c>
      <c r="AK9" s="671" t="s">
        <v>91</v>
      </c>
      <c r="AL9" s="670">
        <v>2016</v>
      </c>
      <c r="AM9" s="670">
        <v>2017</v>
      </c>
      <c r="AN9" s="671" t="s">
        <v>91</v>
      </c>
      <c r="AO9" s="670">
        <v>2016</v>
      </c>
      <c r="AP9" s="670">
        <v>2017</v>
      </c>
      <c r="AQ9" s="671" t="s">
        <v>91</v>
      </c>
      <c r="AR9" s="670">
        <v>2016</v>
      </c>
      <c r="AS9" s="670">
        <v>2017</v>
      </c>
      <c r="AT9" s="671" t="s">
        <v>91</v>
      </c>
      <c r="AU9" s="653"/>
    </row>
    <row r="10" spans="1:47" ht="18.75" customHeight="1" x14ac:dyDescent="0.3">
      <c r="A10" s="672"/>
      <c r="B10" s="673"/>
      <c r="C10" s="674"/>
      <c r="D10" s="675"/>
      <c r="E10" s="676"/>
      <c r="F10" s="674"/>
      <c r="G10" s="677"/>
      <c r="H10" s="673"/>
      <c r="I10" s="674"/>
      <c r="J10" s="677"/>
      <c r="K10" s="673"/>
      <c r="L10" s="674"/>
      <c r="M10" s="675"/>
      <c r="N10" s="673"/>
      <c r="O10" s="674"/>
      <c r="P10" s="677"/>
      <c r="Q10" s="673"/>
      <c r="R10" s="674"/>
      <c r="S10" s="677"/>
      <c r="T10" s="673"/>
      <c r="U10" s="674"/>
      <c r="V10" s="677"/>
      <c r="W10" s="673"/>
      <c r="X10" s="674"/>
      <c r="Y10" s="677"/>
      <c r="Z10" s="676"/>
      <c r="AA10" s="674"/>
      <c r="AB10" s="677"/>
      <c r="AC10" s="673"/>
      <c r="AD10" s="674"/>
      <c r="AE10" s="677"/>
      <c r="AF10" s="676"/>
      <c r="AG10" s="674"/>
      <c r="AH10" s="677"/>
      <c r="AI10" s="673"/>
      <c r="AJ10" s="674"/>
      <c r="AK10" s="677"/>
      <c r="AL10" s="673"/>
      <c r="AM10" s="674"/>
      <c r="AN10" s="677"/>
      <c r="AO10" s="675"/>
      <c r="AP10" s="675"/>
      <c r="AQ10" s="677"/>
      <c r="AR10" s="678"/>
      <c r="AS10" s="678"/>
      <c r="AT10" s="677"/>
      <c r="AU10" s="653"/>
    </row>
    <row r="11" spans="1:47" s="653" customFormat="1" ht="18.75" customHeight="1" x14ac:dyDescent="0.3">
      <c r="A11" s="679" t="s">
        <v>423</v>
      </c>
      <c r="B11" s="680"/>
      <c r="C11" s="681"/>
      <c r="D11" s="682"/>
      <c r="E11" s="683"/>
      <c r="F11" s="681"/>
      <c r="G11" s="684"/>
      <c r="H11" s="683"/>
      <c r="I11" s="681"/>
      <c r="J11" s="684"/>
      <c r="K11" s="683"/>
      <c r="L11" s="681"/>
      <c r="M11" s="682"/>
      <c r="N11" s="683"/>
      <c r="O11" s="681"/>
      <c r="P11" s="684"/>
      <c r="Q11" s="683"/>
      <c r="R11" s="681"/>
      <c r="S11" s="684"/>
      <c r="T11" s="683"/>
      <c r="U11" s="681"/>
      <c r="V11" s="684"/>
      <c r="W11" s="685"/>
      <c r="X11" s="681"/>
      <c r="Y11" s="686"/>
      <c r="Z11" s="683"/>
      <c r="AA11" s="681"/>
      <c r="AB11" s="684"/>
      <c r="AC11" s="683"/>
      <c r="AD11" s="681"/>
      <c r="AE11" s="684"/>
      <c r="AF11" s="683"/>
      <c r="AG11" s="681"/>
      <c r="AH11" s="684"/>
      <c r="AI11" s="683"/>
      <c r="AJ11" s="681"/>
      <c r="AK11" s="684"/>
      <c r="AL11" s="683"/>
      <c r="AM11" s="681"/>
      <c r="AN11" s="684"/>
      <c r="AO11" s="682"/>
      <c r="AP11" s="682"/>
      <c r="AQ11" s="684"/>
      <c r="AR11" s="687"/>
      <c r="AS11" s="687"/>
      <c r="AT11" s="684"/>
    </row>
    <row r="12" spans="1:47" s="653" customFormat="1" ht="18.75" customHeight="1" x14ac:dyDescent="0.3">
      <c r="A12" s="688" t="s">
        <v>424</v>
      </c>
      <c r="B12" s="449"/>
      <c r="C12" s="689"/>
      <c r="D12" s="690"/>
      <c r="E12" s="449">
        <v>76.864999999999995</v>
      </c>
      <c r="F12" s="689">
        <v>76.7</v>
      </c>
      <c r="G12" s="691">
        <f>IF(E12=0, "    ---- ", IF(ABS(ROUND(100/E12*F12-100,1))&lt;999,ROUND(100/E12*F12-100,1),IF(ROUND(100/E12*F12-100,1)&gt;999,999,-999)))</f>
        <v>-0.2</v>
      </c>
      <c r="H12" s="692"/>
      <c r="I12" s="689"/>
      <c r="J12" s="693"/>
      <c r="K12" s="692"/>
      <c r="L12" s="689"/>
      <c r="M12" s="690"/>
      <c r="N12" s="692"/>
      <c r="O12" s="689"/>
      <c r="P12" s="693"/>
      <c r="Q12" s="692"/>
      <c r="R12" s="689"/>
      <c r="S12" s="693"/>
      <c r="T12" s="692"/>
      <c r="U12" s="689"/>
      <c r="V12" s="693"/>
      <c r="W12" s="694">
        <v>3.7589054220000002</v>
      </c>
      <c r="X12" s="689">
        <v>6.2277158830626238</v>
      </c>
      <c r="Y12" s="691">
        <f t="shared" ref="Y12:Y58" si="0">IF(W12=0, "    ---- ", IF(ABS(ROUND(100/W12*X12-100,1))&lt;999,ROUND(100/W12*X12-100,1),IF(ROUND(100/W12*X12-100,1)&gt;999,999,-999)))</f>
        <v>65.7</v>
      </c>
      <c r="Z12" s="692"/>
      <c r="AA12" s="689"/>
      <c r="AB12" s="693"/>
      <c r="AC12" s="692"/>
      <c r="AD12" s="689"/>
      <c r="AE12" s="693"/>
      <c r="AF12" s="692"/>
      <c r="AG12" s="689"/>
      <c r="AH12" s="693"/>
      <c r="AI12" s="449">
        <v>13.007</v>
      </c>
      <c r="AJ12" s="689">
        <v>23.625</v>
      </c>
      <c r="AK12" s="691">
        <f>IF(AI12=0, "    ---- ", IF(ABS(ROUND(100/AI12*AJ12-100,1))&lt;999,ROUND(100/AI12*AJ12-100,1),IF(ROUND(100/AI12*AJ12-100,1)&gt;999,999,-999)))</f>
        <v>81.599999999999994</v>
      </c>
      <c r="AL12" s="695">
        <v>64.3</v>
      </c>
      <c r="AM12" s="689">
        <v>25.9</v>
      </c>
      <c r="AN12" s="691">
        <f>IF(AL12=0, "    ---- ", IF(ABS(ROUND(100/AL12*AM12-100,1))&lt;999,ROUND(100/AL12*AM12-100,1),IF(ROUND(100/AL12*AM12-100,1)&gt;999,999,-999)))</f>
        <v>-59.7</v>
      </c>
      <c r="AO12" s="696">
        <f>B12+E12+H12+K12+Q12+T12+W12+Z12+AF12+AI12+AL12</f>
        <v>157.930905422</v>
      </c>
      <c r="AP12" s="696">
        <f>C12+F12+I12+L12+R12+U12+X12+AA12+AG12+AJ12+AM12</f>
        <v>132.45271588306264</v>
      </c>
      <c r="AQ12" s="691">
        <f t="shared" ref="AQ12:AQ22" si="1">IF(AO12=0, "    ---- ", IF(ABS(ROUND(100/AO12*AP12-100,1))&lt;999,ROUND(100/AO12*AP12-100,1),IF(ROUND(100/AO12*AP12-100,1)&gt;999,999,-999)))</f>
        <v>-16.100000000000001</v>
      </c>
      <c r="AR12" s="696">
        <f>+B12+E12+H12+K12+N12+Q12+T12+W12+Z12+AC12+AF12+AI12+AL12</f>
        <v>157.930905422</v>
      </c>
      <c r="AS12" s="696">
        <f>+C12+F12+I12+L12+O12+R12+U12+X12+AA12+AD12+AG12+AJ12+AM12</f>
        <v>132.45271588306264</v>
      </c>
      <c r="AT12" s="691">
        <f t="shared" ref="AT12:AT22" si="2">IF(AR12=0, "    ---- ", IF(ABS(ROUND(100/AR12*AS12-100,1))&lt;999,ROUND(100/AR12*AS12-100,1),IF(ROUND(100/AR12*AS12-100,1)&gt;999,999,-999)))</f>
        <v>-16.100000000000001</v>
      </c>
    </row>
    <row r="13" spans="1:47" s="653" customFormat="1" ht="18.75" customHeight="1" x14ac:dyDescent="0.3">
      <c r="A13" s="688" t="s">
        <v>425</v>
      </c>
      <c r="B13" s="449"/>
      <c r="C13" s="689"/>
      <c r="D13" s="690"/>
      <c r="E13" s="449"/>
      <c r="F13" s="689"/>
      <c r="G13" s="691"/>
      <c r="H13" s="692"/>
      <c r="I13" s="689"/>
      <c r="J13" s="693"/>
      <c r="K13" s="692"/>
      <c r="L13" s="689"/>
      <c r="M13" s="690"/>
      <c r="N13" s="692"/>
      <c r="O13" s="689"/>
      <c r="P13" s="693"/>
      <c r="Q13" s="692"/>
      <c r="R13" s="689"/>
      <c r="S13" s="693"/>
      <c r="T13" s="692"/>
      <c r="U13" s="689"/>
      <c r="V13" s="693"/>
      <c r="W13" s="694">
        <v>-3.7589054220000002</v>
      </c>
      <c r="X13" s="689">
        <v>-6.2277158830626238</v>
      </c>
      <c r="Y13" s="691">
        <f t="shared" si="0"/>
        <v>65.7</v>
      </c>
      <c r="Z13" s="692"/>
      <c r="AA13" s="689"/>
      <c r="AB13" s="693"/>
      <c r="AC13" s="692"/>
      <c r="AD13" s="689"/>
      <c r="AE13" s="693"/>
      <c r="AF13" s="692"/>
      <c r="AG13" s="689"/>
      <c r="AH13" s="693"/>
      <c r="AI13" s="449"/>
      <c r="AJ13" s="689"/>
      <c r="AK13" s="691"/>
      <c r="AL13" s="695"/>
      <c r="AM13" s="689"/>
      <c r="AN13" s="691"/>
      <c r="AO13" s="696">
        <f t="shared" ref="AO13:AP76" si="3">B13+E13+H13+K13+Q13+T13+W13+Z13+AF13+AI13+AL13</f>
        <v>-3.7589054220000002</v>
      </c>
      <c r="AP13" s="696">
        <f t="shared" si="3"/>
        <v>-6.2277158830626238</v>
      </c>
      <c r="AQ13" s="691">
        <f t="shared" si="1"/>
        <v>65.7</v>
      </c>
      <c r="AR13" s="696">
        <f t="shared" ref="AR13:AS76" si="4">+B13+E13+H13+K13+N13+Q13+T13+W13+Z13+AC13+AF13+AI13+AL13</f>
        <v>-3.7589054220000002</v>
      </c>
      <c r="AS13" s="696">
        <f t="shared" si="4"/>
        <v>-6.2277158830626238</v>
      </c>
      <c r="AT13" s="691">
        <f t="shared" si="2"/>
        <v>65.7</v>
      </c>
    </row>
    <row r="14" spans="1:47" s="653" customFormat="1" ht="18.75" customHeight="1" x14ac:dyDescent="0.3">
      <c r="A14" s="688" t="s">
        <v>426</v>
      </c>
      <c r="B14" s="449"/>
      <c r="C14" s="689"/>
      <c r="D14" s="690"/>
      <c r="E14" s="449">
        <v>21.186</v>
      </c>
      <c r="F14" s="689">
        <v>21.9</v>
      </c>
      <c r="G14" s="691">
        <f>IF(E14=0, "    ---- ", IF(ABS(ROUND(100/E14*F14-100,1))&lt;999,ROUND(100/E14*F14-100,1),IF(ROUND(100/E14*F14-100,1)&gt;999,999,-999)))</f>
        <v>3.4</v>
      </c>
      <c r="H14" s="692"/>
      <c r="I14" s="689"/>
      <c r="J14" s="693"/>
      <c r="K14" s="692"/>
      <c r="L14" s="689"/>
      <c r="M14" s="690"/>
      <c r="N14" s="692"/>
      <c r="O14" s="689"/>
      <c r="P14" s="693"/>
      <c r="Q14" s="692"/>
      <c r="R14" s="689"/>
      <c r="S14" s="693"/>
      <c r="T14" s="692"/>
      <c r="U14" s="689"/>
      <c r="V14" s="693"/>
      <c r="W14" s="694">
        <v>6.357586886</v>
      </c>
      <c r="X14" s="689">
        <v>6.2579918265871424</v>
      </c>
      <c r="Y14" s="691">
        <f t="shared" si="0"/>
        <v>-1.6</v>
      </c>
      <c r="Z14" s="692"/>
      <c r="AA14" s="689"/>
      <c r="AB14" s="693"/>
      <c r="AC14" s="692"/>
      <c r="AD14" s="689"/>
      <c r="AE14" s="693"/>
      <c r="AF14" s="692"/>
      <c r="AG14" s="689"/>
      <c r="AH14" s="693"/>
      <c r="AI14" s="449">
        <v>-3.673</v>
      </c>
      <c r="AJ14" s="689">
        <v>-4.9740000000000002</v>
      </c>
      <c r="AK14" s="691">
        <f>IF(AI14=0, "    ---- ", IF(ABS(ROUND(100/AI14*AJ14-100,1))&lt;999,ROUND(100/AI14*AJ14-100,1),IF(ROUND(100/AI14*AJ14-100,1)&gt;999,999,-999)))</f>
        <v>35.4</v>
      </c>
      <c r="AL14" s="695">
        <v>1</v>
      </c>
      <c r="AM14" s="689">
        <v>-1.95</v>
      </c>
      <c r="AN14" s="691">
        <f>IF(AL14=0, "    ---- ", IF(ABS(ROUND(100/AL14*AM14-100,1))&lt;999,ROUND(100/AL14*AM14-100,1),IF(ROUND(100/AL14*AM14-100,1)&gt;999,999,-999)))</f>
        <v>-295</v>
      </c>
      <c r="AO14" s="696">
        <f t="shared" si="3"/>
        <v>24.870586885999998</v>
      </c>
      <c r="AP14" s="696">
        <f t="shared" si="3"/>
        <v>21.233991826587143</v>
      </c>
      <c r="AQ14" s="691">
        <f t="shared" si="1"/>
        <v>-14.6</v>
      </c>
      <c r="AR14" s="696">
        <f t="shared" si="4"/>
        <v>24.870586885999998</v>
      </c>
      <c r="AS14" s="696">
        <f t="shared" si="4"/>
        <v>21.233991826587143</v>
      </c>
      <c r="AT14" s="691">
        <f t="shared" si="2"/>
        <v>-14.6</v>
      </c>
    </row>
    <row r="15" spans="1:47" s="653" customFormat="1" ht="18.75" customHeight="1" x14ac:dyDescent="0.3">
      <c r="A15" s="688" t="s">
        <v>427</v>
      </c>
      <c r="B15" s="449"/>
      <c r="C15" s="689"/>
      <c r="D15" s="690"/>
      <c r="E15" s="449"/>
      <c r="F15" s="689"/>
      <c r="G15" s="691"/>
      <c r="H15" s="692"/>
      <c r="I15" s="689"/>
      <c r="J15" s="693"/>
      <c r="K15" s="692"/>
      <c r="L15" s="689"/>
      <c r="M15" s="690"/>
      <c r="N15" s="692"/>
      <c r="O15" s="689"/>
      <c r="P15" s="693"/>
      <c r="Q15" s="692"/>
      <c r="R15" s="689"/>
      <c r="S15" s="693"/>
      <c r="T15" s="692"/>
      <c r="U15" s="689"/>
      <c r="V15" s="693"/>
      <c r="W15" s="694"/>
      <c r="X15" s="689"/>
      <c r="Y15" s="691"/>
      <c r="Z15" s="692"/>
      <c r="AA15" s="689"/>
      <c r="AB15" s="693"/>
      <c r="AC15" s="692"/>
      <c r="AD15" s="689"/>
      <c r="AE15" s="693"/>
      <c r="AF15" s="692"/>
      <c r="AG15" s="689"/>
      <c r="AH15" s="693"/>
      <c r="AI15" s="449"/>
      <c r="AJ15" s="689"/>
      <c r="AK15" s="691"/>
      <c r="AL15" s="695"/>
      <c r="AM15" s="689"/>
      <c r="AN15" s="691"/>
      <c r="AO15" s="696"/>
      <c r="AP15" s="696"/>
      <c r="AQ15" s="691"/>
      <c r="AR15" s="696"/>
      <c r="AS15" s="696"/>
      <c r="AT15" s="691"/>
    </row>
    <row r="16" spans="1:47" s="653" customFormat="1" ht="18.75" customHeight="1" x14ac:dyDescent="0.3">
      <c r="A16" s="688" t="s">
        <v>428</v>
      </c>
      <c r="B16" s="449"/>
      <c r="C16" s="689"/>
      <c r="D16" s="690"/>
      <c r="E16" s="449"/>
      <c r="F16" s="689"/>
      <c r="G16" s="691"/>
      <c r="H16" s="692"/>
      <c r="I16" s="689"/>
      <c r="J16" s="693"/>
      <c r="K16" s="692"/>
      <c r="L16" s="689"/>
      <c r="M16" s="690"/>
      <c r="N16" s="692"/>
      <c r="O16" s="689"/>
      <c r="P16" s="693"/>
      <c r="Q16" s="692"/>
      <c r="R16" s="689"/>
      <c r="S16" s="693"/>
      <c r="T16" s="692"/>
      <c r="U16" s="689"/>
      <c r="V16" s="693"/>
      <c r="W16" s="694"/>
      <c r="X16" s="689"/>
      <c r="Y16" s="691"/>
      <c r="Z16" s="692"/>
      <c r="AA16" s="689"/>
      <c r="AB16" s="693"/>
      <c r="AC16" s="692"/>
      <c r="AD16" s="689"/>
      <c r="AE16" s="693"/>
      <c r="AF16" s="692"/>
      <c r="AG16" s="689"/>
      <c r="AH16" s="693"/>
      <c r="AI16" s="449"/>
      <c r="AJ16" s="689"/>
      <c r="AK16" s="691"/>
      <c r="AL16" s="695"/>
      <c r="AM16" s="689"/>
      <c r="AN16" s="691"/>
      <c r="AO16" s="696"/>
      <c r="AP16" s="696"/>
      <c r="AQ16" s="691"/>
      <c r="AR16" s="696"/>
      <c r="AS16" s="696"/>
      <c r="AT16" s="691"/>
    </row>
    <row r="17" spans="1:46" s="653" customFormat="1" ht="18.75" customHeight="1" x14ac:dyDescent="0.3">
      <c r="A17" s="688" t="s">
        <v>429</v>
      </c>
      <c r="B17" s="449"/>
      <c r="C17" s="689"/>
      <c r="D17" s="690"/>
      <c r="E17" s="449">
        <v>29.443000000000001</v>
      </c>
      <c r="F17" s="689">
        <v>59.02</v>
      </c>
      <c r="G17" s="691">
        <f>IF(E17=0, "    ---- ", IF(ABS(ROUND(100/E17*F17-100,1))&lt;999,ROUND(100/E17*F17-100,1),IF(ROUND(100/E17*F17-100,1)&gt;999,999,-999)))</f>
        <v>100.5</v>
      </c>
      <c r="H17" s="692"/>
      <c r="I17" s="689"/>
      <c r="J17" s="693"/>
      <c r="K17" s="692"/>
      <c r="L17" s="689"/>
      <c r="M17" s="690"/>
      <c r="N17" s="692"/>
      <c r="O17" s="689"/>
      <c r="P17" s="693"/>
      <c r="Q17" s="692"/>
      <c r="R17" s="689"/>
      <c r="S17" s="693"/>
      <c r="T17" s="692"/>
      <c r="U17" s="689"/>
      <c r="V17" s="693"/>
      <c r="W17" s="694">
        <v>10.810188610999999</v>
      </c>
      <c r="X17" s="689">
        <v>11.212142049229177</v>
      </c>
      <c r="Y17" s="691">
        <f t="shared" si="0"/>
        <v>3.7</v>
      </c>
      <c r="Z17" s="692"/>
      <c r="AA17" s="689"/>
      <c r="AB17" s="693"/>
      <c r="AC17" s="692"/>
      <c r="AD17" s="689"/>
      <c r="AE17" s="693"/>
      <c r="AF17" s="692"/>
      <c r="AG17" s="689"/>
      <c r="AH17" s="693"/>
      <c r="AI17" s="449">
        <v>-6.8090000000000002</v>
      </c>
      <c r="AJ17" s="689">
        <v>-10.069000000000001</v>
      </c>
      <c r="AK17" s="691">
        <f>IF(AI17=0, "    ---- ", IF(ABS(ROUND(100/AI17*AJ17-100,1))&lt;999,ROUND(100/AI17*AJ17-100,1),IF(ROUND(100/AI17*AJ17-100,1)&gt;999,999,-999)))</f>
        <v>47.9</v>
      </c>
      <c r="AL17" s="695">
        <v>171.8</v>
      </c>
      <c r="AM17" s="689">
        <v>165.33</v>
      </c>
      <c r="AN17" s="691">
        <f>IF(AL17=0, "    ---- ", IF(ABS(ROUND(100/AL17*AM17-100,1))&lt;999,ROUND(100/AL17*AM17-100,1),IF(ROUND(100/AL17*AM17-100,1)&gt;999,999,-999)))</f>
        <v>-3.8</v>
      </c>
      <c r="AO17" s="696">
        <f t="shared" si="3"/>
        <v>205.24418861100003</v>
      </c>
      <c r="AP17" s="696">
        <f t="shared" si="3"/>
        <v>225.49314204922919</v>
      </c>
      <c r="AQ17" s="691">
        <f t="shared" si="1"/>
        <v>9.9</v>
      </c>
      <c r="AR17" s="696">
        <f t="shared" si="4"/>
        <v>205.24418861100003</v>
      </c>
      <c r="AS17" s="696">
        <f t="shared" si="4"/>
        <v>225.49314204922919</v>
      </c>
      <c r="AT17" s="691">
        <f t="shared" si="2"/>
        <v>9.9</v>
      </c>
    </row>
    <row r="18" spans="1:46" s="653" customFormat="1" ht="18.75" customHeight="1" x14ac:dyDescent="0.3">
      <c r="A18" s="688" t="s">
        <v>430</v>
      </c>
      <c r="B18" s="449"/>
      <c r="C18" s="689"/>
      <c r="D18" s="690"/>
      <c r="E18" s="449"/>
      <c r="F18" s="689"/>
      <c r="G18" s="691"/>
      <c r="H18" s="692"/>
      <c r="I18" s="689"/>
      <c r="J18" s="693"/>
      <c r="K18" s="692"/>
      <c r="L18" s="689"/>
      <c r="M18" s="690"/>
      <c r="N18" s="692"/>
      <c r="O18" s="689"/>
      <c r="P18" s="693"/>
      <c r="Q18" s="692"/>
      <c r="R18" s="689"/>
      <c r="S18" s="693"/>
      <c r="T18" s="692"/>
      <c r="U18" s="689"/>
      <c r="V18" s="693"/>
      <c r="W18" s="694"/>
      <c r="X18" s="689"/>
      <c r="Y18" s="691"/>
      <c r="Z18" s="692"/>
      <c r="AA18" s="689"/>
      <c r="AB18" s="693"/>
      <c r="AC18" s="692"/>
      <c r="AD18" s="689"/>
      <c r="AE18" s="693"/>
      <c r="AF18" s="692"/>
      <c r="AG18" s="689"/>
      <c r="AH18" s="693"/>
      <c r="AI18" s="449"/>
      <c r="AJ18" s="689"/>
      <c r="AK18" s="691"/>
      <c r="AL18" s="695"/>
      <c r="AM18" s="689"/>
      <c r="AN18" s="691"/>
      <c r="AO18" s="696"/>
      <c r="AP18" s="696"/>
      <c r="AQ18" s="691"/>
      <c r="AR18" s="696"/>
      <c r="AS18" s="696"/>
      <c r="AT18" s="691"/>
    </row>
    <row r="19" spans="1:46" s="653" customFormat="1" ht="18.75" customHeight="1" x14ac:dyDescent="0.3">
      <c r="A19" s="688" t="s">
        <v>431</v>
      </c>
      <c r="B19" s="449"/>
      <c r="C19" s="689"/>
      <c r="D19" s="690"/>
      <c r="E19" s="449"/>
      <c r="F19" s="689"/>
      <c r="G19" s="691"/>
      <c r="H19" s="692"/>
      <c r="I19" s="689"/>
      <c r="J19" s="693"/>
      <c r="K19" s="692"/>
      <c r="L19" s="689"/>
      <c r="M19" s="690"/>
      <c r="N19" s="692"/>
      <c r="O19" s="689"/>
      <c r="P19" s="693"/>
      <c r="Q19" s="692"/>
      <c r="R19" s="689"/>
      <c r="S19" s="693"/>
      <c r="T19" s="692"/>
      <c r="U19" s="689"/>
      <c r="V19" s="693"/>
      <c r="W19" s="694"/>
      <c r="X19" s="689"/>
      <c r="Y19" s="691"/>
      <c r="Z19" s="692"/>
      <c r="AA19" s="689"/>
      <c r="AB19" s="693"/>
      <c r="AC19" s="692"/>
      <c r="AD19" s="689"/>
      <c r="AE19" s="693"/>
      <c r="AF19" s="692"/>
      <c r="AG19" s="689"/>
      <c r="AH19" s="693"/>
      <c r="AI19" s="449"/>
      <c r="AJ19" s="689"/>
      <c r="AK19" s="691"/>
      <c r="AL19" s="695">
        <v>-4.7</v>
      </c>
      <c r="AM19" s="689"/>
      <c r="AN19" s="691">
        <f>IF(AL19=0, "    ---- ", IF(ABS(ROUND(100/AL19*AM19-100,1))&lt;999,ROUND(100/AL19*AM19-100,1),IF(ROUND(100/AL19*AM19-100,1)&gt;999,999,-999)))</f>
        <v>-100</v>
      </c>
      <c r="AO19" s="696">
        <f t="shared" si="3"/>
        <v>-4.7</v>
      </c>
      <c r="AP19" s="696">
        <f t="shared" si="3"/>
        <v>0</v>
      </c>
      <c r="AQ19" s="691">
        <f t="shared" si="1"/>
        <v>-100</v>
      </c>
      <c r="AR19" s="696">
        <f t="shared" si="4"/>
        <v>-4.7</v>
      </c>
      <c r="AS19" s="696">
        <f t="shared" si="4"/>
        <v>0</v>
      </c>
      <c r="AT19" s="691">
        <f t="shared" si="2"/>
        <v>-100</v>
      </c>
    </row>
    <row r="20" spans="1:46" s="699" customFormat="1" ht="18.75" customHeight="1" x14ac:dyDescent="0.3">
      <c r="A20" s="679" t="s">
        <v>432</v>
      </c>
      <c r="B20" s="680"/>
      <c r="C20" s="681"/>
      <c r="D20" s="682"/>
      <c r="E20" s="680">
        <v>127.49399999999999</v>
      </c>
      <c r="F20" s="681">
        <f>SUM(F12:F17)+F19</f>
        <v>157.62</v>
      </c>
      <c r="G20" s="686">
        <f>IF(E20=0, "    ---- ", IF(ABS(ROUND(100/E20*F20-100,1))&lt;999,ROUND(100/E20*F20-100,1),IF(ROUND(100/E20*F20-100,1)&gt;999,999,-999)))</f>
        <v>23.6</v>
      </c>
      <c r="H20" s="683"/>
      <c r="I20" s="681"/>
      <c r="J20" s="684"/>
      <c r="K20" s="683"/>
      <c r="L20" s="681"/>
      <c r="M20" s="682"/>
      <c r="N20" s="683"/>
      <c r="O20" s="681"/>
      <c r="P20" s="684"/>
      <c r="Q20" s="683"/>
      <c r="R20" s="681"/>
      <c r="S20" s="684"/>
      <c r="T20" s="683"/>
      <c r="U20" s="681"/>
      <c r="V20" s="684"/>
      <c r="W20" s="685">
        <v>17.167775497000001</v>
      </c>
      <c r="X20" s="681">
        <f>SUM(X12:X17)+X19</f>
        <v>17.47013387581632</v>
      </c>
      <c r="Y20" s="686">
        <f t="shared" si="0"/>
        <v>1.8</v>
      </c>
      <c r="Z20" s="683"/>
      <c r="AA20" s="681"/>
      <c r="AB20" s="684"/>
      <c r="AC20" s="683"/>
      <c r="AD20" s="681"/>
      <c r="AE20" s="684"/>
      <c r="AF20" s="683"/>
      <c r="AG20" s="681"/>
      <c r="AH20" s="684"/>
      <c r="AI20" s="680">
        <v>2.5249999999999995</v>
      </c>
      <c r="AJ20" s="681">
        <f>SUM(AJ12:AJ17)+AJ19</f>
        <v>8.581999999999999</v>
      </c>
      <c r="AK20" s="686">
        <f>IF(AI20=0, "    ---- ", IF(ABS(ROUND(100/AI20*AJ20-100,1))&lt;999,ROUND(100/AI20*AJ20-100,1),IF(ROUND(100/AI20*AJ20-100,1)&gt;999,999,-999)))</f>
        <v>239.9</v>
      </c>
      <c r="AL20" s="697">
        <v>232.40000000000003</v>
      </c>
      <c r="AM20" s="681">
        <f>SUM(AM12:AM17)+AM19</f>
        <v>189.28</v>
      </c>
      <c r="AN20" s="686">
        <f>IF(AL20=0, "    ---- ", IF(ABS(ROUND(100/AL20*AM20-100,1))&lt;999,ROUND(100/AL20*AM20-100,1),IF(ROUND(100/AL20*AM20-100,1)&gt;999,999,-999)))</f>
        <v>-18.600000000000001</v>
      </c>
      <c r="AO20" s="698">
        <f t="shared" si="3"/>
        <v>379.58677549700002</v>
      </c>
      <c r="AP20" s="698">
        <f t="shared" si="3"/>
        <v>372.95213387581634</v>
      </c>
      <c r="AQ20" s="686">
        <f t="shared" si="1"/>
        <v>-1.7</v>
      </c>
      <c r="AR20" s="698">
        <f t="shared" si="4"/>
        <v>379.58677549700002</v>
      </c>
      <c r="AS20" s="698">
        <f t="shared" si="4"/>
        <v>372.95213387581634</v>
      </c>
      <c r="AT20" s="686">
        <f t="shared" si="2"/>
        <v>-1.7</v>
      </c>
    </row>
    <row r="21" spans="1:46" s="653" customFormat="1" ht="18.75" customHeight="1" x14ac:dyDescent="0.3">
      <c r="A21" s="688" t="s">
        <v>433</v>
      </c>
      <c r="B21" s="449"/>
      <c r="C21" s="689"/>
      <c r="D21" s="690"/>
      <c r="E21" s="449">
        <v>82.870999999999995</v>
      </c>
      <c r="F21" s="689">
        <v>102.46</v>
      </c>
      <c r="G21" s="691">
        <f>IF(E21=0, "    ---- ", IF(ABS(ROUND(100/E21*F21-100,1))&lt;999,ROUND(100/E21*F21-100,1),IF(ROUND(100/E21*F21-100,1)&gt;999,999,-999)))</f>
        <v>23.6</v>
      </c>
      <c r="H21" s="692"/>
      <c r="I21" s="689"/>
      <c r="J21" s="693"/>
      <c r="K21" s="692"/>
      <c r="L21" s="689"/>
      <c r="M21" s="690"/>
      <c r="N21" s="692"/>
      <c r="O21" s="689"/>
      <c r="P21" s="693"/>
      <c r="Q21" s="692"/>
      <c r="R21" s="689"/>
      <c r="S21" s="693"/>
      <c r="T21" s="692"/>
      <c r="U21" s="689"/>
      <c r="V21" s="693"/>
      <c r="W21" s="694">
        <v>10.882518601999999</v>
      </c>
      <c r="X21" s="689">
        <v>11.355587019280605</v>
      </c>
      <c r="Y21" s="691">
        <f t="shared" si="0"/>
        <v>4.3</v>
      </c>
      <c r="Z21" s="692"/>
      <c r="AA21" s="689"/>
      <c r="AB21" s="693"/>
      <c r="AC21" s="692"/>
      <c r="AD21" s="689"/>
      <c r="AE21" s="693"/>
      <c r="AF21" s="692"/>
      <c r="AG21" s="689"/>
      <c r="AH21" s="693"/>
      <c r="AI21" s="449">
        <v>1.641</v>
      </c>
      <c r="AJ21" s="689">
        <v>5.5780000000000003</v>
      </c>
      <c r="AK21" s="691">
        <f>IF(AI21=0, "    ---- ", IF(ABS(ROUND(100/AI21*AJ21-100,1))&lt;999,ROUND(100/AI21*AJ21-100,1),IF(ROUND(100/AI21*AJ21-100,1)&gt;999,999,-999)))</f>
        <v>239.9</v>
      </c>
      <c r="AL21" s="695">
        <v>156.30000000000001</v>
      </c>
      <c r="AM21" s="689">
        <v>133.69999999999999</v>
      </c>
      <c r="AN21" s="691">
        <f>IF(AL21=0, "    ---- ", IF(ABS(ROUND(100/AL21*AM21-100,1))&lt;999,ROUND(100/AL21*AM21-100,1),IF(ROUND(100/AL21*AM21-100,1)&gt;999,999,-999)))</f>
        <v>-14.5</v>
      </c>
      <c r="AO21" s="696">
        <f t="shared" si="3"/>
        <v>251.69451860200002</v>
      </c>
      <c r="AP21" s="696">
        <f t="shared" si="3"/>
        <v>253.09358701928059</v>
      </c>
      <c r="AQ21" s="691">
        <f t="shared" si="1"/>
        <v>0.6</v>
      </c>
      <c r="AR21" s="696">
        <f t="shared" si="4"/>
        <v>251.69451860200002</v>
      </c>
      <c r="AS21" s="696">
        <f t="shared" si="4"/>
        <v>253.09358701928059</v>
      </c>
      <c r="AT21" s="691">
        <f t="shared" si="2"/>
        <v>0.6</v>
      </c>
    </row>
    <row r="22" spans="1:46" s="653" customFormat="1" ht="18.75" customHeight="1" x14ac:dyDescent="0.3">
      <c r="A22" s="688" t="s">
        <v>434</v>
      </c>
      <c r="B22" s="449"/>
      <c r="C22" s="689"/>
      <c r="D22" s="690"/>
      <c r="E22" s="449">
        <v>44.622999999999998</v>
      </c>
      <c r="F22" s="689">
        <v>55.17</v>
      </c>
      <c r="G22" s="691">
        <f>IF(E22=0, "    ---- ", IF(ABS(ROUND(100/E22*F22-100,1))&lt;999,ROUND(100/E22*F22-100,1),IF(ROUND(100/E22*F22-100,1)&gt;999,999,-999)))</f>
        <v>23.6</v>
      </c>
      <c r="H22" s="692"/>
      <c r="I22" s="689"/>
      <c r="J22" s="693"/>
      <c r="K22" s="692"/>
      <c r="L22" s="689"/>
      <c r="M22" s="690"/>
      <c r="N22" s="692"/>
      <c r="O22" s="689"/>
      <c r="P22" s="693"/>
      <c r="Q22" s="692"/>
      <c r="R22" s="689"/>
      <c r="S22" s="693"/>
      <c r="T22" s="692"/>
      <c r="U22" s="689"/>
      <c r="V22" s="693"/>
      <c r="W22" s="694">
        <v>6.2852568950000016</v>
      </c>
      <c r="X22" s="689">
        <v>6.1145468565357142</v>
      </c>
      <c r="Y22" s="691">
        <f t="shared" si="0"/>
        <v>-2.7</v>
      </c>
      <c r="Z22" s="692"/>
      <c r="AA22" s="689"/>
      <c r="AB22" s="693"/>
      <c r="AC22" s="692"/>
      <c r="AD22" s="689"/>
      <c r="AE22" s="693"/>
      <c r="AF22" s="692"/>
      <c r="AG22" s="689"/>
      <c r="AH22" s="693"/>
      <c r="AI22" s="449">
        <v>0.88400000000000001</v>
      </c>
      <c r="AJ22" s="689">
        <v>3.004</v>
      </c>
      <c r="AK22" s="691">
        <f>IF(AI22=0, "    ---- ", IF(ABS(ROUND(100/AI22*AJ22-100,1))&lt;999,ROUND(100/AI22*AJ22-100,1),IF(ROUND(100/AI22*AJ22-100,1)&gt;999,999,-999)))</f>
        <v>239.8</v>
      </c>
      <c r="AL22" s="695">
        <v>76.099999999999994</v>
      </c>
      <c r="AM22" s="689">
        <v>55.53</v>
      </c>
      <c r="AN22" s="691">
        <f>IF(AL22=0, "    ---- ", IF(ABS(ROUND(100/AL22*AM22-100,1))&lt;999,ROUND(100/AL22*AM22-100,1),IF(ROUND(100/AL22*AM22-100,1)&gt;999,999,-999)))</f>
        <v>-27</v>
      </c>
      <c r="AO22" s="696">
        <f t="shared" si="3"/>
        <v>127.892256895</v>
      </c>
      <c r="AP22" s="696">
        <f t="shared" si="3"/>
        <v>119.81854685653572</v>
      </c>
      <c r="AQ22" s="691">
        <f t="shared" si="1"/>
        <v>-6.3</v>
      </c>
      <c r="AR22" s="696">
        <f t="shared" si="4"/>
        <v>127.892256895</v>
      </c>
      <c r="AS22" s="696">
        <f t="shared" si="4"/>
        <v>119.81854685653572</v>
      </c>
      <c r="AT22" s="691">
        <f t="shared" si="2"/>
        <v>-6.3</v>
      </c>
    </row>
    <row r="23" spans="1:46" s="653" customFormat="1" ht="18.75" customHeight="1" x14ac:dyDescent="0.3">
      <c r="A23" s="679" t="s">
        <v>435</v>
      </c>
      <c r="B23" s="680"/>
      <c r="C23" s="681"/>
      <c r="D23" s="682"/>
      <c r="E23" s="680"/>
      <c r="F23" s="681"/>
      <c r="G23" s="686"/>
      <c r="H23" s="683"/>
      <c r="I23" s="681"/>
      <c r="J23" s="684"/>
      <c r="K23" s="683"/>
      <c r="L23" s="681"/>
      <c r="M23" s="682"/>
      <c r="N23" s="683"/>
      <c r="O23" s="681"/>
      <c r="P23" s="684"/>
      <c r="Q23" s="683"/>
      <c r="R23" s="681"/>
      <c r="S23" s="684"/>
      <c r="T23" s="683"/>
      <c r="U23" s="681"/>
      <c r="V23" s="684"/>
      <c r="W23" s="685"/>
      <c r="X23" s="681"/>
      <c r="Y23" s="686"/>
      <c r="Z23" s="683"/>
      <c r="AA23" s="681"/>
      <c r="AB23" s="684"/>
      <c r="AC23" s="683"/>
      <c r="AD23" s="681"/>
      <c r="AE23" s="684"/>
      <c r="AF23" s="683"/>
      <c r="AG23" s="681"/>
      <c r="AH23" s="684"/>
      <c r="AI23" s="680"/>
      <c r="AJ23" s="681"/>
      <c r="AK23" s="686"/>
      <c r="AL23" s="697"/>
      <c r="AM23" s="681"/>
      <c r="AN23" s="686"/>
      <c r="AO23" s="698"/>
      <c r="AP23" s="698"/>
      <c r="AQ23" s="686"/>
      <c r="AR23" s="698"/>
      <c r="AS23" s="698"/>
      <c r="AT23" s="686"/>
    </row>
    <row r="24" spans="1:46" s="653" customFormat="1" ht="18.75" customHeight="1" x14ac:dyDescent="0.3">
      <c r="A24" s="688" t="s">
        <v>424</v>
      </c>
      <c r="B24" s="449"/>
      <c r="C24" s="689"/>
      <c r="D24" s="690"/>
      <c r="E24" s="449">
        <v>206.04400000000001</v>
      </c>
      <c r="F24" s="689">
        <v>317.64</v>
      </c>
      <c r="G24" s="691">
        <f t="shared" ref="G24:G29" si="5">IF(E24=0, "    ---- ", IF(ABS(ROUND(100/E24*F24-100,1))&lt;999,ROUND(100/E24*F24-100,1),IF(ROUND(100/E24*F24-100,1)&gt;999,999,-999)))</f>
        <v>54.2</v>
      </c>
      <c r="H24" s="692"/>
      <c r="I24" s="689"/>
      <c r="J24" s="693"/>
      <c r="K24" s="692"/>
      <c r="L24" s="689"/>
      <c r="M24" s="690"/>
      <c r="N24" s="692"/>
      <c r="O24" s="689"/>
      <c r="P24" s="693"/>
      <c r="Q24" s="692"/>
      <c r="R24" s="689"/>
      <c r="S24" s="693"/>
      <c r="T24" s="692"/>
      <c r="U24" s="689"/>
      <c r="V24" s="693"/>
      <c r="W24" s="694">
        <v>2.1913185450000001</v>
      </c>
      <c r="X24" s="689">
        <v>2.7574734305679511</v>
      </c>
      <c r="Y24" s="691">
        <f t="shared" si="0"/>
        <v>25.8</v>
      </c>
      <c r="Z24" s="692"/>
      <c r="AA24" s="689"/>
      <c r="AB24" s="693"/>
      <c r="AC24" s="692"/>
      <c r="AD24" s="689"/>
      <c r="AE24" s="693"/>
      <c r="AF24" s="692"/>
      <c r="AG24" s="689"/>
      <c r="AH24" s="693"/>
      <c r="AI24" s="449">
        <v>-1.6419999999999999</v>
      </c>
      <c r="AJ24" s="689">
        <v>-2.996</v>
      </c>
      <c r="AK24" s="691">
        <f>IF(AI24=0, "    ---- ", IF(ABS(ROUND(100/AI24*AJ24-100,1))&lt;999,ROUND(100/AI24*AJ24-100,1),IF(ROUND(100/AI24*AJ24-100,1)&gt;999,999,-999)))</f>
        <v>82.5</v>
      </c>
      <c r="AL24" s="695"/>
      <c r="AM24" s="689"/>
      <c r="AN24" s="693"/>
      <c r="AO24" s="700">
        <f t="shared" si="3"/>
        <v>206.59331854500002</v>
      </c>
      <c r="AP24" s="700">
        <f t="shared" si="3"/>
        <v>317.40147343056793</v>
      </c>
      <c r="AQ24" s="691">
        <f t="shared" ref="AQ24:AQ86" si="6">IF(AO24=0, "    ---- ", IF(ABS(ROUND(100/AO24*AP24-100,1))&lt;999,ROUND(100/AO24*AP24-100,1),IF(ROUND(100/AO24*AP24-100,1)&gt;999,999,-999)))</f>
        <v>53.6</v>
      </c>
      <c r="AR24" s="696">
        <f t="shared" si="4"/>
        <v>206.59331854500002</v>
      </c>
      <c r="AS24" s="696">
        <f t="shared" si="4"/>
        <v>317.40147343056793</v>
      </c>
      <c r="AT24" s="691">
        <f t="shared" ref="AT24:AT86" si="7">IF(AR24=0, "    ---- ", IF(ABS(ROUND(100/AR24*AS24-100,1))&lt;999,ROUND(100/AR24*AS24-100,1),IF(ROUND(100/AR24*AS24-100,1)&gt;999,999,-999)))</f>
        <v>53.6</v>
      </c>
    </row>
    <row r="25" spans="1:46" s="653" customFormat="1" ht="18.75" customHeight="1" x14ac:dyDescent="0.3">
      <c r="A25" s="688" t="s">
        <v>425</v>
      </c>
      <c r="B25" s="449"/>
      <c r="C25" s="689"/>
      <c r="D25" s="690"/>
      <c r="E25" s="449">
        <v>-205.53100000000001</v>
      </c>
      <c r="F25" s="689">
        <v>-9</v>
      </c>
      <c r="G25" s="691">
        <f t="shared" si="5"/>
        <v>-95.6</v>
      </c>
      <c r="H25" s="692"/>
      <c r="I25" s="689"/>
      <c r="J25" s="693"/>
      <c r="K25" s="692"/>
      <c r="L25" s="689"/>
      <c r="M25" s="690"/>
      <c r="N25" s="692"/>
      <c r="O25" s="689"/>
      <c r="P25" s="693"/>
      <c r="Q25" s="692"/>
      <c r="R25" s="689"/>
      <c r="S25" s="693"/>
      <c r="T25" s="692"/>
      <c r="U25" s="689"/>
      <c r="V25" s="693"/>
      <c r="W25" s="694">
        <v>-2.1881405639999998</v>
      </c>
      <c r="X25" s="689">
        <v>-2.752476726777779</v>
      </c>
      <c r="Y25" s="691">
        <f t="shared" si="0"/>
        <v>25.8</v>
      </c>
      <c r="Z25" s="692"/>
      <c r="AA25" s="689"/>
      <c r="AB25" s="693"/>
      <c r="AC25" s="692"/>
      <c r="AD25" s="689"/>
      <c r="AE25" s="693"/>
      <c r="AF25" s="692"/>
      <c r="AG25" s="689"/>
      <c r="AH25" s="693"/>
      <c r="AI25" s="449"/>
      <c r="AJ25" s="689"/>
      <c r="AK25" s="691"/>
      <c r="AL25" s="695"/>
      <c r="AM25" s="689"/>
      <c r="AN25" s="693"/>
      <c r="AO25" s="700">
        <f t="shared" si="3"/>
        <v>-207.71914056400001</v>
      </c>
      <c r="AP25" s="700">
        <f t="shared" si="3"/>
        <v>-11.752476726777779</v>
      </c>
      <c r="AQ25" s="691">
        <f t="shared" si="6"/>
        <v>-94.3</v>
      </c>
      <c r="AR25" s="696">
        <f t="shared" si="4"/>
        <v>-207.71914056400001</v>
      </c>
      <c r="AS25" s="696">
        <f t="shared" si="4"/>
        <v>-11.752476726777779</v>
      </c>
      <c r="AT25" s="691">
        <f t="shared" si="7"/>
        <v>-94.3</v>
      </c>
    </row>
    <row r="26" spans="1:46" s="653" customFormat="1" ht="18.75" customHeight="1" x14ac:dyDescent="0.3">
      <c r="A26" s="688" t="s">
        <v>426</v>
      </c>
      <c r="B26" s="449"/>
      <c r="C26" s="689"/>
      <c r="D26" s="690"/>
      <c r="E26" s="449">
        <v>11.106999999999999</v>
      </c>
      <c r="F26" s="689">
        <v>31.07</v>
      </c>
      <c r="G26" s="691">
        <f t="shared" si="5"/>
        <v>179.7</v>
      </c>
      <c r="H26" s="692"/>
      <c r="I26" s="689"/>
      <c r="J26" s="693"/>
      <c r="K26" s="692"/>
      <c r="L26" s="689"/>
      <c r="M26" s="690"/>
      <c r="N26" s="692"/>
      <c r="O26" s="689"/>
      <c r="P26" s="693"/>
      <c r="Q26" s="692"/>
      <c r="R26" s="689"/>
      <c r="S26" s="693"/>
      <c r="T26" s="692"/>
      <c r="U26" s="689"/>
      <c r="V26" s="693"/>
      <c r="W26" s="694">
        <v>0.42950501400000002</v>
      </c>
      <c r="X26" s="689">
        <v>-1.1327234545807541</v>
      </c>
      <c r="Y26" s="691">
        <f t="shared" si="0"/>
        <v>-363.7</v>
      </c>
      <c r="Z26" s="692"/>
      <c r="AA26" s="689"/>
      <c r="AB26" s="693"/>
      <c r="AC26" s="692"/>
      <c r="AD26" s="689"/>
      <c r="AE26" s="693"/>
      <c r="AF26" s="692"/>
      <c r="AG26" s="689"/>
      <c r="AH26" s="693"/>
      <c r="AI26" s="449">
        <v>-0.71</v>
      </c>
      <c r="AJ26" s="689">
        <v>-1.2110000000000001</v>
      </c>
      <c r="AK26" s="691">
        <f>IF(AI26=0, "    ---- ", IF(ABS(ROUND(100/AI26*AJ26-100,1))&lt;999,ROUND(100/AI26*AJ26-100,1),IF(ROUND(100/AI26*AJ26-100,1)&gt;999,999,-999)))</f>
        <v>70.599999999999994</v>
      </c>
      <c r="AL26" s="695"/>
      <c r="AM26" s="689"/>
      <c r="AN26" s="693"/>
      <c r="AO26" s="700">
        <f t="shared" si="3"/>
        <v>10.826505013999999</v>
      </c>
      <c r="AP26" s="700">
        <f t="shared" si="3"/>
        <v>28.726276545419246</v>
      </c>
      <c r="AQ26" s="691">
        <f t="shared" si="6"/>
        <v>165.3</v>
      </c>
      <c r="AR26" s="696">
        <f t="shared" si="4"/>
        <v>10.826505013999999</v>
      </c>
      <c r="AS26" s="696">
        <f t="shared" si="4"/>
        <v>28.726276545419246</v>
      </c>
      <c r="AT26" s="691">
        <f t="shared" si="7"/>
        <v>165.3</v>
      </c>
    </row>
    <row r="27" spans="1:46" s="653" customFormat="1" ht="18.75" customHeight="1" x14ac:dyDescent="0.3">
      <c r="A27" s="688" t="s">
        <v>427</v>
      </c>
      <c r="B27" s="449"/>
      <c r="C27" s="689"/>
      <c r="D27" s="690"/>
      <c r="E27" s="449">
        <v>0.55300000000000005</v>
      </c>
      <c r="F27" s="689">
        <v>0.55000000000000004</v>
      </c>
      <c r="G27" s="691">
        <f t="shared" si="5"/>
        <v>-0.5</v>
      </c>
      <c r="H27" s="692"/>
      <c r="I27" s="689"/>
      <c r="J27" s="693"/>
      <c r="K27" s="692"/>
      <c r="L27" s="689"/>
      <c r="M27" s="690"/>
      <c r="N27" s="692"/>
      <c r="O27" s="689"/>
      <c r="P27" s="693"/>
      <c r="Q27" s="692"/>
      <c r="R27" s="689"/>
      <c r="S27" s="693"/>
      <c r="T27" s="692"/>
      <c r="U27" s="689"/>
      <c r="V27" s="693"/>
      <c r="W27" s="694"/>
      <c r="X27" s="689"/>
      <c r="Y27" s="691"/>
      <c r="Z27" s="692"/>
      <c r="AA27" s="689"/>
      <c r="AB27" s="693"/>
      <c r="AC27" s="692"/>
      <c r="AD27" s="689"/>
      <c r="AE27" s="693"/>
      <c r="AF27" s="692"/>
      <c r="AG27" s="689"/>
      <c r="AH27" s="693"/>
      <c r="AI27" s="449"/>
      <c r="AJ27" s="689"/>
      <c r="AK27" s="691"/>
      <c r="AL27" s="695"/>
      <c r="AM27" s="689"/>
      <c r="AN27" s="693"/>
      <c r="AO27" s="700">
        <f t="shared" si="3"/>
        <v>0.55300000000000005</v>
      </c>
      <c r="AP27" s="700">
        <f t="shared" si="3"/>
        <v>0.55000000000000004</v>
      </c>
      <c r="AQ27" s="691">
        <f t="shared" si="6"/>
        <v>-0.5</v>
      </c>
      <c r="AR27" s="696">
        <f t="shared" si="4"/>
        <v>0.55300000000000005</v>
      </c>
      <c r="AS27" s="696">
        <f t="shared" si="4"/>
        <v>0.55000000000000004</v>
      </c>
      <c r="AT27" s="691">
        <f t="shared" si="7"/>
        <v>-0.5</v>
      </c>
    </row>
    <row r="28" spans="1:46" s="653" customFormat="1" ht="18.75" customHeight="1" x14ac:dyDescent="0.3">
      <c r="A28" s="688" t="s">
        <v>428</v>
      </c>
      <c r="B28" s="449"/>
      <c r="C28" s="689"/>
      <c r="D28" s="690"/>
      <c r="E28" s="449">
        <v>86.539000000000001</v>
      </c>
      <c r="F28" s="689">
        <v>78.92</v>
      </c>
      <c r="G28" s="691">
        <f t="shared" si="5"/>
        <v>-8.8000000000000007</v>
      </c>
      <c r="H28" s="692"/>
      <c r="I28" s="689"/>
      <c r="J28" s="693"/>
      <c r="K28" s="692"/>
      <c r="L28" s="689"/>
      <c r="M28" s="690"/>
      <c r="N28" s="692"/>
      <c r="O28" s="689"/>
      <c r="P28" s="693"/>
      <c r="Q28" s="692"/>
      <c r="R28" s="689"/>
      <c r="S28" s="693"/>
      <c r="T28" s="692"/>
      <c r="U28" s="689"/>
      <c r="V28" s="693"/>
      <c r="W28" s="694">
        <v>0.39910099999999998</v>
      </c>
      <c r="X28" s="689">
        <v>0.40314424999999998</v>
      </c>
      <c r="Y28" s="691">
        <f t="shared" si="0"/>
        <v>1</v>
      </c>
      <c r="Z28" s="692"/>
      <c r="AA28" s="689"/>
      <c r="AB28" s="693"/>
      <c r="AC28" s="692"/>
      <c r="AD28" s="689"/>
      <c r="AE28" s="693"/>
      <c r="AF28" s="692"/>
      <c r="AG28" s="689"/>
      <c r="AH28" s="693"/>
      <c r="AI28" s="449"/>
      <c r="AJ28" s="689"/>
      <c r="AK28" s="691"/>
      <c r="AL28" s="695"/>
      <c r="AM28" s="689"/>
      <c r="AN28" s="693"/>
      <c r="AO28" s="700">
        <f t="shared" si="3"/>
        <v>86.938101000000003</v>
      </c>
      <c r="AP28" s="700">
        <f t="shared" si="3"/>
        <v>79.323144249999999</v>
      </c>
      <c r="AQ28" s="691">
        <f t="shared" si="6"/>
        <v>-8.8000000000000007</v>
      </c>
      <c r="AR28" s="696">
        <f t="shared" si="4"/>
        <v>86.938101000000003</v>
      </c>
      <c r="AS28" s="696">
        <f t="shared" si="4"/>
        <v>79.323144249999999</v>
      </c>
      <c r="AT28" s="691">
        <f t="shared" si="7"/>
        <v>-8.8000000000000007</v>
      </c>
    </row>
    <row r="29" spans="1:46" s="653" customFormat="1" ht="18.75" customHeight="1" x14ac:dyDescent="0.3">
      <c r="A29" s="688" t="s">
        <v>429</v>
      </c>
      <c r="B29" s="449"/>
      <c r="C29" s="689"/>
      <c r="D29" s="690"/>
      <c r="E29" s="449">
        <v>100.113</v>
      </c>
      <c r="F29" s="689">
        <v>71.819999999999993</v>
      </c>
      <c r="G29" s="691">
        <f t="shared" si="5"/>
        <v>-28.3</v>
      </c>
      <c r="H29" s="692"/>
      <c r="I29" s="689"/>
      <c r="J29" s="693"/>
      <c r="K29" s="692"/>
      <c r="L29" s="689"/>
      <c r="M29" s="690"/>
      <c r="N29" s="692"/>
      <c r="O29" s="689"/>
      <c r="P29" s="693"/>
      <c r="Q29" s="692"/>
      <c r="R29" s="689"/>
      <c r="S29" s="693"/>
      <c r="T29" s="692"/>
      <c r="U29" s="689"/>
      <c r="V29" s="693"/>
      <c r="W29" s="694">
        <v>7.0858660000000004E-2</v>
      </c>
      <c r="X29" s="689">
        <v>-1.9588029999999999E-2</v>
      </c>
      <c r="Y29" s="691">
        <f t="shared" si="0"/>
        <v>-127.6</v>
      </c>
      <c r="Z29" s="692"/>
      <c r="AA29" s="689"/>
      <c r="AB29" s="693"/>
      <c r="AC29" s="692"/>
      <c r="AD29" s="689"/>
      <c r="AE29" s="693"/>
      <c r="AF29" s="692"/>
      <c r="AG29" s="689"/>
      <c r="AH29" s="693"/>
      <c r="AI29" s="449">
        <v>-1E-3</v>
      </c>
      <c r="AJ29" s="689">
        <v>-1.2999999999999999E-2</v>
      </c>
      <c r="AK29" s="691">
        <f>IF(AI29=0, "    ---- ", IF(ABS(ROUND(100/AI29*AJ29-100,1))&lt;999,ROUND(100/AI29*AJ29-100,1),IF(ROUND(100/AI29*AJ29-100,1)&gt;999,999,-999)))</f>
        <v>999</v>
      </c>
      <c r="AL29" s="695"/>
      <c r="AM29" s="689"/>
      <c r="AN29" s="693"/>
      <c r="AO29" s="700">
        <f t="shared" si="3"/>
        <v>100.18285865999999</v>
      </c>
      <c r="AP29" s="700">
        <f t="shared" si="3"/>
        <v>71.787411969999994</v>
      </c>
      <c r="AQ29" s="691">
        <f t="shared" si="6"/>
        <v>-28.3</v>
      </c>
      <c r="AR29" s="696">
        <f t="shared" si="4"/>
        <v>100.18285865999999</v>
      </c>
      <c r="AS29" s="696">
        <f t="shared" si="4"/>
        <v>71.787411969999994</v>
      </c>
      <c r="AT29" s="691">
        <f t="shared" si="7"/>
        <v>-28.3</v>
      </c>
    </row>
    <row r="30" spans="1:46" s="653" customFormat="1" ht="18.75" customHeight="1" x14ac:dyDescent="0.3">
      <c r="A30" s="688" t="s">
        <v>430</v>
      </c>
      <c r="B30" s="449"/>
      <c r="C30" s="689"/>
      <c r="D30" s="690"/>
      <c r="E30" s="449"/>
      <c r="F30" s="689"/>
      <c r="G30" s="691"/>
      <c r="H30" s="692"/>
      <c r="I30" s="689"/>
      <c r="J30" s="693"/>
      <c r="K30" s="692"/>
      <c r="L30" s="689"/>
      <c r="M30" s="690"/>
      <c r="N30" s="692"/>
      <c r="O30" s="689"/>
      <c r="P30" s="693"/>
      <c r="Q30" s="692"/>
      <c r="R30" s="689"/>
      <c r="S30" s="693"/>
      <c r="T30" s="692"/>
      <c r="U30" s="689"/>
      <c r="V30" s="693"/>
      <c r="W30" s="694"/>
      <c r="X30" s="689">
        <v>9.5822972174204014E-8</v>
      </c>
      <c r="Y30" s="691" t="str">
        <f t="shared" si="0"/>
        <v xml:space="preserve">    ---- </v>
      </c>
      <c r="Z30" s="692"/>
      <c r="AA30" s="689"/>
      <c r="AB30" s="693"/>
      <c r="AC30" s="692"/>
      <c r="AD30" s="689"/>
      <c r="AE30" s="693"/>
      <c r="AF30" s="692"/>
      <c r="AG30" s="689"/>
      <c r="AH30" s="693"/>
      <c r="AI30" s="449"/>
      <c r="AJ30" s="689"/>
      <c r="AK30" s="691"/>
      <c r="AL30" s="695"/>
      <c r="AM30" s="689"/>
      <c r="AN30" s="693"/>
      <c r="AO30" s="700"/>
      <c r="AP30" s="700"/>
      <c r="AQ30" s="691"/>
      <c r="AR30" s="696"/>
      <c r="AS30" s="696"/>
      <c r="AT30" s="691"/>
    </row>
    <row r="31" spans="1:46" s="653" customFormat="1" ht="18.75" customHeight="1" x14ac:dyDescent="0.3">
      <c r="A31" s="688" t="s">
        <v>431</v>
      </c>
      <c r="B31" s="449"/>
      <c r="C31" s="689"/>
      <c r="D31" s="700"/>
      <c r="E31" s="449"/>
      <c r="F31" s="689"/>
      <c r="G31" s="691"/>
      <c r="H31" s="449"/>
      <c r="I31" s="689"/>
      <c r="J31" s="701"/>
      <c r="K31" s="449"/>
      <c r="L31" s="689"/>
      <c r="M31" s="700"/>
      <c r="N31" s="449"/>
      <c r="O31" s="689"/>
      <c r="P31" s="701"/>
      <c r="Q31" s="449"/>
      <c r="R31" s="689"/>
      <c r="S31" s="701"/>
      <c r="T31" s="449"/>
      <c r="U31" s="689"/>
      <c r="V31" s="701"/>
      <c r="W31" s="694"/>
      <c r="X31" s="689"/>
      <c r="Y31" s="691"/>
      <c r="Z31" s="449"/>
      <c r="AA31" s="689"/>
      <c r="AB31" s="701"/>
      <c r="AC31" s="449"/>
      <c r="AD31" s="689"/>
      <c r="AE31" s="701"/>
      <c r="AF31" s="449"/>
      <c r="AG31" s="689"/>
      <c r="AH31" s="701"/>
      <c r="AI31" s="449"/>
      <c r="AJ31" s="689"/>
      <c r="AK31" s="691"/>
      <c r="AL31" s="695"/>
      <c r="AM31" s="689"/>
      <c r="AN31" s="701"/>
      <c r="AO31" s="700"/>
      <c r="AP31" s="700"/>
      <c r="AQ31" s="701"/>
      <c r="AR31" s="696"/>
      <c r="AS31" s="700"/>
      <c r="AT31" s="691"/>
    </row>
    <row r="32" spans="1:46" s="699" customFormat="1" ht="18.75" customHeight="1" x14ac:dyDescent="0.3">
      <c r="A32" s="679" t="s">
        <v>432</v>
      </c>
      <c r="B32" s="680"/>
      <c r="C32" s="681"/>
      <c r="D32" s="702"/>
      <c r="E32" s="703">
        <v>198.82499999999999</v>
      </c>
      <c r="F32" s="681">
        <f>SUM(F24:F29)+F31</f>
        <v>491</v>
      </c>
      <c r="G32" s="686">
        <f>IF(E32=0, "    ---- ", IF(ABS(ROUND(100/E32*F32-100,1))&lt;999,ROUND(100/E32*F32-100,1),IF(ROUND(100/E32*F32-100,1)&gt;999,999,-999)))</f>
        <v>147</v>
      </c>
      <c r="H32" s="680"/>
      <c r="I32" s="681"/>
      <c r="J32" s="704"/>
      <c r="K32" s="680"/>
      <c r="L32" s="681"/>
      <c r="M32" s="702"/>
      <c r="N32" s="680"/>
      <c r="O32" s="681"/>
      <c r="P32" s="704"/>
      <c r="Q32" s="680"/>
      <c r="R32" s="681"/>
      <c r="S32" s="704"/>
      <c r="T32" s="680"/>
      <c r="U32" s="681"/>
      <c r="V32" s="704"/>
      <c r="W32" s="685">
        <v>0.90264265500000029</v>
      </c>
      <c r="X32" s="681">
        <f>SUM(X24:X29)+X31</f>
        <v>-0.74417053079058193</v>
      </c>
      <c r="Y32" s="686">
        <f t="shared" si="0"/>
        <v>-182.4</v>
      </c>
      <c r="Z32" s="680"/>
      <c r="AA32" s="681"/>
      <c r="AB32" s="704"/>
      <c r="AC32" s="680"/>
      <c r="AD32" s="681"/>
      <c r="AE32" s="704"/>
      <c r="AF32" s="680"/>
      <c r="AG32" s="681"/>
      <c r="AH32" s="704"/>
      <c r="AI32" s="680">
        <v>-2.3529999999999998</v>
      </c>
      <c r="AJ32" s="681">
        <f>SUM(AJ24:AJ29)+AJ31</f>
        <v>-4.22</v>
      </c>
      <c r="AK32" s="686">
        <f>IF(AI32=0, "    ---- ", IF(ABS(ROUND(100/AI32*AJ32-100,1))&lt;999,ROUND(100/AI32*AJ32-100,1),IF(ROUND(100/AI32*AJ32-100,1)&gt;999,999,-999)))</f>
        <v>79.3</v>
      </c>
      <c r="AL32" s="697"/>
      <c r="AM32" s="681"/>
      <c r="AN32" s="704"/>
      <c r="AO32" s="702">
        <f t="shared" si="3"/>
        <v>197.37464265499997</v>
      </c>
      <c r="AP32" s="702">
        <f t="shared" si="3"/>
        <v>486.03582946920938</v>
      </c>
      <c r="AQ32" s="704">
        <f t="shared" si="6"/>
        <v>146.30000000000001</v>
      </c>
      <c r="AR32" s="702">
        <f t="shared" si="4"/>
        <v>197.37464265499997</v>
      </c>
      <c r="AS32" s="702">
        <f t="shared" si="4"/>
        <v>486.03582946920938</v>
      </c>
      <c r="AT32" s="704">
        <f t="shared" si="7"/>
        <v>146.30000000000001</v>
      </c>
    </row>
    <row r="33" spans="1:47" s="653" customFormat="1" ht="18.75" customHeight="1" x14ac:dyDescent="0.3">
      <c r="A33" s="688" t="s">
        <v>433</v>
      </c>
      <c r="B33" s="449"/>
      <c r="C33" s="689"/>
      <c r="D33" s="700"/>
      <c r="E33" s="705">
        <v>1.3443000000000001</v>
      </c>
      <c r="F33" s="689">
        <v>314.39999999999998</v>
      </c>
      <c r="G33" s="691">
        <f>IF(E33=0, "    ---- ", IF(ABS(ROUND(100/E33*F33-100,1))&lt;999,ROUND(100/E33*F33-100,1),IF(ROUND(100/E33*F33-100,1)&gt;999,999,-999)))</f>
        <v>999</v>
      </c>
      <c r="H33" s="449"/>
      <c r="I33" s="689"/>
      <c r="J33" s="701"/>
      <c r="K33" s="449"/>
      <c r="L33" s="689"/>
      <c r="M33" s="700"/>
      <c r="N33" s="449"/>
      <c r="O33" s="689"/>
      <c r="P33" s="701"/>
      <c r="Q33" s="449"/>
      <c r="R33" s="689"/>
      <c r="S33" s="701"/>
      <c r="T33" s="449"/>
      <c r="U33" s="689"/>
      <c r="V33" s="701"/>
      <c r="W33" s="694">
        <v>3.5429330000000002E-2</v>
      </c>
      <c r="X33" s="689">
        <v>0</v>
      </c>
      <c r="Y33" s="691">
        <f t="shared" si="0"/>
        <v>-100</v>
      </c>
      <c r="Z33" s="449"/>
      <c r="AA33" s="689"/>
      <c r="AB33" s="701"/>
      <c r="AC33" s="449"/>
      <c r="AD33" s="689"/>
      <c r="AE33" s="701"/>
      <c r="AF33" s="449"/>
      <c r="AG33" s="689"/>
      <c r="AH33" s="701"/>
      <c r="AI33" s="449"/>
      <c r="AJ33" s="689"/>
      <c r="AK33" s="691"/>
      <c r="AL33" s="695"/>
      <c r="AM33" s="689"/>
      <c r="AN33" s="701"/>
      <c r="AO33" s="700">
        <f t="shared" si="3"/>
        <v>1.37972933</v>
      </c>
      <c r="AP33" s="700">
        <f t="shared" si="3"/>
        <v>314.39999999999998</v>
      </c>
      <c r="AQ33" s="701">
        <f t="shared" si="6"/>
        <v>999</v>
      </c>
      <c r="AR33" s="700">
        <f t="shared" si="4"/>
        <v>1.37972933</v>
      </c>
      <c r="AS33" s="700">
        <f t="shared" si="4"/>
        <v>314.39999999999998</v>
      </c>
      <c r="AT33" s="701">
        <f t="shared" si="7"/>
        <v>999</v>
      </c>
    </row>
    <row r="34" spans="1:47" s="653" customFormat="1" ht="18.75" customHeight="1" x14ac:dyDescent="0.3">
      <c r="A34" s="688" t="s">
        <v>434</v>
      </c>
      <c r="B34" s="449"/>
      <c r="C34" s="689"/>
      <c r="D34" s="700"/>
      <c r="E34" s="705">
        <v>197.48099999999999</v>
      </c>
      <c r="F34" s="689">
        <v>176.6</v>
      </c>
      <c r="G34" s="691">
        <f>IF(E34=0, "    ---- ", IF(ABS(ROUND(100/E34*F34-100,1))&lt;999,ROUND(100/E34*F34-100,1),IF(ROUND(100/E34*F34-100,1)&gt;999,999,-999)))</f>
        <v>-10.6</v>
      </c>
      <c r="H34" s="449"/>
      <c r="I34" s="689"/>
      <c r="J34" s="701"/>
      <c r="K34" s="449"/>
      <c r="L34" s="689"/>
      <c r="M34" s="700"/>
      <c r="N34" s="449"/>
      <c r="O34" s="689"/>
      <c r="P34" s="701"/>
      <c r="Q34" s="449"/>
      <c r="R34" s="689"/>
      <c r="S34" s="701"/>
      <c r="T34" s="449"/>
      <c r="U34" s="689"/>
      <c r="V34" s="701"/>
      <c r="W34" s="694">
        <v>0.86721332500000037</v>
      </c>
      <c r="X34" s="689">
        <v>-0.74417053079058171</v>
      </c>
      <c r="Y34" s="691">
        <f t="shared" si="0"/>
        <v>-185.8</v>
      </c>
      <c r="Z34" s="449"/>
      <c r="AA34" s="689"/>
      <c r="AB34" s="701"/>
      <c r="AC34" s="449"/>
      <c r="AD34" s="689"/>
      <c r="AE34" s="701"/>
      <c r="AF34" s="449"/>
      <c r="AG34" s="689"/>
      <c r="AH34" s="701"/>
      <c r="AI34" s="449">
        <v>-2.3530000000000002</v>
      </c>
      <c r="AJ34" s="689">
        <v>-4.22</v>
      </c>
      <c r="AK34" s="691">
        <f>IF(AI34=0, "    ---- ", IF(ABS(ROUND(100/AI34*AJ34-100,1))&lt;999,ROUND(100/AI34*AJ34-100,1),IF(ROUND(100/AI34*AJ34-100,1)&gt;999,999,-999)))</f>
        <v>79.3</v>
      </c>
      <c r="AL34" s="695"/>
      <c r="AM34" s="689"/>
      <c r="AN34" s="701"/>
      <c r="AO34" s="700">
        <f t="shared" si="3"/>
        <v>195.99521332499998</v>
      </c>
      <c r="AP34" s="700">
        <f t="shared" si="3"/>
        <v>171.63582946920943</v>
      </c>
      <c r="AQ34" s="701">
        <f t="shared" si="6"/>
        <v>-12.4</v>
      </c>
      <c r="AR34" s="700">
        <f t="shared" si="4"/>
        <v>195.99521332499998</v>
      </c>
      <c r="AS34" s="700">
        <f t="shared" si="4"/>
        <v>171.63582946920943</v>
      </c>
      <c r="AT34" s="701">
        <f t="shared" si="7"/>
        <v>-12.4</v>
      </c>
    </row>
    <row r="35" spans="1:47" s="653" customFormat="1" ht="18.75" customHeight="1" x14ac:dyDescent="0.3">
      <c r="A35" s="679" t="s">
        <v>436</v>
      </c>
      <c r="B35" s="449"/>
      <c r="C35" s="689"/>
      <c r="D35" s="700"/>
      <c r="E35" s="449"/>
      <c r="F35" s="689"/>
      <c r="G35" s="691"/>
      <c r="H35" s="449"/>
      <c r="I35" s="689"/>
      <c r="J35" s="701"/>
      <c r="K35" s="449"/>
      <c r="L35" s="689"/>
      <c r="M35" s="700"/>
      <c r="N35" s="449"/>
      <c r="O35" s="689"/>
      <c r="P35" s="701"/>
      <c r="Q35" s="449"/>
      <c r="R35" s="689"/>
      <c r="S35" s="701"/>
      <c r="T35" s="449"/>
      <c r="U35" s="689"/>
      <c r="V35" s="701"/>
      <c r="W35" s="694"/>
      <c r="X35" s="689"/>
      <c r="Y35" s="691"/>
      <c r="Z35" s="449"/>
      <c r="AA35" s="689"/>
      <c r="AB35" s="701"/>
      <c r="AC35" s="449"/>
      <c r="AD35" s="689"/>
      <c r="AE35" s="701"/>
      <c r="AF35" s="449"/>
      <c r="AG35" s="689"/>
      <c r="AH35" s="701"/>
      <c r="AI35" s="449"/>
      <c r="AJ35" s="689"/>
      <c r="AK35" s="691"/>
      <c r="AL35" s="695"/>
      <c r="AM35" s="689"/>
      <c r="AN35" s="701"/>
      <c r="AO35" s="700"/>
      <c r="AP35" s="700"/>
      <c r="AQ35" s="701"/>
      <c r="AR35" s="700"/>
      <c r="AS35" s="700"/>
      <c r="AT35" s="701"/>
    </row>
    <row r="36" spans="1:47" s="653" customFormat="1" ht="18.75" customHeight="1" x14ac:dyDescent="0.3">
      <c r="A36" s="688" t="s">
        <v>424</v>
      </c>
      <c r="B36" s="449"/>
      <c r="C36" s="689"/>
      <c r="D36" s="700"/>
      <c r="E36" s="449"/>
      <c r="F36" s="689"/>
      <c r="G36" s="691"/>
      <c r="H36" s="449">
        <v>11.858000000000001</v>
      </c>
      <c r="I36" s="689">
        <v>11.702999999999999</v>
      </c>
      <c r="J36" s="701">
        <f>IF(H36=0, "    ---- ", IF(ABS(ROUND(100/H36*I36-100,1))&lt;999,ROUND(100/H36*I36-100,1),IF(ROUND(100/H36*I36-100,1)&gt;999,999,-999)))</f>
        <v>-1.3</v>
      </c>
      <c r="K36" s="449"/>
      <c r="L36" s="689"/>
      <c r="M36" s="700"/>
      <c r="N36" s="449"/>
      <c r="O36" s="689">
        <v>0.999</v>
      </c>
      <c r="P36" s="701" t="str">
        <f>IF(N36=0, "    ---- ", IF(ABS(ROUND(100/N36*O36-100,1))&lt;999,ROUND(100/N36*O36-100,1),IF(ROUND(100/N36*O36-100,1)&gt;999,999,-999)))</f>
        <v xml:space="preserve">    ---- </v>
      </c>
      <c r="Q36" s="449"/>
      <c r="R36" s="689"/>
      <c r="S36" s="701"/>
      <c r="T36" s="449"/>
      <c r="U36" s="689"/>
      <c r="V36" s="701"/>
      <c r="W36" s="694">
        <v>3.4024026439999999</v>
      </c>
      <c r="X36" s="689">
        <v>3.9901222330103772</v>
      </c>
      <c r="Y36" s="691">
        <f t="shared" si="0"/>
        <v>17.3</v>
      </c>
      <c r="Z36" s="449"/>
      <c r="AA36" s="689"/>
      <c r="AB36" s="701"/>
      <c r="AC36" s="449"/>
      <c r="AD36" s="689"/>
      <c r="AE36" s="701"/>
      <c r="AF36" s="449"/>
      <c r="AG36" s="689"/>
      <c r="AH36" s="701"/>
      <c r="AI36" s="449">
        <v>10.323</v>
      </c>
      <c r="AJ36" s="689">
        <v>18.452000000000002</v>
      </c>
      <c r="AK36" s="691">
        <f>IF(AI36=0, "    ---- ", IF(ABS(ROUND(100/AI36*AJ36-100,1))&lt;999,ROUND(100/AI36*AJ36-100,1),IF(ROUND(100/AI36*AJ36-100,1)&gt;999,999,-999)))</f>
        <v>78.7</v>
      </c>
      <c r="AL36" s="695">
        <v>29.6</v>
      </c>
      <c r="AM36" s="689">
        <v>7.28</v>
      </c>
      <c r="AN36" s="701">
        <f>IF(AL36=0, "    ---- ", IF(ABS(ROUND(100/AL36*AM36-100,1))&lt;999,ROUND(100/AL36*AM36-100,1),IF(ROUND(100/AL36*AM36-100,1)&gt;999,999,-999)))</f>
        <v>-75.400000000000006</v>
      </c>
      <c r="AO36" s="700">
        <f t="shared" si="3"/>
        <v>55.183402644000004</v>
      </c>
      <c r="AP36" s="700">
        <f t="shared" si="3"/>
        <v>41.425122233010377</v>
      </c>
      <c r="AQ36" s="701">
        <f t="shared" si="6"/>
        <v>-24.9</v>
      </c>
      <c r="AR36" s="700">
        <f t="shared" si="4"/>
        <v>55.183402644000004</v>
      </c>
      <c r="AS36" s="700">
        <f t="shared" si="4"/>
        <v>42.42412223301038</v>
      </c>
      <c r="AT36" s="701">
        <f t="shared" si="7"/>
        <v>-23.1</v>
      </c>
    </row>
    <row r="37" spans="1:47" s="653" customFormat="1" ht="18.75" customHeight="1" x14ac:dyDescent="0.3">
      <c r="A37" s="688" t="s">
        <v>425</v>
      </c>
      <c r="B37" s="449"/>
      <c r="C37" s="689"/>
      <c r="D37" s="700"/>
      <c r="E37" s="449"/>
      <c r="F37" s="689"/>
      <c r="G37" s="691"/>
      <c r="H37" s="449"/>
      <c r="I37" s="689"/>
      <c r="J37" s="701"/>
      <c r="K37" s="449"/>
      <c r="L37" s="689"/>
      <c r="M37" s="700"/>
      <c r="N37" s="449"/>
      <c r="O37" s="689"/>
      <c r="P37" s="701"/>
      <c r="Q37" s="449"/>
      <c r="R37" s="689"/>
      <c r="S37" s="701"/>
      <c r="T37" s="449"/>
      <c r="U37" s="689"/>
      <c r="V37" s="701"/>
      <c r="W37" s="449"/>
      <c r="X37" s="689"/>
      <c r="Y37" s="691"/>
      <c r="Z37" s="449"/>
      <c r="AA37" s="689"/>
      <c r="AB37" s="701"/>
      <c r="AC37" s="449"/>
      <c r="AD37" s="689"/>
      <c r="AE37" s="701"/>
      <c r="AF37" s="449"/>
      <c r="AG37" s="689"/>
      <c r="AH37" s="701"/>
      <c r="AI37" s="449"/>
      <c r="AJ37" s="689"/>
      <c r="AK37" s="691"/>
      <c r="AL37" s="695"/>
      <c r="AM37" s="689"/>
      <c r="AN37" s="701"/>
      <c r="AO37" s="700"/>
      <c r="AP37" s="700"/>
      <c r="AQ37" s="701"/>
      <c r="AR37" s="700"/>
      <c r="AS37" s="700"/>
      <c r="AT37" s="701"/>
    </row>
    <row r="38" spans="1:47" s="653" customFormat="1" ht="18.75" customHeight="1" x14ac:dyDescent="0.3">
      <c r="A38" s="688" t="s">
        <v>426</v>
      </c>
      <c r="B38" s="449">
        <v>-15.276</v>
      </c>
      <c r="C38" s="689">
        <v>-14.831</v>
      </c>
      <c r="D38" s="700">
        <f>IF(B38=0, "    ---- ", IF(ABS(ROUND(100/B38*C38-100,1))&lt;999,ROUND(100/B38*C38-100,1),IF(ROUND(100/B38*C38-100,1)&gt;999,999,-999)))</f>
        <v>-2.9</v>
      </c>
      <c r="E38" s="449"/>
      <c r="F38" s="689"/>
      <c r="G38" s="691"/>
      <c r="H38" s="449">
        <v>-6.4909999999999997</v>
      </c>
      <c r="I38" s="689">
        <v>-3.5920000000000001</v>
      </c>
      <c r="J38" s="701">
        <f>IF(H38=0, "    ---- ", IF(ABS(ROUND(100/H38*I38-100,1))&lt;999,ROUND(100/H38*I38-100,1),IF(ROUND(100/H38*I38-100,1)&gt;999,999,-999)))</f>
        <v>-44.7</v>
      </c>
      <c r="K38" s="449"/>
      <c r="L38" s="689"/>
      <c r="M38" s="700"/>
      <c r="N38" s="449">
        <v>9</v>
      </c>
      <c r="O38" s="689">
        <v>7.6970000000000001</v>
      </c>
      <c r="P38" s="701">
        <f>IF(N38=0, "    ---- ", IF(ABS(ROUND(100/N38*O38-100,1))&lt;999,ROUND(100/N38*O38-100,1),IF(ROUND(100/N38*O38-100,1)&gt;999,999,-999)))</f>
        <v>-14.5</v>
      </c>
      <c r="Q38" s="449"/>
      <c r="R38" s="689"/>
      <c r="S38" s="701"/>
      <c r="T38" s="449"/>
      <c r="U38" s="689"/>
      <c r="V38" s="701"/>
      <c r="W38" s="449">
        <v>24.440067805999998</v>
      </c>
      <c r="X38" s="689">
        <v>19.054112330487744</v>
      </c>
      <c r="Y38" s="691">
        <f t="shared" si="0"/>
        <v>-22</v>
      </c>
      <c r="Z38" s="449"/>
      <c r="AA38" s="689"/>
      <c r="AB38" s="701"/>
      <c r="AC38" s="449"/>
      <c r="AD38" s="689"/>
      <c r="AE38" s="701"/>
      <c r="AF38" s="449"/>
      <c r="AG38" s="689"/>
      <c r="AH38" s="701"/>
      <c r="AI38" s="449">
        <v>43.402999999999999</v>
      </c>
      <c r="AJ38" s="689">
        <v>57.526000000000003</v>
      </c>
      <c r="AK38" s="691">
        <f>IF(AI38=0, "    ---- ", IF(ABS(ROUND(100/AI38*AJ38-100,1))&lt;999,ROUND(100/AI38*AJ38-100,1),IF(ROUND(100/AI38*AJ38-100,1)&gt;999,999,-999)))</f>
        <v>32.5</v>
      </c>
      <c r="AL38" s="695">
        <v>-31.3</v>
      </c>
      <c r="AM38" s="689">
        <v>-44.1</v>
      </c>
      <c r="AN38" s="701">
        <f>IF(AL38=0, "    ---- ", IF(ABS(ROUND(100/AL38*AM38-100,1))&lt;999,ROUND(100/AL38*AM38-100,1),IF(ROUND(100/AL38*AM38-100,1)&gt;999,999,-999)))</f>
        <v>40.9</v>
      </c>
      <c r="AO38" s="700">
        <f t="shared" si="3"/>
        <v>14.776067805999997</v>
      </c>
      <c r="AP38" s="700">
        <f t="shared" si="3"/>
        <v>14.057112330487747</v>
      </c>
      <c r="AQ38" s="701">
        <f t="shared" si="6"/>
        <v>-4.9000000000000004</v>
      </c>
      <c r="AR38" s="700">
        <f t="shared" si="4"/>
        <v>23.776067805999997</v>
      </c>
      <c r="AS38" s="700">
        <f t="shared" si="4"/>
        <v>21.75411233048775</v>
      </c>
      <c r="AT38" s="701">
        <f t="shared" si="7"/>
        <v>-8.5</v>
      </c>
    </row>
    <row r="39" spans="1:47" s="653" customFormat="1" ht="18.75" customHeight="1" x14ac:dyDescent="0.3">
      <c r="A39" s="688" t="s">
        <v>427</v>
      </c>
      <c r="B39" s="449"/>
      <c r="C39" s="689"/>
      <c r="D39" s="700"/>
      <c r="E39" s="449"/>
      <c r="F39" s="689"/>
      <c r="G39" s="691"/>
      <c r="H39" s="449"/>
      <c r="I39" s="689"/>
      <c r="J39" s="701"/>
      <c r="K39" s="449"/>
      <c r="L39" s="689"/>
      <c r="M39" s="700"/>
      <c r="N39" s="449"/>
      <c r="O39" s="689"/>
      <c r="P39" s="701"/>
      <c r="Q39" s="449"/>
      <c r="R39" s="689"/>
      <c r="S39" s="701"/>
      <c r="T39" s="449"/>
      <c r="U39" s="689"/>
      <c r="V39" s="701"/>
      <c r="W39" s="449"/>
      <c r="X39" s="689"/>
      <c r="Y39" s="691"/>
      <c r="Z39" s="449"/>
      <c r="AA39" s="689"/>
      <c r="AB39" s="701"/>
      <c r="AC39" s="449"/>
      <c r="AD39" s="689"/>
      <c r="AE39" s="701"/>
      <c r="AF39" s="449"/>
      <c r="AG39" s="689"/>
      <c r="AH39" s="701"/>
      <c r="AI39" s="449"/>
      <c r="AJ39" s="689"/>
      <c r="AK39" s="691"/>
      <c r="AL39" s="695"/>
      <c r="AM39" s="689"/>
      <c r="AN39" s="701"/>
      <c r="AO39" s="700"/>
      <c r="AP39" s="700"/>
      <c r="AQ39" s="701"/>
      <c r="AR39" s="700"/>
      <c r="AS39" s="700"/>
      <c r="AT39" s="701"/>
    </row>
    <row r="40" spans="1:47" s="653" customFormat="1" ht="18.75" customHeight="1" x14ac:dyDescent="0.3">
      <c r="A40" s="688" t="s">
        <v>428</v>
      </c>
      <c r="B40" s="449"/>
      <c r="C40" s="689"/>
      <c r="D40" s="700"/>
      <c r="E40" s="449"/>
      <c r="F40" s="689"/>
      <c r="G40" s="691"/>
      <c r="H40" s="449"/>
      <c r="I40" s="689"/>
      <c r="J40" s="701"/>
      <c r="K40" s="449"/>
      <c r="L40" s="689"/>
      <c r="M40" s="700"/>
      <c r="N40" s="449"/>
      <c r="O40" s="689"/>
      <c r="P40" s="701"/>
      <c r="Q40" s="449"/>
      <c r="R40" s="689"/>
      <c r="S40" s="701"/>
      <c r="T40" s="449"/>
      <c r="U40" s="689"/>
      <c r="V40" s="701"/>
      <c r="W40" s="449"/>
      <c r="X40" s="689"/>
      <c r="Y40" s="691"/>
      <c r="Z40" s="449"/>
      <c r="AA40" s="689"/>
      <c r="AB40" s="701"/>
      <c r="AC40" s="449"/>
      <c r="AD40" s="689"/>
      <c r="AE40" s="701"/>
      <c r="AF40" s="449"/>
      <c r="AG40" s="689"/>
      <c r="AH40" s="701"/>
      <c r="AI40" s="449"/>
      <c r="AJ40" s="689"/>
      <c r="AK40" s="691"/>
      <c r="AL40" s="695"/>
      <c r="AM40" s="689"/>
      <c r="AN40" s="701"/>
      <c r="AO40" s="700"/>
      <c r="AP40" s="700"/>
      <c r="AQ40" s="701"/>
      <c r="AR40" s="700"/>
      <c r="AS40" s="700"/>
      <c r="AT40" s="701"/>
    </row>
    <row r="41" spans="1:47" s="653" customFormat="1" ht="18.75" customHeight="1" x14ac:dyDescent="0.3">
      <c r="A41" s="688" t="s">
        <v>429</v>
      </c>
      <c r="B41" s="449">
        <v>109.49499999999999</v>
      </c>
      <c r="C41" s="689">
        <v>100.355</v>
      </c>
      <c r="D41" s="700">
        <f>IF(B41=0, "    ---- ", IF(ABS(ROUND(100/B41*C41-100,1))&lt;999,ROUND(100/B41*C41-100,1),IF(ROUND(100/B41*C41-100,1)&gt;999,999,-999)))</f>
        <v>-8.3000000000000007</v>
      </c>
      <c r="E41" s="449"/>
      <c r="F41" s="689"/>
      <c r="G41" s="691"/>
      <c r="H41" s="449">
        <v>67.34</v>
      </c>
      <c r="I41" s="689">
        <v>84.311000000000007</v>
      </c>
      <c r="J41" s="701">
        <f>IF(H41=0, "    ---- ", IF(ABS(ROUND(100/H41*I41-100,1))&lt;999,ROUND(100/H41*I41-100,1),IF(ROUND(100/H41*I41-100,1)&gt;999,999,-999)))</f>
        <v>25.2</v>
      </c>
      <c r="K41" s="449"/>
      <c r="L41" s="689"/>
      <c r="M41" s="700"/>
      <c r="N41" s="449">
        <v>10</v>
      </c>
      <c r="O41" s="689">
        <v>14.007</v>
      </c>
      <c r="P41" s="701">
        <f>IF(N41=0, "    ---- ", IF(ABS(ROUND(100/N41*O41-100,1))&lt;999,ROUND(100/N41*O41-100,1),IF(ROUND(100/N41*O41-100,1)&gt;999,999,-999)))</f>
        <v>40.1</v>
      </c>
      <c r="Q41" s="449"/>
      <c r="R41" s="689"/>
      <c r="S41" s="701"/>
      <c r="T41" s="449"/>
      <c r="U41" s="689"/>
      <c r="V41" s="701"/>
      <c r="W41" s="449">
        <v>147.53396096899999</v>
      </c>
      <c r="X41" s="689">
        <v>143.13850582372419</v>
      </c>
      <c r="Y41" s="691">
        <f t="shared" si="0"/>
        <v>-3</v>
      </c>
      <c r="Z41" s="449"/>
      <c r="AA41" s="689"/>
      <c r="AB41" s="701"/>
      <c r="AC41" s="449"/>
      <c r="AD41" s="689"/>
      <c r="AE41" s="701"/>
      <c r="AF41" s="449"/>
      <c r="AG41" s="689"/>
      <c r="AH41" s="701"/>
      <c r="AI41" s="449">
        <v>255.22800000000001</v>
      </c>
      <c r="AJ41" s="689">
        <v>303.58</v>
      </c>
      <c r="AK41" s="691">
        <f>IF(AI41=0, "    ---- ", IF(ABS(ROUND(100/AI41*AJ41-100,1))&lt;999,ROUND(100/AI41*AJ41-100,1),IF(ROUND(100/AI41*AJ41-100,1)&gt;999,999,-999)))</f>
        <v>18.899999999999999</v>
      </c>
      <c r="AL41" s="695">
        <v>152.1</v>
      </c>
      <c r="AM41" s="689">
        <v>170.88</v>
      </c>
      <c r="AN41" s="701">
        <f>IF(AL41=0, "    ---- ", IF(ABS(ROUND(100/AL41*AM41-100,1))&lt;999,ROUND(100/AL41*AM41-100,1),IF(ROUND(100/AL41*AM41-100,1)&gt;999,999,-999)))</f>
        <v>12.3</v>
      </c>
      <c r="AO41" s="700">
        <f t="shared" si="3"/>
        <v>731.69696096900009</v>
      </c>
      <c r="AP41" s="700">
        <f t="shared" si="3"/>
        <v>802.26450582372411</v>
      </c>
      <c r="AQ41" s="701">
        <f t="shared" si="6"/>
        <v>9.6</v>
      </c>
      <c r="AR41" s="700">
        <f t="shared" si="4"/>
        <v>741.69696096900009</v>
      </c>
      <c r="AS41" s="700">
        <f t="shared" si="4"/>
        <v>816.27150582372417</v>
      </c>
      <c r="AT41" s="701">
        <f t="shared" si="7"/>
        <v>10.1</v>
      </c>
    </row>
    <row r="42" spans="1:47" s="653" customFormat="1" ht="18.75" customHeight="1" x14ac:dyDescent="0.3">
      <c r="A42" s="688" t="s">
        <v>430</v>
      </c>
      <c r="B42" s="449"/>
      <c r="C42" s="689"/>
      <c r="D42" s="700"/>
      <c r="E42" s="449"/>
      <c r="F42" s="689"/>
      <c r="G42" s="691"/>
      <c r="H42" s="449"/>
      <c r="I42" s="689"/>
      <c r="J42" s="701"/>
      <c r="K42" s="449"/>
      <c r="L42" s="689"/>
      <c r="M42" s="700"/>
      <c r="N42" s="449"/>
      <c r="O42" s="689"/>
      <c r="P42" s="701"/>
      <c r="Q42" s="449"/>
      <c r="R42" s="689"/>
      <c r="S42" s="701"/>
      <c r="T42" s="449"/>
      <c r="U42" s="689"/>
      <c r="V42" s="701"/>
      <c r="W42" s="449"/>
      <c r="X42" s="689"/>
      <c r="Y42" s="691"/>
      <c r="Z42" s="449"/>
      <c r="AA42" s="689"/>
      <c r="AB42" s="701"/>
      <c r="AC42" s="449"/>
      <c r="AD42" s="689"/>
      <c r="AE42" s="701"/>
      <c r="AF42" s="449"/>
      <c r="AG42" s="689"/>
      <c r="AH42" s="701"/>
      <c r="AI42" s="449"/>
      <c r="AJ42" s="689"/>
      <c r="AK42" s="691"/>
      <c r="AL42" s="695"/>
      <c r="AM42" s="689"/>
      <c r="AN42" s="701"/>
      <c r="AO42" s="700"/>
      <c r="AP42" s="700"/>
      <c r="AQ42" s="701"/>
      <c r="AR42" s="700"/>
      <c r="AS42" s="700"/>
      <c r="AT42" s="701"/>
    </row>
    <row r="43" spans="1:47" s="653" customFormat="1" ht="18.75" customHeight="1" x14ac:dyDescent="0.3">
      <c r="A43" s="688" t="s">
        <v>431</v>
      </c>
      <c r="B43" s="449"/>
      <c r="C43" s="689"/>
      <c r="D43" s="700"/>
      <c r="E43" s="449"/>
      <c r="F43" s="689"/>
      <c r="G43" s="691"/>
      <c r="H43" s="449">
        <v>-7.9000000000000001E-2</v>
      </c>
      <c r="I43" s="689"/>
      <c r="J43" s="701">
        <f>IF(H43=0, "    ---- ", IF(ABS(ROUND(100/H43*I43-100,1))&lt;999,ROUND(100/H43*I43-100,1),IF(ROUND(100/H43*I43-100,1)&gt;999,999,-999)))</f>
        <v>-100</v>
      </c>
      <c r="K43" s="449"/>
      <c r="L43" s="689"/>
      <c r="M43" s="700"/>
      <c r="N43" s="449"/>
      <c r="O43" s="689"/>
      <c r="P43" s="701"/>
      <c r="Q43" s="449"/>
      <c r="R43" s="689"/>
      <c r="S43" s="701"/>
      <c r="T43" s="449"/>
      <c r="U43" s="689"/>
      <c r="V43" s="701"/>
      <c r="W43" s="449"/>
      <c r="X43" s="689"/>
      <c r="Y43" s="691"/>
      <c r="Z43" s="449"/>
      <c r="AA43" s="689"/>
      <c r="AB43" s="701"/>
      <c r="AC43" s="449"/>
      <c r="AD43" s="689"/>
      <c r="AE43" s="701"/>
      <c r="AF43" s="449"/>
      <c r="AG43" s="689"/>
      <c r="AH43" s="701"/>
      <c r="AI43" s="449"/>
      <c r="AJ43" s="689"/>
      <c r="AK43" s="691"/>
      <c r="AL43" s="695"/>
      <c r="AM43" s="689"/>
      <c r="AN43" s="701"/>
      <c r="AO43" s="700">
        <f t="shared" si="3"/>
        <v>-7.9000000000000001E-2</v>
      </c>
      <c r="AP43" s="700">
        <f t="shared" si="3"/>
        <v>0</v>
      </c>
      <c r="AQ43" s="701">
        <f t="shared" si="6"/>
        <v>-100</v>
      </c>
      <c r="AR43" s="700">
        <f t="shared" si="4"/>
        <v>-7.9000000000000001E-2</v>
      </c>
      <c r="AS43" s="700">
        <f t="shared" si="4"/>
        <v>0</v>
      </c>
      <c r="AT43" s="701">
        <f t="shared" si="7"/>
        <v>-100</v>
      </c>
    </row>
    <row r="44" spans="1:47" s="699" customFormat="1" ht="18.75" customHeight="1" x14ac:dyDescent="0.3">
      <c r="A44" s="679" t="s">
        <v>432</v>
      </c>
      <c r="B44" s="680">
        <v>94.218999999999994</v>
      </c>
      <c r="C44" s="681">
        <f>SUM(C36:C41)+C43</f>
        <v>85.524000000000001</v>
      </c>
      <c r="D44" s="702">
        <f>IF(B44=0, "    ---- ", IF(ABS(ROUND(100/B44*C44-100,1))&lt;999,ROUND(100/B44*C44-100,1),IF(ROUND(100/B44*C44-100,1)&gt;999,999,-999)))</f>
        <v>-9.1999999999999993</v>
      </c>
      <c r="E44" s="680"/>
      <c r="F44" s="681"/>
      <c r="G44" s="686"/>
      <c r="H44" s="680">
        <f>SUM(H36:H41)+H43</f>
        <v>72.628000000000014</v>
      </c>
      <c r="I44" s="681">
        <f>SUM(I36:I41)+I43</f>
        <v>92.422000000000011</v>
      </c>
      <c r="J44" s="704">
        <f>IF(H44=0, "    ---- ", IF(ABS(ROUND(100/H44*I44-100,1))&lt;999,ROUND(100/H44*I44-100,1),IF(ROUND(100/H44*I44-100,1)&gt;999,999,-999)))</f>
        <v>27.3</v>
      </c>
      <c r="K44" s="680"/>
      <c r="L44" s="681"/>
      <c r="M44" s="702"/>
      <c r="N44" s="680">
        <v>19</v>
      </c>
      <c r="O44" s="681">
        <f>SUM(O36:O41)+O43</f>
        <v>22.702999999999999</v>
      </c>
      <c r="P44" s="704">
        <f>IF(N44=0, "    ---- ", IF(ABS(ROUND(100/N44*O44-100,1))&lt;999,ROUND(100/N44*O44-100,1),IF(ROUND(100/N44*O44-100,1)&gt;999,999,-999)))</f>
        <v>19.5</v>
      </c>
      <c r="Q44" s="680"/>
      <c r="R44" s="681"/>
      <c r="S44" s="704"/>
      <c r="T44" s="680"/>
      <c r="U44" s="681"/>
      <c r="V44" s="704"/>
      <c r="W44" s="680">
        <v>175.376431419</v>
      </c>
      <c r="X44" s="681">
        <f>SUM(X36:X41)+X43</f>
        <v>166.18274038722231</v>
      </c>
      <c r="Y44" s="686">
        <f t="shared" si="0"/>
        <v>-5.2</v>
      </c>
      <c r="Z44" s="680"/>
      <c r="AA44" s="681"/>
      <c r="AB44" s="704"/>
      <c r="AC44" s="680"/>
      <c r="AD44" s="681"/>
      <c r="AE44" s="704"/>
      <c r="AF44" s="680"/>
      <c r="AG44" s="681"/>
      <c r="AH44" s="704"/>
      <c r="AI44" s="680">
        <v>308.95400000000001</v>
      </c>
      <c r="AJ44" s="681">
        <f>SUM(AJ36:AJ41)+AJ43</f>
        <v>379.55799999999999</v>
      </c>
      <c r="AK44" s="686">
        <f>IF(AI44=0, "    ---- ", IF(ABS(ROUND(100/AI44*AJ44-100,1))&lt;999,ROUND(100/AI44*AJ44-100,1),IF(ROUND(100/AI44*AJ44-100,1)&gt;999,999,-999)))</f>
        <v>22.9</v>
      </c>
      <c r="AL44" s="697">
        <v>150.4</v>
      </c>
      <c r="AM44" s="681">
        <f>SUM(AM36:AM41)+AM43</f>
        <v>134.06</v>
      </c>
      <c r="AN44" s="704">
        <f>IF(AL44=0, "    ---- ", IF(ABS(ROUND(100/AL44*AM44-100,1))&lt;999,ROUND(100/AL44*AM44-100,1),IF(ROUND(100/AL44*AM44-100,1)&gt;999,999,-999)))</f>
        <v>-10.9</v>
      </c>
      <c r="AO44" s="702">
        <f t="shared" si="3"/>
        <v>801.57743141899994</v>
      </c>
      <c r="AP44" s="702">
        <f t="shared" si="3"/>
        <v>857.74674038722242</v>
      </c>
      <c r="AQ44" s="704">
        <f t="shared" si="6"/>
        <v>7</v>
      </c>
      <c r="AR44" s="702">
        <f t="shared" si="4"/>
        <v>820.57743141899994</v>
      </c>
      <c r="AS44" s="702">
        <f t="shared" si="4"/>
        <v>880.44974038722239</v>
      </c>
      <c r="AT44" s="704">
        <f t="shared" si="7"/>
        <v>7.3</v>
      </c>
    </row>
    <row r="45" spans="1:47" s="653" customFormat="1" ht="18.75" customHeight="1" x14ac:dyDescent="0.3">
      <c r="A45" s="688" t="s">
        <v>433</v>
      </c>
      <c r="B45" s="449"/>
      <c r="C45" s="689"/>
      <c r="D45" s="700"/>
      <c r="E45" s="449"/>
      <c r="F45" s="689"/>
      <c r="G45" s="691"/>
      <c r="H45" s="449"/>
      <c r="I45" s="689"/>
      <c r="J45" s="701"/>
      <c r="K45" s="449"/>
      <c r="L45" s="689"/>
      <c r="M45" s="700"/>
      <c r="N45" s="449"/>
      <c r="O45" s="689"/>
      <c r="P45" s="701"/>
      <c r="Q45" s="449"/>
      <c r="R45" s="689"/>
      <c r="S45" s="701"/>
      <c r="T45" s="449"/>
      <c r="U45" s="689"/>
      <c r="V45" s="701"/>
      <c r="W45" s="449"/>
      <c r="X45" s="689"/>
      <c r="Y45" s="691"/>
      <c r="Z45" s="449"/>
      <c r="AA45" s="689"/>
      <c r="AB45" s="701"/>
      <c r="AC45" s="449"/>
      <c r="AD45" s="689"/>
      <c r="AE45" s="701"/>
      <c r="AF45" s="449"/>
      <c r="AG45" s="689"/>
      <c r="AH45" s="701"/>
      <c r="AI45" s="449"/>
      <c r="AJ45" s="689"/>
      <c r="AK45" s="691"/>
      <c r="AL45" s="695"/>
      <c r="AM45" s="689"/>
      <c r="AN45" s="701"/>
      <c r="AO45" s="700"/>
      <c r="AP45" s="700"/>
      <c r="AQ45" s="701"/>
      <c r="AR45" s="700"/>
      <c r="AS45" s="700"/>
      <c r="AT45" s="701"/>
    </row>
    <row r="46" spans="1:47" s="653" customFormat="1" ht="18.75" customHeight="1" x14ac:dyDescent="0.3">
      <c r="A46" s="688" t="s">
        <v>434</v>
      </c>
      <c r="B46" s="449">
        <v>94.218999999999994</v>
      </c>
      <c r="C46" s="689">
        <v>85.524000000000001</v>
      </c>
      <c r="D46" s="700">
        <f>IF(B46=0, "    ---- ", IF(ABS(ROUND(100/B46*C46-100,1))&lt;999,ROUND(100/B46*C46-100,1),IF(ROUND(100/B46*C46-100,1)&gt;999,999,-999)))</f>
        <v>-9.1999999999999993</v>
      </c>
      <c r="E46" s="449"/>
      <c r="F46" s="689"/>
      <c r="G46" s="691"/>
      <c r="H46" s="449">
        <v>72.628</v>
      </c>
      <c r="I46" s="689">
        <v>92.422000000000011</v>
      </c>
      <c r="J46" s="701">
        <f>IF(H46=0, "    ---- ", IF(ABS(ROUND(100/H46*I46-100,1))&lt;999,ROUND(100/H46*I46-100,1),IF(ROUND(100/H46*I46-100,1)&gt;999,999,-999)))</f>
        <v>27.3</v>
      </c>
      <c r="K46" s="449"/>
      <c r="L46" s="689"/>
      <c r="M46" s="700"/>
      <c r="N46" s="449">
        <v>19</v>
      </c>
      <c r="O46" s="689">
        <v>22.702999999999999</v>
      </c>
      <c r="P46" s="701">
        <f>IF(N46=0, "    ---- ", IF(ABS(ROUND(100/N46*O46-100,1))&lt;999,ROUND(100/N46*O46-100,1),IF(ROUND(100/N46*O46-100,1)&gt;999,999,-999)))</f>
        <v>19.5</v>
      </c>
      <c r="Q46" s="449"/>
      <c r="R46" s="689"/>
      <c r="S46" s="701"/>
      <c r="T46" s="449"/>
      <c r="U46" s="689"/>
      <c r="V46" s="701"/>
      <c r="W46" s="449">
        <v>175.376431419</v>
      </c>
      <c r="X46" s="689">
        <v>166.18274038722231</v>
      </c>
      <c r="Y46" s="691">
        <f t="shared" si="0"/>
        <v>-5.2</v>
      </c>
      <c r="Z46" s="449"/>
      <c r="AA46" s="689"/>
      <c r="AB46" s="701"/>
      <c r="AC46" s="449"/>
      <c r="AD46" s="689"/>
      <c r="AE46" s="701"/>
      <c r="AF46" s="449"/>
      <c r="AG46" s="689"/>
      <c r="AH46" s="701"/>
      <c r="AI46" s="449">
        <v>308.95400000000001</v>
      </c>
      <c r="AJ46" s="689">
        <v>379.55799999999999</v>
      </c>
      <c r="AK46" s="691">
        <f>IF(AI46=0, "    ---- ", IF(ABS(ROUND(100/AI46*AJ46-100,1))&lt;999,ROUND(100/AI46*AJ46-100,1),IF(ROUND(100/AI46*AJ46-100,1)&gt;999,999,-999)))</f>
        <v>22.9</v>
      </c>
      <c r="AL46" s="695">
        <v>150.4</v>
      </c>
      <c r="AM46" s="689">
        <v>134.06</v>
      </c>
      <c r="AN46" s="701">
        <f>IF(AL46=0, "    ---- ", IF(ABS(ROUND(100/AL46*AM46-100,1))&lt;999,ROUND(100/AL46*AM46-100,1),IF(ROUND(100/AL46*AM46-100,1)&gt;999,999,-999)))</f>
        <v>-10.9</v>
      </c>
      <c r="AO46" s="700">
        <f t="shared" si="3"/>
        <v>801.57743141899994</v>
      </c>
      <c r="AP46" s="700">
        <f t="shared" si="3"/>
        <v>857.74674038722242</v>
      </c>
      <c r="AQ46" s="701">
        <f t="shared" si="6"/>
        <v>7</v>
      </c>
      <c r="AR46" s="700">
        <f t="shared" si="4"/>
        <v>820.57743141899994</v>
      </c>
      <c r="AS46" s="700">
        <f t="shared" si="4"/>
        <v>880.44974038722239</v>
      </c>
      <c r="AT46" s="701">
        <f t="shared" si="7"/>
        <v>7.3</v>
      </c>
      <c r="AU46" s="699"/>
    </row>
    <row r="47" spans="1:47" s="699" customFormat="1" ht="18.75" customHeight="1" x14ac:dyDescent="0.3">
      <c r="A47" s="679" t="s">
        <v>437</v>
      </c>
      <c r="B47" s="680"/>
      <c r="C47" s="681"/>
      <c r="D47" s="702"/>
      <c r="E47" s="680"/>
      <c r="F47" s="681"/>
      <c r="G47" s="686"/>
      <c r="H47" s="680"/>
      <c r="I47" s="681"/>
      <c r="J47" s="704"/>
      <c r="K47" s="680"/>
      <c r="L47" s="681"/>
      <c r="M47" s="702"/>
      <c r="N47" s="680"/>
      <c r="O47" s="681"/>
      <c r="P47" s="704"/>
      <c r="Q47" s="680"/>
      <c r="R47" s="681"/>
      <c r="S47" s="704"/>
      <c r="T47" s="680"/>
      <c r="U47" s="681"/>
      <c r="V47" s="704"/>
      <c r="W47" s="680"/>
      <c r="X47" s="681"/>
      <c r="Y47" s="686"/>
      <c r="Z47" s="680"/>
      <c r="AA47" s="681"/>
      <c r="AB47" s="704"/>
      <c r="AC47" s="680"/>
      <c r="AD47" s="681"/>
      <c r="AE47" s="704"/>
      <c r="AF47" s="680"/>
      <c r="AG47" s="681"/>
      <c r="AH47" s="704"/>
      <c r="AI47" s="680"/>
      <c r="AJ47" s="681"/>
      <c r="AK47" s="686"/>
      <c r="AL47" s="697"/>
      <c r="AM47" s="681"/>
      <c r="AN47" s="704"/>
      <c r="AO47" s="702"/>
      <c r="AP47" s="702"/>
      <c r="AQ47" s="704"/>
      <c r="AR47" s="702"/>
      <c r="AS47" s="702"/>
      <c r="AT47" s="704"/>
    </row>
    <row r="48" spans="1:47" s="653" customFormat="1" ht="18.75" customHeight="1" x14ac:dyDescent="0.3">
      <c r="A48" s="688" t="s">
        <v>424</v>
      </c>
      <c r="B48" s="449"/>
      <c r="C48" s="689"/>
      <c r="D48" s="700"/>
      <c r="E48" s="449">
        <v>276.32900000000001</v>
      </c>
      <c r="F48" s="689">
        <v>713</v>
      </c>
      <c r="G48" s="691">
        <f>IF(E48=0, "    ---- ", IF(ABS(ROUND(100/E48*F48-100,1))&lt;999,ROUND(100/E48*F48-100,1),IF(ROUND(100/E48*F48-100,1)&gt;999,999,-999)))</f>
        <v>158</v>
      </c>
      <c r="H48" s="449"/>
      <c r="I48" s="689"/>
      <c r="J48" s="701"/>
      <c r="K48" s="449"/>
      <c r="L48" s="689"/>
      <c r="M48" s="700"/>
      <c r="N48" s="449"/>
      <c r="O48" s="689"/>
      <c r="P48" s="701"/>
      <c r="Q48" s="449"/>
      <c r="R48" s="689"/>
      <c r="S48" s="701"/>
      <c r="T48" s="449"/>
      <c r="U48" s="689"/>
      <c r="V48" s="701"/>
      <c r="W48" s="449"/>
      <c r="X48" s="689"/>
      <c r="Y48" s="691"/>
      <c r="Z48" s="449"/>
      <c r="AA48" s="689"/>
      <c r="AB48" s="701"/>
      <c r="AC48" s="449"/>
      <c r="AD48" s="689"/>
      <c r="AE48" s="701"/>
      <c r="AF48" s="449"/>
      <c r="AG48" s="689"/>
      <c r="AH48" s="701"/>
      <c r="AI48" s="449">
        <v>1.7000000000000001E-2</v>
      </c>
      <c r="AJ48" s="689">
        <v>3.3000000000000002E-2</v>
      </c>
      <c r="AK48" s="691">
        <f>IF(AI48=0, "    ---- ", IF(ABS(ROUND(100/AI48*AJ48-100,1))&lt;999,ROUND(100/AI48*AJ48-100,1),IF(ROUND(100/AI48*AJ48-100,1)&gt;999,999,-999)))</f>
        <v>94.1</v>
      </c>
      <c r="AL48" s="695"/>
      <c r="AM48" s="689"/>
      <c r="AN48" s="701"/>
      <c r="AO48" s="700">
        <f t="shared" si="3"/>
        <v>276.346</v>
      </c>
      <c r="AP48" s="700">
        <f t="shared" si="3"/>
        <v>713.03300000000002</v>
      </c>
      <c r="AQ48" s="701">
        <f t="shared" si="6"/>
        <v>158</v>
      </c>
      <c r="AR48" s="700">
        <f t="shared" si="4"/>
        <v>276.346</v>
      </c>
      <c r="AS48" s="700">
        <f t="shared" si="4"/>
        <v>713.03300000000002</v>
      </c>
      <c r="AT48" s="701">
        <f t="shared" si="7"/>
        <v>158</v>
      </c>
    </row>
    <row r="49" spans="1:46" s="653" customFormat="1" ht="18.75" customHeight="1" x14ac:dyDescent="0.3">
      <c r="A49" s="688" t="s">
        <v>425</v>
      </c>
      <c r="B49" s="449"/>
      <c r="C49" s="689"/>
      <c r="D49" s="700"/>
      <c r="E49" s="449"/>
      <c r="F49" s="689"/>
      <c r="G49" s="691"/>
      <c r="H49" s="449"/>
      <c r="I49" s="689"/>
      <c r="J49" s="701"/>
      <c r="K49" s="449"/>
      <c r="L49" s="689"/>
      <c r="M49" s="700"/>
      <c r="N49" s="449"/>
      <c r="O49" s="689"/>
      <c r="P49" s="701"/>
      <c r="Q49" s="449"/>
      <c r="R49" s="689"/>
      <c r="S49" s="701"/>
      <c r="T49" s="449"/>
      <c r="U49" s="689"/>
      <c r="V49" s="701"/>
      <c r="W49" s="449"/>
      <c r="X49" s="689"/>
      <c r="Y49" s="691"/>
      <c r="Z49" s="449"/>
      <c r="AA49" s="689"/>
      <c r="AB49" s="701"/>
      <c r="AC49" s="449"/>
      <c r="AD49" s="689"/>
      <c r="AE49" s="701"/>
      <c r="AF49" s="449"/>
      <c r="AG49" s="689"/>
      <c r="AH49" s="701"/>
      <c r="AI49" s="449"/>
      <c r="AJ49" s="689"/>
      <c r="AK49" s="691"/>
      <c r="AL49" s="695"/>
      <c r="AM49" s="689"/>
      <c r="AN49" s="701"/>
      <c r="AO49" s="700"/>
      <c r="AP49" s="700"/>
      <c r="AQ49" s="701"/>
      <c r="AR49" s="700"/>
      <c r="AS49" s="700"/>
      <c r="AT49" s="701"/>
    </row>
    <row r="50" spans="1:46" s="653" customFormat="1" ht="18.75" customHeight="1" x14ac:dyDescent="0.3">
      <c r="A50" s="688" t="s">
        <v>426</v>
      </c>
      <c r="B50" s="449">
        <v>2.7389999999999999</v>
      </c>
      <c r="C50" s="689">
        <v>13.846</v>
      </c>
      <c r="D50" s="700">
        <f>IF(B50=0, "    ---- ", IF(ABS(ROUND(100/B50*C50-100,1))&lt;999,ROUND(100/B50*C50-100,1),IF(ROUND(100/B50*C50-100,1)&gt;999,999,-999)))</f>
        <v>405.5</v>
      </c>
      <c r="E50" s="449">
        <v>1.5640000000000001</v>
      </c>
      <c r="F50" s="689">
        <v>8</v>
      </c>
      <c r="G50" s="691">
        <f>IF(E50=0, "    ---- ", IF(ABS(ROUND(100/E50*F50-100,1))&lt;999,ROUND(100/E50*F50-100,1),IF(ROUND(100/E50*F50-100,1)&gt;999,999,-999)))</f>
        <v>411.5</v>
      </c>
      <c r="H50" s="449"/>
      <c r="I50" s="689"/>
      <c r="J50" s="701"/>
      <c r="K50" s="449"/>
      <c r="L50" s="689"/>
      <c r="M50" s="700"/>
      <c r="N50" s="449"/>
      <c r="O50" s="689"/>
      <c r="P50" s="701"/>
      <c r="Q50" s="449"/>
      <c r="R50" s="689"/>
      <c r="S50" s="701"/>
      <c r="T50" s="449"/>
      <c r="U50" s="689"/>
      <c r="V50" s="701"/>
      <c r="W50" s="449">
        <v>77.171807209999997</v>
      </c>
      <c r="X50" s="689">
        <v>109.90014841494241</v>
      </c>
      <c r="Y50" s="691">
        <f t="shared" si="0"/>
        <v>42.4</v>
      </c>
      <c r="Z50" s="449"/>
      <c r="AA50" s="689"/>
      <c r="AB50" s="701"/>
      <c r="AC50" s="449">
        <v>1</v>
      </c>
      <c r="AD50" s="689">
        <v>-0.41099999999999998</v>
      </c>
      <c r="AE50" s="701">
        <f>IF(AC50=0, "    ---- ", IF(ABS(ROUND(100/AC50*AD50-100,1))&lt;999,ROUND(100/AC50*AD50-100,1),IF(ROUND(100/AC50*AD50-100,1)&gt;999,999,-999)))</f>
        <v>-141.1</v>
      </c>
      <c r="AF50" s="449"/>
      <c r="AG50" s="689"/>
      <c r="AH50" s="701"/>
      <c r="AI50" s="449">
        <v>-10.367000000000001</v>
      </c>
      <c r="AJ50" s="689">
        <v>-6.907</v>
      </c>
      <c r="AK50" s="691">
        <f>IF(AI50=0, "    ---- ", IF(ABS(ROUND(100/AI50*AJ50-100,1))&lt;999,ROUND(100/AI50*AJ50-100,1),IF(ROUND(100/AI50*AJ50-100,1)&gt;999,999,-999)))</f>
        <v>-33.4</v>
      </c>
      <c r="AL50" s="695">
        <v>15.8</v>
      </c>
      <c r="AM50" s="689">
        <v>21.34</v>
      </c>
      <c r="AN50" s="701">
        <f>IF(AL50=0, "    ---- ", IF(ABS(ROUND(100/AL50*AM50-100,1))&lt;999,ROUND(100/AL50*AM50-100,1),IF(ROUND(100/AL50*AM50-100,1)&gt;999,999,-999)))</f>
        <v>35.1</v>
      </c>
      <c r="AO50" s="700">
        <f t="shared" si="3"/>
        <v>86.907807209999987</v>
      </c>
      <c r="AP50" s="700">
        <f t="shared" si="3"/>
        <v>146.1791484149424</v>
      </c>
      <c r="AQ50" s="701">
        <f t="shared" si="6"/>
        <v>68.2</v>
      </c>
      <c r="AR50" s="700">
        <f t="shared" si="4"/>
        <v>87.907807209999987</v>
      </c>
      <c r="AS50" s="700">
        <f t="shared" si="4"/>
        <v>145.7681484149424</v>
      </c>
      <c r="AT50" s="701">
        <f t="shared" si="7"/>
        <v>65.8</v>
      </c>
    </row>
    <row r="51" spans="1:46" s="653" customFormat="1" ht="18.75" customHeight="1" x14ac:dyDescent="0.3">
      <c r="A51" s="688" t="s">
        <v>427</v>
      </c>
      <c r="B51" s="449"/>
      <c r="C51" s="689"/>
      <c r="D51" s="700"/>
      <c r="E51" s="449"/>
      <c r="F51" s="689"/>
      <c r="G51" s="691"/>
      <c r="H51" s="449"/>
      <c r="I51" s="689"/>
      <c r="J51" s="701"/>
      <c r="K51" s="449"/>
      <c r="L51" s="689"/>
      <c r="M51" s="700"/>
      <c r="N51" s="449"/>
      <c r="O51" s="689"/>
      <c r="P51" s="701"/>
      <c r="Q51" s="449"/>
      <c r="R51" s="689"/>
      <c r="S51" s="701"/>
      <c r="T51" s="449"/>
      <c r="U51" s="689"/>
      <c r="V51" s="701"/>
      <c r="W51" s="449"/>
      <c r="X51" s="689"/>
      <c r="Y51" s="691"/>
      <c r="Z51" s="449"/>
      <c r="AA51" s="689"/>
      <c r="AB51" s="701"/>
      <c r="AC51" s="449"/>
      <c r="AD51" s="689"/>
      <c r="AE51" s="701"/>
      <c r="AF51" s="449"/>
      <c r="AG51" s="689"/>
      <c r="AH51" s="701"/>
      <c r="AI51" s="449"/>
      <c r="AJ51" s="689"/>
      <c r="AK51" s="691"/>
      <c r="AL51" s="695"/>
      <c r="AM51" s="689"/>
      <c r="AN51" s="701"/>
      <c r="AO51" s="700"/>
      <c r="AP51" s="700"/>
      <c r="AQ51" s="701"/>
      <c r="AR51" s="700"/>
      <c r="AS51" s="700"/>
      <c r="AT51" s="701"/>
    </row>
    <row r="52" spans="1:46" s="653" customFormat="1" ht="18.75" customHeight="1" x14ac:dyDescent="0.3">
      <c r="A52" s="688" t="s">
        <v>428</v>
      </c>
      <c r="B52" s="449"/>
      <c r="C52" s="689"/>
      <c r="D52" s="700"/>
      <c r="E52" s="449"/>
      <c r="F52" s="689"/>
      <c r="G52" s="691"/>
      <c r="H52" s="449"/>
      <c r="I52" s="689"/>
      <c r="J52" s="701"/>
      <c r="K52" s="449"/>
      <c r="L52" s="689"/>
      <c r="M52" s="700"/>
      <c r="N52" s="449"/>
      <c r="O52" s="689"/>
      <c r="P52" s="701"/>
      <c r="Q52" s="449"/>
      <c r="R52" s="689"/>
      <c r="S52" s="701"/>
      <c r="T52" s="449"/>
      <c r="U52" s="689"/>
      <c r="V52" s="701"/>
      <c r="W52" s="449"/>
      <c r="X52" s="689"/>
      <c r="Y52" s="691"/>
      <c r="Z52" s="449"/>
      <c r="AA52" s="689"/>
      <c r="AB52" s="701"/>
      <c r="AC52" s="449"/>
      <c r="AD52" s="689"/>
      <c r="AE52" s="701"/>
      <c r="AF52" s="449"/>
      <c r="AG52" s="689"/>
      <c r="AH52" s="701"/>
      <c r="AI52" s="449"/>
      <c r="AJ52" s="689"/>
      <c r="AK52" s="691"/>
      <c r="AL52" s="695"/>
      <c r="AM52" s="689"/>
      <c r="AN52" s="701"/>
      <c r="AO52" s="700"/>
      <c r="AP52" s="700"/>
      <c r="AQ52" s="701"/>
      <c r="AR52" s="700"/>
      <c r="AS52" s="700"/>
      <c r="AT52" s="701"/>
    </row>
    <row r="53" spans="1:46" s="653" customFormat="1" ht="18.75" customHeight="1" x14ac:dyDescent="0.3">
      <c r="A53" s="688" t="s">
        <v>429</v>
      </c>
      <c r="B53" s="449"/>
      <c r="C53" s="689"/>
      <c r="D53" s="700"/>
      <c r="E53" s="449">
        <v>0.27400000000000002</v>
      </c>
      <c r="F53" s="689">
        <v>0</v>
      </c>
      <c r="G53" s="691">
        <f>IF(E53=0, "    ---- ", IF(ABS(ROUND(100/E53*F53-100,1))&lt;999,ROUND(100/E53*F53-100,1),IF(ROUND(100/E53*F53-100,1)&gt;999,999,-999)))</f>
        <v>-100</v>
      </c>
      <c r="H53" s="449"/>
      <c r="I53" s="689"/>
      <c r="J53" s="701"/>
      <c r="K53" s="449"/>
      <c r="L53" s="689"/>
      <c r="M53" s="700"/>
      <c r="N53" s="449"/>
      <c r="O53" s="689"/>
      <c r="P53" s="701"/>
      <c r="Q53" s="449"/>
      <c r="R53" s="689"/>
      <c r="S53" s="701"/>
      <c r="T53" s="449"/>
      <c r="U53" s="689"/>
      <c r="V53" s="701"/>
      <c r="W53" s="449">
        <v>1.99202418</v>
      </c>
      <c r="X53" s="689">
        <v>3.8515826500000006</v>
      </c>
      <c r="Y53" s="691">
        <f t="shared" si="0"/>
        <v>93.4</v>
      </c>
      <c r="Z53" s="449"/>
      <c r="AA53" s="689"/>
      <c r="AB53" s="701"/>
      <c r="AC53" s="449"/>
      <c r="AD53" s="689"/>
      <c r="AE53" s="701"/>
      <c r="AF53" s="449"/>
      <c r="AG53" s="689"/>
      <c r="AH53" s="701"/>
      <c r="AI53" s="449">
        <v>-1E-3</v>
      </c>
      <c r="AJ53" s="689">
        <v>-1E-3</v>
      </c>
      <c r="AK53" s="691">
        <f>IF(AI53=0, "    ---- ", IF(ABS(ROUND(100/AI53*AJ53-100,1))&lt;999,ROUND(100/AI53*AJ53-100,1),IF(ROUND(100/AI53*AJ53-100,1)&gt;999,999,-999)))</f>
        <v>0</v>
      </c>
      <c r="AL53" s="695">
        <v>2.1</v>
      </c>
      <c r="AM53" s="689"/>
      <c r="AN53" s="701">
        <f>IF(AL53=0, "    ---- ", IF(ABS(ROUND(100/AL53*AM53-100,1))&lt;999,ROUND(100/AL53*AM53-100,1),IF(ROUND(100/AL53*AM53-100,1)&gt;999,999,-999)))</f>
        <v>-100</v>
      </c>
      <c r="AO53" s="700">
        <f t="shared" si="3"/>
        <v>4.3650241800000007</v>
      </c>
      <c r="AP53" s="700">
        <f t="shared" si="3"/>
        <v>3.8505826500000007</v>
      </c>
      <c r="AQ53" s="701">
        <f t="shared" si="6"/>
        <v>-11.8</v>
      </c>
      <c r="AR53" s="700">
        <f t="shared" si="4"/>
        <v>4.3650241800000007</v>
      </c>
      <c r="AS53" s="700">
        <f t="shared" si="4"/>
        <v>3.8505826500000007</v>
      </c>
      <c r="AT53" s="701">
        <f t="shared" si="7"/>
        <v>-11.8</v>
      </c>
    </row>
    <row r="54" spans="1:46" s="653" customFormat="1" ht="18.75" customHeight="1" x14ac:dyDescent="0.3">
      <c r="A54" s="688" t="s">
        <v>430</v>
      </c>
      <c r="B54" s="449"/>
      <c r="C54" s="689"/>
      <c r="D54" s="700"/>
      <c r="E54" s="449"/>
      <c r="F54" s="689"/>
      <c r="G54" s="691"/>
      <c r="H54" s="449"/>
      <c r="I54" s="689"/>
      <c r="J54" s="701"/>
      <c r="K54" s="449"/>
      <c r="L54" s="689"/>
      <c r="M54" s="700"/>
      <c r="N54" s="449"/>
      <c r="O54" s="689"/>
      <c r="P54" s="701"/>
      <c r="Q54" s="449"/>
      <c r="R54" s="689"/>
      <c r="S54" s="701"/>
      <c r="T54" s="449"/>
      <c r="U54" s="689"/>
      <c r="V54" s="701"/>
      <c r="W54" s="449"/>
      <c r="X54" s="689"/>
      <c r="Y54" s="691"/>
      <c r="Z54" s="449"/>
      <c r="AA54" s="689"/>
      <c r="AB54" s="701"/>
      <c r="AC54" s="449"/>
      <c r="AD54" s="689"/>
      <c r="AE54" s="701"/>
      <c r="AF54" s="449"/>
      <c r="AG54" s="689"/>
      <c r="AH54" s="701"/>
      <c r="AI54" s="449"/>
      <c r="AJ54" s="689"/>
      <c r="AK54" s="691"/>
      <c r="AL54" s="695"/>
      <c r="AM54" s="689"/>
      <c r="AN54" s="701"/>
      <c r="AO54" s="700"/>
      <c r="AP54" s="700"/>
      <c r="AQ54" s="701"/>
      <c r="AR54" s="700"/>
      <c r="AS54" s="700"/>
      <c r="AT54" s="701"/>
    </row>
    <row r="55" spans="1:46" s="653" customFormat="1" ht="18.75" customHeight="1" x14ac:dyDescent="0.3">
      <c r="A55" s="688" t="s">
        <v>431</v>
      </c>
      <c r="B55" s="449"/>
      <c r="C55" s="689"/>
      <c r="D55" s="700"/>
      <c r="E55" s="449"/>
      <c r="F55" s="689"/>
      <c r="G55" s="691"/>
      <c r="H55" s="449"/>
      <c r="I55" s="689"/>
      <c r="J55" s="701"/>
      <c r="K55" s="449"/>
      <c r="L55" s="689"/>
      <c r="M55" s="700"/>
      <c r="N55" s="449"/>
      <c r="O55" s="689"/>
      <c r="P55" s="701"/>
      <c r="Q55" s="449"/>
      <c r="R55" s="689"/>
      <c r="S55" s="701"/>
      <c r="T55" s="449"/>
      <c r="U55" s="689"/>
      <c r="V55" s="701"/>
      <c r="W55" s="449"/>
      <c r="X55" s="689"/>
      <c r="Y55" s="691"/>
      <c r="Z55" s="449"/>
      <c r="AA55" s="689"/>
      <c r="AB55" s="701"/>
      <c r="AC55" s="449"/>
      <c r="AD55" s="689"/>
      <c r="AE55" s="701"/>
      <c r="AF55" s="449"/>
      <c r="AG55" s="689"/>
      <c r="AH55" s="701"/>
      <c r="AI55" s="449"/>
      <c r="AJ55" s="689"/>
      <c r="AK55" s="691"/>
      <c r="AL55" s="695"/>
      <c r="AM55" s="689"/>
      <c r="AN55" s="701"/>
      <c r="AO55" s="700"/>
      <c r="AP55" s="700"/>
      <c r="AQ55" s="701"/>
      <c r="AR55" s="700"/>
      <c r="AS55" s="700"/>
      <c r="AT55" s="701"/>
    </row>
    <row r="56" spans="1:46" s="699" customFormat="1" ht="18.75" customHeight="1" x14ac:dyDescent="0.3">
      <c r="A56" s="679" t="s">
        <v>432</v>
      </c>
      <c r="B56" s="680">
        <v>2.7389999999999999</v>
      </c>
      <c r="C56" s="681">
        <f>SUM(C48:C53)+C55</f>
        <v>13.846</v>
      </c>
      <c r="D56" s="702">
        <f>IF(B56=0, "    ---- ", IF(ABS(ROUND(100/B56*C56-100,1))&lt;999,ROUND(100/B56*C56-100,1),IF(ROUND(100/B56*C56-100,1)&gt;999,999,-999)))</f>
        <v>405.5</v>
      </c>
      <c r="E56" s="680">
        <v>278.16700000000003</v>
      </c>
      <c r="F56" s="681">
        <f>SUM(F48:F53)+F55</f>
        <v>721</v>
      </c>
      <c r="G56" s="686">
        <f>IF(E56=0, "    ---- ", IF(ABS(ROUND(100/E56*F56-100,1))&lt;999,ROUND(100/E56*F56-100,1),IF(ROUND(100/E56*F56-100,1)&gt;999,999,-999)))</f>
        <v>159.19999999999999</v>
      </c>
      <c r="H56" s="680"/>
      <c r="I56" s="681"/>
      <c r="J56" s="704"/>
      <c r="K56" s="680"/>
      <c r="L56" s="681"/>
      <c r="M56" s="702"/>
      <c r="N56" s="680"/>
      <c r="O56" s="681"/>
      <c r="P56" s="704"/>
      <c r="Q56" s="680"/>
      <c r="R56" s="681"/>
      <c r="S56" s="704"/>
      <c r="T56" s="680"/>
      <c r="U56" s="681"/>
      <c r="V56" s="704"/>
      <c r="W56" s="680">
        <v>79.163831389999999</v>
      </c>
      <c r="X56" s="681">
        <f>SUM(X48:X53)+X55</f>
        <v>113.7517310649424</v>
      </c>
      <c r="Y56" s="686">
        <f t="shared" si="0"/>
        <v>43.7</v>
      </c>
      <c r="Z56" s="680"/>
      <c r="AA56" s="681"/>
      <c r="AB56" s="704"/>
      <c r="AC56" s="680">
        <v>1</v>
      </c>
      <c r="AD56" s="681">
        <f>SUM(AD48:AD53)+AD55</f>
        <v>-0.41099999999999998</v>
      </c>
      <c r="AE56" s="704">
        <f>IF(AC56=0, "    ---- ", IF(ABS(ROUND(100/AC56*AD56-100,1))&lt;999,ROUND(100/AC56*AD56-100,1),IF(ROUND(100/AC56*AD56-100,1)&gt;999,999,-999)))</f>
        <v>-141.1</v>
      </c>
      <c r="AF56" s="680"/>
      <c r="AG56" s="681"/>
      <c r="AH56" s="704"/>
      <c r="AI56" s="680">
        <v>-10.351000000000001</v>
      </c>
      <c r="AJ56" s="681">
        <f>SUM(AJ48:AJ53)+AJ55</f>
        <v>-6.875</v>
      </c>
      <c r="AK56" s="686">
        <f>IF(AI56=0, "    ---- ", IF(ABS(ROUND(100/AI56*AJ56-100,1))&lt;999,ROUND(100/AI56*AJ56-100,1),IF(ROUND(100/AI56*AJ56-100,1)&gt;999,999,-999)))</f>
        <v>-33.6</v>
      </c>
      <c r="AL56" s="697">
        <v>17.900000000000002</v>
      </c>
      <c r="AM56" s="681">
        <f>SUM(AM48:AM53)+AM55</f>
        <v>21.34</v>
      </c>
      <c r="AN56" s="704">
        <f>IF(AL56=0, "    ---- ", IF(ABS(ROUND(100/AL56*AM56-100,1))&lt;999,ROUND(100/AL56*AM56-100,1),IF(ROUND(100/AL56*AM56-100,1)&gt;999,999,-999)))</f>
        <v>19.2</v>
      </c>
      <c r="AO56" s="702">
        <f t="shared" si="3"/>
        <v>367.61883138999997</v>
      </c>
      <c r="AP56" s="702">
        <f t="shared" si="3"/>
        <v>863.06273106494245</v>
      </c>
      <c r="AQ56" s="704">
        <f t="shared" si="6"/>
        <v>134.80000000000001</v>
      </c>
      <c r="AR56" s="702">
        <f t="shared" si="4"/>
        <v>368.61883138999997</v>
      </c>
      <c r="AS56" s="702">
        <f t="shared" si="4"/>
        <v>862.65173106494251</v>
      </c>
      <c r="AT56" s="704">
        <f t="shared" si="7"/>
        <v>134</v>
      </c>
    </row>
    <row r="57" spans="1:46" s="653" customFormat="1" ht="18.75" customHeight="1" x14ac:dyDescent="0.3">
      <c r="A57" s="688" t="s">
        <v>433</v>
      </c>
      <c r="B57" s="449"/>
      <c r="C57" s="689"/>
      <c r="D57" s="700"/>
      <c r="E57" s="449">
        <v>276.33</v>
      </c>
      <c r="F57" s="689">
        <v>713</v>
      </c>
      <c r="G57" s="686">
        <f>IF(E57=0, "    ---- ", IF(ABS(ROUND(100/E57*F57-100,1))&lt;999,ROUND(100/E57*F57-100,1),IF(ROUND(100/E57*F57-100,1)&gt;999,999,-999)))</f>
        <v>158</v>
      </c>
      <c r="H57" s="449"/>
      <c r="I57" s="689"/>
      <c r="J57" s="701"/>
      <c r="K57" s="449"/>
      <c r="L57" s="689"/>
      <c r="M57" s="700"/>
      <c r="N57" s="449"/>
      <c r="O57" s="689"/>
      <c r="P57" s="701"/>
      <c r="Q57" s="449"/>
      <c r="R57" s="689"/>
      <c r="S57" s="701"/>
      <c r="T57" s="449"/>
      <c r="U57" s="689"/>
      <c r="V57" s="701"/>
      <c r="W57" s="449"/>
      <c r="X57" s="689"/>
      <c r="Y57" s="691"/>
      <c r="Z57" s="449"/>
      <c r="AA57" s="689"/>
      <c r="AB57" s="701"/>
      <c r="AC57" s="449"/>
      <c r="AD57" s="689"/>
      <c r="AE57" s="701"/>
      <c r="AF57" s="449"/>
      <c r="AG57" s="689"/>
      <c r="AH57" s="701"/>
      <c r="AI57" s="449"/>
      <c r="AJ57" s="689"/>
      <c r="AK57" s="691"/>
      <c r="AL57" s="695"/>
      <c r="AM57" s="689"/>
      <c r="AN57" s="701"/>
      <c r="AO57" s="700">
        <f t="shared" si="3"/>
        <v>276.33</v>
      </c>
      <c r="AP57" s="700">
        <f t="shared" si="3"/>
        <v>713</v>
      </c>
      <c r="AQ57" s="701">
        <f t="shared" si="6"/>
        <v>158</v>
      </c>
      <c r="AR57" s="700">
        <f t="shared" si="4"/>
        <v>276.33</v>
      </c>
      <c r="AS57" s="700">
        <f t="shared" si="4"/>
        <v>713</v>
      </c>
      <c r="AT57" s="701">
        <f t="shared" si="7"/>
        <v>158</v>
      </c>
    </row>
    <row r="58" spans="1:46" s="653" customFormat="1" ht="18.75" customHeight="1" x14ac:dyDescent="0.3">
      <c r="A58" s="688" t="s">
        <v>434</v>
      </c>
      <c r="B58" s="449">
        <v>2.7389999999999999</v>
      </c>
      <c r="C58" s="689">
        <v>13.846</v>
      </c>
      <c r="D58" s="700">
        <f>IF(B58=0, "    ---- ", IF(ABS(ROUND(100/B58*C58-100,1))&lt;999,ROUND(100/B58*C58-100,1),IF(ROUND(100/B58*C58-100,1)&gt;999,999,-999)))</f>
        <v>405.5</v>
      </c>
      <c r="E58" s="449">
        <v>1.837</v>
      </c>
      <c r="F58" s="689">
        <v>8</v>
      </c>
      <c r="G58" s="691">
        <f>IF(E58=0, "    ---- ", IF(ABS(ROUND(100/E58*F58-100,1))&lt;999,ROUND(100/E58*F58-100,1),IF(ROUND(100/E58*F58-100,1)&gt;999,999,-999)))</f>
        <v>335.5</v>
      </c>
      <c r="H58" s="449"/>
      <c r="I58" s="689"/>
      <c r="J58" s="701"/>
      <c r="K58" s="449"/>
      <c r="L58" s="689"/>
      <c r="M58" s="700"/>
      <c r="N58" s="449"/>
      <c r="O58" s="689"/>
      <c r="P58" s="701"/>
      <c r="Q58" s="449"/>
      <c r="R58" s="689"/>
      <c r="S58" s="701"/>
      <c r="T58" s="449"/>
      <c r="U58" s="689"/>
      <c r="V58" s="701"/>
      <c r="W58" s="449">
        <v>79.163831389999999</v>
      </c>
      <c r="X58" s="689">
        <v>113.7517310649424</v>
      </c>
      <c r="Y58" s="691">
        <f t="shared" si="0"/>
        <v>43.7</v>
      </c>
      <c r="Z58" s="449"/>
      <c r="AA58" s="689"/>
      <c r="AB58" s="701"/>
      <c r="AC58" s="449">
        <v>1</v>
      </c>
      <c r="AD58" s="689">
        <v>-0.41099999999999998</v>
      </c>
      <c r="AE58" s="701">
        <f>IF(AC58=0, "    ---- ", IF(ABS(ROUND(100/AC58*AD58-100,1))&lt;999,ROUND(100/AC58*AD58-100,1),IF(ROUND(100/AC58*AD58-100,1)&gt;999,999,-999)))</f>
        <v>-141.1</v>
      </c>
      <c r="AF58" s="449"/>
      <c r="AG58" s="689"/>
      <c r="AH58" s="701"/>
      <c r="AI58" s="449">
        <v>-10.351000000000001</v>
      </c>
      <c r="AJ58" s="689">
        <v>-6.875</v>
      </c>
      <c r="AK58" s="691">
        <f>IF(AI58=0, "    ---- ", IF(ABS(ROUND(100/AI58*AJ58-100,1))&lt;999,ROUND(100/AI58*AJ58-100,1),IF(ROUND(100/AI58*AJ58-100,1)&gt;999,999,-999)))</f>
        <v>-33.6</v>
      </c>
      <c r="AL58" s="695">
        <v>17.899999999999999</v>
      </c>
      <c r="AM58" s="689">
        <v>21.34</v>
      </c>
      <c r="AN58" s="701">
        <f>IF(AL58=0, "    ---- ", IF(ABS(ROUND(100/AL58*AM58-100,1))&lt;999,ROUND(100/AL58*AM58-100,1),IF(ROUND(100/AL58*AM58-100,1)&gt;999,999,-999)))</f>
        <v>19.2</v>
      </c>
      <c r="AO58" s="700">
        <f t="shared" si="3"/>
        <v>91.288831389999984</v>
      </c>
      <c r="AP58" s="700">
        <f t="shared" si="3"/>
        <v>150.0627310649424</v>
      </c>
      <c r="AQ58" s="701">
        <f t="shared" si="6"/>
        <v>64.400000000000006</v>
      </c>
      <c r="AR58" s="700">
        <f t="shared" si="4"/>
        <v>92.288831389999984</v>
      </c>
      <c r="AS58" s="700">
        <f t="shared" si="4"/>
        <v>149.6517310649424</v>
      </c>
      <c r="AT58" s="701">
        <f t="shared" si="7"/>
        <v>62.2</v>
      </c>
    </row>
    <row r="59" spans="1:46" s="653" customFormat="1" ht="18.75" customHeight="1" x14ac:dyDescent="0.3">
      <c r="A59" s="706"/>
      <c r="B59" s="707"/>
      <c r="C59" s="708"/>
      <c r="D59" s="709"/>
      <c r="E59" s="707"/>
      <c r="F59" s="708"/>
      <c r="G59" s="710"/>
      <c r="H59" s="707"/>
      <c r="I59" s="708"/>
      <c r="J59" s="711"/>
      <c r="K59" s="707"/>
      <c r="L59" s="708"/>
      <c r="M59" s="709"/>
      <c r="N59" s="707"/>
      <c r="O59" s="708"/>
      <c r="P59" s="711"/>
      <c r="Q59" s="707"/>
      <c r="R59" s="708"/>
      <c r="S59" s="711"/>
      <c r="T59" s="707"/>
      <c r="U59" s="708"/>
      <c r="V59" s="711"/>
      <c r="W59" s="707"/>
      <c r="X59" s="708"/>
      <c r="Y59" s="710"/>
      <c r="Z59" s="707"/>
      <c r="AA59" s="708"/>
      <c r="AB59" s="711"/>
      <c r="AC59" s="707"/>
      <c r="AD59" s="708"/>
      <c r="AE59" s="711"/>
      <c r="AF59" s="707"/>
      <c r="AG59" s="708"/>
      <c r="AH59" s="711"/>
      <c r="AI59" s="707"/>
      <c r="AJ59" s="708"/>
      <c r="AK59" s="710"/>
      <c r="AL59" s="712"/>
      <c r="AM59" s="708"/>
      <c r="AN59" s="711"/>
      <c r="AO59" s="709"/>
      <c r="AP59" s="709"/>
      <c r="AQ59" s="711"/>
      <c r="AR59" s="709"/>
      <c r="AS59" s="709"/>
      <c r="AT59" s="711"/>
    </row>
    <row r="60" spans="1:46" s="653" customFormat="1" ht="18.75" customHeight="1" x14ac:dyDescent="0.3">
      <c r="A60" s="713"/>
      <c r="B60" s="714"/>
      <c r="C60" s="715"/>
      <c r="D60" s="716"/>
      <c r="E60" s="714"/>
      <c r="F60" s="715"/>
      <c r="G60" s="717"/>
      <c r="H60" s="714"/>
      <c r="I60" s="715"/>
      <c r="J60" s="718"/>
      <c r="K60" s="714"/>
      <c r="L60" s="715"/>
      <c r="M60" s="716"/>
      <c r="N60" s="714"/>
      <c r="O60" s="715"/>
      <c r="P60" s="718"/>
      <c r="Q60" s="714"/>
      <c r="R60" s="715"/>
      <c r="S60" s="718"/>
      <c r="T60" s="714"/>
      <c r="U60" s="715"/>
      <c r="V60" s="718"/>
      <c r="W60" s="714"/>
      <c r="X60" s="715"/>
      <c r="Y60" s="717"/>
      <c r="Z60" s="714"/>
      <c r="AA60" s="715"/>
      <c r="AB60" s="718"/>
      <c r="AC60" s="714"/>
      <c r="AD60" s="715"/>
      <c r="AE60" s="718"/>
      <c r="AF60" s="714"/>
      <c r="AG60" s="715"/>
      <c r="AH60" s="718"/>
      <c r="AI60" s="714"/>
      <c r="AJ60" s="715"/>
      <c r="AK60" s="717"/>
      <c r="AL60" s="719"/>
      <c r="AM60" s="715"/>
      <c r="AN60" s="718"/>
      <c r="AO60" s="716"/>
      <c r="AP60" s="716"/>
      <c r="AQ60" s="718"/>
      <c r="AR60" s="716"/>
      <c r="AS60" s="716"/>
      <c r="AT60" s="718"/>
    </row>
    <row r="61" spans="1:46" s="699" customFormat="1" ht="18.75" customHeight="1" x14ac:dyDescent="0.3">
      <c r="A61" s="679" t="s">
        <v>438</v>
      </c>
      <c r="B61" s="680"/>
      <c r="C61" s="681"/>
      <c r="D61" s="702"/>
      <c r="E61" s="680"/>
      <c r="F61" s="681"/>
      <c r="G61" s="686"/>
      <c r="H61" s="680"/>
      <c r="I61" s="681"/>
      <c r="J61" s="704"/>
      <c r="K61" s="680"/>
      <c r="L61" s="681"/>
      <c r="M61" s="702"/>
      <c r="N61" s="680"/>
      <c r="O61" s="681"/>
      <c r="P61" s="704"/>
      <c r="Q61" s="680"/>
      <c r="R61" s="681"/>
      <c r="S61" s="704"/>
      <c r="T61" s="680"/>
      <c r="U61" s="681"/>
      <c r="V61" s="704"/>
      <c r="W61" s="680"/>
      <c r="X61" s="681"/>
      <c r="Y61" s="686"/>
      <c r="Z61" s="680"/>
      <c r="AA61" s="681"/>
      <c r="AB61" s="704"/>
      <c r="AC61" s="680"/>
      <c r="AD61" s="681"/>
      <c r="AE61" s="704"/>
      <c r="AF61" s="680"/>
      <c r="AG61" s="681"/>
      <c r="AH61" s="704"/>
      <c r="AI61" s="680"/>
      <c r="AJ61" s="681"/>
      <c r="AK61" s="686"/>
      <c r="AL61" s="697"/>
      <c r="AM61" s="681"/>
      <c r="AN61" s="704"/>
      <c r="AO61" s="702"/>
      <c r="AP61" s="702"/>
      <c r="AQ61" s="704"/>
      <c r="AR61" s="702"/>
      <c r="AS61" s="702"/>
      <c r="AT61" s="704"/>
    </row>
    <row r="62" spans="1:46" s="653" customFormat="1" ht="18.75" customHeight="1" x14ac:dyDescent="0.3">
      <c r="A62" s="688" t="s">
        <v>424</v>
      </c>
      <c r="B62" s="449"/>
      <c r="C62" s="689"/>
      <c r="D62" s="700"/>
      <c r="E62" s="449">
        <v>236.41</v>
      </c>
      <c r="F62" s="689">
        <v>370.02</v>
      </c>
      <c r="G62" s="691">
        <f>IF(E62=0, "    ---- ", IF(ABS(ROUND(100/E62*F62-100,1))&lt;999,ROUND(100/E62*F62-100,1),IF(ROUND(100/E62*F62-100,1)&gt;999,999,-999)))</f>
        <v>56.5</v>
      </c>
      <c r="H62" s="449"/>
      <c r="I62" s="689"/>
      <c r="J62" s="701"/>
      <c r="K62" s="449"/>
      <c r="L62" s="689"/>
      <c r="M62" s="700"/>
      <c r="N62" s="449"/>
      <c r="O62" s="689"/>
      <c r="P62" s="701"/>
      <c r="Q62" s="449"/>
      <c r="R62" s="689"/>
      <c r="S62" s="701"/>
      <c r="T62" s="449"/>
      <c r="U62" s="689"/>
      <c r="V62" s="701"/>
      <c r="W62" s="449">
        <v>21.246069969000001</v>
      </c>
      <c r="X62" s="689">
        <v>34.496564398271843</v>
      </c>
      <c r="Y62" s="691">
        <f t="shared" ref="Y62:Y108" si="8">IF(W62=0, "    ---- ", IF(ABS(ROUND(100/W62*X62-100,1))&lt;999,ROUND(100/W62*X62-100,1),IF(ROUND(100/W62*X62-100,1)&gt;999,999,-999)))</f>
        <v>62.4</v>
      </c>
      <c r="Z62" s="449"/>
      <c r="AA62" s="689"/>
      <c r="AB62" s="701"/>
      <c r="AC62" s="449"/>
      <c r="AD62" s="689"/>
      <c r="AE62" s="701"/>
      <c r="AF62" s="449"/>
      <c r="AG62" s="689"/>
      <c r="AH62" s="701"/>
      <c r="AI62" s="449">
        <v>65.480999999999995</v>
      </c>
      <c r="AJ62" s="689">
        <v>145.69999999999999</v>
      </c>
      <c r="AK62" s="691">
        <f>IF(AI62=0, "    ---- ", IF(ABS(ROUND(100/AI62*AJ62-100,1))&lt;999,ROUND(100/AI62*AJ62-100,1),IF(ROUND(100/AI62*AJ62-100,1)&gt;999,999,-999)))</f>
        <v>122.5</v>
      </c>
      <c r="AL62" s="695">
        <v>341</v>
      </c>
      <c r="AM62" s="689">
        <v>126.26</v>
      </c>
      <c r="AN62" s="701">
        <f>IF(AL62=0, "    ---- ", IF(ABS(ROUND(100/AL62*AM62-100,1))&lt;999,ROUND(100/AL62*AM62-100,1),IF(ROUND(100/AL62*AM62-100,1)&gt;999,999,-999)))</f>
        <v>-63</v>
      </c>
      <c r="AO62" s="700">
        <f t="shared" si="3"/>
        <v>664.13706996899998</v>
      </c>
      <c r="AP62" s="700">
        <f t="shared" si="3"/>
        <v>676.47656439827188</v>
      </c>
      <c r="AQ62" s="701">
        <f t="shared" si="6"/>
        <v>1.9</v>
      </c>
      <c r="AR62" s="700">
        <f t="shared" si="4"/>
        <v>664.13706996899998</v>
      </c>
      <c r="AS62" s="700">
        <f t="shared" si="4"/>
        <v>676.47656439827188</v>
      </c>
      <c r="AT62" s="701">
        <f t="shared" si="7"/>
        <v>1.9</v>
      </c>
    </row>
    <row r="63" spans="1:46" s="653" customFormat="1" ht="18.75" customHeight="1" x14ac:dyDescent="0.3">
      <c r="A63" s="688" t="s">
        <v>425</v>
      </c>
      <c r="B63" s="449"/>
      <c r="C63" s="689"/>
      <c r="D63" s="700"/>
      <c r="E63" s="449"/>
      <c r="F63" s="689"/>
      <c r="G63" s="691"/>
      <c r="H63" s="449"/>
      <c r="I63" s="689"/>
      <c r="J63" s="701"/>
      <c r="K63" s="449"/>
      <c r="L63" s="689"/>
      <c r="M63" s="700"/>
      <c r="N63" s="449"/>
      <c r="O63" s="689"/>
      <c r="P63" s="701"/>
      <c r="Q63" s="449"/>
      <c r="R63" s="689"/>
      <c r="S63" s="701"/>
      <c r="T63" s="449"/>
      <c r="U63" s="689"/>
      <c r="V63" s="701"/>
      <c r="W63" s="449">
        <v>-21.246069969000001</v>
      </c>
      <c r="X63" s="689">
        <v>-34.496564398271843</v>
      </c>
      <c r="Y63" s="691">
        <f t="shared" si="8"/>
        <v>62.4</v>
      </c>
      <c r="Z63" s="449"/>
      <c r="AA63" s="689"/>
      <c r="AB63" s="701"/>
      <c r="AC63" s="449"/>
      <c r="AD63" s="689"/>
      <c r="AE63" s="701"/>
      <c r="AF63" s="449"/>
      <c r="AG63" s="689"/>
      <c r="AH63" s="701"/>
      <c r="AI63" s="449"/>
      <c r="AJ63" s="689"/>
      <c r="AK63" s="691"/>
      <c r="AL63" s="695"/>
      <c r="AM63" s="689"/>
      <c r="AN63" s="701"/>
      <c r="AO63" s="700">
        <f t="shared" si="3"/>
        <v>-21.246069969000001</v>
      </c>
      <c r="AP63" s="700">
        <f t="shared" si="3"/>
        <v>-34.496564398271843</v>
      </c>
      <c r="AQ63" s="701">
        <f t="shared" si="6"/>
        <v>62.4</v>
      </c>
      <c r="AR63" s="700">
        <f t="shared" si="4"/>
        <v>-21.246069969000001</v>
      </c>
      <c r="AS63" s="700">
        <f t="shared" si="4"/>
        <v>-34.496564398271843</v>
      </c>
      <c r="AT63" s="701">
        <f t="shared" si="7"/>
        <v>62.4</v>
      </c>
    </row>
    <row r="64" spans="1:46" s="653" customFormat="1" ht="18.75" customHeight="1" x14ac:dyDescent="0.3">
      <c r="A64" s="688" t="s">
        <v>426</v>
      </c>
      <c r="B64" s="449"/>
      <c r="C64" s="689"/>
      <c r="D64" s="700"/>
      <c r="E64" s="449">
        <v>112.033</v>
      </c>
      <c r="F64" s="689">
        <v>106.5</v>
      </c>
      <c r="G64" s="691">
        <f>IF(E64=0, "    ---- ", IF(ABS(ROUND(100/E64*F64-100,1))&lt;999,ROUND(100/E64*F64-100,1),IF(ROUND(100/E64*F64-100,1)&gt;999,999,-999)))</f>
        <v>-4.9000000000000004</v>
      </c>
      <c r="H64" s="449"/>
      <c r="I64" s="689"/>
      <c r="J64" s="701"/>
      <c r="K64" s="449"/>
      <c r="L64" s="689"/>
      <c r="M64" s="700"/>
      <c r="N64" s="449"/>
      <c r="O64" s="689"/>
      <c r="P64" s="701"/>
      <c r="Q64" s="449"/>
      <c r="R64" s="689"/>
      <c r="S64" s="701"/>
      <c r="T64" s="449"/>
      <c r="U64" s="689"/>
      <c r="V64" s="701"/>
      <c r="W64" s="449">
        <v>-9.6508923739999997</v>
      </c>
      <c r="X64" s="689">
        <v>5.9471603663736623</v>
      </c>
      <c r="Y64" s="691">
        <f t="shared" si="8"/>
        <v>-161.6</v>
      </c>
      <c r="Z64" s="449"/>
      <c r="AA64" s="689"/>
      <c r="AB64" s="701"/>
      <c r="AC64" s="449"/>
      <c r="AD64" s="689"/>
      <c r="AE64" s="701"/>
      <c r="AF64" s="449"/>
      <c r="AG64" s="689"/>
      <c r="AH64" s="701"/>
      <c r="AI64" s="449">
        <v>-10.412000000000001</v>
      </c>
      <c r="AJ64" s="689">
        <v>-10.445</v>
      </c>
      <c r="AK64" s="691">
        <f>IF(AI64=0, "    ---- ", IF(ABS(ROUND(100/AI64*AJ64-100,1))&lt;999,ROUND(100/AI64*AJ64-100,1),IF(ROUND(100/AI64*AJ64-100,1)&gt;999,999,-999)))</f>
        <v>0.3</v>
      </c>
      <c r="AL64" s="695">
        <v>-9</v>
      </c>
      <c r="AM64" s="689">
        <v>-15.66</v>
      </c>
      <c r="AN64" s="701">
        <f>IF(AL64=0, "    ---- ", IF(ABS(ROUND(100/AL64*AM64-100,1))&lt;999,ROUND(100/AL64*AM64-100,1),IF(ROUND(100/AL64*AM64-100,1)&gt;999,999,-999)))</f>
        <v>74</v>
      </c>
      <c r="AO64" s="700">
        <f t="shared" si="3"/>
        <v>82.970107626000001</v>
      </c>
      <c r="AP64" s="700">
        <f t="shared" si="3"/>
        <v>86.342160366373662</v>
      </c>
      <c r="AQ64" s="701">
        <f t="shared" si="6"/>
        <v>4.0999999999999996</v>
      </c>
      <c r="AR64" s="700">
        <f t="shared" si="4"/>
        <v>82.970107626000001</v>
      </c>
      <c r="AS64" s="700">
        <f t="shared" si="4"/>
        <v>86.342160366373662</v>
      </c>
      <c r="AT64" s="701">
        <f t="shared" si="7"/>
        <v>4.0999999999999996</v>
      </c>
    </row>
    <row r="65" spans="1:46" s="653" customFormat="1" ht="18.75" customHeight="1" x14ac:dyDescent="0.3">
      <c r="A65" s="688" t="s">
        <v>427</v>
      </c>
      <c r="B65" s="449"/>
      <c r="C65" s="689"/>
      <c r="D65" s="700"/>
      <c r="E65" s="449"/>
      <c r="F65" s="689"/>
      <c r="G65" s="691"/>
      <c r="H65" s="449"/>
      <c r="I65" s="689"/>
      <c r="J65" s="701"/>
      <c r="K65" s="449"/>
      <c r="L65" s="689"/>
      <c r="M65" s="700"/>
      <c r="N65" s="449"/>
      <c r="O65" s="689"/>
      <c r="P65" s="701"/>
      <c r="Q65" s="449"/>
      <c r="R65" s="689"/>
      <c r="S65" s="701"/>
      <c r="T65" s="449"/>
      <c r="U65" s="689"/>
      <c r="V65" s="701"/>
      <c r="W65" s="449"/>
      <c r="X65" s="689"/>
      <c r="Y65" s="691"/>
      <c r="Z65" s="449"/>
      <c r="AA65" s="689"/>
      <c r="AB65" s="701"/>
      <c r="AC65" s="449"/>
      <c r="AD65" s="689"/>
      <c r="AE65" s="701"/>
      <c r="AF65" s="449"/>
      <c r="AG65" s="689"/>
      <c r="AH65" s="701"/>
      <c r="AI65" s="449"/>
      <c r="AJ65" s="689"/>
      <c r="AK65" s="691"/>
      <c r="AL65" s="695"/>
      <c r="AM65" s="689"/>
      <c r="AN65" s="701"/>
      <c r="AO65" s="700"/>
      <c r="AP65" s="700"/>
      <c r="AQ65" s="701"/>
      <c r="AR65" s="700"/>
      <c r="AS65" s="700"/>
      <c r="AT65" s="701"/>
    </row>
    <row r="66" spans="1:46" s="653" customFormat="1" ht="18.75" customHeight="1" x14ac:dyDescent="0.3">
      <c r="A66" s="688" t="s">
        <v>428</v>
      </c>
      <c r="B66" s="449"/>
      <c r="C66" s="689"/>
      <c r="D66" s="700"/>
      <c r="E66" s="449"/>
      <c r="F66" s="689"/>
      <c r="G66" s="691"/>
      <c r="H66" s="449"/>
      <c r="I66" s="689"/>
      <c r="J66" s="701"/>
      <c r="K66" s="449"/>
      <c r="L66" s="689"/>
      <c r="M66" s="700"/>
      <c r="N66" s="449"/>
      <c r="O66" s="689"/>
      <c r="P66" s="701"/>
      <c r="Q66" s="449"/>
      <c r="R66" s="689"/>
      <c r="S66" s="701"/>
      <c r="T66" s="449"/>
      <c r="U66" s="689"/>
      <c r="V66" s="701"/>
      <c r="W66" s="449"/>
      <c r="X66" s="689"/>
      <c r="Y66" s="691"/>
      <c r="Z66" s="449"/>
      <c r="AA66" s="689"/>
      <c r="AB66" s="701"/>
      <c r="AC66" s="449"/>
      <c r="AD66" s="689"/>
      <c r="AE66" s="701"/>
      <c r="AF66" s="449"/>
      <c r="AG66" s="689"/>
      <c r="AH66" s="701"/>
      <c r="AI66" s="449"/>
      <c r="AJ66" s="689"/>
      <c r="AK66" s="691"/>
      <c r="AL66" s="695"/>
      <c r="AM66" s="689"/>
      <c r="AN66" s="701"/>
      <c r="AO66" s="700"/>
      <c r="AP66" s="700"/>
      <c r="AQ66" s="701"/>
      <c r="AR66" s="700"/>
      <c r="AS66" s="700"/>
      <c r="AT66" s="701"/>
    </row>
    <row r="67" spans="1:46" s="653" customFormat="1" ht="18.75" customHeight="1" x14ac:dyDescent="0.3">
      <c r="A67" s="688" t="s">
        <v>429</v>
      </c>
      <c r="B67" s="449"/>
      <c r="C67" s="689"/>
      <c r="D67" s="700"/>
      <c r="E67" s="449">
        <v>99.497</v>
      </c>
      <c r="F67" s="689">
        <v>43.8</v>
      </c>
      <c r="G67" s="691">
        <f>IF(E67=0, "    ---- ", IF(ABS(ROUND(100/E67*F67-100,1))&lt;999,ROUND(100/E67*F67-100,1),IF(ROUND(100/E67*F67-100,1)&gt;999,999,-999)))</f>
        <v>-56</v>
      </c>
      <c r="H67" s="449"/>
      <c r="I67" s="689"/>
      <c r="J67" s="701"/>
      <c r="K67" s="449"/>
      <c r="L67" s="689"/>
      <c r="M67" s="700"/>
      <c r="N67" s="449"/>
      <c r="O67" s="689"/>
      <c r="P67" s="701"/>
      <c r="Q67" s="449"/>
      <c r="R67" s="689"/>
      <c r="S67" s="701"/>
      <c r="T67" s="449"/>
      <c r="U67" s="689"/>
      <c r="V67" s="701"/>
      <c r="W67" s="449">
        <v>9.2254531869999994</v>
      </c>
      <c r="X67" s="689">
        <v>7.9250243374435785</v>
      </c>
      <c r="Y67" s="691">
        <f t="shared" si="8"/>
        <v>-14.1</v>
      </c>
      <c r="Z67" s="449"/>
      <c r="AA67" s="689"/>
      <c r="AB67" s="701"/>
      <c r="AC67" s="449"/>
      <c r="AD67" s="689"/>
      <c r="AE67" s="701"/>
      <c r="AF67" s="449"/>
      <c r="AG67" s="689"/>
      <c r="AH67" s="701"/>
      <c r="AI67" s="449">
        <v>2.323</v>
      </c>
      <c r="AJ67" s="689">
        <v>2.6139999999999999</v>
      </c>
      <c r="AK67" s="691">
        <f>IF(AI67=0, "    ---- ", IF(ABS(ROUND(100/AI67*AJ67-100,1))&lt;999,ROUND(100/AI67*AJ67-100,1),IF(ROUND(100/AI67*AJ67-100,1)&gt;999,999,-999)))</f>
        <v>12.5</v>
      </c>
      <c r="AL67" s="695">
        <v>54</v>
      </c>
      <c r="AM67" s="689">
        <v>48.37</v>
      </c>
      <c r="AN67" s="701">
        <f>IF(AL67=0, "    ---- ", IF(ABS(ROUND(100/AL67*AM67-100,1))&lt;999,ROUND(100/AL67*AM67-100,1),IF(ROUND(100/AL67*AM67-100,1)&gt;999,999,-999)))</f>
        <v>-10.4</v>
      </c>
      <c r="AO67" s="700">
        <f t="shared" si="3"/>
        <v>165.04545318699999</v>
      </c>
      <c r="AP67" s="700">
        <f t="shared" si="3"/>
        <v>102.70902433744357</v>
      </c>
      <c r="AQ67" s="701">
        <f t="shared" si="6"/>
        <v>-37.799999999999997</v>
      </c>
      <c r="AR67" s="700">
        <f t="shared" si="4"/>
        <v>165.04545318699999</v>
      </c>
      <c r="AS67" s="700">
        <f t="shared" si="4"/>
        <v>102.70902433744357</v>
      </c>
      <c r="AT67" s="701">
        <f t="shared" si="7"/>
        <v>-37.799999999999997</v>
      </c>
    </row>
    <row r="68" spans="1:46" s="653" customFormat="1" ht="18.75" customHeight="1" x14ac:dyDescent="0.3">
      <c r="A68" s="688" t="s">
        <v>430</v>
      </c>
      <c r="B68" s="449"/>
      <c r="C68" s="689"/>
      <c r="D68" s="700"/>
      <c r="E68" s="449"/>
      <c r="F68" s="689"/>
      <c r="G68" s="691"/>
      <c r="H68" s="449"/>
      <c r="I68" s="689"/>
      <c r="J68" s="701"/>
      <c r="K68" s="449"/>
      <c r="L68" s="689"/>
      <c r="M68" s="700"/>
      <c r="N68" s="449"/>
      <c r="O68" s="689"/>
      <c r="P68" s="701"/>
      <c r="Q68" s="449"/>
      <c r="R68" s="689"/>
      <c r="S68" s="701"/>
      <c r="T68" s="449"/>
      <c r="U68" s="689"/>
      <c r="V68" s="701"/>
      <c r="W68" s="449"/>
      <c r="X68" s="689"/>
      <c r="Y68" s="691"/>
      <c r="Z68" s="449"/>
      <c r="AA68" s="689"/>
      <c r="AB68" s="701"/>
      <c r="AC68" s="449"/>
      <c r="AD68" s="689"/>
      <c r="AE68" s="701"/>
      <c r="AF68" s="449"/>
      <c r="AG68" s="689"/>
      <c r="AH68" s="701"/>
      <c r="AI68" s="449"/>
      <c r="AJ68" s="689"/>
      <c r="AK68" s="691"/>
      <c r="AL68" s="695"/>
      <c r="AM68" s="689"/>
      <c r="AN68" s="701"/>
      <c r="AO68" s="700"/>
      <c r="AP68" s="700"/>
      <c r="AQ68" s="701"/>
      <c r="AR68" s="700"/>
      <c r="AS68" s="700"/>
      <c r="AT68" s="701"/>
    </row>
    <row r="69" spans="1:46" s="653" customFormat="1" ht="18.75" customHeight="1" x14ac:dyDescent="0.3">
      <c r="A69" s="688" t="s">
        <v>431</v>
      </c>
      <c r="B69" s="449"/>
      <c r="C69" s="689"/>
      <c r="D69" s="700"/>
      <c r="E69" s="449"/>
      <c r="F69" s="689"/>
      <c r="G69" s="691"/>
      <c r="H69" s="449"/>
      <c r="I69" s="689"/>
      <c r="J69" s="701"/>
      <c r="K69" s="449"/>
      <c r="L69" s="689"/>
      <c r="M69" s="700"/>
      <c r="N69" s="449"/>
      <c r="O69" s="689"/>
      <c r="P69" s="701"/>
      <c r="Q69" s="449"/>
      <c r="R69" s="689"/>
      <c r="S69" s="701"/>
      <c r="T69" s="449"/>
      <c r="U69" s="689"/>
      <c r="V69" s="701"/>
      <c r="W69" s="449"/>
      <c r="X69" s="689"/>
      <c r="Y69" s="691"/>
      <c r="Z69" s="449"/>
      <c r="AA69" s="689"/>
      <c r="AB69" s="701"/>
      <c r="AC69" s="449"/>
      <c r="AD69" s="689"/>
      <c r="AE69" s="701"/>
      <c r="AF69" s="449"/>
      <c r="AG69" s="689"/>
      <c r="AH69" s="701"/>
      <c r="AI69" s="449"/>
      <c r="AJ69" s="689"/>
      <c r="AK69" s="691"/>
      <c r="AL69" s="695">
        <v>-1</v>
      </c>
      <c r="AM69" s="689"/>
      <c r="AN69" s="701">
        <f>IF(AL69=0, "    ---- ", IF(ABS(ROUND(100/AL69*AM69-100,1))&lt;999,ROUND(100/AL69*AM69-100,1),IF(ROUND(100/AL69*AM69-100,1)&gt;999,999,-999)))</f>
        <v>-100</v>
      </c>
      <c r="AO69" s="700">
        <f t="shared" si="3"/>
        <v>-1</v>
      </c>
      <c r="AP69" s="700">
        <f t="shared" si="3"/>
        <v>0</v>
      </c>
      <c r="AQ69" s="701">
        <f t="shared" si="6"/>
        <v>-100</v>
      </c>
      <c r="AR69" s="700">
        <f t="shared" si="4"/>
        <v>-1</v>
      </c>
      <c r="AS69" s="700">
        <f t="shared" si="4"/>
        <v>0</v>
      </c>
      <c r="AT69" s="701">
        <f t="shared" si="7"/>
        <v>-100</v>
      </c>
    </row>
    <row r="70" spans="1:46" s="699" customFormat="1" ht="18.75" customHeight="1" x14ac:dyDescent="0.3">
      <c r="A70" s="679" t="s">
        <v>432</v>
      </c>
      <c r="B70" s="680"/>
      <c r="C70" s="681"/>
      <c r="D70" s="702"/>
      <c r="E70" s="680">
        <v>447.94</v>
      </c>
      <c r="F70" s="681">
        <f>SUM(F62:F67)+F69</f>
        <v>520.31999999999994</v>
      </c>
      <c r="G70" s="686">
        <f>IF(E70=0, "    ---- ", IF(ABS(ROUND(100/E70*F70-100,1))&lt;999,ROUND(100/E70*F70-100,1),IF(ROUND(100/E70*F70-100,1)&gt;999,999,-999)))</f>
        <v>16.2</v>
      </c>
      <c r="H70" s="680"/>
      <c r="I70" s="681"/>
      <c r="J70" s="704"/>
      <c r="K70" s="680"/>
      <c r="L70" s="681"/>
      <c r="M70" s="702"/>
      <c r="N70" s="680"/>
      <c r="O70" s="681"/>
      <c r="P70" s="704"/>
      <c r="Q70" s="680"/>
      <c r="R70" s="681"/>
      <c r="S70" s="704"/>
      <c r="T70" s="680"/>
      <c r="U70" s="681"/>
      <c r="V70" s="704"/>
      <c r="W70" s="680">
        <v>-0.42543918700000027</v>
      </c>
      <c r="X70" s="681">
        <f>SUM(X62:X67)+X69</f>
        <v>13.87218470381724</v>
      </c>
      <c r="Y70" s="686">
        <f t="shared" si="8"/>
        <v>-999</v>
      </c>
      <c r="Z70" s="680"/>
      <c r="AA70" s="681"/>
      <c r="AB70" s="704"/>
      <c r="AC70" s="680"/>
      <c r="AD70" s="681"/>
      <c r="AE70" s="704"/>
      <c r="AF70" s="680"/>
      <c r="AG70" s="681"/>
      <c r="AH70" s="704"/>
      <c r="AI70" s="680">
        <v>57.391999999999996</v>
      </c>
      <c r="AJ70" s="681">
        <f>SUM(AJ62:AJ67)+AJ69</f>
        <v>137.869</v>
      </c>
      <c r="AK70" s="686">
        <f>IF(AI70=0, "    ---- ", IF(ABS(ROUND(100/AI70*AJ70-100,1))&lt;999,ROUND(100/AI70*AJ70-100,1),IF(ROUND(100/AI70*AJ70-100,1)&gt;999,999,-999)))</f>
        <v>140.19999999999999</v>
      </c>
      <c r="AL70" s="697">
        <v>385</v>
      </c>
      <c r="AM70" s="681">
        <f>SUM(AM62:AM67)+AM69</f>
        <v>158.97</v>
      </c>
      <c r="AN70" s="704">
        <f>IF(AL70=0, "    ---- ", IF(ABS(ROUND(100/AL70*AM70-100,1))&lt;999,ROUND(100/AL70*AM70-100,1),IF(ROUND(100/AL70*AM70-100,1)&gt;999,999,-999)))</f>
        <v>-58.7</v>
      </c>
      <c r="AO70" s="702">
        <f t="shared" si="3"/>
        <v>889.90656081299994</v>
      </c>
      <c r="AP70" s="702">
        <f t="shared" si="3"/>
        <v>831.03118470381719</v>
      </c>
      <c r="AQ70" s="704">
        <f t="shared" si="6"/>
        <v>-6.6</v>
      </c>
      <c r="AR70" s="702">
        <f t="shared" si="4"/>
        <v>889.90656081299994</v>
      </c>
      <c r="AS70" s="702">
        <f t="shared" si="4"/>
        <v>831.03118470381719</v>
      </c>
      <c r="AT70" s="704">
        <f t="shared" si="7"/>
        <v>-6.6</v>
      </c>
    </row>
    <row r="71" spans="1:46" s="653" customFormat="1" ht="18.75" customHeight="1" x14ac:dyDescent="0.3">
      <c r="A71" s="688" t="s">
        <v>433</v>
      </c>
      <c r="B71" s="449"/>
      <c r="C71" s="689"/>
      <c r="D71" s="700"/>
      <c r="E71" s="449">
        <v>291.161</v>
      </c>
      <c r="F71" s="689">
        <v>338.22</v>
      </c>
      <c r="G71" s="691">
        <f>IF(E71=0, "    ---- ", IF(ABS(ROUND(100/E71*F71-100,1))&lt;999,ROUND(100/E71*F71-100,1),IF(ROUND(100/E71*F71-100,1)&gt;999,999,-999)))</f>
        <v>16.2</v>
      </c>
      <c r="H71" s="449"/>
      <c r="I71" s="689"/>
      <c r="J71" s="701"/>
      <c r="K71" s="449"/>
      <c r="L71" s="689"/>
      <c r="M71" s="700"/>
      <c r="N71" s="449"/>
      <c r="O71" s="689"/>
      <c r="P71" s="701"/>
      <c r="Q71" s="449"/>
      <c r="R71" s="689"/>
      <c r="S71" s="701"/>
      <c r="T71" s="449"/>
      <c r="U71" s="689"/>
      <c r="V71" s="701"/>
      <c r="W71" s="449">
        <v>0</v>
      </c>
      <c r="X71" s="689">
        <v>9.0169200574812063</v>
      </c>
      <c r="Y71" s="691" t="str">
        <f t="shared" si="8"/>
        <v xml:space="preserve">    ---- </v>
      </c>
      <c r="Z71" s="449"/>
      <c r="AA71" s="689"/>
      <c r="AB71" s="701"/>
      <c r="AC71" s="449"/>
      <c r="AD71" s="689"/>
      <c r="AE71" s="701"/>
      <c r="AF71" s="449"/>
      <c r="AG71" s="689"/>
      <c r="AH71" s="701"/>
      <c r="AI71" s="449">
        <v>37.305</v>
      </c>
      <c r="AJ71" s="689">
        <v>89.614999999999995</v>
      </c>
      <c r="AK71" s="691">
        <f>IF(AI71=0, "    ---- ", IF(ABS(ROUND(100/AI71*AJ71-100,1))&lt;999,ROUND(100/AI71*AJ71-100,1),IF(ROUND(100/AI71*AJ71-100,1)&gt;999,999,-999)))</f>
        <v>140.19999999999999</v>
      </c>
      <c r="AL71" s="695">
        <v>315</v>
      </c>
      <c r="AM71" s="689">
        <v>136.31</v>
      </c>
      <c r="AN71" s="701">
        <f>IF(AL71=0, "    ---- ", IF(ABS(ROUND(100/AL71*AM71-100,1))&lt;999,ROUND(100/AL71*AM71-100,1),IF(ROUND(100/AL71*AM71-100,1)&gt;999,999,-999)))</f>
        <v>-56.7</v>
      </c>
      <c r="AO71" s="700">
        <f t="shared" si="3"/>
        <v>643.46600000000001</v>
      </c>
      <c r="AP71" s="700">
        <f t="shared" si="3"/>
        <v>573.16192005748121</v>
      </c>
      <c r="AQ71" s="701">
        <f t="shared" si="6"/>
        <v>-10.9</v>
      </c>
      <c r="AR71" s="700">
        <f t="shared" si="4"/>
        <v>643.46600000000001</v>
      </c>
      <c r="AS71" s="700">
        <f t="shared" si="4"/>
        <v>573.16192005748121</v>
      </c>
      <c r="AT71" s="701">
        <f t="shared" si="7"/>
        <v>-10.9</v>
      </c>
    </row>
    <row r="72" spans="1:46" s="653" customFormat="1" ht="18.75" customHeight="1" x14ac:dyDescent="0.3">
      <c r="A72" s="688" t="s">
        <v>434</v>
      </c>
      <c r="B72" s="449"/>
      <c r="C72" s="689"/>
      <c r="D72" s="700"/>
      <c r="E72" s="449">
        <v>156.779</v>
      </c>
      <c r="F72" s="689">
        <v>182.12</v>
      </c>
      <c r="G72" s="691">
        <f>IF(E72=0, "    ---- ", IF(ABS(ROUND(100/E72*F72-100,1))&lt;999,ROUND(100/E72*F72-100,1),IF(ROUND(100/E72*F72-100,1)&gt;999,999,-999)))</f>
        <v>16.2</v>
      </c>
      <c r="H72" s="449"/>
      <c r="I72" s="689"/>
      <c r="J72" s="701"/>
      <c r="K72" s="449"/>
      <c r="L72" s="689"/>
      <c r="M72" s="700"/>
      <c r="N72" s="449"/>
      <c r="O72" s="689"/>
      <c r="P72" s="701"/>
      <c r="Q72" s="449"/>
      <c r="R72" s="689"/>
      <c r="S72" s="701"/>
      <c r="T72" s="449"/>
      <c r="U72" s="689"/>
      <c r="V72" s="701"/>
      <c r="W72" s="449">
        <v>-0.42543918700000027</v>
      </c>
      <c r="X72" s="689">
        <v>4.8552646463360336</v>
      </c>
      <c r="Y72" s="691">
        <f t="shared" si="8"/>
        <v>-999</v>
      </c>
      <c r="Z72" s="449"/>
      <c r="AA72" s="689"/>
      <c r="AB72" s="701"/>
      <c r="AC72" s="449"/>
      <c r="AD72" s="689"/>
      <c r="AE72" s="701"/>
      <c r="AF72" s="449"/>
      <c r="AG72" s="689"/>
      <c r="AH72" s="701"/>
      <c r="AI72" s="449">
        <v>20.087</v>
      </c>
      <c r="AJ72" s="689">
        <v>48.253999999999998</v>
      </c>
      <c r="AK72" s="691">
        <f>IF(AI72=0, "    ---- ", IF(ABS(ROUND(100/AI72*AJ72-100,1))&lt;999,ROUND(100/AI72*AJ72-100,1),IF(ROUND(100/AI72*AJ72-100,1)&gt;999,999,-999)))</f>
        <v>140.19999999999999</v>
      </c>
      <c r="AL72" s="695">
        <v>70</v>
      </c>
      <c r="AM72" s="689">
        <v>22.66</v>
      </c>
      <c r="AN72" s="701">
        <f>IF(AL72=0, "    ---- ", IF(ABS(ROUND(100/AL72*AM72-100,1))&lt;999,ROUND(100/AL72*AM72-100,1),IF(ROUND(100/AL72*AM72-100,1)&gt;999,999,-999)))</f>
        <v>-67.599999999999994</v>
      </c>
      <c r="AO72" s="700">
        <f t="shared" si="3"/>
        <v>246.44056081299999</v>
      </c>
      <c r="AP72" s="700">
        <f t="shared" si="3"/>
        <v>257.88926464633602</v>
      </c>
      <c r="AQ72" s="701">
        <f t="shared" si="6"/>
        <v>4.5999999999999996</v>
      </c>
      <c r="AR72" s="700">
        <f t="shared" si="4"/>
        <v>246.44056081299999</v>
      </c>
      <c r="AS72" s="700">
        <f t="shared" si="4"/>
        <v>257.88926464633602</v>
      </c>
      <c r="AT72" s="701">
        <f t="shared" si="7"/>
        <v>4.5999999999999996</v>
      </c>
    </row>
    <row r="73" spans="1:46" s="699" customFormat="1" ht="18.75" customHeight="1" x14ac:dyDescent="0.3">
      <c r="A73" s="679" t="s">
        <v>439</v>
      </c>
      <c r="B73" s="680"/>
      <c r="C73" s="681"/>
      <c r="D73" s="702"/>
      <c r="E73" s="680"/>
      <c r="F73" s="681"/>
      <c r="G73" s="686"/>
      <c r="H73" s="680"/>
      <c r="I73" s="681"/>
      <c r="J73" s="704"/>
      <c r="K73" s="680"/>
      <c r="L73" s="681"/>
      <c r="M73" s="702"/>
      <c r="N73" s="680"/>
      <c r="O73" s="681"/>
      <c r="P73" s="704"/>
      <c r="Q73" s="680"/>
      <c r="R73" s="681"/>
      <c r="S73" s="704"/>
      <c r="T73" s="680"/>
      <c r="U73" s="681"/>
      <c r="V73" s="704"/>
      <c r="W73" s="680"/>
      <c r="X73" s="681"/>
      <c r="Y73" s="686"/>
      <c r="Z73" s="680"/>
      <c r="AA73" s="681"/>
      <c r="AB73" s="704"/>
      <c r="AC73" s="680"/>
      <c r="AD73" s="681"/>
      <c r="AE73" s="704"/>
      <c r="AF73" s="680"/>
      <c r="AG73" s="681"/>
      <c r="AH73" s="704"/>
      <c r="AI73" s="680"/>
      <c r="AJ73" s="681"/>
      <c r="AK73" s="686"/>
      <c r="AL73" s="697"/>
      <c r="AM73" s="681"/>
      <c r="AN73" s="704"/>
      <c r="AO73" s="702"/>
      <c r="AP73" s="702"/>
      <c r="AQ73" s="704"/>
      <c r="AR73" s="702"/>
      <c r="AS73" s="702"/>
      <c r="AT73" s="704"/>
    </row>
    <row r="74" spans="1:46" s="653" customFormat="1" ht="18.75" customHeight="1" x14ac:dyDescent="0.3">
      <c r="A74" s="688" t="s">
        <v>424</v>
      </c>
      <c r="B74" s="449">
        <v>-1.2999999999999999E-2</v>
      </c>
      <c r="C74" s="689">
        <v>0</v>
      </c>
      <c r="D74" s="691">
        <f>IF(B74=0, "    ---- ", IF(ABS(ROUND(100/B74*C74-100,1))&lt;999,ROUND(100/B74*C74-100,1),IF(ROUND(100/B74*C74-100,1)&gt;999,999,-999)))</f>
        <v>-100</v>
      </c>
      <c r="E74" s="449">
        <v>44.191000000000003</v>
      </c>
      <c r="F74" s="689">
        <v>80.272999999999996</v>
      </c>
      <c r="G74" s="691">
        <f t="shared" ref="G74:G79" si="9">IF(E74=0, "    ---- ", IF(ABS(ROUND(100/E74*F74-100,1))&lt;999,ROUND(100/E74*F74-100,1),IF(ROUND(100/E74*F74-100,1)&gt;999,999,-999)))</f>
        <v>81.7</v>
      </c>
      <c r="H74" s="449"/>
      <c r="I74" s="689"/>
      <c r="J74" s="701"/>
      <c r="K74" s="449"/>
      <c r="L74" s="689"/>
      <c r="M74" s="700"/>
      <c r="N74" s="449"/>
      <c r="O74" s="689"/>
      <c r="P74" s="701"/>
      <c r="Q74" s="449"/>
      <c r="R74" s="689"/>
      <c r="S74" s="701"/>
      <c r="T74" s="449"/>
      <c r="U74" s="689"/>
      <c r="V74" s="701"/>
      <c r="W74" s="449">
        <v>7.7134631669999996</v>
      </c>
      <c r="X74" s="689">
        <v>10.712833521566811</v>
      </c>
      <c r="Y74" s="691">
        <f t="shared" si="8"/>
        <v>38.9</v>
      </c>
      <c r="Z74" s="449"/>
      <c r="AA74" s="689"/>
      <c r="AB74" s="701"/>
      <c r="AC74" s="449"/>
      <c r="AD74" s="689"/>
      <c r="AE74" s="701"/>
      <c r="AF74" s="449"/>
      <c r="AG74" s="689"/>
      <c r="AH74" s="701"/>
      <c r="AI74" s="449">
        <v>1.0229999999999999</v>
      </c>
      <c r="AJ74" s="689">
        <v>3.1869999999999998</v>
      </c>
      <c r="AK74" s="691">
        <f>IF(AI74=0, "    ---- ", IF(ABS(ROUND(100/AI74*AJ74-100,1))&lt;999,ROUND(100/AI74*AJ74-100,1),IF(ROUND(100/AI74*AJ74-100,1)&gt;999,999,-999)))</f>
        <v>211.5</v>
      </c>
      <c r="AL74" s="695"/>
      <c r="AM74" s="689"/>
      <c r="AN74" s="701"/>
      <c r="AO74" s="700">
        <f t="shared" si="3"/>
        <v>52.914463167000008</v>
      </c>
      <c r="AP74" s="700">
        <f t="shared" si="3"/>
        <v>94.172833521566801</v>
      </c>
      <c r="AQ74" s="701">
        <f t="shared" si="6"/>
        <v>78</v>
      </c>
      <c r="AR74" s="700">
        <f t="shared" si="4"/>
        <v>52.914463167000008</v>
      </c>
      <c r="AS74" s="700">
        <f t="shared" si="4"/>
        <v>94.172833521566801</v>
      </c>
      <c r="AT74" s="701">
        <f t="shared" si="7"/>
        <v>78</v>
      </c>
    </row>
    <row r="75" spans="1:46" s="653" customFormat="1" ht="18.75" customHeight="1" x14ac:dyDescent="0.3">
      <c r="A75" s="688" t="s">
        <v>425</v>
      </c>
      <c r="B75" s="449"/>
      <c r="C75" s="689"/>
      <c r="D75" s="700"/>
      <c r="E75" s="449">
        <v>-44.191000000000003</v>
      </c>
      <c r="F75" s="689">
        <v>-9</v>
      </c>
      <c r="G75" s="691">
        <f t="shared" si="9"/>
        <v>-79.599999999999994</v>
      </c>
      <c r="H75" s="449"/>
      <c r="I75" s="689"/>
      <c r="J75" s="701"/>
      <c r="K75" s="449"/>
      <c r="L75" s="689"/>
      <c r="M75" s="700"/>
      <c r="N75" s="449"/>
      <c r="O75" s="689"/>
      <c r="P75" s="701"/>
      <c r="Q75" s="449"/>
      <c r="R75" s="689"/>
      <c r="S75" s="701"/>
      <c r="T75" s="449"/>
      <c r="U75" s="689"/>
      <c r="V75" s="701"/>
      <c r="W75" s="449">
        <v>-7.6210828380000004</v>
      </c>
      <c r="X75" s="689">
        <v>-10.604275742889762</v>
      </c>
      <c r="Y75" s="691">
        <f t="shared" si="8"/>
        <v>39.1</v>
      </c>
      <c r="Z75" s="449"/>
      <c r="AA75" s="689"/>
      <c r="AB75" s="701"/>
      <c r="AC75" s="449"/>
      <c r="AD75" s="689"/>
      <c r="AE75" s="701"/>
      <c r="AF75" s="449"/>
      <c r="AG75" s="689"/>
      <c r="AH75" s="701"/>
      <c r="AI75" s="449"/>
      <c r="AJ75" s="689">
        <v>-3.1859999999999999</v>
      </c>
      <c r="AK75" s="691"/>
      <c r="AL75" s="695"/>
      <c r="AM75" s="689"/>
      <c r="AN75" s="701"/>
      <c r="AO75" s="700">
        <f t="shared" si="3"/>
        <v>-51.812082838000002</v>
      </c>
      <c r="AP75" s="700">
        <f t="shared" si="3"/>
        <v>-22.790275742889762</v>
      </c>
      <c r="AQ75" s="701">
        <f t="shared" si="6"/>
        <v>-56</v>
      </c>
      <c r="AR75" s="700">
        <f t="shared" si="4"/>
        <v>-51.812082838000002</v>
      </c>
      <c r="AS75" s="700">
        <f t="shared" si="4"/>
        <v>-22.790275742889762</v>
      </c>
      <c r="AT75" s="701">
        <f t="shared" si="7"/>
        <v>-56</v>
      </c>
    </row>
    <row r="76" spans="1:46" s="653" customFormat="1" ht="18.75" customHeight="1" x14ac:dyDescent="0.3">
      <c r="A76" s="688" t="s">
        <v>426</v>
      </c>
      <c r="B76" s="449">
        <v>-0.51</v>
      </c>
      <c r="C76" s="689">
        <v>-0.65400000000000003</v>
      </c>
      <c r="D76" s="691">
        <f>IF(B76=0, "    ---- ", IF(ABS(ROUND(100/B76*C76-100,1))&lt;999,ROUND(100/B76*C76-100,1),IF(ROUND(100/B76*C76-100,1)&gt;999,999,-999)))</f>
        <v>28.2</v>
      </c>
      <c r="E76" s="449">
        <v>2.7229999999999999</v>
      </c>
      <c r="F76" s="689">
        <v>9.16</v>
      </c>
      <c r="G76" s="691">
        <f t="shared" si="9"/>
        <v>236.4</v>
      </c>
      <c r="H76" s="449"/>
      <c r="I76" s="689"/>
      <c r="J76" s="701"/>
      <c r="K76" s="449"/>
      <c r="L76" s="689"/>
      <c r="M76" s="700"/>
      <c r="N76" s="449"/>
      <c r="O76" s="689"/>
      <c r="P76" s="701"/>
      <c r="Q76" s="449"/>
      <c r="R76" s="689"/>
      <c r="S76" s="701"/>
      <c r="T76" s="449"/>
      <c r="U76" s="689"/>
      <c r="V76" s="701"/>
      <c r="W76" s="449">
        <v>3.1103622510000002</v>
      </c>
      <c r="X76" s="689">
        <v>2.0469455793044866</v>
      </c>
      <c r="Y76" s="691">
        <f t="shared" si="8"/>
        <v>-34.200000000000003</v>
      </c>
      <c r="Z76" s="449"/>
      <c r="AA76" s="689"/>
      <c r="AB76" s="701"/>
      <c r="AC76" s="449"/>
      <c r="AD76" s="689"/>
      <c r="AE76" s="701"/>
      <c r="AF76" s="449"/>
      <c r="AG76" s="689"/>
      <c r="AH76" s="701"/>
      <c r="AI76" s="449">
        <v>0.39100000000000001</v>
      </c>
      <c r="AJ76" s="689">
        <v>0.17799999999999999</v>
      </c>
      <c r="AK76" s="691">
        <f>IF(AI76=0, "    ---- ", IF(ABS(ROUND(100/AI76*AJ76-100,1))&lt;999,ROUND(100/AI76*AJ76-100,1),IF(ROUND(100/AI76*AJ76-100,1)&gt;999,999,-999)))</f>
        <v>-54.5</v>
      </c>
      <c r="AL76" s="695"/>
      <c r="AM76" s="689"/>
      <c r="AN76" s="701"/>
      <c r="AO76" s="700">
        <f t="shared" si="3"/>
        <v>5.7143622510000007</v>
      </c>
      <c r="AP76" s="700">
        <f t="shared" si="3"/>
        <v>10.730945579304487</v>
      </c>
      <c r="AQ76" s="701">
        <f t="shared" si="6"/>
        <v>87.8</v>
      </c>
      <c r="AR76" s="700">
        <f t="shared" si="4"/>
        <v>5.7143622510000007</v>
      </c>
      <c r="AS76" s="700">
        <f t="shared" si="4"/>
        <v>10.730945579304487</v>
      </c>
      <c r="AT76" s="701">
        <f t="shared" si="7"/>
        <v>87.8</v>
      </c>
    </row>
    <row r="77" spans="1:46" s="653" customFormat="1" ht="18.75" customHeight="1" x14ac:dyDescent="0.3">
      <c r="A77" s="688" t="s">
        <v>427</v>
      </c>
      <c r="B77" s="449"/>
      <c r="C77" s="689"/>
      <c r="D77" s="700"/>
      <c r="E77" s="449">
        <v>0.32700000000000001</v>
      </c>
      <c r="F77" s="689">
        <v>0.35</v>
      </c>
      <c r="G77" s="691">
        <f t="shared" si="9"/>
        <v>7</v>
      </c>
      <c r="H77" s="449"/>
      <c r="I77" s="689"/>
      <c r="J77" s="701"/>
      <c r="K77" s="449"/>
      <c r="L77" s="689"/>
      <c r="M77" s="700"/>
      <c r="N77" s="449"/>
      <c r="O77" s="689"/>
      <c r="P77" s="701"/>
      <c r="Q77" s="449"/>
      <c r="R77" s="689"/>
      <c r="S77" s="701"/>
      <c r="T77" s="449"/>
      <c r="U77" s="689"/>
      <c r="V77" s="701"/>
      <c r="W77" s="449"/>
      <c r="X77" s="689"/>
      <c r="Y77" s="691"/>
      <c r="Z77" s="449"/>
      <c r="AA77" s="689"/>
      <c r="AB77" s="701"/>
      <c r="AC77" s="449"/>
      <c r="AD77" s="689"/>
      <c r="AE77" s="701"/>
      <c r="AF77" s="449"/>
      <c r="AG77" s="689"/>
      <c r="AH77" s="701"/>
      <c r="AI77" s="449"/>
      <c r="AJ77" s="689"/>
      <c r="AK77" s="691"/>
      <c r="AL77" s="695"/>
      <c r="AM77" s="689"/>
      <c r="AN77" s="701"/>
      <c r="AO77" s="700">
        <f t="shared" ref="AO77:AP108" si="10">B77+E77+H77+K77+Q77+T77+W77+Z77+AF77+AI77+AL77</f>
        <v>0.32700000000000001</v>
      </c>
      <c r="AP77" s="700">
        <f t="shared" si="10"/>
        <v>0.35</v>
      </c>
      <c r="AQ77" s="701">
        <f t="shared" si="6"/>
        <v>7</v>
      </c>
      <c r="AR77" s="700">
        <f t="shared" ref="AR77:AS108" si="11">+B77+E77+H77+K77+N77+Q77+T77+W77+Z77+AC77+AF77+AI77+AL77</f>
        <v>0.32700000000000001</v>
      </c>
      <c r="AS77" s="700">
        <f t="shared" si="11"/>
        <v>0.35</v>
      </c>
      <c r="AT77" s="701">
        <f t="shared" si="7"/>
        <v>7</v>
      </c>
    </row>
    <row r="78" spans="1:46" s="653" customFormat="1" ht="18.75" customHeight="1" x14ac:dyDescent="0.3">
      <c r="A78" s="688" t="s">
        <v>428</v>
      </c>
      <c r="B78" s="449"/>
      <c r="C78" s="689"/>
      <c r="D78" s="700"/>
      <c r="E78" s="449">
        <v>17.673999999999999</v>
      </c>
      <c r="F78" s="689">
        <v>19.13</v>
      </c>
      <c r="G78" s="691">
        <f t="shared" si="9"/>
        <v>8.1999999999999993</v>
      </c>
      <c r="H78" s="449"/>
      <c r="I78" s="689"/>
      <c r="J78" s="701"/>
      <c r="K78" s="449"/>
      <c r="L78" s="689"/>
      <c r="M78" s="700"/>
      <c r="N78" s="449"/>
      <c r="O78" s="689"/>
      <c r="P78" s="701"/>
      <c r="Q78" s="449"/>
      <c r="R78" s="689"/>
      <c r="S78" s="701"/>
      <c r="T78" s="449"/>
      <c r="U78" s="689"/>
      <c r="V78" s="701"/>
      <c r="W78" s="449">
        <v>2.1250724829999998</v>
      </c>
      <c r="X78" s="689">
        <v>2.1221030166666668</v>
      </c>
      <c r="Y78" s="691">
        <f t="shared" si="8"/>
        <v>-0.1</v>
      </c>
      <c r="Z78" s="449"/>
      <c r="AA78" s="689"/>
      <c r="AB78" s="701"/>
      <c r="AC78" s="449"/>
      <c r="AD78" s="689"/>
      <c r="AE78" s="701"/>
      <c r="AF78" s="449"/>
      <c r="AG78" s="689"/>
      <c r="AH78" s="701"/>
      <c r="AI78" s="449">
        <v>0.377</v>
      </c>
      <c r="AJ78" s="689">
        <v>0.627</v>
      </c>
      <c r="AK78" s="691">
        <f>IF(AI78=0, "    ---- ", IF(ABS(ROUND(100/AI78*AJ78-100,1))&lt;999,ROUND(100/AI78*AJ78-100,1),IF(ROUND(100/AI78*AJ78-100,1)&gt;999,999,-999)))</f>
        <v>66.3</v>
      </c>
      <c r="AL78" s="695"/>
      <c r="AM78" s="689"/>
      <c r="AN78" s="701"/>
      <c r="AO78" s="700">
        <f t="shared" si="10"/>
        <v>20.176072482999999</v>
      </c>
      <c r="AP78" s="700">
        <f t="shared" si="10"/>
        <v>21.879103016666665</v>
      </c>
      <c r="AQ78" s="701">
        <f t="shared" si="6"/>
        <v>8.4</v>
      </c>
      <c r="AR78" s="700">
        <f t="shared" si="11"/>
        <v>20.176072482999999</v>
      </c>
      <c r="AS78" s="700">
        <f t="shared" si="11"/>
        <v>21.879103016666665</v>
      </c>
      <c r="AT78" s="701">
        <f t="shared" si="7"/>
        <v>8.4</v>
      </c>
    </row>
    <row r="79" spans="1:46" s="653" customFormat="1" ht="18.75" customHeight="1" x14ac:dyDescent="0.3">
      <c r="A79" s="688" t="s">
        <v>429</v>
      </c>
      <c r="B79" s="449">
        <v>-0.23</v>
      </c>
      <c r="C79" s="689">
        <v>-1.55</v>
      </c>
      <c r="D79" s="691">
        <f>IF(B79=0, "    ---- ", IF(ABS(ROUND(100/B79*C79-100,1))&lt;999,ROUND(100/B79*C79-100,1),IF(ROUND(100/B79*C79-100,1)&gt;999,999,-999)))</f>
        <v>573.9</v>
      </c>
      <c r="E79" s="449">
        <v>0.27960000000000002</v>
      </c>
      <c r="F79" s="689">
        <v>2.64</v>
      </c>
      <c r="G79" s="691">
        <f t="shared" si="9"/>
        <v>844.2</v>
      </c>
      <c r="H79" s="449"/>
      <c r="I79" s="689"/>
      <c r="J79" s="701"/>
      <c r="K79" s="449"/>
      <c r="L79" s="689"/>
      <c r="M79" s="700"/>
      <c r="N79" s="449"/>
      <c r="O79" s="689"/>
      <c r="P79" s="701"/>
      <c r="Q79" s="449"/>
      <c r="R79" s="689"/>
      <c r="S79" s="701"/>
      <c r="T79" s="449"/>
      <c r="U79" s="689"/>
      <c r="V79" s="701"/>
      <c r="W79" s="449">
        <v>6.0076696999999998E-2</v>
      </c>
      <c r="X79" s="689">
        <v>0.20346331234932866</v>
      </c>
      <c r="Y79" s="691">
        <f t="shared" si="8"/>
        <v>238.7</v>
      </c>
      <c r="Z79" s="449"/>
      <c r="AA79" s="689"/>
      <c r="AB79" s="701"/>
      <c r="AC79" s="449"/>
      <c r="AD79" s="689"/>
      <c r="AE79" s="701"/>
      <c r="AF79" s="449"/>
      <c r="AG79" s="689"/>
      <c r="AH79" s="701"/>
      <c r="AI79" s="449">
        <v>-0.434</v>
      </c>
      <c r="AJ79" s="689">
        <v>-0.29599999999999999</v>
      </c>
      <c r="AK79" s="691">
        <f>IF(AI79=0, "    ---- ", IF(ABS(ROUND(100/AI79*AJ79-100,1))&lt;999,ROUND(100/AI79*AJ79-100,1),IF(ROUND(100/AI79*AJ79-100,1)&gt;999,999,-999)))</f>
        <v>-31.8</v>
      </c>
      <c r="AL79" s="695"/>
      <c r="AM79" s="689"/>
      <c r="AN79" s="701"/>
      <c r="AO79" s="700">
        <f t="shared" si="10"/>
        <v>-0.32432330300000001</v>
      </c>
      <c r="AP79" s="700">
        <f t="shared" si="10"/>
        <v>0.99746331234932861</v>
      </c>
      <c r="AQ79" s="701">
        <f t="shared" si="6"/>
        <v>-407.6</v>
      </c>
      <c r="AR79" s="700">
        <f t="shared" si="11"/>
        <v>-0.32432330300000001</v>
      </c>
      <c r="AS79" s="700">
        <f t="shared" si="11"/>
        <v>0.99746331234932861</v>
      </c>
      <c r="AT79" s="701">
        <f t="shared" si="7"/>
        <v>-407.6</v>
      </c>
    </row>
    <row r="80" spans="1:46" s="653" customFormat="1" ht="18.75" customHeight="1" x14ac:dyDescent="0.3">
      <c r="A80" s="688" t="s">
        <v>430</v>
      </c>
      <c r="B80" s="449"/>
      <c r="C80" s="689"/>
      <c r="D80" s="700"/>
      <c r="E80" s="449"/>
      <c r="F80" s="689"/>
      <c r="G80" s="691"/>
      <c r="H80" s="449"/>
      <c r="I80" s="689"/>
      <c r="J80" s="701"/>
      <c r="K80" s="449"/>
      <c r="L80" s="689"/>
      <c r="M80" s="700"/>
      <c r="N80" s="449"/>
      <c r="O80" s="689"/>
      <c r="P80" s="701"/>
      <c r="Q80" s="449"/>
      <c r="R80" s="689"/>
      <c r="S80" s="701"/>
      <c r="T80" s="449"/>
      <c r="U80" s="689"/>
      <c r="V80" s="701"/>
      <c r="W80" s="449">
        <v>2</v>
      </c>
      <c r="X80" s="689">
        <v>2.6710954795467443</v>
      </c>
      <c r="Y80" s="691">
        <f t="shared" si="8"/>
        <v>33.6</v>
      </c>
      <c r="Z80" s="449"/>
      <c r="AA80" s="689"/>
      <c r="AB80" s="701"/>
      <c r="AC80" s="449"/>
      <c r="AD80" s="689"/>
      <c r="AE80" s="701"/>
      <c r="AF80" s="449"/>
      <c r="AG80" s="689"/>
      <c r="AH80" s="701"/>
      <c r="AI80" s="449"/>
      <c r="AJ80" s="689"/>
      <c r="AK80" s="691"/>
      <c r="AL80" s="695"/>
      <c r="AM80" s="689"/>
      <c r="AN80" s="701"/>
      <c r="AO80" s="700">
        <f t="shared" si="10"/>
        <v>2</v>
      </c>
      <c r="AP80" s="700">
        <f t="shared" si="10"/>
        <v>2.6710954795467443</v>
      </c>
      <c r="AQ80" s="701">
        <f t="shared" si="6"/>
        <v>33.6</v>
      </c>
      <c r="AR80" s="700">
        <f t="shared" si="11"/>
        <v>2</v>
      </c>
      <c r="AS80" s="700">
        <f t="shared" si="11"/>
        <v>2.6710954795467443</v>
      </c>
      <c r="AT80" s="701">
        <f t="shared" si="7"/>
        <v>33.6</v>
      </c>
    </row>
    <row r="81" spans="1:46" s="653" customFormat="1" ht="18.75" customHeight="1" x14ac:dyDescent="0.3">
      <c r="A81" s="688" t="s">
        <v>431</v>
      </c>
      <c r="B81" s="449"/>
      <c r="C81" s="689"/>
      <c r="D81" s="700"/>
      <c r="E81" s="449"/>
      <c r="F81" s="689"/>
      <c r="G81" s="691"/>
      <c r="H81" s="449"/>
      <c r="I81" s="689"/>
      <c r="J81" s="701"/>
      <c r="K81" s="449"/>
      <c r="L81" s="689"/>
      <c r="M81" s="700"/>
      <c r="N81" s="449"/>
      <c r="O81" s="689"/>
      <c r="P81" s="701"/>
      <c r="Q81" s="449"/>
      <c r="R81" s="689"/>
      <c r="S81" s="701"/>
      <c r="T81" s="449"/>
      <c r="U81" s="689"/>
      <c r="V81" s="701"/>
      <c r="W81" s="449"/>
      <c r="X81" s="689">
        <v>0</v>
      </c>
      <c r="Y81" s="691"/>
      <c r="Z81" s="449"/>
      <c r="AA81" s="689"/>
      <c r="AB81" s="701"/>
      <c r="AC81" s="449"/>
      <c r="AD81" s="689"/>
      <c r="AE81" s="701"/>
      <c r="AF81" s="449"/>
      <c r="AG81" s="689"/>
      <c r="AH81" s="701"/>
      <c r="AI81" s="449"/>
      <c r="AJ81" s="689"/>
      <c r="AK81" s="691"/>
      <c r="AL81" s="695"/>
      <c r="AM81" s="689"/>
      <c r="AN81" s="701"/>
      <c r="AO81" s="700"/>
      <c r="AP81" s="700"/>
      <c r="AQ81" s="701"/>
      <c r="AR81" s="700"/>
      <c r="AS81" s="700"/>
      <c r="AT81" s="701"/>
    </row>
    <row r="82" spans="1:46" s="699" customFormat="1" ht="18.75" customHeight="1" x14ac:dyDescent="0.3">
      <c r="A82" s="679" t="s">
        <v>432</v>
      </c>
      <c r="B82" s="680">
        <v>-0.753</v>
      </c>
      <c r="C82" s="681">
        <f>SUM(C74:C79)+C81</f>
        <v>-2.2040000000000002</v>
      </c>
      <c r="D82" s="691">
        <f>IF(B82=0, "    ---- ", IF(ABS(ROUND(100/B82*C82-100,1))&lt;999,ROUND(100/B82*C82-100,1),IF(ROUND(100/B82*C82-100,1)&gt;999,999,-999)))</f>
        <v>192.7</v>
      </c>
      <c r="E82" s="703">
        <v>21.003599999999999</v>
      </c>
      <c r="F82" s="681">
        <f>SUM(F74:F79)+F81</f>
        <v>102.55299999999998</v>
      </c>
      <c r="G82" s="686">
        <f>IF(E82=0, "    ---- ", IF(ABS(ROUND(100/E82*F82-100,1))&lt;999,ROUND(100/E82*F82-100,1),IF(ROUND(100/E82*F82-100,1)&gt;999,999,-999)))</f>
        <v>388.3</v>
      </c>
      <c r="H82" s="680"/>
      <c r="I82" s="681"/>
      <c r="J82" s="704"/>
      <c r="K82" s="680"/>
      <c r="L82" s="681"/>
      <c r="M82" s="702"/>
      <c r="N82" s="680"/>
      <c r="O82" s="681"/>
      <c r="P82" s="704"/>
      <c r="Q82" s="680"/>
      <c r="R82" s="681"/>
      <c r="S82" s="704"/>
      <c r="T82" s="680"/>
      <c r="U82" s="681"/>
      <c r="V82" s="704"/>
      <c r="W82" s="680">
        <v>5.3878917599999996</v>
      </c>
      <c r="X82" s="681">
        <f>SUM(X74:X79)+X81</f>
        <v>4.4810696869975315</v>
      </c>
      <c r="Y82" s="686">
        <f t="shared" si="8"/>
        <v>-16.8</v>
      </c>
      <c r="Z82" s="680"/>
      <c r="AA82" s="681"/>
      <c r="AB82" s="704"/>
      <c r="AC82" s="680"/>
      <c r="AD82" s="681"/>
      <c r="AE82" s="704"/>
      <c r="AF82" s="680"/>
      <c r="AG82" s="681"/>
      <c r="AH82" s="704"/>
      <c r="AI82" s="703">
        <v>1.357</v>
      </c>
      <c r="AJ82" s="681">
        <f>SUM(AJ74:AJ79)+AJ81</f>
        <v>0.50999999999999979</v>
      </c>
      <c r="AK82" s="686">
        <f>IF(AI82=0, "    ---- ", IF(ABS(ROUND(100/AI82*AJ82-100,1))&lt;999,ROUND(100/AI82*AJ82-100,1),IF(ROUND(100/AI82*AJ82-100,1)&gt;999,999,-999)))</f>
        <v>-62.4</v>
      </c>
      <c r="AL82" s="697"/>
      <c r="AM82" s="681"/>
      <c r="AN82" s="704"/>
      <c r="AO82" s="702">
        <f>B82+E82+H82+K82+Q82+T82+W82+Z82+AF82+AI82+AL82</f>
        <v>26.995491759999997</v>
      </c>
      <c r="AP82" s="702">
        <f t="shared" si="10"/>
        <v>105.34006968699752</v>
      </c>
      <c r="AQ82" s="704">
        <f t="shared" si="6"/>
        <v>290.2</v>
      </c>
      <c r="AR82" s="702">
        <f t="shared" si="11"/>
        <v>26.995491759999997</v>
      </c>
      <c r="AS82" s="702">
        <f t="shared" si="11"/>
        <v>105.34006968699752</v>
      </c>
      <c r="AT82" s="704">
        <f t="shared" si="7"/>
        <v>290.2</v>
      </c>
    </row>
    <row r="83" spans="1:46" s="653" customFormat="1" ht="18.75" customHeight="1" x14ac:dyDescent="0.3">
      <c r="A83" s="688" t="s">
        <v>433</v>
      </c>
      <c r="B83" s="449"/>
      <c r="C83" s="689"/>
      <c r="D83" s="691"/>
      <c r="E83" s="705">
        <v>-0.13980000000000001</v>
      </c>
      <c r="F83" s="689">
        <v>72.59</v>
      </c>
      <c r="G83" s="691">
        <f>IF(E83=0, "    ---- ", IF(ABS(ROUND(100/E83*F83-100,1))&lt;999,ROUND(100/E83*F83-100,1),IF(ROUND(100/E83*F83-100,1)&gt;999,999,-999)))</f>
        <v>-999</v>
      </c>
      <c r="H83" s="449"/>
      <c r="I83" s="689"/>
      <c r="J83" s="701"/>
      <c r="K83" s="449"/>
      <c r="L83" s="689"/>
      <c r="M83" s="700"/>
      <c r="N83" s="449"/>
      <c r="O83" s="689"/>
      <c r="P83" s="701"/>
      <c r="Q83" s="449"/>
      <c r="R83" s="689"/>
      <c r="S83" s="701"/>
      <c r="T83" s="449"/>
      <c r="U83" s="689"/>
      <c r="V83" s="701"/>
      <c r="W83" s="449">
        <v>3.0038348999999999E-2</v>
      </c>
      <c r="X83" s="689">
        <v>0.10173165617466345</v>
      </c>
      <c r="Y83" s="691">
        <f t="shared" si="8"/>
        <v>238.7</v>
      </c>
      <c r="Z83" s="449"/>
      <c r="AA83" s="689"/>
      <c r="AB83" s="701"/>
      <c r="AC83" s="449"/>
      <c r="AD83" s="689"/>
      <c r="AE83" s="701"/>
      <c r="AF83" s="449"/>
      <c r="AG83" s="689"/>
      <c r="AH83" s="701"/>
      <c r="AI83" s="705">
        <v>1.0229999999999999</v>
      </c>
      <c r="AJ83" s="689"/>
      <c r="AK83" s="691">
        <f>IF(AI83=0, "    ---- ", IF(ABS(ROUND(100/AI83*AJ83-100,1))&lt;999,ROUND(100/AI83*AJ83-100,1),IF(ROUND(100/AI83*AJ83-100,1)&gt;999,999,-999)))</f>
        <v>-100</v>
      </c>
      <c r="AL83" s="695"/>
      <c r="AM83" s="689"/>
      <c r="AN83" s="701"/>
      <c r="AO83" s="700">
        <f>B83+E83+H83+K83+Q83+T83+W83+Z83+AF83+AI83+AL83</f>
        <v>0.91323834899999989</v>
      </c>
      <c r="AP83" s="700">
        <f t="shared" si="10"/>
        <v>72.691731656174667</v>
      </c>
      <c r="AQ83" s="701">
        <f t="shared" si="6"/>
        <v>999</v>
      </c>
      <c r="AR83" s="700">
        <f t="shared" si="11"/>
        <v>0.91323834899999989</v>
      </c>
      <c r="AS83" s="700">
        <f t="shared" si="11"/>
        <v>72.691731656174667</v>
      </c>
      <c r="AT83" s="701">
        <f t="shared" si="7"/>
        <v>999</v>
      </c>
    </row>
    <row r="84" spans="1:46" s="653" customFormat="1" ht="18.75" customHeight="1" x14ac:dyDescent="0.3">
      <c r="A84" s="688" t="s">
        <v>434</v>
      </c>
      <c r="B84" s="449">
        <v>-0.753</v>
      </c>
      <c r="C84" s="689">
        <v>-2.2040000000000002</v>
      </c>
      <c r="D84" s="691">
        <f>IF(B84=0, "    ---- ", IF(ABS(ROUND(100/B84*C84-100,1))&lt;999,ROUND(100/B84*C84-100,1),IF(ROUND(100/B84*C84-100,1)&gt;999,999,-999)))</f>
        <v>192.7</v>
      </c>
      <c r="E84" s="705">
        <v>20.863</v>
      </c>
      <c r="F84" s="689">
        <v>29.97</v>
      </c>
      <c r="G84" s="691">
        <f>IF(E84=0, "    ---- ", IF(ABS(ROUND(100/E84*F84-100,1))&lt;999,ROUND(100/E84*F84-100,1),IF(ROUND(100/E84*F84-100,1)&gt;999,999,-999)))</f>
        <v>43.7</v>
      </c>
      <c r="H84" s="449"/>
      <c r="I84" s="689"/>
      <c r="J84" s="701"/>
      <c r="K84" s="449"/>
      <c r="L84" s="689"/>
      <c r="M84" s="700"/>
      <c r="N84" s="449"/>
      <c r="O84" s="689"/>
      <c r="P84" s="701"/>
      <c r="Q84" s="449"/>
      <c r="R84" s="689"/>
      <c r="S84" s="701"/>
      <c r="T84" s="449"/>
      <c r="U84" s="689"/>
      <c r="V84" s="701"/>
      <c r="W84" s="449">
        <v>5.3578534109999998</v>
      </c>
      <c r="X84" s="689">
        <v>4.3793380308228684</v>
      </c>
      <c r="Y84" s="691">
        <f t="shared" si="8"/>
        <v>-18.3</v>
      </c>
      <c r="Z84" s="449"/>
      <c r="AA84" s="689"/>
      <c r="AB84" s="701"/>
      <c r="AC84" s="449"/>
      <c r="AD84" s="689"/>
      <c r="AE84" s="701"/>
      <c r="AF84" s="449"/>
      <c r="AG84" s="689"/>
      <c r="AH84" s="701"/>
      <c r="AI84" s="449">
        <v>0.33400000000000002</v>
      </c>
      <c r="AJ84" s="689">
        <v>0.51</v>
      </c>
      <c r="AK84" s="691">
        <f>IF(AI84=0, "    ---- ", IF(ABS(ROUND(100/AI84*AJ84-100,1))&lt;999,ROUND(100/AI84*AJ84-100,1),IF(ROUND(100/AI84*AJ84-100,1)&gt;999,999,-999)))</f>
        <v>52.7</v>
      </c>
      <c r="AL84" s="695"/>
      <c r="AM84" s="689"/>
      <c r="AN84" s="701"/>
      <c r="AO84" s="700">
        <f>B84+E84+H84+K84+Q84+T84+W84+Z84+AF84+AI84+AL84</f>
        <v>25.801853411</v>
      </c>
      <c r="AP84" s="700">
        <f t="shared" si="10"/>
        <v>32.655338030822868</v>
      </c>
      <c r="AQ84" s="701">
        <f t="shared" si="6"/>
        <v>26.6</v>
      </c>
      <c r="AR84" s="700">
        <f t="shared" si="11"/>
        <v>25.801853411</v>
      </c>
      <c r="AS84" s="700">
        <f t="shared" si="11"/>
        <v>32.655338030822868</v>
      </c>
      <c r="AT84" s="701">
        <f t="shared" si="7"/>
        <v>26.6</v>
      </c>
    </row>
    <row r="85" spans="1:46" s="699" customFormat="1" ht="18.75" customHeight="1" x14ac:dyDescent="0.3">
      <c r="A85" s="679" t="s">
        <v>440</v>
      </c>
      <c r="B85" s="680"/>
      <c r="C85" s="681"/>
      <c r="D85" s="702"/>
      <c r="E85" s="680"/>
      <c r="F85" s="681"/>
      <c r="G85" s="686"/>
      <c r="H85" s="680"/>
      <c r="I85" s="681"/>
      <c r="J85" s="704"/>
      <c r="K85" s="680"/>
      <c r="L85" s="681"/>
      <c r="M85" s="702"/>
      <c r="N85" s="680"/>
      <c r="O85" s="681"/>
      <c r="P85" s="704"/>
      <c r="Q85" s="680"/>
      <c r="R85" s="681"/>
      <c r="S85" s="704"/>
      <c r="T85" s="680"/>
      <c r="U85" s="681"/>
      <c r="V85" s="704"/>
      <c r="W85" s="680"/>
      <c r="X85" s="681"/>
      <c r="Y85" s="686"/>
      <c r="Z85" s="680"/>
      <c r="AA85" s="681"/>
      <c r="AB85" s="704"/>
      <c r="AC85" s="680"/>
      <c r="AD85" s="681"/>
      <c r="AE85" s="704"/>
      <c r="AF85" s="680"/>
      <c r="AG85" s="681"/>
      <c r="AH85" s="704"/>
      <c r="AI85" s="680"/>
      <c r="AJ85" s="681"/>
      <c r="AK85" s="686"/>
      <c r="AL85" s="697"/>
      <c r="AM85" s="681"/>
      <c r="AN85" s="704"/>
      <c r="AO85" s="702"/>
      <c r="AP85" s="702"/>
      <c r="AQ85" s="704"/>
      <c r="AR85" s="702"/>
      <c r="AS85" s="702"/>
      <c r="AT85" s="704"/>
    </row>
    <row r="86" spans="1:46" s="653" customFormat="1" ht="18.75" customHeight="1" x14ac:dyDescent="0.3">
      <c r="A86" s="688" t="s">
        <v>424</v>
      </c>
      <c r="B86" s="449"/>
      <c r="C86" s="689"/>
      <c r="D86" s="720"/>
      <c r="E86" s="449"/>
      <c r="F86" s="689"/>
      <c r="G86" s="691"/>
      <c r="H86" s="449">
        <v>12.943</v>
      </c>
      <c r="I86" s="689">
        <v>12.429</v>
      </c>
      <c r="J86" s="691">
        <f>IF(H86=0, "    ---- ", IF(ABS(ROUND(100/H86*I86-100,1))&lt;999,ROUND(100/H86*I86-100,1),IF(ROUND(100/H86*I86-100,1)&gt;999,999,-999)))</f>
        <v>-4</v>
      </c>
      <c r="K86" s="449">
        <v>20.141999999999999</v>
      </c>
      <c r="L86" s="689">
        <v>20.263999999999999</v>
      </c>
      <c r="M86" s="696">
        <f>IF(K86=0, "    ---- ", IF(ABS(ROUND(100/K86*L86-100,1))&lt;999,ROUND(100/K86*L86-100,1),IF(ROUND(100/K86*L86-100,1)&gt;999,999,-999)))</f>
        <v>0.6</v>
      </c>
      <c r="N86" s="449"/>
      <c r="O86" s="689"/>
      <c r="P86" s="721"/>
      <c r="Q86" s="449"/>
      <c r="R86" s="689"/>
      <c r="S86" s="721"/>
      <c r="T86" s="449"/>
      <c r="U86" s="689"/>
      <c r="V86" s="721"/>
      <c r="W86" s="449">
        <v>6.6436513699999997</v>
      </c>
      <c r="X86" s="689">
        <v>9.8961944179785455</v>
      </c>
      <c r="Y86" s="691">
        <f t="shared" si="8"/>
        <v>49</v>
      </c>
      <c r="Z86" s="449"/>
      <c r="AA86" s="689"/>
      <c r="AB86" s="691"/>
      <c r="AC86" s="449"/>
      <c r="AD86" s="689"/>
      <c r="AE86" s="721"/>
      <c r="AF86" s="449"/>
      <c r="AG86" s="689"/>
      <c r="AH86" s="721"/>
      <c r="AI86" s="449">
        <v>-2.2120000000000002</v>
      </c>
      <c r="AJ86" s="689">
        <v>84.158000000000001</v>
      </c>
      <c r="AK86" s="691">
        <f>IF(AI86=0, "    ---- ", IF(ABS(ROUND(100/AI86*AJ86-100,1))&lt;999,ROUND(100/AI86*AJ86-100,1),IF(ROUND(100/AI86*AJ86-100,1)&gt;999,999,-999)))</f>
        <v>-999</v>
      </c>
      <c r="AL86" s="695"/>
      <c r="AM86" s="689"/>
      <c r="AN86" s="691"/>
      <c r="AO86" s="696">
        <f>B86+E86+H86+K86+Q86+T86+W86+Z86+AF86+AI86+AL86</f>
        <v>37.516651369999998</v>
      </c>
      <c r="AP86" s="696">
        <f t="shared" si="10"/>
        <v>126.74719441797855</v>
      </c>
      <c r="AQ86" s="691">
        <f t="shared" si="6"/>
        <v>237.8</v>
      </c>
      <c r="AR86" s="700">
        <f t="shared" si="11"/>
        <v>37.516651369999998</v>
      </c>
      <c r="AS86" s="696">
        <f t="shared" si="11"/>
        <v>126.74719441797855</v>
      </c>
      <c r="AT86" s="691">
        <f t="shared" si="7"/>
        <v>237.8</v>
      </c>
    </row>
    <row r="87" spans="1:46" s="653" customFormat="1" ht="18.75" customHeight="1" x14ac:dyDescent="0.3">
      <c r="A87" s="688" t="s">
        <v>425</v>
      </c>
      <c r="B87" s="449"/>
      <c r="C87" s="689"/>
      <c r="D87" s="720"/>
      <c r="E87" s="449"/>
      <c r="F87" s="689"/>
      <c r="G87" s="691"/>
      <c r="H87" s="449"/>
      <c r="I87" s="689"/>
      <c r="J87" s="721"/>
      <c r="K87" s="449"/>
      <c r="L87" s="689"/>
      <c r="M87" s="720"/>
      <c r="N87" s="449"/>
      <c r="O87" s="689"/>
      <c r="P87" s="721"/>
      <c r="Q87" s="449"/>
      <c r="R87" s="689"/>
      <c r="S87" s="721"/>
      <c r="T87" s="449"/>
      <c r="U87" s="689"/>
      <c r="V87" s="721"/>
      <c r="W87" s="449"/>
      <c r="X87" s="689"/>
      <c r="Y87" s="691"/>
      <c r="Z87" s="449"/>
      <c r="AA87" s="689"/>
      <c r="AB87" s="721"/>
      <c r="AC87" s="449"/>
      <c r="AD87" s="689"/>
      <c r="AE87" s="721"/>
      <c r="AF87" s="449"/>
      <c r="AG87" s="689"/>
      <c r="AH87" s="721"/>
      <c r="AI87" s="449"/>
      <c r="AJ87" s="689"/>
      <c r="AK87" s="691"/>
      <c r="AL87" s="695"/>
      <c r="AM87" s="689"/>
      <c r="AN87" s="721"/>
      <c r="AO87" s="720"/>
      <c r="AP87" s="720"/>
      <c r="AQ87" s="721"/>
      <c r="AR87" s="700"/>
      <c r="AS87" s="720"/>
      <c r="AT87" s="721"/>
    </row>
    <row r="88" spans="1:46" s="653" customFormat="1" ht="18.75" customHeight="1" x14ac:dyDescent="0.3">
      <c r="A88" s="688" t="s">
        <v>426</v>
      </c>
      <c r="B88" s="449">
        <v>-8.98</v>
      </c>
      <c r="C88" s="689">
        <v>-6.806</v>
      </c>
      <c r="D88" s="691">
        <f>IF(B88=0, "    ---- ", IF(ABS(ROUND(100/B88*C88-100,1))&lt;999,ROUND(100/B88*C88-100,1),IF(ROUND(100/B88*C88-100,1)&gt;999,999,-999)))</f>
        <v>-24.2</v>
      </c>
      <c r="E88" s="449"/>
      <c r="F88" s="689"/>
      <c r="G88" s="691"/>
      <c r="H88" s="449">
        <v>-17.053999999999998</v>
      </c>
      <c r="I88" s="689">
        <v>-18.173999999999999</v>
      </c>
      <c r="J88" s="701">
        <f>IF(H88=0, "    ---- ", IF(ABS(ROUND(100/H88*I88-100,1))&lt;999,ROUND(100/H88*I88-100,1),IF(ROUND(100/H88*I88-100,1)&gt;999,999,-999)))</f>
        <v>6.6</v>
      </c>
      <c r="K88" s="449">
        <v>28.988</v>
      </c>
      <c r="L88" s="689">
        <v>26.727</v>
      </c>
      <c r="M88" s="700">
        <f>IF(K88=0, "    ---- ", IF(ABS(ROUND(100/K88*L88-100,1))&lt;999,ROUND(100/K88*L88-100,1),IF(ROUND(100/K88*L88-100,1)&gt;999,999,-999)))</f>
        <v>-7.8</v>
      </c>
      <c r="N88" s="449"/>
      <c r="O88" s="689"/>
      <c r="P88" s="701"/>
      <c r="Q88" s="449"/>
      <c r="R88" s="689"/>
      <c r="S88" s="701"/>
      <c r="T88" s="449"/>
      <c r="U88" s="689"/>
      <c r="V88" s="701"/>
      <c r="W88" s="449">
        <v>6.3341353219999998</v>
      </c>
      <c r="X88" s="689">
        <v>4.5441012068953661</v>
      </c>
      <c r="Y88" s="691">
        <f t="shared" si="8"/>
        <v>-28.3</v>
      </c>
      <c r="Z88" s="449"/>
      <c r="AA88" s="689"/>
      <c r="AB88" s="701"/>
      <c r="AC88" s="449"/>
      <c r="AD88" s="689"/>
      <c r="AE88" s="701"/>
      <c r="AF88" s="449"/>
      <c r="AG88" s="689"/>
      <c r="AH88" s="701"/>
      <c r="AI88" s="449">
        <v>-40.777999999999999</v>
      </c>
      <c r="AJ88" s="689">
        <v>15.555</v>
      </c>
      <c r="AK88" s="691">
        <f>IF(AI88=0, "    ---- ", IF(ABS(ROUND(100/AI88*AJ88-100,1))&lt;999,ROUND(100/AI88*AJ88-100,1),IF(ROUND(100/AI88*AJ88-100,1)&gt;999,999,-999)))</f>
        <v>-138.1</v>
      </c>
      <c r="AL88" s="695"/>
      <c r="AM88" s="689"/>
      <c r="AN88" s="701"/>
      <c r="AO88" s="700">
        <f t="shared" si="10"/>
        <v>-31.489864677999996</v>
      </c>
      <c r="AP88" s="700">
        <f t="shared" si="10"/>
        <v>21.846101206895366</v>
      </c>
      <c r="AQ88" s="701">
        <f t="shared" ref="AQ88:AQ108" si="12">IF(AO88=0, "    ---- ", IF(ABS(ROUND(100/AO88*AP88-100,1))&lt;999,ROUND(100/AO88*AP88-100,1),IF(ROUND(100/AO88*AP88-100,1)&gt;999,999,-999)))</f>
        <v>-169.4</v>
      </c>
      <c r="AR88" s="700">
        <f t="shared" si="11"/>
        <v>-31.489864677999996</v>
      </c>
      <c r="AS88" s="700">
        <f t="shared" si="11"/>
        <v>21.846101206895366</v>
      </c>
      <c r="AT88" s="701">
        <f t="shared" ref="AT88:AT108" si="13">IF(AR88=0, "    ---- ", IF(ABS(ROUND(100/AR88*AS88-100,1))&lt;999,ROUND(100/AR88*AS88-100,1),IF(ROUND(100/AR88*AS88-100,1)&gt;999,999,-999)))</f>
        <v>-169.4</v>
      </c>
    </row>
    <row r="89" spans="1:46" s="653" customFormat="1" ht="18.75" customHeight="1" x14ac:dyDescent="0.3">
      <c r="A89" s="688" t="s">
        <v>427</v>
      </c>
      <c r="B89" s="449"/>
      <c r="C89" s="689"/>
      <c r="D89" s="700"/>
      <c r="E89" s="449"/>
      <c r="F89" s="689"/>
      <c r="G89" s="691"/>
      <c r="H89" s="449"/>
      <c r="I89" s="689"/>
      <c r="J89" s="701"/>
      <c r="K89" s="449"/>
      <c r="L89" s="689"/>
      <c r="M89" s="700"/>
      <c r="N89" s="449"/>
      <c r="O89" s="689"/>
      <c r="P89" s="701"/>
      <c r="Q89" s="449"/>
      <c r="R89" s="689"/>
      <c r="S89" s="701"/>
      <c r="T89" s="449"/>
      <c r="U89" s="689"/>
      <c r="V89" s="701"/>
      <c r="W89" s="449"/>
      <c r="X89" s="689"/>
      <c r="Y89" s="691"/>
      <c r="Z89" s="449"/>
      <c r="AA89" s="689"/>
      <c r="AB89" s="701"/>
      <c r="AC89" s="449"/>
      <c r="AD89" s="689"/>
      <c r="AE89" s="701"/>
      <c r="AF89" s="449"/>
      <c r="AG89" s="689"/>
      <c r="AH89" s="701"/>
      <c r="AI89" s="449"/>
      <c r="AJ89" s="689"/>
      <c r="AK89" s="691"/>
      <c r="AL89" s="695"/>
      <c r="AM89" s="689"/>
      <c r="AN89" s="701"/>
      <c r="AO89" s="700"/>
      <c r="AP89" s="700"/>
      <c r="AQ89" s="701"/>
      <c r="AR89" s="700"/>
      <c r="AS89" s="700"/>
      <c r="AT89" s="701"/>
    </row>
    <row r="90" spans="1:46" s="653" customFormat="1" ht="18.75" customHeight="1" x14ac:dyDescent="0.3">
      <c r="A90" s="688" t="s">
        <v>428</v>
      </c>
      <c r="B90" s="449"/>
      <c r="C90" s="689"/>
      <c r="D90" s="700"/>
      <c r="E90" s="449"/>
      <c r="F90" s="689"/>
      <c r="G90" s="691"/>
      <c r="H90" s="449"/>
      <c r="I90" s="689"/>
      <c r="J90" s="701"/>
      <c r="K90" s="449"/>
      <c r="L90" s="689"/>
      <c r="M90" s="700"/>
      <c r="N90" s="449"/>
      <c r="O90" s="689"/>
      <c r="P90" s="701"/>
      <c r="Q90" s="449"/>
      <c r="R90" s="689"/>
      <c r="S90" s="701"/>
      <c r="T90" s="449"/>
      <c r="U90" s="689"/>
      <c r="V90" s="701"/>
      <c r="W90" s="449"/>
      <c r="X90" s="689"/>
      <c r="Y90" s="691"/>
      <c r="Z90" s="449"/>
      <c r="AA90" s="689"/>
      <c r="AB90" s="701"/>
      <c r="AC90" s="449"/>
      <c r="AD90" s="689"/>
      <c r="AE90" s="701"/>
      <c r="AF90" s="449"/>
      <c r="AG90" s="689"/>
      <c r="AH90" s="701"/>
      <c r="AI90" s="449"/>
      <c r="AJ90" s="689"/>
      <c r="AK90" s="691"/>
      <c r="AL90" s="695"/>
      <c r="AM90" s="689"/>
      <c r="AN90" s="701"/>
      <c r="AO90" s="700"/>
      <c r="AP90" s="700"/>
      <c r="AQ90" s="701"/>
      <c r="AR90" s="700"/>
      <c r="AS90" s="700"/>
      <c r="AT90" s="701"/>
    </row>
    <row r="91" spans="1:46" s="653" customFormat="1" ht="18.75" customHeight="1" x14ac:dyDescent="0.3">
      <c r="A91" s="688" t="s">
        <v>429</v>
      </c>
      <c r="B91" s="449">
        <v>10.417999999999999</v>
      </c>
      <c r="C91" s="689">
        <v>10.288</v>
      </c>
      <c r="D91" s="691">
        <f>IF(B91=0, "    ---- ", IF(ABS(ROUND(100/B91*C91-100,1))&lt;999,ROUND(100/B91*C91-100,1),IF(ROUND(100/B91*C91-100,1)&gt;999,999,-999)))</f>
        <v>-1.2</v>
      </c>
      <c r="E91" s="449"/>
      <c r="F91" s="689"/>
      <c r="G91" s="691"/>
      <c r="H91" s="449">
        <v>30.788</v>
      </c>
      <c r="I91" s="689">
        <v>31.695</v>
      </c>
      <c r="J91" s="701">
        <f>IF(H91=0, "    ---- ", IF(ABS(ROUND(100/H91*I91-100,1))&lt;999,ROUND(100/H91*I91-100,1),IF(ROUND(100/H91*I91-100,1)&gt;999,999,-999)))</f>
        <v>2.9</v>
      </c>
      <c r="K91" s="449">
        <v>11.834</v>
      </c>
      <c r="L91" s="689">
        <v>-18.248000000000001</v>
      </c>
      <c r="M91" s="700">
        <f>IF(K91=0, "    ---- ", IF(ABS(ROUND(100/K91*L91-100,1))&lt;999,ROUND(100/K91*L91-100,1),IF(ROUND(100/K91*L91-100,1)&gt;999,999,-999)))</f>
        <v>-254.2</v>
      </c>
      <c r="N91" s="449"/>
      <c r="O91" s="689"/>
      <c r="P91" s="701"/>
      <c r="Q91" s="449"/>
      <c r="R91" s="689"/>
      <c r="S91" s="701"/>
      <c r="T91" s="449"/>
      <c r="U91" s="689"/>
      <c r="V91" s="701"/>
      <c r="W91" s="449">
        <v>26.552274976</v>
      </c>
      <c r="X91" s="689">
        <v>18.12540004331985</v>
      </c>
      <c r="Y91" s="691">
        <f t="shared" si="8"/>
        <v>-31.7</v>
      </c>
      <c r="Z91" s="449"/>
      <c r="AA91" s="689"/>
      <c r="AB91" s="701"/>
      <c r="AC91" s="449"/>
      <c r="AD91" s="689"/>
      <c r="AE91" s="701"/>
      <c r="AF91" s="449"/>
      <c r="AG91" s="689"/>
      <c r="AH91" s="701"/>
      <c r="AI91" s="449">
        <v>-21.373999999999999</v>
      </c>
      <c r="AJ91" s="689">
        <v>-57.311999999999998</v>
      </c>
      <c r="AK91" s="691">
        <f>IF(AI91=0, "    ---- ", IF(ABS(ROUND(100/AI91*AJ91-100,1))&lt;999,ROUND(100/AI91*AJ91-100,1),IF(ROUND(100/AI91*AJ91-100,1)&gt;999,999,-999)))</f>
        <v>168.1</v>
      </c>
      <c r="AL91" s="695"/>
      <c r="AM91" s="689"/>
      <c r="AN91" s="701"/>
      <c r="AO91" s="700">
        <f t="shared" si="10"/>
        <v>58.218274976000004</v>
      </c>
      <c r="AP91" s="700">
        <f t="shared" si="10"/>
        <v>-15.451599956680141</v>
      </c>
      <c r="AQ91" s="701">
        <f t="shared" si="12"/>
        <v>-126.5</v>
      </c>
      <c r="AR91" s="700">
        <f t="shared" si="11"/>
        <v>58.218274976000004</v>
      </c>
      <c r="AS91" s="700">
        <f t="shared" si="11"/>
        <v>-15.451599956680141</v>
      </c>
      <c r="AT91" s="701">
        <f t="shared" si="13"/>
        <v>-126.5</v>
      </c>
    </row>
    <row r="92" spans="1:46" s="653" customFormat="1" ht="18.75" customHeight="1" x14ac:dyDescent="0.3">
      <c r="A92" s="688" t="s">
        <v>430</v>
      </c>
      <c r="B92" s="449"/>
      <c r="C92" s="689"/>
      <c r="D92" s="700"/>
      <c r="E92" s="449"/>
      <c r="F92" s="689"/>
      <c r="G92" s="691"/>
      <c r="H92" s="449"/>
      <c r="I92" s="689"/>
      <c r="J92" s="701"/>
      <c r="K92" s="449"/>
      <c r="L92" s="689"/>
      <c r="M92" s="700"/>
      <c r="N92" s="449"/>
      <c r="O92" s="689"/>
      <c r="P92" s="701"/>
      <c r="Q92" s="449"/>
      <c r="R92" s="689"/>
      <c r="S92" s="701"/>
      <c r="T92" s="449"/>
      <c r="U92" s="689"/>
      <c r="V92" s="701"/>
      <c r="W92" s="449"/>
      <c r="X92" s="689"/>
      <c r="Y92" s="691"/>
      <c r="Z92" s="449"/>
      <c r="AA92" s="689"/>
      <c r="AB92" s="701"/>
      <c r="AC92" s="449"/>
      <c r="AD92" s="689"/>
      <c r="AE92" s="701"/>
      <c r="AF92" s="449"/>
      <c r="AG92" s="689"/>
      <c r="AH92" s="701"/>
      <c r="AI92" s="449"/>
      <c r="AJ92" s="689"/>
      <c r="AK92" s="691"/>
      <c r="AL92" s="695"/>
      <c r="AM92" s="689"/>
      <c r="AN92" s="701"/>
      <c r="AO92" s="700"/>
      <c r="AP92" s="700"/>
      <c r="AQ92" s="701"/>
      <c r="AR92" s="700"/>
      <c r="AS92" s="700"/>
      <c r="AT92" s="701"/>
    </row>
    <row r="93" spans="1:46" s="653" customFormat="1" ht="18.75" customHeight="1" x14ac:dyDescent="0.3">
      <c r="A93" s="688" t="s">
        <v>431</v>
      </c>
      <c r="B93" s="449"/>
      <c r="C93" s="689"/>
      <c r="D93" s="700"/>
      <c r="E93" s="449"/>
      <c r="F93" s="689"/>
      <c r="G93" s="691"/>
      <c r="H93" s="449">
        <v>-8.5999999999999993E-2</v>
      </c>
      <c r="I93" s="689"/>
      <c r="J93" s="701">
        <f>IF(H93=0, "    ---- ", IF(ABS(ROUND(100/H93*I93-100,1))&lt;999,ROUND(100/H93*I93-100,1),IF(ROUND(100/H93*I93-100,1)&gt;999,999,-999)))</f>
        <v>-100</v>
      </c>
      <c r="K93" s="449"/>
      <c r="L93" s="689"/>
      <c r="M93" s="700"/>
      <c r="N93" s="449"/>
      <c r="O93" s="689"/>
      <c r="P93" s="701"/>
      <c r="Q93" s="449"/>
      <c r="R93" s="689"/>
      <c r="S93" s="701"/>
      <c r="T93" s="449"/>
      <c r="U93" s="689"/>
      <c r="V93" s="701"/>
      <c r="W93" s="449"/>
      <c r="X93" s="689"/>
      <c r="Y93" s="691"/>
      <c r="Z93" s="449"/>
      <c r="AA93" s="689"/>
      <c r="AB93" s="701"/>
      <c r="AC93" s="449"/>
      <c r="AD93" s="689"/>
      <c r="AE93" s="701"/>
      <c r="AF93" s="449"/>
      <c r="AG93" s="689"/>
      <c r="AH93" s="701"/>
      <c r="AI93" s="449"/>
      <c r="AJ93" s="689"/>
      <c r="AK93" s="691"/>
      <c r="AL93" s="695"/>
      <c r="AM93" s="689"/>
      <c r="AN93" s="701"/>
      <c r="AO93" s="700">
        <f t="shared" si="10"/>
        <v>-8.5999999999999993E-2</v>
      </c>
      <c r="AP93" s="700">
        <f t="shared" si="10"/>
        <v>0</v>
      </c>
      <c r="AQ93" s="701">
        <f t="shared" si="12"/>
        <v>-100</v>
      </c>
      <c r="AR93" s="700">
        <f t="shared" si="11"/>
        <v>-8.5999999999999993E-2</v>
      </c>
      <c r="AS93" s="700">
        <f t="shared" si="11"/>
        <v>0</v>
      </c>
      <c r="AT93" s="701">
        <f t="shared" si="13"/>
        <v>-100</v>
      </c>
    </row>
    <row r="94" spans="1:46" s="699" customFormat="1" ht="18.75" customHeight="1" x14ac:dyDescent="0.3">
      <c r="A94" s="679" t="s">
        <v>432</v>
      </c>
      <c r="B94" s="680">
        <v>1.4379999999999988</v>
      </c>
      <c r="C94" s="681">
        <f>SUM(C86:C91)+C93</f>
        <v>3.4820000000000002</v>
      </c>
      <c r="D94" s="691">
        <f>IF(B94=0, "    ---- ", IF(ABS(ROUND(100/B94*C94-100,1))&lt;999,ROUND(100/B94*C94-100,1),IF(ROUND(100/B94*C94-100,1)&gt;999,999,-999)))</f>
        <v>142.1</v>
      </c>
      <c r="E94" s="680"/>
      <c r="F94" s="681"/>
      <c r="G94" s="686"/>
      <c r="H94" s="680">
        <f>SUM(H86:H91)+H93</f>
        <v>26.591000000000001</v>
      </c>
      <c r="I94" s="681">
        <f>SUM(I86:I91)+I93</f>
        <v>25.950000000000003</v>
      </c>
      <c r="J94" s="704">
        <f>IF(H94=0, "    ---- ", IF(ABS(ROUND(100/H94*I94-100,1))&lt;999,ROUND(100/H94*I94-100,1),IF(ROUND(100/H94*I94-100,1)&gt;999,999,-999)))</f>
        <v>-2.4</v>
      </c>
      <c r="K94" s="680">
        <v>60.963999999999999</v>
      </c>
      <c r="L94" s="681">
        <f>SUM(L86:L91)+L93</f>
        <v>28.742999999999999</v>
      </c>
      <c r="M94" s="702">
        <f>IF(K94=0, "    ---- ", IF(ABS(ROUND(100/K94*L94-100,1))&lt;999,ROUND(100/K94*L94-100,1),IF(ROUND(100/K94*L94-100,1)&gt;999,999,-999)))</f>
        <v>-52.9</v>
      </c>
      <c r="N94" s="680"/>
      <c r="O94" s="681"/>
      <c r="P94" s="704"/>
      <c r="Q94" s="680"/>
      <c r="R94" s="681"/>
      <c r="S94" s="704"/>
      <c r="T94" s="680"/>
      <c r="U94" s="681"/>
      <c r="V94" s="704"/>
      <c r="W94" s="680">
        <v>39.530061668000002</v>
      </c>
      <c r="X94" s="681">
        <f>SUM(X86:X91)+X93</f>
        <v>32.565695668193761</v>
      </c>
      <c r="Y94" s="686">
        <f t="shared" si="8"/>
        <v>-17.600000000000001</v>
      </c>
      <c r="Z94" s="680"/>
      <c r="AA94" s="681"/>
      <c r="AB94" s="704"/>
      <c r="AC94" s="680"/>
      <c r="AD94" s="681"/>
      <c r="AE94" s="704"/>
      <c r="AF94" s="680"/>
      <c r="AG94" s="681"/>
      <c r="AH94" s="704"/>
      <c r="AI94" s="680">
        <v>-64.364000000000004</v>
      </c>
      <c r="AJ94" s="681">
        <f>SUM(AJ86:AJ91)+AJ93</f>
        <v>42.400999999999996</v>
      </c>
      <c r="AK94" s="686">
        <f>IF(AI94=0, "    ---- ", IF(ABS(ROUND(100/AI94*AJ94-100,1))&lt;999,ROUND(100/AI94*AJ94-100,1),IF(ROUND(100/AI94*AJ94-100,1)&gt;999,999,-999)))</f>
        <v>-165.9</v>
      </c>
      <c r="AL94" s="697"/>
      <c r="AM94" s="681"/>
      <c r="AN94" s="704"/>
      <c r="AO94" s="702">
        <f t="shared" si="10"/>
        <v>64.159061667999993</v>
      </c>
      <c r="AP94" s="702">
        <f t="shared" si="10"/>
        <v>133.14169566819373</v>
      </c>
      <c r="AQ94" s="704">
        <f t="shared" si="12"/>
        <v>107.5</v>
      </c>
      <c r="AR94" s="702">
        <f t="shared" si="11"/>
        <v>64.159061667999993</v>
      </c>
      <c r="AS94" s="702">
        <f t="shared" si="11"/>
        <v>133.14169566819373</v>
      </c>
      <c r="AT94" s="704">
        <f t="shared" si="13"/>
        <v>107.5</v>
      </c>
    </row>
    <row r="95" spans="1:46" s="653" customFormat="1" ht="18.75" customHeight="1" x14ac:dyDescent="0.3">
      <c r="A95" s="688" t="s">
        <v>433</v>
      </c>
      <c r="B95" s="449"/>
      <c r="C95" s="689"/>
      <c r="D95" s="700"/>
      <c r="E95" s="449"/>
      <c r="F95" s="689"/>
      <c r="G95" s="691"/>
      <c r="H95" s="449"/>
      <c r="I95" s="689"/>
      <c r="J95" s="701"/>
      <c r="K95" s="449">
        <v>1.105</v>
      </c>
      <c r="L95" s="689"/>
      <c r="M95" s="700">
        <f>IF(K95=0, "    ---- ", IF(ABS(ROUND(100/K95*L95-100,1))&lt;999,ROUND(100/K95*L95-100,1),IF(ROUND(100/K95*L95-100,1)&gt;999,999,-999)))</f>
        <v>-100</v>
      </c>
      <c r="N95" s="449"/>
      <c r="O95" s="689"/>
      <c r="P95" s="701"/>
      <c r="Q95" s="449"/>
      <c r="R95" s="689"/>
      <c r="S95" s="701"/>
      <c r="T95" s="449"/>
      <c r="U95" s="689"/>
      <c r="V95" s="701"/>
      <c r="W95" s="449"/>
      <c r="X95" s="689"/>
      <c r="Y95" s="691"/>
      <c r="Z95" s="449"/>
      <c r="AA95" s="689"/>
      <c r="AB95" s="701"/>
      <c r="AC95" s="449"/>
      <c r="AD95" s="689"/>
      <c r="AE95" s="701"/>
      <c r="AF95" s="449"/>
      <c r="AG95" s="689"/>
      <c r="AH95" s="701"/>
      <c r="AI95" s="449"/>
      <c r="AJ95" s="689"/>
      <c r="AK95" s="691"/>
      <c r="AL95" s="695"/>
      <c r="AM95" s="689"/>
      <c r="AN95" s="701"/>
      <c r="AO95" s="700">
        <f t="shared" si="10"/>
        <v>1.105</v>
      </c>
      <c r="AP95" s="700">
        <f t="shared" si="10"/>
        <v>0</v>
      </c>
      <c r="AQ95" s="701">
        <f t="shared" si="12"/>
        <v>-100</v>
      </c>
      <c r="AR95" s="700">
        <f t="shared" si="11"/>
        <v>1.105</v>
      </c>
      <c r="AS95" s="700">
        <f t="shared" si="11"/>
        <v>0</v>
      </c>
      <c r="AT95" s="701">
        <f t="shared" si="13"/>
        <v>-100</v>
      </c>
    </row>
    <row r="96" spans="1:46" s="653" customFormat="1" ht="18.75" customHeight="1" x14ac:dyDescent="0.3">
      <c r="A96" s="688" t="s">
        <v>434</v>
      </c>
      <c r="B96" s="449">
        <v>1.4379999999999999</v>
      </c>
      <c r="C96" s="689">
        <v>3.4820000000000002</v>
      </c>
      <c r="D96" s="691">
        <f>IF(B96=0, "    ---- ", IF(ABS(ROUND(100/B96*C96-100,1))&lt;999,ROUND(100/B96*C96-100,1),IF(ROUND(100/B96*C96-100,1)&gt;999,999,-999)))</f>
        <v>142.1</v>
      </c>
      <c r="E96" s="449"/>
      <c r="F96" s="689"/>
      <c r="G96" s="691"/>
      <c r="H96" s="449">
        <v>26.59</v>
      </c>
      <c r="I96" s="689">
        <v>25.950000000000003</v>
      </c>
      <c r="J96" s="701">
        <f>IF(H96=0, "    ---- ", IF(ABS(ROUND(100/H96*I96-100,1))&lt;999,ROUND(100/H96*I96-100,1),IF(ROUND(100/H96*I96-100,1)&gt;999,999,-999)))</f>
        <v>-2.4</v>
      </c>
      <c r="K96" s="449">
        <v>59.859000000000002</v>
      </c>
      <c r="L96" s="689">
        <v>28.742999999999999</v>
      </c>
      <c r="M96" s="700">
        <f>IF(K96=0, "    ---- ", IF(ABS(ROUND(100/K96*L96-100,1))&lt;999,ROUND(100/K96*L96-100,1),IF(ROUND(100/K96*L96-100,1)&gt;999,999,-999)))</f>
        <v>-52</v>
      </c>
      <c r="N96" s="449"/>
      <c r="O96" s="689"/>
      <c r="P96" s="701"/>
      <c r="Q96" s="449"/>
      <c r="R96" s="689"/>
      <c r="S96" s="701"/>
      <c r="T96" s="449"/>
      <c r="U96" s="689"/>
      <c r="V96" s="701"/>
      <c r="W96" s="449">
        <v>39.530061668000002</v>
      </c>
      <c r="X96" s="689">
        <v>32.565695668193761</v>
      </c>
      <c r="Y96" s="691">
        <f t="shared" si="8"/>
        <v>-17.600000000000001</v>
      </c>
      <c r="Z96" s="449"/>
      <c r="AA96" s="689"/>
      <c r="AB96" s="701"/>
      <c r="AC96" s="449"/>
      <c r="AD96" s="689"/>
      <c r="AE96" s="701"/>
      <c r="AF96" s="449"/>
      <c r="AG96" s="689"/>
      <c r="AH96" s="701"/>
      <c r="AI96" s="449">
        <v>-64.364000000000004</v>
      </c>
      <c r="AJ96" s="689">
        <v>42.401000000000003</v>
      </c>
      <c r="AK96" s="691">
        <f>IF(AI96=0, "    ---- ", IF(ABS(ROUND(100/AI96*AJ96-100,1))&lt;999,ROUND(100/AI96*AJ96-100,1),IF(ROUND(100/AI96*AJ96-100,1)&gt;999,999,-999)))</f>
        <v>-165.9</v>
      </c>
      <c r="AL96" s="695"/>
      <c r="AM96" s="689"/>
      <c r="AN96" s="701"/>
      <c r="AO96" s="700">
        <f t="shared" si="10"/>
        <v>63.053061667999998</v>
      </c>
      <c r="AP96" s="700">
        <f t="shared" si="10"/>
        <v>133.14169566819376</v>
      </c>
      <c r="AQ96" s="701">
        <f t="shared" si="12"/>
        <v>111.2</v>
      </c>
      <c r="AR96" s="700">
        <f t="shared" si="11"/>
        <v>63.053061667999998</v>
      </c>
      <c r="AS96" s="700">
        <f t="shared" si="11"/>
        <v>133.14169566819376</v>
      </c>
      <c r="AT96" s="701">
        <f t="shared" si="13"/>
        <v>111.2</v>
      </c>
    </row>
    <row r="97" spans="1:47" s="653" customFormat="1" ht="18.75" customHeight="1" x14ac:dyDescent="0.3">
      <c r="A97" s="679" t="s">
        <v>441</v>
      </c>
      <c r="B97" s="449"/>
      <c r="C97" s="689"/>
      <c r="D97" s="700"/>
      <c r="E97" s="449"/>
      <c r="F97" s="689"/>
      <c r="G97" s="691"/>
      <c r="H97" s="449"/>
      <c r="I97" s="689"/>
      <c r="J97" s="701"/>
      <c r="K97" s="449"/>
      <c r="L97" s="689"/>
      <c r="M97" s="700"/>
      <c r="N97" s="449"/>
      <c r="O97" s="689"/>
      <c r="P97" s="701"/>
      <c r="Q97" s="449"/>
      <c r="R97" s="689"/>
      <c r="S97" s="701"/>
      <c r="T97" s="449"/>
      <c r="U97" s="689"/>
      <c r="V97" s="701"/>
      <c r="W97" s="449"/>
      <c r="X97" s="689"/>
      <c r="Y97" s="691"/>
      <c r="Z97" s="449"/>
      <c r="AA97" s="689"/>
      <c r="AB97" s="701"/>
      <c r="AC97" s="449"/>
      <c r="AD97" s="689"/>
      <c r="AE97" s="701"/>
      <c r="AF97" s="449"/>
      <c r="AG97" s="689"/>
      <c r="AH97" s="701"/>
      <c r="AI97" s="449"/>
      <c r="AJ97" s="689"/>
      <c r="AK97" s="691"/>
      <c r="AL97" s="695"/>
      <c r="AM97" s="689"/>
      <c r="AN97" s="701"/>
      <c r="AO97" s="700"/>
      <c r="AP97" s="700"/>
      <c r="AQ97" s="701"/>
      <c r="AR97" s="700"/>
      <c r="AS97" s="700"/>
      <c r="AT97" s="701"/>
    </row>
    <row r="98" spans="1:47" s="653" customFormat="1" ht="18.75" customHeight="1" x14ac:dyDescent="0.3">
      <c r="A98" s="688" t="s">
        <v>424</v>
      </c>
      <c r="B98" s="449"/>
      <c r="C98" s="689"/>
      <c r="D98" s="700"/>
      <c r="E98" s="449">
        <v>296.26400000000001</v>
      </c>
      <c r="F98" s="689">
        <v>697.83</v>
      </c>
      <c r="G98" s="691">
        <f>IF(E98=0, "    ---- ", IF(ABS(ROUND(100/E98*F98-100,1))&lt;999,ROUND(100/E98*F98-100,1),IF(ROUND(100/E98*F98-100,1)&gt;999,999,-999)))</f>
        <v>135.5</v>
      </c>
      <c r="H98" s="449"/>
      <c r="I98" s="689"/>
      <c r="J98" s="701"/>
      <c r="K98" s="449"/>
      <c r="L98" s="689"/>
      <c r="M98" s="700"/>
      <c r="N98" s="449"/>
      <c r="O98" s="689"/>
      <c r="P98" s="701"/>
      <c r="Q98" s="449"/>
      <c r="R98" s="689"/>
      <c r="S98" s="701"/>
      <c r="T98" s="449"/>
      <c r="U98" s="689"/>
      <c r="V98" s="701"/>
      <c r="W98" s="449"/>
      <c r="X98" s="689"/>
      <c r="Y98" s="691"/>
      <c r="Z98" s="449"/>
      <c r="AA98" s="689"/>
      <c r="AB98" s="701"/>
      <c r="AC98" s="449"/>
      <c r="AD98" s="689"/>
      <c r="AE98" s="701"/>
      <c r="AF98" s="449"/>
      <c r="AG98" s="689"/>
      <c r="AH98" s="701"/>
      <c r="AI98" s="449">
        <v>0.22800000000000001</v>
      </c>
      <c r="AJ98" s="689">
        <v>0.41899999999999998</v>
      </c>
      <c r="AK98" s="691">
        <f>IF(AI98=0, "    ---- ", IF(ABS(ROUND(100/AI98*AJ98-100,1))&lt;999,ROUND(100/AI98*AJ98-100,1),IF(ROUND(100/AI98*AJ98-100,1)&gt;999,999,-999)))</f>
        <v>83.8</v>
      </c>
      <c r="AL98" s="695"/>
      <c r="AM98" s="689"/>
      <c r="AN98" s="701"/>
      <c r="AO98" s="700">
        <f t="shared" si="10"/>
        <v>296.49200000000002</v>
      </c>
      <c r="AP98" s="700">
        <f t="shared" si="10"/>
        <v>698.24900000000002</v>
      </c>
      <c r="AQ98" s="701">
        <f t="shared" si="12"/>
        <v>135.5</v>
      </c>
      <c r="AR98" s="700">
        <f t="shared" si="11"/>
        <v>296.49200000000002</v>
      </c>
      <c r="AS98" s="700">
        <f t="shared" si="11"/>
        <v>698.24900000000002</v>
      </c>
      <c r="AT98" s="701">
        <f t="shared" si="13"/>
        <v>135.5</v>
      </c>
    </row>
    <row r="99" spans="1:47" s="653" customFormat="1" ht="18.75" customHeight="1" x14ac:dyDescent="0.3">
      <c r="A99" s="688" t="s">
        <v>425</v>
      </c>
      <c r="B99" s="449"/>
      <c r="C99" s="689"/>
      <c r="D99" s="700"/>
      <c r="E99" s="449"/>
      <c r="F99" s="689"/>
      <c r="G99" s="691"/>
      <c r="H99" s="449"/>
      <c r="I99" s="689"/>
      <c r="J99" s="701"/>
      <c r="K99" s="449"/>
      <c r="L99" s="689"/>
      <c r="M99" s="700"/>
      <c r="N99" s="449"/>
      <c r="O99" s="689"/>
      <c r="P99" s="701"/>
      <c r="Q99" s="449"/>
      <c r="R99" s="689"/>
      <c r="S99" s="701"/>
      <c r="T99" s="449"/>
      <c r="U99" s="689"/>
      <c r="V99" s="701"/>
      <c r="W99" s="449"/>
      <c r="X99" s="689"/>
      <c r="Y99" s="691"/>
      <c r="Z99" s="449"/>
      <c r="AA99" s="689"/>
      <c r="AB99" s="701"/>
      <c r="AC99" s="449"/>
      <c r="AD99" s="689"/>
      <c r="AE99" s="701"/>
      <c r="AF99" s="449"/>
      <c r="AG99" s="689"/>
      <c r="AH99" s="701"/>
      <c r="AI99" s="449"/>
      <c r="AJ99" s="689"/>
      <c r="AK99" s="691"/>
      <c r="AL99" s="695"/>
      <c r="AM99" s="689"/>
      <c r="AN99" s="701"/>
      <c r="AO99" s="700"/>
      <c r="AP99" s="700"/>
      <c r="AQ99" s="701"/>
      <c r="AR99" s="700"/>
      <c r="AS99" s="700"/>
      <c r="AT99" s="701"/>
    </row>
    <row r="100" spans="1:47" s="653" customFormat="1" ht="18.75" customHeight="1" x14ac:dyDescent="0.3">
      <c r="A100" s="688" t="s">
        <v>426</v>
      </c>
      <c r="B100" s="449">
        <v>4.2359999999999998</v>
      </c>
      <c r="C100" s="689">
        <v>-0.89300000000000002</v>
      </c>
      <c r="D100" s="700">
        <f>IF(B100=0, "    ---- ", IF(ABS(ROUND(100/B100*C100-100,1))&lt;999,ROUND(100/B100*C100-100,1),IF(ROUND(100/B100*C100-100,1)&gt;999,999,-999)))</f>
        <v>-121.1</v>
      </c>
      <c r="E100" s="449">
        <v>-8.4079999999999995</v>
      </c>
      <c r="F100" s="689">
        <v>-3.8029999999999999</v>
      </c>
      <c r="G100" s="691">
        <f>IF(E100=0, "    ---- ", IF(ABS(ROUND(100/E100*F100-100,1))&lt;999,ROUND(100/E100*F100-100,1),IF(ROUND(100/E100*F100-100,1)&gt;999,999,-999)))</f>
        <v>-54.8</v>
      </c>
      <c r="H100" s="449"/>
      <c r="I100" s="689"/>
      <c r="J100" s="701"/>
      <c r="K100" s="449">
        <v>12.397</v>
      </c>
      <c r="L100" s="689">
        <v>-4.9219999999999997</v>
      </c>
      <c r="M100" s="700">
        <f>IF(K100=0, "    ---- ", IF(ABS(ROUND(100/K100*L100-100,1))&lt;999,ROUND(100/K100*L100-100,1),IF(ROUND(100/K100*L100-100,1)&gt;999,999,-999)))</f>
        <v>-139.69999999999999</v>
      </c>
      <c r="N100" s="449"/>
      <c r="O100" s="689"/>
      <c r="P100" s="701"/>
      <c r="Q100" s="449"/>
      <c r="R100" s="689"/>
      <c r="S100" s="701"/>
      <c r="T100" s="449"/>
      <c r="U100" s="689"/>
      <c r="V100" s="701"/>
      <c r="W100" s="449">
        <v>15.144545149000001</v>
      </c>
      <c r="X100" s="689">
        <v>20.852610344304328</v>
      </c>
      <c r="Y100" s="691">
        <f t="shared" si="8"/>
        <v>37.700000000000003</v>
      </c>
      <c r="Z100" s="449"/>
      <c r="AA100" s="689"/>
      <c r="AB100" s="701"/>
      <c r="AC100" s="449">
        <v>8</v>
      </c>
      <c r="AD100" s="689">
        <v>11.247999999999999</v>
      </c>
      <c r="AE100" s="701">
        <f>IF(AC100=0, "    ---- ", IF(ABS(ROUND(100/AC100*AD100-100,1))&lt;999,ROUND(100/AC100*AD100-100,1),IF(ROUND(100/AC100*AD100-100,1)&gt;999,999,-999)))</f>
        <v>40.6</v>
      </c>
      <c r="AF100" s="449"/>
      <c r="AG100" s="689"/>
      <c r="AH100" s="701"/>
      <c r="AI100" s="449">
        <v>6.4320000000000004</v>
      </c>
      <c r="AJ100" s="689">
        <v>10.250999999999999</v>
      </c>
      <c r="AK100" s="691">
        <f>IF(AI100=0, "    ---- ", IF(ABS(ROUND(100/AI100*AJ100-100,1))&lt;999,ROUND(100/AI100*AJ100-100,1),IF(ROUND(100/AI100*AJ100-100,1)&gt;999,999,-999)))</f>
        <v>59.4</v>
      </c>
      <c r="AL100" s="695">
        <v>20.8</v>
      </c>
      <c r="AM100" s="689">
        <v>14.4</v>
      </c>
      <c r="AN100" s="701">
        <f>IF(AL100=0, "    ---- ", IF(ABS(ROUND(100/AL100*AM100-100,1))&lt;999,ROUND(100/AL100*AM100-100,1),IF(ROUND(100/AL100*AM100-100,1)&gt;999,999,-999)))</f>
        <v>-30.8</v>
      </c>
      <c r="AO100" s="700">
        <f t="shared" si="10"/>
        <v>50.601545149000003</v>
      </c>
      <c r="AP100" s="700">
        <f t="shared" si="10"/>
        <v>35.885610344304325</v>
      </c>
      <c r="AQ100" s="701">
        <f t="shared" si="12"/>
        <v>-29.1</v>
      </c>
      <c r="AR100" s="700">
        <f>+B100+E100+H100+K100+N100+Q100+T100+W100+Z100+AC100+AF100+AI100+AL100</f>
        <v>58.601545149000003</v>
      </c>
      <c r="AS100" s="700">
        <f t="shared" si="11"/>
        <v>47.133610344304323</v>
      </c>
      <c r="AT100" s="701">
        <f t="shared" si="13"/>
        <v>-19.600000000000001</v>
      </c>
    </row>
    <row r="101" spans="1:47" s="653" customFormat="1" ht="18.75" customHeight="1" x14ac:dyDescent="0.3">
      <c r="A101" s="688" t="s">
        <v>427</v>
      </c>
      <c r="B101" s="449"/>
      <c r="C101" s="689"/>
      <c r="D101" s="700"/>
      <c r="E101" s="449"/>
      <c r="F101" s="689"/>
      <c r="G101" s="691"/>
      <c r="H101" s="449"/>
      <c r="I101" s="689"/>
      <c r="J101" s="701"/>
      <c r="K101" s="449"/>
      <c r="L101" s="689"/>
      <c r="M101" s="700"/>
      <c r="N101" s="449"/>
      <c r="O101" s="689"/>
      <c r="P101" s="701"/>
      <c r="Q101" s="449"/>
      <c r="R101" s="689"/>
      <c r="S101" s="701"/>
      <c r="T101" s="449"/>
      <c r="U101" s="689"/>
      <c r="V101" s="701"/>
      <c r="W101" s="449"/>
      <c r="X101" s="689"/>
      <c r="Y101" s="691"/>
      <c r="Z101" s="449"/>
      <c r="AA101" s="689"/>
      <c r="AB101" s="701"/>
      <c r="AC101" s="449"/>
      <c r="AD101" s="689"/>
      <c r="AE101" s="701"/>
      <c r="AF101" s="449"/>
      <c r="AG101" s="689"/>
      <c r="AH101" s="701"/>
      <c r="AI101" s="449"/>
      <c r="AJ101" s="689"/>
      <c r="AK101" s="691"/>
      <c r="AL101" s="695"/>
      <c r="AM101" s="689"/>
      <c r="AN101" s="701"/>
      <c r="AO101" s="700"/>
      <c r="AP101" s="700"/>
      <c r="AQ101" s="701"/>
      <c r="AR101" s="700"/>
      <c r="AS101" s="700"/>
      <c r="AT101" s="701"/>
    </row>
    <row r="102" spans="1:47" s="653" customFormat="1" ht="18.75" customHeight="1" x14ac:dyDescent="0.3">
      <c r="A102" s="688" t="s">
        <v>428</v>
      </c>
      <c r="B102" s="449"/>
      <c r="C102" s="689"/>
      <c r="D102" s="700"/>
      <c r="E102" s="449"/>
      <c r="F102" s="689"/>
      <c r="G102" s="691"/>
      <c r="H102" s="449"/>
      <c r="I102" s="689"/>
      <c r="J102" s="701"/>
      <c r="K102" s="449"/>
      <c r="L102" s="689"/>
      <c r="M102" s="700"/>
      <c r="N102" s="449"/>
      <c r="O102" s="689"/>
      <c r="P102" s="701"/>
      <c r="Q102" s="449"/>
      <c r="R102" s="689"/>
      <c r="S102" s="701"/>
      <c r="T102" s="449"/>
      <c r="U102" s="689"/>
      <c r="V102" s="701"/>
      <c r="W102" s="449"/>
      <c r="X102" s="689"/>
      <c r="Y102" s="691"/>
      <c r="Z102" s="449"/>
      <c r="AA102" s="689"/>
      <c r="AB102" s="701"/>
      <c r="AC102" s="449"/>
      <c r="AD102" s="689"/>
      <c r="AE102" s="701"/>
      <c r="AF102" s="449"/>
      <c r="AG102" s="689"/>
      <c r="AH102" s="701"/>
      <c r="AI102" s="449"/>
      <c r="AJ102" s="689"/>
      <c r="AK102" s="691"/>
      <c r="AL102" s="695"/>
      <c r="AM102" s="689"/>
      <c r="AN102" s="701"/>
      <c r="AO102" s="700"/>
      <c r="AP102" s="700"/>
      <c r="AQ102" s="701"/>
      <c r="AR102" s="700"/>
      <c r="AS102" s="700"/>
      <c r="AT102" s="701"/>
    </row>
    <row r="103" spans="1:47" s="653" customFormat="1" ht="18.75" customHeight="1" x14ac:dyDescent="0.3">
      <c r="A103" s="688" t="s">
        <v>429</v>
      </c>
      <c r="B103" s="449">
        <v>-2.1429999999999998</v>
      </c>
      <c r="C103" s="689">
        <v>3.0270000000000001</v>
      </c>
      <c r="D103" s="700">
        <f>IF(B103=0, "    ---- ", IF(ABS(ROUND(100/B103*C103-100,1))&lt;999,ROUND(100/B103*C103-100,1),IF(ROUND(100/B103*C103-100,1)&gt;999,999,-999)))</f>
        <v>-241.3</v>
      </c>
      <c r="E103" s="449">
        <v>0.68200000000000005</v>
      </c>
      <c r="F103" s="689">
        <v>-2.6269999999999998</v>
      </c>
      <c r="G103" s="691">
        <f>IF(E103=0, "    ---- ", IF(ABS(ROUND(100/E103*F103-100,1))&lt;999,ROUND(100/E103*F103-100,1),IF(ROUND(100/E103*F103-100,1)&gt;999,999,-999)))</f>
        <v>-485.2</v>
      </c>
      <c r="H103" s="449"/>
      <c r="I103" s="689"/>
      <c r="J103" s="701"/>
      <c r="K103" s="449">
        <v>1.4259999999999999</v>
      </c>
      <c r="L103" s="689">
        <v>1.1319999999999999</v>
      </c>
      <c r="M103" s="700">
        <f>IF(K103=0, "    ---- ", IF(ABS(ROUND(100/K103*L103-100,1))&lt;999,ROUND(100/K103*L103-100,1),IF(ROUND(100/K103*L103-100,1)&gt;999,999,-999)))</f>
        <v>-20.6</v>
      </c>
      <c r="N103" s="449"/>
      <c r="O103" s="689"/>
      <c r="P103" s="701"/>
      <c r="Q103" s="449"/>
      <c r="R103" s="689"/>
      <c r="S103" s="701"/>
      <c r="T103" s="449"/>
      <c r="U103" s="689"/>
      <c r="V103" s="701"/>
      <c r="W103" s="449">
        <v>-2.1127505700000002</v>
      </c>
      <c r="X103" s="689">
        <v>-3.8573314300000017</v>
      </c>
      <c r="Y103" s="691">
        <f t="shared" si="8"/>
        <v>82.6</v>
      </c>
      <c r="Z103" s="449"/>
      <c r="AA103" s="689"/>
      <c r="AB103" s="701"/>
      <c r="AC103" s="449"/>
      <c r="AD103" s="689"/>
      <c r="AE103" s="701"/>
      <c r="AF103" s="449"/>
      <c r="AG103" s="689"/>
      <c r="AH103" s="701"/>
      <c r="AI103" s="449">
        <v>-2.8050000000000002</v>
      </c>
      <c r="AJ103" s="689">
        <v>-1.9990000000000001</v>
      </c>
      <c r="AK103" s="691">
        <f>IF(AI103=0, "    ---- ", IF(ABS(ROUND(100/AI103*AJ103-100,1))&lt;999,ROUND(100/AI103*AJ103-100,1),IF(ROUND(100/AI103*AJ103-100,1)&gt;999,999,-999)))</f>
        <v>-28.7</v>
      </c>
      <c r="AL103" s="695">
        <v>-0.4</v>
      </c>
      <c r="AM103" s="689"/>
      <c r="AN103" s="701">
        <f>IF(AL103=0, "    ---- ", IF(ABS(ROUND(100/AL103*AM103-100,1))&lt;999,ROUND(100/AL103*AM103-100,1),IF(ROUND(100/AL103*AM103-100,1)&gt;999,999,-999)))</f>
        <v>-100</v>
      </c>
      <c r="AO103" s="700">
        <f t="shared" si="10"/>
        <v>-5.3527505700000013</v>
      </c>
      <c r="AP103" s="700">
        <f t="shared" si="10"/>
        <v>-4.3243314300000009</v>
      </c>
      <c r="AQ103" s="701">
        <f t="shared" si="12"/>
        <v>-19.2</v>
      </c>
      <c r="AR103" s="700">
        <f t="shared" si="11"/>
        <v>-5.3527505700000013</v>
      </c>
      <c r="AS103" s="700">
        <f t="shared" si="11"/>
        <v>-4.3243314300000009</v>
      </c>
      <c r="AT103" s="701">
        <f t="shared" si="13"/>
        <v>-19.2</v>
      </c>
    </row>
    <row r="104" spans="1:47" s="653" customFormat="1" ht="18.75" customHeight="1" x14ac:dyDescent="0.3">
      <c r="A104" s="688" t="s">
        <v>430</v>
      </c>
      <c r="B104" s="449"/>
      <c r="C104" s="689"/>
      <c r="D104" s="700"/>
      <c r="E104" s="449"/>
      <c r="F104" s="689"/>
      <c r="G104" s="691"/>
      <c r="H104" s="449"/>
      <c r="I104" s="689"/>
      <c r="J104" s="701"/>
      <c r="K104" s="449"/>
      <c r="L104" s="689"/>
      <c r="M104" s="700"/>
      <c r="N104" s="449"/>
      <c r="O104" s="689"/>
      <c r="P104" s="701"/>
      <c r="Q104" s="449"/>
      <c r="R104" s="689"/>
      <c r="S104" s="701"/>
      <c r="T104" s="449"/>
      <c r="U104" s="689"/>
      <c r="V104" s="701"/>
      <c r="W104" s="449"/>
      <c r="X104" s="689"/>
      <c r="Y104" s="691"/>
      <c r="Z104" s="449"/>
      <c r="AA104" s="689"/>
      <c r="AB104" s="701"/>
      <c r="AC104" s="449"/>
      <c r="AD104" s="689"/>
      <c r="AE104" s="701"/>
      <c r="AF104" s="449"/>
      <c r="AG104" s="689"/>
      <c r="AH104" s="701"/>
      <c r="AI104" s="449"/>
      <c r="AJ104" s="689"/>
      <c r="AK104" s="691"/>
      <c r="AL104" s="695"/>
      <c r="AM104" s="689"/>
      <c r="AN104" s="701"/>
      <c r="AO104" s="700"/>
      <c r="AP104" s="700"/>
      <c r="AQ104" s="701"/>
      <c r="AR104" s="700"/>
      <c r="AS104" s="700"/>
      <c r="AT104" s="701"/>
    </row>
    <row r="105" spans="1:47" s="653" customFormat="1" ht="18.75" customHeight="1" x14ac:dyDescent="0.3">
      <c r="A105" s="688" t="s">
        <v>431</v>
      </c>
      <c r="B105" s="449"/>
      <c r="C105" s="689"/>
      <c r="D105" s="700"/>
      <c r="E105" s="449"/>
      <c r="F105" s="689"/>
      <c r="G105" s="691"/>
      <c r="H105" s="449"/>
      <c r="I105" s="689"/>
      <c r="J105" s="701"/>
      <c r="K105" s="449"/>
      <c r="L105" s="689">
        <v>18.236999999999998</v>
      </c>
      <c r="M105" s="700" t="str">
        <f>IF(K105=0, "    ---- ", IF(ABS(ROUND(100/K105*L105-100,1))&lt;999,ROUND(100/K105*L105-100,1),IF(ROUND(100/K105*L105-100,1)&gt;999,999,-999)))</f>
        <v xml:space="preserve">    ---- </v>
      </c>
      <c r="N105" s="449"/>
      <c r="O105" s="689"/>
      <c r="P105" s="701"/>
      <c r="Q105" s="449"/>
      <c r="R105" s="689"/>
      <c r="S105" s="701"/>
      <c r="T105" s="449"/>
      <c r="U105" s="689"/>
      <c r="V105" s="701"/>
      <c r="W105" s="449"/>
      <c r="X105" s="689"/>
      <c r="Y105" s="691"/>
      <c r="Z105" s="449"/>
      <c r="AA105" s="689"/>
      <c r="AB105" s="701"/>
      <c r="AC105" s="449"/>
      <c r="AD105" s="689"/>
      <c r="AE105" s="701"/>
      <c r="AF105" s="449"/>
      <c r="AG105" s="689"/>
      <c r="AH105" s="701"/>
      <c r="AI105" s="449"/>
      <c r="AJ105" s="689"/>
      <c r="AK105" s="691"/>
      <c r="AL105" s="695"/>
      <c r="AM105" s="689"/>
      <c r="AN105" s="701"/>
      <c r="AO105" s="700">
        <f t="shared" si="10"/>
        <v>0</v>
      </c>
      <c r="AP105" s="700">
        <f t="shared" si="10"/>
        <v>18.236999999999998</v>
      </c>
      <c r="AQ105" s="701" t="str">
        <f t="shared" si="12"/>
        <v xml:space="preserve">    ---- </v>
      </c>
      <c r="AR105" s="700">
        <f t="shared" si="11"/>
        <v>0</v>
      </c>
      <c r="AS105" s="700">
        <f t="shared" si="11"/>
        <v>18.236999999999998</v>
      </c>
      <c r="AT105" s="701" t="str">
        <f t="shared" si="13"/>
        <v xml:space="preserve">    ---- </v>
      </c>
    </row>
    <row r="106" spans="1:47" s="699" customFormat="1" ht="18.75" customHeight="1" x14ac:dyDescent="0.3">
      <c r="A106" s="679" t="s">
        <v>432</v>
      </c>
      <c r="B106" s="680">
        <v>2.093</v>
      </c>
      <c r="C106" s="681">
        <f>SUM(C98:C103)+C105</f>
        <v>2.1340000000000003</v>
      </c>
      <c r="D106" s="702">
        <f>IF(B106=0, "    ---- ", IF(ABS(ROUND(100/B106*C106-100,1))&lt;999,ROUND(100/B106*C106-100,1),IF(ROUND(100/B106*C106-100,1)&gt;999,999,-999)))</f>
        <v>2</v>
      </c>
      <c r="E106" s="680">
        <v>288.53800000000001</v>
      </c>
      <c r="F106" s="681">
        <f>SUM(F98:F103)+F105</f>
        <v>691.40000000000009</v>
      </c>
      <c r="G106" s="686">
        <f>IF(E106=0, "    ---- ", IF(ABS(ROUND(100/E106*F106-100,1))&lt;999,ROUND(100/E106*F106-100,1),IF(ROUND(100/E106*F106-100,1)&gt;999,999,-999)))</f>
        <v>139.6</v>
      </c>
      <c r="H106" s="680"/>
      <c r="I106" s="681"/>
      <c r="J106" s="704"/>
      <c r="K106" s="680">
        <v>13.823</v>
      </c>
      <c r="L106" s="681">
        <f>SUM(L98:L103)+L105</f>
        <v>14.446999999999999</v>
      </c>
      <c r="M106" s="702">
        <f>IF(K106=0, "    ---- ", IF(ABS(ROUND(100/K106*L106-100,1))&lt;999,ROUND(100/K106*L106-100,1),IF(ROUND(100/K106*L106-100,1)&gt;999,999,-999)))</f>
        <v>4.5</v>
      </c>
      <c r="N106" s="680"/>
      <c r="O106" s="681"/>
      <c r="P106" s="704"/>
      <c r="Q106" s="680"/>
      <c r="R106" s="681"/>
      <c r="S106" s="704"/>
      <c r="T106" s="680"/>
      <c r="U106" s="681"/>
      <c r="V106" s="704"/>
      <c r="W106" s="680">
        <v>13.031794579</v>
      </c>
      <c r="X106" s="681">
        <f>SUM(X98:X103)+X105</f>
        <v>16.995278914304325</v>
      </c>
      <c r="Y106" s="686">
        <f t="shared" si="8"/>
        <v>30.4</v>
      </c>
      <c r="Z106" s="680"/>
      <c r="AA106" s="681"/>
      <c r="AB106" s="704"/>
      <c r="AC106" s="680">
        <v>8</v>
      </c>
      <c r="AD106" s="681">
        <f>SUM(AD98:AD103)+AD105</f>
        <v>11.247999999999999</v>
      </c>
      <c r="AE106" s="704">
        <f>IF(AC106=0, "    ---- ", IF(ABS(ROUND(100/AC106*AD106-100,1))&lt;999,ROUND(100/AC106*AD106-100,1),IF(ROUND(100/AC106*AD106-100,1)&gt;999,999,-999)))</f>
        <v>40.6</v>
      </c>
      <c r="AF106" s="722"/>
      <c r="AG106" s="681"/>
      <c r="AH106" s="704"/>
      <c r="AI106" s="680">
        <v>3.855</v>
      </c>
      <c r="AJ106" s="681">
        <f>SUM(AJ98:AJ103)+AJ105</f>
        <v>8.6709999999999994</v>
      </c>
      <c r="AK106" s="686">
        <f>IF(AI106=0, "    ---- ", IF(ABS(ROUND(100/AI106*AJ106-100,1))&lt;999,ROUND(100/AI106*AJ106-100,1),IF(ROUND(100/AI106*AJ106-100,1)&gt;999,999,-999)))</f>
        <v>124.9</v>
      </c>
      <c r="AL106" s="697">
        <v>20.400000000000002</v>
      </c>
      <c r="AM106" s="681">
        <f>SUM(AM98:AM103)+AM105</f>
        <v>14.4</v>
      </c>
      <c r="AN106" s="704">
        <f>IF(AL106=0, "    ---- ", IF(ABS(ROUND(100/AL106*AM106-100,1))&lt;999,ROUND(100/AL106*AM106-100,1),IF(ROUND(100/AL106*AM106-100,1)&gt;999,999,-999)))</f>
        <v>-29.4</v>
      </c>
      <c r="AO106" s="702">
        <f>B106+E106+H106+K106+Q106+T106+W106+Z106+AF106+AI106+AL106</f>
        <v>341.74079457900001</v>
      </c>
      <c r="AP106" s="702">
        <f t="shared" si="10"/>
        <v>748.04727891430446</v>
      </c>
      <c r="AQ106" s="704">
        <f t="shared" si="12"/>
        <v>118.9</v>
      </c>
      <c r="AR106" s="702">
        <f t="shared" si="11"/>
        <v>349.74079457900001</v>
      </c>
      <c r="AS106" s="702">
        <f t="shared" si="11"/>
        <v>759.2952789143045</v>
      </c>
      <c r="AT106" s="704">
        <f t="shared" si="13"/>
        <v>117.1</v>
      </c>
    </row>
    <row r="107" spans="1:47" s="653" customFormat="1" ht="18.75" customHeight="1" x14ac:dyDescent="0.3">
      <c r="A107" s="688" t="s">
        <v>433</v>
      </c>
      <c r="B107" s="449"/>
      <c r="C107" s="689"/>
      <c r="D107" s="700"/>
      <c r="E107" s="449">
        <v>296.18599999999998</v>
      </c>
      <c r="F107" s="689">
        <v>697.83199999999999</v>
      </c>
      <c r="G107" s="691">
        <f>IF(E107=0, "    ---- ", IF(ABS(ROUND(100/E107*F107-100,1))&lt;999,ROUND(100/E107*F107-100,1),IF(ROUND(100/E107*F107-100,1)&gt;999,999,-999)))</f>
        <v>135.6</v>
      </c>
      <c r="H107" s="449"/>
      <c r="I107" s="689"/>
      <c r="J107" s="701"/>
      <c r="K107" s="449"/>
      <c r="L107" s="689"/>
      <c r="M107" s="700"/>
      <c r="N107" s="449"/>
      <c r="O107" s="689"/>
      <c r="P107" s="701"/>
      <c r="Q107" s="449"/>
      <c r="R107" s="689"/>
      <c r="S107" s="701"/>
      <c r="T107" s="449"/>
      <c r="U107" s="689"/>
      <c r="V107" s="701"/>
      <c r="W107" s="449"/>
      <c r="X107" s="689"/>
      <c r="Y107" s="691"/>
      <c r="Z107" s="449"/>
      <c r="AA107" s="689"/>
      <c r="AB107" s="701"/>
      <c r="AC107" s="449"/>
      <c r="AD107" s="689"/>
      <c r="AE107" s="701"/>
      <c r="AF107" s="449"/>
      <c r="AG107" s="689"/>
      <c r="AH107" s="701"/>
      <c r="AI107" s="449"/>
      <c r="AJ107" s="689"/>
      <c r="AK107" s="691"/>
      <c r="AL107" s="695"/>
      <c r="AM107" s="689"/>
      <c r="AN107" s="701"/>
      <c r="AO107" s="700">
        <f t="shared" si="10"/>
        <v>296.18599999999998</v>
      </c>
      <c r="AP107" s="700">
        <f t="shared" si="10"/>
        <v>697.83199999999999</v>
      </c>
      <c r="AQ107" s="701">
        <f t="shared" si="12"/>
        <v>135.6</v>
      </c>
      <c r="AR107" s="700">
        <f t="shared" si="11"/>
        <v>296.18599999999998</v>
      </c>
      <c r="AS107" s="700">
        <f t="shared" si="11"/>
        <v>697.83199999999999</v>
      </c>
      <c r="AT107" s="701">
        <f t="shared" si="13"/>
        <v>135.6</v>
      </c>
    </row>
    <row r="108" spans="1:47" s="653" customFormat="1" ht="18.75" customHeight="1" x14ac:dyDescent="0.3">
      <c r="A108" s="706" t="s">
        <v>434</v>
      </c>
      <c r="B108" s="707">
        <v>2.093</v>
      </c>
      <c r="C108" s="708">
        <v>2.133</v>
      </c>
      <c r="D108" s="709">
        <f>IF(B108=0, "    ---- ", IF(ABS(ROUND(100/B108*C108-100,1))&lt;999,ROUND(100/B108*C108-100,1),IF(ROUND(100/B108*C108-100,1)&gt;999,999,-999)))</f>
        <v>1.9</v>
      </c>
      <c r="E108" s="707">
        <v>-7.6479999999999997</v>
      </c>
      <c r="F108" s="708">
        <v>-6.4320000000000004</v>
      </c>
      <c r="G108" s="710">
        <f>IF(E108=0, "    ---- ", IF(ABS(ROUND(100/E108*F108-100,1))&lt;999,ROUND(100/E108*F108-100,1),IF(ROUND(100/E108*F108-100,1)&gt;999,999,-999)))</f>
        <v>-15.9</v>
      </c>
      <c r="H108" s="707"/>
      <c r="I108" s="708"/>
      <c r="J108" s="711"/>
      <c r="K108" s="707">
        <v>13.823</v>
      </c>
      <c r="L108" s="708">
        <v>14.446999999999999</v>
      </c>
      <c r="M108" s="709">
        <f>IF(K108=0, "    ---- ", IF(ABS(ROUND(100/K108*L108-100,1))&lt;999,ROUND(100/K108*L108-100,1),IF(ROUND(100/K108*L108-100,1)&gt;999,999,-999)))</f>
        <v>4.5</v>
      </c>
      <c r="N108" s="707"/>
      <c r="O108" s="708"/>
      <c r="P108" s="711"/>
      <c r="Q108" s="707"/>
      <c r="R108" s="708"/>
      <c r="S108" s="711"/>
      <c r="T108" s="707"/>
      <c r="U108" s="708"/>
      <c r="V108" s="711"/>
      <c r="W108" s="707">
        <v>13.031794579</v>
      </c>
      <c r="X108" s="708">
        <v>16.995278914304325</v>
      </c>
      <c r="Y108" s="710">
        <f t="shared" si="8"/>
        <v>30.4</v>
      </c>
      <c r="Z108" s="707"/>
      <c r="AA108" s="708"/>
      <c r="AB108" s="711"/>
      <c r="AC108" s="707">
        <v>8</v>
      </c>
      <c r="AD108" s="708">
        <v>11.247999999999999</v>
      </c>
      <c r="AE108" s="701">
        <f>IF(AC108=0, "    ---- ", IF(ABS(ROUND(100/AC108*AD108-100,1))&lt;999,ROUND(100/AC108*AD108-100,1),IF(ROUND(100/AC108*AD108-100,1)&gt;999,999,-999)))</f>
        <v>40.6</v>
      </c>
      <c r="AF108" s="707"/>
      <c r="AG108" s="708"/>
      <c r="AH108" s="711"/>
      <c r="AI108" s="707">
        <v>3.855</v>
      </c>
      <c r="AJ108" s="708">
        <v>8.6709999999999994</v>
      </c>
      <c r="AK108" s="710">
        <f>IF(AI108=0, "    ---- ", IF(ABS(ROUND(100/AI108*AJ108-100,1))&lt;999,ROUND(100/AI108*AJ108-100,1),IF(ROUND(100/AI108*AJ108-100,1)&gt;999,999,-999)))</f>
        <v>124.9</v>
      </c>
      <c r="AL108" s="712">
        <v>20.399999999999999</v>
      </c>
      <c r="AM108" s="708">
        <v>14.08</v>
      </c>
      <c r="AN108" s="711">
        <f>IF(AL108=0, "    ---- ", IF(ABS(ROUND(100/AL108*AM108-100,1))&lt;999,ROUND(100/AL108*AM108-100,1),IF(ROUND(100/AL108*AM108-100,1)&gt;999,999,-999)))</f>
        <v>-31</v>
      </c>
      <c r="AO108" s="707">
        <f t="shared" si="10"/>
        <v>45.554794579000003</v>
      </c>
      <c r="AP108" s="709">
        <f t="shared" si="10"/>
        <v>49.894278914304323</v>
      </c>
      <c r="AQ108" s="711">
        <f t="shared" si="12"/>
        <v>9.5</v>
      </c>
      <c r="AR108" s="709">
        <f t="shared" si="11"/>
        <v>53.554794578999996</v>
      </c>
      <c r="AS108" s="709">
        <f t="shared" si="11"/>
        <v>61.14227891430432</v>
      </c>
      <c r="AT108" s="711">
        <f t="shared" si="13"/>
        <v>14.2</v>
      </c>
    </row>
    <row r="109" spans="1:47" s="653" customFormat="1" ht="18.75" customHeight="1" x14ac:dyDescent="0.3">
      <c r="A109" s="653" t="s">
        <v>273</v>
      </c>
      <c r="B109" s="723"/>
      <c r="C109" s="723"/>
      <c r="D109" s="723"/>
      <c r="E109" s="724"/>
      <c r="F109" s="723"/>
      <c r="G109" s="723"/>
      <c r="H109" s="723"/>
      <c r="I109" s="723"/>
      <c r="J109" s="723"/>
      <c r="K109" s="723"/>
      <c r="L109" s="723"/>
      <c r="M109" s="723"/>
      <c r="N109" s="723"/>
      <c r="O109" s="723"/>
      <c r="P109" s="723"/>
      <c r="Q109" s="723"/>
      <c r="R109" s="723"/>
      <c r="S109" s="723"/>
      <c r="T109" s="723"/>
      <c r="U109" s="723"/>
      <c r="V109" s="723"/>
      <c r="W109" s="723"/>
      <c r="X109" s="723"/>
      <c r="Y109" s="723"/>
      <c r="Z109" s="723"/>
      <c r="AA109" s="723"/>
      <c r="AB109" s="723"/>
      <c r="AC109" s="723"/>
      <c r="AD109" s="723"/>
      <c r="AE109" s="723"/>
      <c r="AF109" s="723"/>
      <c r="AG109" s="723"/>
      <c r="AH109" s="723"/>
      <c r="AI109" s="723"/>
      <c r="AJ109" s="723"/>
      <c r="AK109" s="723"/>
      <c r="AL109" s="723"/>
      <c r="AM109" s="723"/>
      <c r="AN109" s="723"/>
      <c r="AO109" s="723"/>
      <c r="AP109" s="723"/>
      <c r="AQ109" s="723"/>
      <c r="AR109" s="723"/>
      <c r="AS109" s="723"/>
      <c r="AT109" s="723"/>
    </row>
    <row r="110" spans="1:47" s="595" customFormat="1" ht="18.75" x14ac:dyDescent="0.3">
      <c r="A110" s="636"/>
      <c r="B110" s="636"/>
      <c r="C110" s="636"/>
      <c r="D110" s="636"/>
      <c r="E110" s="636"/>
      <c r="F110" s="636"/>
      <c r="G110" s="636"/>
      <c r="H110" s="636"/>
      <c r="I110" s="636"/>
      <c r="J110" s="636"/>
      <c r="K110" s="636"/>
      <c r="L110" s="636"/>
      <c r="M110" s="636"/>
      <c r="N110" s="636"/>
      <c r="O110" s="636"/>
      <c r="P110" s="636"/>
      <c r="Q110" s="636"/>
      <c r="R110" s="636"/>
      <c r="S110" s="636"/>
      <c r="T110" s="636"/>
      <c r="U110" s="636"/>
      <c r="V110" s="636"/>
      <c r="W110" s="636"/>
      <c r="X110" s="636"/>
      <c r="Y110" s="636"/>
      <c r="Z110" s="636"/>
      <c r="AA110" s="636"/>
      <c r="AB110" s="636"/>
      <c r="AC110" s="636"/>
      <c r="AD110" s="636"/>
      <c r="AE110" s="636"/>
      <c r="AF110" s="636"/>
      <c r="AG110" s="636"/>
      <c r="AH110" s="636"/>
      <c r="AI110" s="636"/>
      <c r="AJ110" s="636"/>
      <c r="AK110" s="636"/>
      <c r="AL110" s="636"/>
      <c r="AM110" s="636"/>
      <c r="AN110" s="636"/>
      <c r="AO110" s="636"/>
      <c r="AP110" s="636"/>
      <c r="AQ110" s="636"/>
      <c r="AR110" s="636"/>
      <c r="AS110" s="636"/>
      <c r="AT110" s="636"/>
      <c r="AU110" s="636"/>
    </row>
    <row r="111" spans="1:47" ht="18.75" x14ac:dyDescent="0.3">
      <c r="A111" s="653"/>
    </row>
    <row r="112" spans="1:47" ht="18.75" x14ac:dyDescent="0.3">
      <c r="A112" s="653"/>
    </row>
    <row r="113" spans="1:1" ht="18.75" x14ac:dyDescent="0.3">
      <c r="A113" s="653"/>
    </row>
    <row r="114" spans="1:1" ht="18.75" x14ac:dyDescent="0.3">
      <c r="A114" s="653"/>
    </row>
    <row r="115" spans="1:1" ht="18.75" x14ac:dyDescent="0.3">
      <c r="A115" s="653"/>
    </row>
    <row r="116" spans="1:1" ht="18.75" x14ac:dyDescent="0.3">
      <c r="A116" s="653"/>
    </row>
    <row r="117" spans="1:1" ht="18.75" x14ac:dyDescent="0.3">
      <c r="A117" s="653"/>
    </row>
    <row r="118" spans="1:1" ht="18.75" x14ac:dyDescent="0.3">
      <c r="A118" s="653"/>
    </row>
    <row r="119" spans="1:1" ht="18.75" x14ac:dyDescent="0.3">
      <c r="A119" s="653"/>
    </row>
    <row r="120" spans="1:1" ht="18.75" x14ac:dyDescent="0.3">
      <c r="A120" s="653"/>
    </row>
    <row r="121" spans="1:1" ht="18.75" x14ac:dyDescent="0.3">
      <c r="A121" s="653"/>
    </row>
    <row r="122" spans="1:1" ht="18.75" x14ac:dyDescent="0.3">
      <c r="A122" s="653"/>
    </row>
    <row r="123" spans="1:1" ht="18.75" x14ac:dyDescent="0.3">
      <c r="A123" s="653"/>
    </row>
    <row r="124" spans="1:1" ht="18.75" x14ac:dyDescent="0.3">
      <c r="A124" s="653"/>
    </row>
    <row r="125" spans="1:1" ht="18.75" x14ac:dyDescent="0.3">
      <c r="A125" s="653"/>
    </row>
    <row r="126" spans="1:1" ht="18.75" x14ac:dyDescent="0.3">
      <c r="A126" s="653"/>
    </row>
    <row r="127" spans="1:1" ht="18.75" x14ac:dyDescent="0.3">
      <c r="A127" s="653"/>
    </row>
    <row r="128" spans="1:1" ht="18.75" x14ac:dyDescent="0.3">
      <c r="A128" s="653"/>
    </row>
    <row r="129" spans="1:1" ht="18.75" x14ac:dyDescent="0.3">
      <c r="A129" s="653"/>
    </row>
    <row r="130" spans="1:1" ht="18.75" x14ac:dyDescent="0.3">
      <c r="A130" s="653"/>
    </row>
    <row r="131" spans="1:1" ht="18.75" x14ac:dyDescent="0.3">
      <c r="A131" s="653"/>
    </row>
    <row r="132" spans="1:1" ht="18.75" x14ac:dyDescent="0.3">
      <c r="A132" s="653"/>
    </row>
    <row r="133" spans="1:1" ht="18.75" x14ac:dyDescent="0.3">
      <c r="A133" s="653"/>
    </row>
    <row r="134" spans="1:1" ht="18.75" x14ac:dyDescent="0.3">
      <c r="A134" s="653"/>
    </row>
    <row r="135" spans="1:1" ht="18.75" x14ac:dyDescent="0.3">
      <c r="A135" s="653"/>
    </row>
    <row r="136" spans="1:1" ht="18.75" x14ac:dyDescent="0.3">
      <c r="A136" s="653"/>
    </row>
    <row r="137" spans="1:1" ht="18.75" x14ac:dyDescent="0.3">
      <c r="A137" s="653"/>
    </row>
    <row r="138" spans="1:1" ht="18.75" x14ac:dyDescent="0.3">
      <c r="A138" s="653"/>
    </row>
    <row r="139" spans="1:1" ht="18.75" x14ac:dyDescent="0.3">
      <c r="A139" s="653"/>
    </row>
    <row r="140" spans="1:1" ht="18.75" x14ac:dyDescent="0.3">
      <c r="A140" s="653"/>
    </row>
    <row r="141" spans="1:1" ht="18.75" x14ac:dyDescent="0.3">
      <c r="A141" s="653"/>
    </row>
    <row r="142" spans="1:1" ht="18.75" x14ac:dyDescent="0.3">
      <c r="A142" s="653"/>
    </row>
    <row r="143" spans="1:1" ht="18.75" x14ac:dyDescent="0.3">
      <c r="A143" s="653"/>
    </row>
    <row r="144" spans="1:1" ht="18.75" x14ac:dyDescent="0.3">
      <c r="A144" s="653"/>
    </row>
    <row r="145" spans="1:1" ht="18.75" x14ac:dyDescent="0.3">
      <c r="A145" s="653"/>
    </row>
    <row r="146" spans="1:1" ht="18.75" x14ac:dyDescent="0.3">
      <c r="A146" s="653"/>
    </row>
    <row r="147" spans="1:1" ht="18.75" x14ac:dyDescent="0.3">
      <c r="A147" s="653"/>
    </row>
    <row r="148" spans="1:1" ht="18.75" x14ac:dyDescent="0.3">
      <c r="A148" s="653"/>
    </row>
    <row r="149" spans="1:1" ht="18.75" x14ac:dyDescent="0.3">
      <c r="A149" s="653"/>
    </row>
    <row r="150" spans="1:1" ht="18.75" x14ac:dyDescent="0.3">
      <c r="A150" s="653"/>
    </row>
    <row r="151" spans="1:1" ht="18.75" x14ac:dyDescent="0.3">
      <c r="A151" s="653"/>
    </row>
    <row r="152" spans="1:1" ht="18.75" x14ac:dyDescent="0.3">
      <c r="A152" s="653"/>
    </row>
    <row r="153" spans="1:1" ht="18.75" x14ac:dyDescent="0.3">
      <c r="A153" s="653"/>
    </row>
    <row r="154" spans="1:1" ht="18.75" x14ac:dyDescent="0.3">
      <c r="A154" s="653"/>
    </row>
    <row r="155" spans="1:1" ht="18.75" x14ac:dyDescent="0.3">
      <c r="A155" s="653"/>
    </row>
    <row r="156" spans="1:1" ht="18.75" x14ac:dyDescent="0.3">
      <c r="A156" s="653"/>
    </row>
    <row r="157" spans="1:1" ht="18.75" x14ac:dyDescent="0.3">
      <c r="A157" s="653"/>
    </row>
    <row r="158" spans="1:1" ht="18.75" x14ac:dyDescent="0.3">
      <c r="A158" s="653"/>
    </row>
    <row r="159" spans="1:1" ht="18.75" x14ac:dyDescent="0.3">
      <c r="A159" s="653"/>
    </row>
    <row r="160" spans="1:1" ht="18.75" x14ac:dyDescent="0.3">
      <c r="A160" s="653"/>
    </row>
    <row r="161" spans="1:1" ht="18.75" x14ac:dyDescent="0.3">
      <c r="A161" s="653"/>
    </row>
    <row r="162" spans="1:1" ht="18.75" x14ac:dyDescent="0.3">
      <c r="A162" s="653"/>
    </row>
    <row r="163" spans="1:1" ht="18.75" x14ac:dyDescent="0.3">
      <c r="A163" s="653"/>
    </row>
    <row r="164" spans="1:1" ht="18.75" x14ac:dyDescent="0.3">
      <c r="A164" s="653"/>
    </row>
    <row r="165" spans="1:1" ht="18.75" x14ac:dyDescent="0.3">
      <c r="A165" s="653"/>
    </row>
    <row r="166" spans="1:1" ht="18.75" x14ac:dyDescent="0.3">
      <c r="A166" s="653"/>
    </row>
    <row r="167" spans="1:1" ht="18.75" x14ac:dyDescent="0.3">
      <c r="A167" s="653"/>
    </row>
    <row r="168" spans="1:1" ht="18.75" x14ac:dyDescent="0.3">
      <c r="A168" s="653"/>
    </row>
    <row r="169" spans="1:1" ht="18.75" x14ac:dyDescent="0.3">
      <c r="A169" s="653"/>
    </row>
    <row r="170" spans="1:1" ht="18.75" x14ac:dyDescent="0.3">
      <c r="A170" s="653"/>
    </row>
    <row r="171" spans="1:1" ht="18.75" x14ac:dyDescent="0.3">
      <c r="A171" s="653"/>
    </row>
    <row r="172" spans="1:1" ht="18.75" x14ac:dyDescent="0.3">
      <c r="A172" s="653"/>
    </row>
    <row r="173" spans="1:1" ht="18.75" x14ac:dyDescent="0.3">
      <c r="A173" s="653"/>
    </row>
    <row r="174" spans="1:1" ht="18.75" x14ac:dyDescent="0.3">
      <c r="A174" s="653"/>
    </row>
    <row r="175" spans="1:1" ht="18.75" x14ac:dyDescent="0.3">
      <c r="A175" s="653"/>
    </row>
    <row r="176" spans="1:1" ht="18.75" x14ac:dyDescent="0.3">
      <c r="A176" s="653"/>
    </row>
    <row r="177" spans="1:1" ht="18.75" x14ac:dyDescent="0.3">
      <c r="A177" s="653"/>
    </row>
    <row r="178" spans="1:1" ht="18.75" x14ac:dyDescent="0.3">
      <c r="A178" s="653"/>
    </row>
    <row r="179" spans="1:1" ht="18.75" x14ac:dyDescent="0.3">
      <c r="A179" s="653"/>
    </row>
    <row r="180" spans="1:1" ht="18.75" x14ac:dyDescent="0.3">
      <c r="A180" s="653"/>
    </row>
    <row r="181" spans="1:1" ht="18.75" x14ac:dyDescent="0.3">
      <c r="A181" s="653"/>
    </row>
    <row r="182" spans="1:1" ht="18.75" x14ac:dyDescent="0.3">
      <c r="A182" s="653"/>
    </row>
    <row r="183" spans="1:1" ht="18.75" x14ac:dyDescent="0.3">
      <c r="A183" s="653"/>
    </row>
    <row r="184" spans="1:1" ht="18.75" x14ac:dyDescent="0.3">
      <c r="A184" s="653"/>
    </row>
    <row r="185" spans="1:1" ht="18.75" x14ac:dyDescent="0.3">
      <c r="A185" s="653"/>
    </row>
    <row r="186" spans="1:1" ht="18.75" x14ac:dyDescent="0.3">
      <c r="A186" s="653"/>
    </row>
    <row r="187" spans="1:1" ht="18.75" x14ac:dyDescent="0.3">
      <c r="A187" s="653"/>
    </row>
    <row r="188" spans="1:1" ht="18.75" x14ac:dyDescent="0.3">
      <c r="A188" s="653"/>
    </row>
    <row r="189" spans="1:1" ht="18.75" x14ac:dyDescent="0.3">
      <c r="A189" s="653"/>
    </row>
    <row r="190" spans="1:1" ht="18.75" x14ac:dyDescent="0.3">
      <c r="A190" s="653"/>
    </row>
  </sheetData>
  <mergeCells count="27">
    <mergeCell ref="AO6:AQ6"/>
    <mergeCell ref="AR6:AT6"/>
    <mergeCell ref="B6:D6"/>
    <mergeCell ref="E6:G6"/>
    <mergeCell ref="H6:J6"/>
    <mergeCell ref="K6:M6"/>
    <mergeCell ref="N6:P6"/>
    <mergeCell ref="T6:V6"/>
    <mergeCell ref="Q7:S7"/>
    <mergeCell ref="Z6:AB6"/>
    <mergeCell ref="AF6:AH6"/>
    <mergeCell ref="AI6:AK6"/>
    <mergeCell ref="AL6:AN6"/>
    <mergeCell ref="AL7:AN7"/>
    <mergeCell ref="B7:D7"/>
    <mergeCell ref="E7:G7"/>
    <mergeCell ref="H7:J7"/>
    <mergeCell ref="K7:M7"/>
    <mergeCell ref="N7:P7"/>
    <mergeCell ref="AO7:AQ7"/>
    <mergeCell ref="AR7:AT7"/>
    <mergeCell ref="T7:V7"/>
    <mergeCell ref="W7:Y7"/>
    <mergeCell ref="Z7:AB7"/>
    <mergeCell ref="AC7:AE7"/>
    <mergeCell ref="AF7:AH7"/>
    <mergeCell ref="AI7:AK7"/>
  </mergeCells>
  <conditionalFormatting sqref="B20:C20 E20:F20 H20:I20 K20:L20 N20:O20 Q20:R20 T20:U20 W20:X20 Z20:AA20 AC20:AD20 AF20:AG20 AI20:AJ20 AL20:AM20 AO20:AP20 AR20:AS20">
    <cfRule type="expression" dxfId="76" priority="194">
      <formula>#REF!="20≠21+22"</formula>
    </cfRule>
    <cfRule type="expression" dxfId="75" priority="195">
      <formula>#REF!="20≠12+13+14+15+16+17+19"</formula>
    </cfRule>
  </conditionalFormatting>
  <conditionalFormatting sqref="B32:C32 E32:F32 H32:I32 K32:L32 N32:O32 Q32:R32 T32:U32 W32:X32 Z32:AA32 AC32:AD32 AF32:AG32 AI32:AJ32 AL32:AM32 AO32:AP32 AR32:AS32">
    <cfRule type="expression" dxfId="74" priority="224">
      <formula>#REF!="32≠33+34"</formula>
    </cfRule>
  </conditionalFormatting>
  <conditionalFormatting sqref="B44:C44 E44:F44 H44:I44 K44:L44 N44:O44 Q44:R44 T44:U44 W44:X44 Z44:AA44 AC44:AD44 AF44:AG44 AI44:AJ44 AL44:AM44 AO44:AP44 AR44:AS44">
    <cfRule type="expression" dxfId="73" priority="239">
      <formula>#REF!="44≠45+46"</formula>
    </cfRule>
  </conditionalFormatting>
  <conditionalFormatting sqref="B56:C56 E56:F56 H56:I56 K56:L56 N56:O56 Q56:R56 T56:U56 W56:X56 Z56:AA56 AC56:AD56 AF56:AG56 AI56:AJ56 AL56:AM56 AO56:AP56 AR56:AS56">
    <cfRule type="expression" dxfId="72" priority="254">
      <formula>#REF!="56≠57+58"</formula>
    </cfRule>
  </conditionalFormatting>
  <conditionalFormatting sqref="B70:C70 E70:F70 H70:I70 K70:L70 N70:O70 Q70:R70 T70:U70 W70:X70 Z70:AA70 AC70:AD70 AF70:AG70 AI70:AJ70 AL70:AM70 AO70:AP70 AR70:AS70">
    <cfRule type="expression" dxfId="71" priority="269">
      <formula>#REF!="70≠62+63+64+65+66+67+69"</formula>
    </cfRule>
  </conditionalFormatting>
  <conditionalFormatting sqref="B82:C82 E82:F82 H82:I82 K82:L82 N82:O82 Q82:R82 T82:U82 W82:X82 Z82:AA82 AC82:AD82 AF82:AG82 AI82:AJ82 AL82:AM82 AO82:AP82 AR82:AS82">
    <cfRule type="expression" dxfId="70" priority="284">
      <formula>#REF!="82≠83+84"</formula>
    </cfRule>
  </conditionalFormatting>
  <conditionalFormatting sqref="B94:C94 E94:F94 H94:I94 K94:L94 N94:O94 Q94:R94 T94:U94 W94:X94 Z94:AA94 AC94:AD94 AF94:AG94 AI94:AJ94 AL94:AM94 AO94:AP94 AR94:AS94">
    <cfRule type="expression" dxfId="69" priority="299">
      <formula>#REF!="94≠95+96"</formula>
    </cfRule>
  </conditionalFormatting>
  <conditionalFormatting sqref="B106:C106 E106:F106 H106:I106 K106:L106 N106:O106 Q106:R106 T106:U106 W106:X106 Z106:AA106 AC106:AD106 AI106:AJ106 AL106:AM106 AO106:AP106 AR106:AS106 AF106:AG106">
    <cfRule type="expression" dxfId="68" priority="314">
      <formula>#REF!="106≠107+108"</formula>
    </cfRule>
  </conditionalFormatting>
  <conditionalFormatting sqref="B32:C32 E32:F32 H32:I32 K32:L32 N32:O32 Q32:R32 T32:U32 W32:X32 Z32:AA32 AC32:AD32 AF32:AG32 AI32:AJ32 AL32:AM32 AO32:AP32 AR32:AS32">
    <cfRule type="expression" dxfId="67" priority="329">
      <formula>#REF!="32≠24+25+26+27+28+29+31"</formula>
    </cfRule>
  </conditionalFormatting>
  <conditionalFormatting sqref="B44:C44 E44:F44 H44:I44 K44:L44 N44:O44 Q44:R44 T44:U44 W44:X44 Z44:AA44 AC44:AD44 AF44:AG44 AI44:AJ44 AL44:AM44 AO44:AP44 AR44:AS44">
    <cfRule type="expression" dxfId="66" priority="344">
      <formula>#REF!="44≠36+37+38+39+40+41+43"</formula>
    </cfRule>
  </conditionalFormatting>
  <conditionalFormatting sqref="B56:C56 E56:F56 H56:I56 K56:L56 N56:O56 Q56:R56 T56:U56 W56:X56 Z56:AA56 AC56:AD56 AF56:AG56 AI56:AJ56 AL56:AM56 AO56:AP56 AR56:AS56">
    <cfRule type="expression" dxfId="65" priority="359">
      <formula>#REF!="56≠48+49+50+51+52+53+55"</formula>
    </cfRule>
  </conditionalFormatting>
  <conditionalFormatting sqref="B70:C70 E70:F70 H70:I70 K70:L70 N70:O70 Q70:R70 T70:U70 W70:X70 Z70:AA70 AC70:AD70 AF70:AG70 AI70:AJ70 AL70:AM70 AO70:AP70 AR70:AS70">
    <cfRule type="expression" dxfId="64" priority="374">
      <formula>#REF!="70≠71+72"</formula>
    </cfRule>
  </conditionalFormatting>
  <conditionalFormatting sqref="B82:C82 E82:F82 H82:I82 K82:L82 N82:O82 Q82:R82 T82:U82 W82:X82 Z82:AA82 AC82:AD82 AF82:AG82 AI82:AJ82 AL82:AM82 AO82:AP82 AR82:AS82">
    <cfRule type="expression" dxfId="63" priority="389">
      <formula>#REF!="82≠74+75+76+77+78+79+81"</formula>
    </cfRule>
  </conditionalFormatting>
  <conditionalFormatting sqref="B94:C94 E94:F94 H94:I94 K94:L94 N94:O94 Q94:R94 T94:U94 W94:X94 Z94:AA94 AC94:AD94 AF94:AG94 AI94:AJ94 AL94:AM94 AO94:AP94 AR94:AS94">
    <cfRule type="expression" dxfId="62" priority="404">
      <formula>#REF!="94≠86+87+88+89+90+91+93"</formula>
    </cfRule>
  </conditionalFormatting>
  <conditionalFormatting sqref="B106:C106 E106:F106 H106:I106 K106:L106 N106:O106 Q106:R106 T106:U106 W106:X106 Z106:AA106 AC106:AD106 AI106:AJ106 AL106:AM106 AO106:AP106 AR106:AS106 AF106:AG106">
    <cfRule type="expression" dxfId="61" priority="419">
      <formula>#REF!="106≠98+99+100+101+102+103+105"</formula>
    </cfRule>
  </conditionalFormatting>
  <hyperlinks>
    <hyperlink ref="B1" location="Innhold!A1" display="Tilbake"/>
  </hyperlinks>
  <pageMargins left="0.78740157480314965" right="0.78740157480314965" top="1.5748031496062993" bottom="0.98425196850393704" header="0.51181102362204722" footer="0.51181102362204722"/>
  <pageSetup paperSize="9" scale="45" fitToWidth="4" orientation="portrait" r:id="rId1"/>
  <headerFooter alignWithMargins="0"/>
  <rowBreaks count="1" manualBreakCount="1">
    <brk id="59" max="39" man="1"/>
  </rowBreaks>
  <colBreaks count="4" manualBreakCount="4">
    <brk id="10" min="1" max="108" man="1"/>
    <brk id="19" min="1" max="108" man="1"/>
    <brk id="28" min="1" max="108" man="1"/>
    <brk id="37" min="1" max="108"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7"/>
  <dimension ref="A1:AX221"/>
  <sheetViews>
    <sheetView showGridLines="0" zoomScale="60" zoomScaleNormal="60" workbookViewId="0">
      <pane xSplit="1" ySplit="9" topLeftCell="B10" activePane="bottomRight" state="frozen"/>
      <selection activeCell="AU39" sqref="AU39"/>
      <selection pane="topRight" activeCell="AU39" sqref="AU39"/>
      <selection pane="bottomLeft" activeCell="AU39" sqref="AU39"/>
      <selection pane="bottomRight" activeCell="A5" sqref="A5"/>
    </sheetView>
  </sheetViews>
  <sheetFormatPr baseColWidth="10" defaultColWidth="12.5703125" defaultRowHeight="15.75" x14ac:dyDescent="0.25"/>
  <cols>
    <col min="1" max="1" width="90.7109375" style="726" customWidth="1"/>
    <col min="2" max="46" width="11.7109375" style="726" customWidth="1"/>
    <col min="47" max="47" width="0" style="726" hidden="1" customWidth="1"/>
    <col min="48" max="16384" width="12.5703125" style="726"/>
  </cols>
  <sheetData>
    <row r="1" spans="1:50" ht="20.25" customHeight="1" x14ac:dyDescent="0.3">
      <c r="A1" s="652" t="s">
        <v>189</v>
      </c>
      <c r="B1" s="495" t="s">
        <v>55</v>
      </c>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c r="AO1" s="725"/>
      <c r="AP1" s="725"/>
      <c r="AQ1" s="725"/>
      <c r="AR1" s="725"/>
      <c r="AS1" s="725"/>
      <c r="AT1" s="725"/>
      <c r="AU1" s="725"/>
      <c r="AV1" s="725"/>
      <c r="AW1" s="725"/>
      <c r="AX1" s="725"/>
    </row>
    <row r="2" spans="1:50" ht="20.100000000000001" customHeight="1" x14ac:dyDescent="0.3">
      <c r="A2" s="727" t="s">
        <v>281</v>
      </c>
      <c r="B2" s="725"/>
      <c r="C2" s="725"/>
      <c r="D2" s="725"/>
      <c r="E2" s="725"/>
      <c r="F2" s="725"/>
      <c r="G2" s="725"/>
      <c r="H2" s="725"/>
      <c r="I2" s="725"/>
      <c r="J2" s="725"/>
      <c r="K2" s="725"/>
      <c r="L2" s="725"/>
      <c r="M2" s="725"/>
      <c r="N2" s="725"/>
      <c r="O2" s="725"/>
      <c r="P2" s="725"/>
      <c r="Q2" s="725"/>
      <c r="R2" s="725"/>
      <c r="S2" s="725"/>
      <c r="T2" s="725"/>
      <c r="U2" s="725"/>
      <c r="V2" s="725"/>
      <c r="W2" s="725"/>
      <c r="X2" s="725"/>
      <c r="Y2" s="725"/>
      <c r="Z2" s="725"/>
      <c r="AA2" s="725"/>
      <c r="AB2" s="725"/>
      <c r="AC2" s="725"/>
      <c r="AD2" s="725"/>
      <c r="AE2" s="725"/>
      <c r="AF2" s="725"/>
      <c r="AG2" s="725"/>
      <c r="AH2" s="725"/>
      <c r="AI2" s="725"/>
      <c r="AJ2" s="725"/>
      <c r="AK2" s="725"/>
      <c r="AL2" s="725"/>
      <c r="AM2" s="725"/>
      <c r="AN2" s="725"/>
      <c r="AO2" s="725"/>
      <c r="AP2" s="725"/>
      <c r="AQ2" s="725"/>
      <c r="AR2" s="725"/>
      <c r="AS2" s="725"/>
      <c r="AT2" s="725"/>
      <c r="AU2" s="725"/>
      <c r="AV2" s="725"/>
      <c r="AW2" s="725"/>
      <c r="AX2" s="725"/>
    </row>
    <row r="3" spans="1:50" ht="20.100000000000001" customHeight="1" x14ac:dyDescent="0.3">
      <c r="A3" s="728" t="s">
        <v>442</v>
      </c>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5"/>
      <c r="AQ3" s="725"/>
      <c r="AR3" s="725"/>
      <c r="AS3" s="725"/>
      <c r="AT3" s="725"/>
      <c r="AU3" s="725"/>
      <c r="AV3" s="725"/>
      <c r="AW3" s="725"/>
      <c r="AX3" s="725"/>
    </row>
    <row r="4" spans="1:50" ht="20.100000000000001" customHeight="1" x14ac:dyDescent="0.3">
      <c r="A4" s="729" t="s">
        <v>443</v>
      </c>
      <c r="B4" s="730"/>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30"/>
      <c r="AD4" s="730"/>
      <c r="AE4" s="730"/>
      <c r="AF4" s="730"/>
      <c r="AG4" s="730"/>
      <c r="AH4" s="730"/>
      <c r="AI4" s="725"/>
      <c r="AJ4" s="725"/>
      <c r="AK4" s="725"/>
      <c r="AL4" s="725"/>
      <c r="AM4" s="725"/>
      <c r="AN4" s="725"/>
      <c r="AO4" s="725"/>
      <c r="AP4" s="725"/>
      <c r="AQ4" s="725"/>
      <c r="AR4" s="725"/>
      <c r="AS4" s="725"/>
      <c r="AT4" s="725"/>
      <c r="AU4" s="730"/>
      <c r="AV4" s="725"/>
      <c r="AW4" s="725"/>
      <c r="AX4" s="725"/>
    </row>
    <row r="5" spans="1:50" ht="18.75" customHeight="1" x14ac:dyDescent="0.3">
      <c r="A5" s="731" t="s">
        <v>414</v>
      </c>
      <c r="B5" s="732"/>
      <c r="C5" s="732"/>
      <c r="D5" s="733"/>
      <c r="E5" s="734"/>
      <c r="F5" s="732"/>
      <c r="G5" s="733"/>
      <c r="H5" s="734"/>
      <c r="I5" s="732"/>
      <c r="J5" s="733"/>
      <c r="K5" s="732"/>
      <c r="L5" s="732"/>
      <c r="M5" s="732"/>
      <c r="N5" s="732"/>
      <c r="O5" s="732"/>
      <c r="P5" s="733"/>
      <c r="Q5" s="734"/>
      <c r="R5" s="732"/>
      <c r="S5" s="733"/>
      <c r="T5" s="734"/>
      <c r="U5" s="732"/>
      <c r="V5" s="733"/>
      <c r="W5" s="734"/>
      <c r="X5" s="732"/>
      <c r="Y5" s="733"/>
      <c r="Z5" s="734"/>
      <c r="AA5" s="732"/>
      <c r="AB5" s="733"/>
      <c r="AC5" s="734"/>
      <c r="AD5" s="732"/>
      <c r="AE5" s="733"/>
      <c r="AF5" s="734"/>
      <c r="AG5" s="732"/>
      <c r="AH5" s="733"/>
      <c r="AI5" s="734"/>
      <c r="AJ5" s="732"/>
      <c r="AK5" s="733"/>
      <c r="AL5" s="734"/>
      <c r="AM5" s="732"/>
      <c r="AN5" s="733"/>
      <c r="AO5" s="734"/>
      <c r="AP5" s="732"/>
      <c r="AQ5" s="733"/>
      <c r="AR5" s="734"/>
      <c r="AS5" s="732"/>
      <c r="AT5" s="733"/>
      <c r="AU5" s="730"/>
      <c r="AV5" s="730"/>
      <c r="AW5" s="725"/>
      <c r="AX5" s="725"/>
    </row>
    <row r="6" spans="1:50" ht="18.75" customHeight="1" x14ac:dyDescent="0.3">
      <c r="A6" s="735" t="s">
        <v>114</v>
      </c>
      <c r="B6" s="988" t="s">
        <v>192</v>
      </c>
      <c r="C6" s="989"/>
      <c r="D6" s="990"/>
      <c r="E6" s="988" t="s">
        <v>193</v>
      </c>
      <c r="F6" s="989"/>
      <c r="G6" s="990"/>
      <c r="H6" s="988" t="s">
        <v>194</v>
      </c>
      <c r="I6" s="989"/>
      <c r="J6" s="990"/>
      <c r="K6" s="988" t="s">
        <v>195</v>
      </c>
      <c r="L6" s="989"/>
      <c r="M6" s="990"/>
      <c r="N6" s="988" t="s">
        <v>196</v>
      </c>
      <c r="O6" s="989"/>
      <c r="P6" s="990"/>
      <c r="Q6" s="663" t="s">
        <v>196</v>
      </c>
      <c r="R6" s="664"/>
      <c r="S6" s="665"/>
      <c r="T6" s="988" t="s">
        <v>67</v>
      </c>
      <c r="U6" s="989"/>
      <c r="V6" s="990"/>
      <c r="W6" s="663"/>
      <c r="X6" s="664"/>
      <c r="Y6" s="665"/>
      <c r="Z6" s="988" t="s">
        <v>197</v>
      </c>
      <c r="AA6" s="989"/>
      <c r="AB6" s="990"/>
      <c r="AC6" s="663"/>
      <c r="AD6" s="664"/>
      <c r="AE6" s="665"/>
      <c r="AF6" s="988" t="s">
        <v>79</v>
      </c>
      <c r="AG6" s="989"/>
      <c r="AH6" s="990"/>
      <c r="AI6" s="988"/>
      <c r="AJ6" s="989"/>
      <c r="AK6" s="990"/>
      <c r="AL6" s="988" t="s">
        <v>80</v>
      </c>
      <c r="AM6" s="989"/>
      <c r="AN6" s="990"/>
      <c r="AO6" s="991" t="s">
        <v>2</v>
      </c>
      <c r="AP6" s="992"/>
      <c r="AQ6" s="993"/>
      <c r="AR6" s="988" t="s">
        <v>2</v>
      </c>
      <c r="AS6" s="989"/>
      <c r="AT6" s="990"/>
      <c r="AU6" s="730"/>
      <c r="AV6" s="730"/>
      <c r="AW6" s="725"/>
      <c r="AX6" s="725"/>
    </row>
    <row r="7" spans="1:50" ht="18.75" customHeight="1" x14ac:dyDescent="0.3">
      <c r="A7" s="736"/>
      <c r="B7" s="985" t="s">
        <v>198</v>
      </c>
      <c r="C7" s="986"/>
      <c r="D7" s="987"/>
      <c r="E7" s="985" t="s">
        <v>199</v>
      </c>
      <c r="F7" s="986"/>
      <c r="G7" s="987"/>
      <c r="H7" s="985" t="s">
        <v>199</v>
      </c>
      <c r="I7" s="986"/>
      <c r="J7" s="987"/>
      <c r="K7" s="985" t="s">
        <v>200</v>
      </c>
      <c r="L7" s="986"/>
      <c r="M7" s="987"/>
      <c r="N7" s="985" t="s">
        <v>100</v>
      </c>
      <c r="O7" s="986"/>
      <c r="P7" s="987"/>
      <c r="Q7" s="985" t="s">
        <v>67</v>
      </c>
      <c r="R7" s="986"/>
      <c r="S7" s="987"/>
      <c r="T7" s="985" t="s">
        <v>201</v>
      </c>
      <c r="U7" s="986"/>
      <c r="V7" s="987"/>
      <c r="W7" s="985" t="s">
        <v>72</v>
      </c>
      <c r="X7" s="986"/>
      <c r="Y7" s="987"/>
      <c r="Z7" s="985" t="s">
        <v>198</v>
      </c>
      <c r="AA7" s="986"/>
      <c r="AB7" s="987"/>
      <c r="AC7" s="985" t="s">
        <v>78</v>
      </c>
      <c r="AD7" s="986"/>
      <c r="AE7" s="987"/>
      <c r="AF7" s="985" t="s">
        <v>202</v>
      </c>
      <c r="AG7" s="986"/>
      <c r="AH7" s="987"/>
      <c r="AI7" s="985" t="s">
        <v>74</v>
      </c>
      <c r="AJ7" s="986"/>
      <c r="AK7" s="987"/>
      <c r="AL7" s="985" t="s">
        <v>199</v>
      </c>
      <c r="AM7" s="986"/>
      <c r="AN7" s="987"/>
      <c r="AO7" s="979" t="s">
        <v>333</v>
      </c>
      <c r="AP7" s="980"/>
      <c r="AQ7" s="981"/>
      <c r="AR7" s="982" t="s">
        <v>334</v>
      </c>
      <c r="AS7" s="983"/>
      <c r="AT7" s="984"/>
      <c r="AU7" s="730"/>
      <c r="AV7" s="730"/>
      <c r="AW7" s="725"/>
      <c r="AX7" s="725"/>
    </row>
    <row r="8" spans="1:50" ht="18.75" customHeight="1" x14ac:dyDescent="0.3">
      <c r="A8" s="736"/>
      <c r="B8" s="667"/>
      <c r="C8" s="667"/>
      <c r="D8" s="668" t="s">
        <v>89</v>
      </c>
      <c r="E8" s="667"/>
      <c r="F8" s="667"/>
      <c r="G8" s="668" t="s">
        <v>89</v>
      </c>
      <c r="H8" s="667"/>
      <c r="I8" s="667"/>
      <c r="J8" s="668" t="s">
        <v>89</v>
      </c>
      <c r="K8" s="667"/>
      <c r="L8" s="667"/>
      <c r="M8" s="668" t="s">
        <v>89</v>
      </c>
      <c r="N8" s="667"/>
      <c r="O8" s="667"/>
      <c r="P8" s="668" t="s">
        <v>89</v>
      </c>
      <c r="Q8" s="667"/>
      <c r="R8" s="667"/>
      <c r="S8" s="668" t="s">
        <v>89</v>
      </c>
      <c r="T8" s="667"/>
      <c r="U8" s="667"/>
      <c r="V8" s="668" t="s">
        <v>89</v>
      </c>
      <c r="W8" s="667"/>
      <c r="X8" s="667"/>
      <c r="Y8" s="668" t="s">
        <v>89</v>
      </c>
      <c r="Z8" s="667"/>
      <c r="AA8" s="667"/>
      <c r="AB8" s="668" t="s">
        <v>89</v>
      </c>
      <c r="AC8" s="667"/>
      <c r="AD8" s="667"/>
      <c r="AE8" s="668" t="s">
        <v>89</v>
      </c>
      <c r="AF8" s="667"/>
      <c r="AG8" s="667"/>
      <c r="AH8" s="668" t="s">
        <v>89</v>
      </c>
      <c r="AI8" s="667"/>
      <c r="AJ8" s="667"/>
      <c r="AK8" s="668" t="s">
        <v>89</v>
      </c>
      <c r="AL8" s="667"/>
      <c r="AM8" s="667"/>
      <c r="AN8" s="668" t="s">
        <v>89</v>
      </c>
      <c r="AO8" s="667"/>
      <c r="AP8" s="667"/>
      <c r="AQ8" s="668" t="s">
        <v>89</v>
      </c>
      <c r="AR8" s="667"/>
      <c r="AS8" s="667"/>
      <c r="AT8" s="668" t="s">
        <v>89</v>
      </c>
      <c r="AU8" s="730"/>
      <c r="AV8" s="730"/>
      <c r="AW8" s="725"/>
      <c r="AX8" s="725"/>
    </row>
    <row r="9" spans="1:50" ht="18.75" customHeight="1" x14ac:dyDescent="0.3">
      <c r="A9" s="737" t="s">
        <v>335</v>
      </c>
      <c r="B9" s="670">
        <v>2016</v>
      </c>
      <c r="C9" s="670">
        <v>2017</v>
      </c>
      <c r="D9" s="671" t="s">
        <v>91</v>
      </c>
      <c r="E9" s="670">
        <v>2016</v>
      </c>
      <c r="F9" s="670">
        <v>2017</v>
      </c>
      <c r="G9" s="671" t="s">
        <v>91</v>
      </c>
      <c r="H9" s="670">
        <v>2016</v>
      </c>
      <c r="I9" s="670">
        <v>2017</v>
      </c>
      <c r="J9" s="671" t="s">
        <v>91</v>
      </c>
      <c r="K9" s="670">
        <v>2016</v>
      </c>
      <c r="L9" s="670">
        <v>2017</v>
      </c>
      <c r="M9" s="671" t="s">
        <v>91</v>
      </c>
      <c r="N9" s="670">
        <v>2016</v>
      </c>
      <c r="O9" s="670">
        <v>2017</v>
      </c>
      <c r="P9" s="671" t="s">
        <v>91</v>
      </c>
      <c r="Q9" s="670">
        <v>2016</v>
      </c>
      <c r="R9" s="670">
        <v>2017</v>
      </c>
      <c r="S9" s="671" t="s">
        <v>91</v>
      </c>
      <c r="T9" s="670">
        <v>2016</v>
      </c>
      <c r="U9" s="670">
        <v>2017</v>
      </c>
      <c r="V9" s="671" t="s">
        <v>91</v>
      </c>
      <c r="W9" s="670">
        <v>2016</v>
      </c>
      <c r="X9" s="670">
        <v>2017</v>
      </c>
      <c r="Y9" s="671" t="s">
        <v>91</v>
      </c>
      <c r="Z9" s="670">
        <v>2016</v>
      </c>
      <c r="AA9" s="670">
        <v>2017</v>
      </c>
      <c r="AB9" s="671" t="s">
        <v>91</v>
      </c>
      <c r="AC9" s="670">
        <v>2016</v>
      </c>
      <c r="AD9" s="670">
        <v>2017</v>
      </c>
      <c r="AE9" s="671" t="s">
        <v>91</v>
      </c>
      <c r="AF9" s="670">
        <v>2016</v>
      </c>
      <c r="AG9" s="670">
        <v>2017</v>
      </c>
      <c r="AH9" s="671" t="s">
        <v>91</v>
      </c>
      <c r="AI9" s="670">
        <v>2016</v>
      </c>
      <c r="AJ9" s="670">
        <v>2017</v>
      </c>
      <c r="AK9" s="671" t="s">
        <v>91</v>
      </c>
      <c r="AL9" s="670">
        <v>2016</v>
      </c>
      <c r="AM9" s="670">
        <v>2017</v>
      </c>
      <c r="AN9" s="671" t="s">
        <v>91</v>
      </c>
      <c r="AO9" s="670">
        <v>2016</v>
      </c>
      <c r="AP9" s="670">
        <v>2017</v>
      </c>
      <c r="AQ9" s="671" t="s">
        <v>91</v>
      </c>
      <c r="AR9" s="670">
        <v>2016</v>
      </c>
      <c r="AS9" s="670">
        <v>2017</v>
      </c>
      <c r="AT9" s="671" t="s">
        <v>91</v>
      </c>
      <c r="AU9" s="730"/>
      <c r="AV9" s="730"/>
      <c r="AW9" s="725"/>
      <c r="AX9" s="725"/>
    </row>
    <row r="10" spans="1:50" ht="18.75" customHeight="1" x14ac:dyDescent="0.3">
      <c r="A10" s="738"/>
      <c r="B10" s="673"/>
      <c r="C10" s="739"/>
      <c r="D10" s="740"/>
      <c r="E10" s="741"/>
      <c r="F10" s="739"/>
      <c r="G10" s="742"/>
      <c r="H10" s="743"/>
      <c r="I10" s="739"/>
      <c r="J10" s="744"/>
      <c r="K10" s="743"/>
      <c r="L10" s="739"/>
      <c r="M10" s="740"/>
      <c r="N10" s="745"/>
      <c r="O10" s="739"/>
      <c r="P10" s="746"/>
      <c r="Q10" s="741"/>
      <c r="R10" s="739"/>
      <c r="S10" s="742"/>
      <c r="T10" s="741"/>
      <c r="U10" s="739"/>
      <c r="V10" s="746"/>
      <c r="W10" s="743"/>
      <c r="X10" s="739"/>
      <c r="Y10" s="742"/>
      <c r="Z10" s="741"/>
      <c r="AA10" s="739"/>
      <c r="AB10" s="742"/>
      <c r="AC10" s="743"/>
      <c r="AD10" s="739"/>
      <c r="AE10" s="742"/>
      <c r="AF10" s="741"/>
      <c r="AG10" s="739"/>
      <c r="AH10" s="742"/>
      <c r="AI10" s="743"/>
      <c r="AJ10" s="739"/>
      <c r="AK10" s="742"/>
      <c r="AL10" s="743"/>
      <c r="AM10" s="739"/>
      <c r="AN10" s="742"/>
      <c r="AO10" s="740"/>
      <c r="AP10" s="740"/>
      <c r="AQ10" s="742"/>
      <c r="AR10" s="747"/>
      <c r="AS10" s="747"/>
      <c r="AT10" s="742"/>
      <c r="AU10" s="730"/>
      <c r="AV10" s="730"/>
      <c r="AW10" s="725"/>
      <c r="AX10" s="725"/>
    </row>
    <row r="11" spans="1:50" ht="18.75" customHeight="1" x14ac:dyDescent="0.3">
      <c r="A11" s="679" t="s">
        <v>444</v>
      </c>
      <c r="B11" s="680"/>
      <c r="C11" s="681"/>
      <c r="D11" s="748"/>
      <c r="E11" s="680"/>
      <c r="F11" s="681"/>
      <c r="G11" s="749"/>
      <c r="H11" s="680"/>
      <c r="I11" s="681"/>
      <c r="J11" s="749"/>
      <c r="K11" s="680"/>
      <c r="L11" s="681"/>
      <c r="M11" s="748"/>
      <c r="N11" s="680"/>
      <c r="O11" s="681"/>
      <c r="P11" s="749"/>
      <c r="Q11" s="680"/>
      <c r="R11" s="681"/>
      <c r="S11" s="749"/>
      <c r="T11" s="680"/>
      <c r="U11" s="681"/>
      <c r="V11" s="749"/>
      <c r="W11" s="685"/>
      <c r="X11" s="681"/>
      <c r="Y11" s="749"/>
      <c r="Z11" s="680"/>
      <c r="AA11" s="681"/>
      <c r="AB11" s="749"/>
      <c r="AC11" s="680"/>
      <c r="AD11" s="681"/>
      <c r="AE11" s="749"/>
      <c r="AF11" s="680"/>
      <c r="AG11" s="681"/>
      <c r="AH11" s="749"/>
      <c r="AI11" s="680"/>
      <c r="AJ11" s="681"/>
      <c r="AK11" s="749"/>
      <c r="AL11" s="680"/>
      <c r="AM11" s="681"/>
      <c r="AN11" s="749"/>
      <c r="AO11" s="748"/>
      <c r="AP11" s="748"/>
      <c r="AQ11" s="749"/>
      <c r="AR11" s="702"/>
      <c r="AS11" s="702"/>
      <c r="AT11" s="749"/>
      <c r="AU11" s="730"/>
      <c r="AV11" s="730"/>
      <c r="AW11" s="725"/>
      <c r="AX11" s="725"/>
    </row>
    <row r="12" spans="1:50" s="752" customFormat="1" ht="18.75" customHeight="1" x14ac:dyDescent="0.3">
      <c r="A12" s="688" t="s">
        <v>424</v>
      </c>
      <c r="B12" s="449">
        <v>-6.0999999999999999E-2</v>
      </c>
      <c r="C12" s="689"/>
      <c r="D12" s="750">
        <f>IF(B12=0, "    ---- ", IF(ABS(ROUND(100/B12*C12-100,1))&lt;999,ROUND(100/B12*C12-100,1),IF(ROUND(100/B12*C12-100,1)&gt;999,999,-999)))</f>
        <v>-100</v>
      </c>
      <c r="E12" s="449">
        <v>445.08600000000001</v>
      </c>
      <c r="F12" s="689">
        <v>444.13</v>
      </c>
      <c r="G12" s="751">
        <f t="shared" ref="G12:G17" si="0">IF(E12=0, "    ---- ", IF(ABS(ROUND(100/E12*F12-100,1))&lt;999,ROUND(100/E12*F12-100,1),IF(ROUND(100/E12*F12-100,1)&gt;999,999,-999)))</f>
        <v>-0.2</v>
      </c>
      <c r="H12" s="449"/>
      <c r="I12" s="689"/>
      <c r="J12" s="751"/>
      <c r="K12" s="449"/>
      <c r="L12" s="689"/>
      <c r="M12" s="750"/>
      <c r="N12" s="449"/>
      <c r="O12" s="689"/>
      <c r="P12" s="751"/>
      <c r="Q12" s="449"/>
      <c r="R12" s="689"/>
      <c r="S12" s="751"/>
      <c r="T12" s="449">
        <v>14</v>
      </c>
      <c r="U12" s="689">
        <v>25</v>
      </c>
      <c r="V12" s="751">
        <f t="shared" ref="V12:V17" si="1">IF(T12=0, "    ---- ", IF(ABS(ROUND(100/T12*U12-100,1))&lt;999,ROUND(100/T12*U12-100,1),IF(ROUND(100/T12*U12-100,1)&gt;999,999,-999)))</f>
        <v>78.599999999999994</v>
      </c>
      <c r="W12" s="694">
        <v>184.63304972899999</v>
      </c>
      <c r="X12" s="689">
        <v>169.40374668446398</v>
      </c>
      <c r="Y12" s="751">
        <f>IF(W12=0, "    ---- ", IF(ABS(ROUND(100/W12*X12-100,1))&lt;999,ROUND(100/W12*X12-100,1),IF(ROUND(100/W12*X12-100,1)&gt;999,999,-999)))</f>
        <v>-8.1999999999999993</v>
      </c>
      <c r="Z12" s="449"/>
      <c r="AA12" s="689"/>
      <c r="AB12" s="751"/>
      <c r="AC12" s="449"/>
      <c r="AD12" s="689"/>
      <c r="AE12" s="751"/>
      <c r="AF12" s="449"/>
      <c r="AG12" s="689"/>
      <c r="AH12" s="751"/>
      <c r="AI12" s="449">
        <v>58.366</v>
      </c>
      <c r="AJ12" s="689">
        <v>86.316999999999993</v>
      </c>
      <c r="AK12" s="751">
        <f>IF(AI12=0, "    ---- ", IF(ABS(ROUND(100/AI12*AJ12-100,1))&lt;999,ROUND(100/AI12*AJ12-100,1),IF(ROUND(100/AI12*AJ12-100,1)&gt;999,999,-999)))</f>
        <v>47.9</v>
      </c>
      <c r="AL12" s="449">
        <v>1344</v>
      </c>
      <c r="AM12" s="689">
        <v>823.81</v>
      </c>
      <c r="AN12" s="751">
        <f t="shared" ref="AN12:AN22" si="2">IF(AL12=0, "    ---- ", IF(ABS(ROUND(100/AL12*AM12-100,1))&lt;999,ROUND(100/AL12*AM12-100,1),IF(ROUND(100/AL12*AM12-100,1)&gt;999,999,-999)))</f>
        <v>-38.700000000000003</v>
      </c>
      <c r="AO12" s="750">
        <f>B12+E12+H12+K12+Q12+T12+W12+Z12+AF12+AI12+AL12</f>
        <v>2046.0240497290001</v>
      </c>
      <c r="AP12" s="750">
        <f>C12+F12+I12+L12+R12+U12+X12+AA12+AG12+AJ12+AM12</f>
        <v>1548.6607466844639</v>
      </c>
      <c r="AQ12" s="751">
        <f t="shared" ref="AQ12:AQ42" si="3">IF(AO12=0, "    ---- ", IF(ABS(ROUND(100/AO12*AP12-100,1))&lt;999,ROUND(100/AO12*AP12-100,1),IF(ROUND(100/AO12*AP12-100,1)&gt;999,999,-999)))</f>
        <v>-24.3</v>
      </c>
      <c r="AR12" s="700">
        <f>+B12+E12+H12+K12+N12+Q12+T12+W12+Z12+AC12+AF12+AI12+AL12</f>
        <v>2046.0240497290001</v>
      </c>
      <c r="AS12" s="700">
        <f>+C12+F12+I12+L12+O12+R12+U12+X12+AA12+AD12+AG12+AJ12+AM12</f>
        <v>1548.6607466844639</v>
      </c>
      <c r="AT12" s="751">
        <f t="shared" ref="AT12:AT42" si="4">IF(AR12=0, "    ---- ", IF(ABS(ROUND(100/AR12*AS12-100,1))&lt;999,ROUND(100/AR12*AS12-100,1),IF(ROUND(100/AR12*AS12-100,1)&gt;999,999,-999)))</f>
        <v>-24.3</v>
      </c>
      <c r="AU12" s="730"/>
      <c r="AV12" s="730"/>
      <c r="AW12" s="725"/>
      <c r="AX12" s="725"/>
    </row>
    <row r="13" spans="1:50" s="752" customFormat="1" ht="18.75" customHeight="1" x14ac:dyDescent="0.3">
      <c r="A13" s="688" t="s">
        <v>425</v>
      </c>
      <c r="B13" s="449"/>
      <c r="C13" s="689"/>
      <c r="D13" s="750"/>
      <c r="E13" s="449">
        <v>-388.56</v>
      </c>
      <c r="F13" s="689">
        <v>-170.8</v>
      </c>
      <c r="G13" s="751">
        <f t="shared" si="0"/>
        <v>-56</v>
      </c>
      <c r="H13" s="449"/>
      <c r="I13" s="689"/>
      <c r="J13" s="751"/>
      <c r="K13" s="449"/>
      <c r="L13" s="689"/>
      <c r="M13" s="750"/>
      <c r="N13" s="449"/>
      <c r="O13" s="689"/>
      <c r="P13" s="751"/>
      <c r="Q13" s="449"/>
      <c r="R13" s="689"/>
      <c r="S13" s="751"/>
      <c r="T13" s="449">
        <v>-1</v>
      </c>
      <c r="U13" s="689">
        <v>-19</v>
      </c>
      <c r="V13" s="751">
        <f t="shared" si="1"/>
        <v>999</v>
      </c>
      <c r="W13" s="694">
        <v>-96.291078999999996</v>
      </c>
      <c r="X13" s="689">
        <v>-118.44976</v>
      </c>
      <c r="Y13" s="751">
        <f>IF(W13=0, "    ---- ", IF(ABS(ROUND(100/W13*X13-100,1))&lt;999,ROUND(100/W13*X13-100,1),IF(ROUND(100/W13*X13-100,1)&gt;999,999,-999)))</f>
        <v>23</v>
      </c>
      <c r="Z13" s="449"/>
      <c r="AA13" s="689"/>
      <c r="AB13" s="751"/>
      <c r="AC13" s="449"/>
      <c r="AD13" s="689"/>
      <c r="AE13" s="751"/>
      <c r="AF13" s="449"/>
      <c r="AG13" s="689"/>
      <c r="AH13" s="751"/>
      <c r="AI13" s="449">
        <v>-58.366</v>
      </c>
      <c r="AJ13" s="689">
        <v>-1.825</v>
      </c>
      <c r="AK13" s="751">
        <f>IF(AI13=0, "    ---- ", IF(ABS(ROUND(100/AI13*AJ13-100,1))&lt;999,ROUND(100/AI13*AJ13-100,1),IF(ROUND(100/AI13*AJ13-100,1)&gt;999,999,-999)))</f>
        <v>-96.9</v>
      </c>
      <c r="AL13" s="449"/>
      <c r="AM13" s="689"/>
      <c r="AN13" s="751"/>
      <c r="AO13" s="750">
        <f t="shared" ref="AO13:AP100" si="5">B13+E13+H13+K13+Q13+T13+W13+Z13+AF13+AI13+AL13</f>
        <v>-544.21707900000001</v>
      </c>
      <c r="AP13" s="750">
        <f t="shared" si="5"/>
        <v>-310.07476000000003</v>
      </c>
      <c r="AQ13" s="751">
        <f t="shared" si="3"/>
        <v>-43</v>
      </c>
      <c r="AR13" s="700">
        <f t="shared" ref="AR13:AS100" si="6">+B13+E13+H13+K13+N13+Q13+T13+W13+Z13+AC13+AF13+AI13+AL13</f>
        <v>-544.21707900000001</v>
      </c>
      <c r="AS13" s="700">
        <f t="shared" si="6"/>
        <v>-310.07476000000003</v>
      </c>
      <c r="AT13" s="751">
        <f t="shared" si="4"/>
        <v>-43</v>
      </c>
      <c r="AU13" s="730"/>
      <c r="AV13" s="730"/>
      <c r="AW13" s="725"/>
      <c r="AX13" s="725"/>
    </row>
    <row r="14" spans="1:50" s="752" customFormat="1" ht="18.75" customHeight="1" x14ac:dyDescent="0.3">
      <c r="A14" s="688" t="s">
        <v>426</v>
      </c>
      <c r="B14" s="449">
        <v>-2.9209999999999998</v>
      </c>
      <c r="C14" s="689">
        <v>-1.4370000000000001</v>
      </c>
      <c r="D14" s="750">
        <f>IF(B14=0, "    ---- ", IF(ABS(ROUND(100/B14*C14-100,1))&lt;999,ROUND(100/B14*C14-100,1),IF(ROUND(100/B14*C14-100,1)&gt;999,999,-999)))</f>
        <v>-50.8</v>
      </c>
      <c r="E14" s="449">
        <v>96.204999999999998</v>
      </c>
      <c r="F14" s="689">
        <v>30.53</v>
      </c>
      <c r="G14" s="751">
        <f t="shared" si="0"/>
        <v>-68.3</v>
      </c>
      <c r="H14" s="449"/>
      <c r="I14" s="689"/>
      <c r="J14" s="751"/>
      <c r="K14" s="449"/>
      <c r="L14" s="689"/>
      <c r="M14" s="750"/>
      <c r="N14" s="449"/>
      <c r="O14" s="689"/>
      <c r="P14" s="751"/>
      <c r="Q14" s="449"/>
      <c r="R14" s="689"/>
      <c r="S14" s="751"/>
      <c r="T14" s="449">
        <v>0</v>
      </c>
      <c r="U14" s="689">
        <v>1</v>
      </c>
      <c r="V14" s="751" t="str">
        <f t="shared" si="1"/>
        <v xml:space="preserve">    ---- </v>
      </c>
      <c r="W14" s="694">
        <v>-40.960032407999996</v>
      </c>
      <c r="X14" s="689">
        <v>-7.1532255346743909</v>
      </c>
      <c r="Y14" s="751">
        <f t="shared" ref="Y14:Y21" si="7">IF(W14=0, "    ---- ", IF(ABS(ROUND(100/W14*X14-100,1))&lt;999,ROUND(100/W14*X14-100,1),IF(ROUND(100/W14*X14-100,1)&gt;999,999,-999)))</f>
        <v>-82.5</v>
      </c>
      <c r="Z14" s="449"/>
      <c r="AA14" s="689"/>
      <c r="AB14" s="751"/>
      <c r="AC14" s="449"/>
      <c r="AD14" s="689"/>
      <c r="AE14" s="751"/>
      <c r="AF14" s="449"/>
      <c r="AG14" s="689"/>
      <c r="AH14" s="751"/>
      <c r="AI14" s="449">
        <v>-23.899000000000001</v>
      </c>
      <c r="AJ14" s="689">
        <v>-27.516999999999999</v>
      </c>
      <c r="AK14" s="751">
        <f>IF(AI14=0, "    ---- ", IF(ABS(ROUND(100/AI14*AJ14-100,1))&lt;999,ROUND(100/AI14*AJ14-100,1),IF(ROUND(100/AI14*AJ14-100,1)&gt;999,999,-999)))</f>
        <v>15.1</v>
      </c>
      <c r="AL14" s="449">
        <v>-19</v>
      </c>
      <c r="AM14" s="689">
        <v>-25.39</v>
      </c>
      <c r="AN14" s="751">
        <f t="shared" si="2"/>
        <v>33.6</v>
      </c>
      <c r="AO14" s="750">
        <f t="shared" si="5"/>
        <v>9.4249675919999945</v>
      </c>
      <c r="AP14" s="750">
        <f t="shared" si="5"/>
        <v>-29.967225534674391</v>
      </c>
      <c r="AQ14" s="751">
        <f t="shared" si="3"/>
        <v>-418</v>
      </c>
      <c r="AR14" s="700">
        <f t="shared" si="6"/>
        <v>9.4249675919999945</v>
      </c>
      <c r="AS14" s="700">
        <f t="shared" si="6"/>
        <v>-29.967225534674391</v>
      </c>
      <c r="AT14" s="751">
        <f t="shared" si="4"/>
        <v>-418</v>
      </c>
      <c r="AU14" s="730"/>
      <c r="AV14" s="730"/>
      <c r="AW14" s="725"/>
      <c r="AX14" s="725"/>
    </row>
    <row r="15" spans="1:50" s="752" customFormat="1" ht="18.75" customHeight="1" x14ac:dyDescent="0.3">
      <c r="A15" s="688" t="s">
        <v>427</v>
      </c>
      <c r="B15" s="449"/>
      <c r="C15" s="689"/>
      <c r="D15" s="750"/>
      <c r="E15" s="449">
        <v>50.515999999999998</v>
      </c>
      <c r="F15" s="689">
        <v>29.43</v>
      </c>
      <c r="G15" s="751">
        <f t="shared" si="0"/>
        <v>-41.7</v>
      </c>
      <c r="H15" s="449"/>
      <c r="I15" s="689"/>
      <c r="J15" s="751"/>
      <c r="K15" s="449"/>
      <c r="L15" s="689"/>
      <c r="M15" s="750"/>
      <c r="N15" s="449"/>
      <c r="O15" s="689"/>
      <c r="P15" s="751"/>
      <c r="Q15" s="449"/>
      <c r="R15" s="689"/>
      <c r="S15" s="751"/>
      <c r="T15" s="449">
        <v>1</v>
      </c>
      <c r="U15" s="689">
        <v>1</v>
      </c>
      <c r="V15" s="751">
        <f t="shared" si="1"/>
        <v>0</v>
      </c>
      <c r="W15" s="694">
        <v>4.1174720999999996</v>
      </c>
      <c r="X15" s="689">
        <v>1.1754993</v>
      </c>
      <c r="Y15" s="751">
        <f t="shared" si="7"/>
        <v>-71.5</v>
      </c>
      <c r="Z15" s="449"/>
      <c r="AA15" s="689"/>
      <c r="AB15" s="751"/>
      <c r="AC15" s="449"/>
      <c r="AD15" s="689"/>
      <c r="AE15" s="751"/>
      <c r="AF15" s="449"/>
      <c r="AG15" s="689"/>
      <c r="AH15" s="751"/>
      <c r="AI15" s="449"/>
      <c r="AJ15" s="689"/>
      <c r="AK15" s="751"/>
      <c r="AL15" s="449">
        <v>77</v>
      </c>
      <c r="AM15" s="689">
        <v>256.63</v>
      </c>
      <c r="AN15" s="751">
        <f t="shared" si="2"/>
        <v>233.3</v>
      </c>
      <c r="AO15" s="750">
        <f t="shared" si="5"/>
        <v>132.63347210000001</v>
      </c>
      <c r="AP15" s="750">
        <f t="shared" si="5"/>
        <v>288.23549930000001</v>
      </c>
      <c r="AQ15" s="751">
        <f t="shared" si="3"/>
        <v>117.3</v>
      </c>
      <c r="AR15" s="700">
        <f t="shared" si="6"/>
        <v>132.63347210000001</v>
      </c>
      <c r="AS15" s="700">
        <f t="shared" si="6"/>
        <v>288.23549930000001</v>
      </c>
      <c r="AT15" s="751">
        <f t="shared" si="4"/>
        <v>117.3</v>
      </c>
      <c r="AU15" s="730"/>
      <c r="AV15" s="730"/>
      <c r="AW15" s="725"/>
      <c r="AX15" s="725"/>
    </row>
    <row r="16" spans="1:50" s="752" customFormat="1" ht="18.75" customHeight="1" x14ac:dyDescent="0.3">
      <c r="A16" s="688" t="s">
        <v>428</v>
      </c>
      <c r="B16" s="449">
        <v>0.85799999999999998</v>
      </c>
      <c r="C16" s="689">
        <v>1.0820000000000001</v>
      </c>
      <c r="D16" s="750">
        <f>IF(B16=0, "    ---- ", IF(ABS(ROUND(100/B16*C16-100,1))&lt;999,ROUND(100/B16*C16-100,1),IF(ROUND(100/B16*C16-100,1)&gt;999,999,-999)))</f>
        <v>26.1</v>
      </c>
      <c r="E16" s="449">
        <v>228.524</v>
      </c>
      <c r="F16" s="689">
        <v>99.53</v>
      </c>
      <c r="G16" s="751">
        <f t="shared" si="0"/>
        <v>-56.4</v>
      </c>
      <c r="H16" s="449"/>
      <c r="I16" s="689"/>
      <c r="J16" s="751"/>
      <c r="K16" s="449"/>
      <c r="L16" s="689"/>
      <c r="M16" s="750"/>
      <c r="N16" s="449"/>
      <c r="O16" s="689"/>
      <c r="P16" s="751"/>
      <c r="Q16" s="449"/>
      <c r="R16" s="689"/>
      <c r="S16" s="751"/>
      <c r="T16" s="449">
        <v>4</v>
      </c>
      <c r="U16" s="689">
        <v>2</v>
      </c>
      <c r="V16" s="751">
        <f t="shared" si="1"/>
        <v>-50</v>
      </c>
      <c r="W16" s="694">
        <v>133.34921299999999</v>
      </c>
      <c r="X16" s="689">
        <v>104.247226</v>
      </c>
      <c r="Y16" s="751">
        <f t="shared" si="7"/>
        <v>-21.8</v>
      </c>
      <c r="Z16" s="449"/>
      <c r="AA16" s="689"/>
      <c r="AB16" s="751"/>
      <c r="AC16" s="449"/>
      <c r="AD16" s="689"/>
      <c r="AE16" s="751"/>
      <c r="AF16" s="449"/>
      <c r="AG16" s="689"/>
      <c r="AH16" s="751"/>
      <c r="AI16" s="449">
        <v>33.642000000000003</v>
      </c>
      <c r="AJ16" s="689">
        <v>18.635000000000002</v>
      </c>
      <c r="AK16" s="751">
        <f>IF(AI16=0, "    ---- ", IF(ABS(ROUND(100/AI16*AJ16-100,1))&lt;999,ROUND(100/AI16*AJ16-100,1),IF(ROUND(100/AI16*AJ16-100,1)&gt;999,999,-999)))</f>
        <v>-44.6</v>
      </c>
      <c r="AL16" s="449">
        <v>325</v>
      </c>
      <c r="AM16" s="689">
        <v>48.43</v>
      </c>
      <c r="AN16" s="751">
        <f t="shared" si="2"/>
        <v>-85.1</v>
      </c>
      <c r="AO16" s="750">
        <f t="shared" si="5"/>
        <v>725.37321300000008</v>
      </c>
      <c r="AP16" s="750">
        <f t="shared" si="5"/>
        <v>273.92422599999998</v>
      </c>
      <c r="AQ16" s="751">
        <f t="shared" si="3"/>
        <v>-62.2</v>
      </c>
      <c r="AR16" s="700">
        <f t="shared" si="6"/>
        <v>725.37321300000008</v>
      </c>
      <c r="AS16" s="700">
        <f t="shared" si="6"/>
        <v>273.92422599999998</v>
      </c>
      <c r="AT16" s="751">
        <f t="shared" si="4"/>
        <v>-62.2</v>
      </c>
      <c r="AU16" s="730"/>
      <c r="AV16" s="730"/>
      <c r="AW16" s="725"/>
      <c r="AX16" s="725"/>
    </row>
    <row r="17" spans="1:50" s="752" customFormat="1" ht="18.75" customHeight="1" x14ac:dyDescent="0.3">
      <c r="A17" s="688" t="s">
        <v>429</v>
      </c>
      <c r="B17" s="449">
        <v>-2.1389999999999998</v>
      </c>
      <c r="C17" s="689">
        <v>-4.7609999999999992</v>
      </c>
      <c r="D17" s="750">
        <f>IF(B17=0, "    ---- ", IF(ABS(ROUND(100/B17*C17-100,1))&lt;999,ROUND(100/B17*C17-100,1),IF(ROUND(100/B17*C17-100,1)&gt;999,999,-999)))</f>
        <v>122.6</v>
      </c>
      <c r="E17" s="449">
        <v>78.653000000000006</v>
      </c>
      <c r="F17" s="689">
        <v>43.2</v>
      </c>
      <c r="G17" s="751">
        <f t="shared" si="0"/>
        <v>-45.1</v>
      </c>
      <c r="H17" s="449"/>
      <c r="I17" s="689"/>
      <c r="J17" s="751"/>
      <c r="K17" s="449"/>
      <c r="L17" s="689"/>
      <c r="M17" s="750"/>
      <c r="N17" s="449"/>
      <c r="O17" s="689"/>
      <c r="P17" s="751"/>
      <c r="Q17" s="449"/>
      <c r="R17" s="689"/>
      <c r="S17" s="751"/>
      <c r="T17" s="449">
        <v>4</v>
      </c>
      <c r="U17" s="689">
        <v>5</v>
      </c>
      <c r="V17" s="751">
        <f t="shared" si="1"/>
        <v>25</v>
      </c>
      <c r="W17" s="694">
        <v>-10.317099719</v>
      </c>
      <c r="X17" s="689">
        <v>-4.3813818042920865</v>
      </c>
      <c r="Y17" s="751">
        <f t="shared" si="7"/>
        <v>-57.5</v>
      </c>
      <c r="Z17" s="449"/>
      <c r="AA17" s="689"/>
      <c r="AB17" s="751"/>
      <c r="AC17" s="449"/>
      <c r="AD17" s="689"/>
      <c r="AE17" s="751"/>
      <c r="AF17" s="449"/>
      <c r="AG17" s="689"/>
      <c r="AH17" s="751"/>
      <c r="AI17" s="449">
        <v>29.834</v>
      </c>
      <c r="AJ17" s="689">
        <v>19.734999999999999</v>
      </c>
      <c r="AK17" s="751">
        <f>IF(AI17=0, "    ---- ", IF(ABS(ROUND(100/AI17*AJ17-100,1))&lt;999,ROUND(100/AI17*AJ17-100,1),IF(ROUND(100/AI17*AJ17-100,1)&gt;999,999,-999)))</f>
        <v>-33.9</v>
      </c>
      <c r="AL17" s="449"/>
      <c r="AM17" s="689">
        <v>0.24</v>
      </c>
      <c r="AN17" s="751" t="str">
        <f t="shared" si="2"/>
        <v xml:space="preserve">    ---- </v>
      </c>
      <c r="AO17" s="750">
        <f t="shared" si="5"/>
        <v>100.03090028100002</v>
      </c>
      <c r="AP17" s="750">
        <f t="shared" si="5"/>
        <v>59.032618195707919</v>
      </c>
      <c r="AQ17" s="751">
        <f t="shared" si="3"/>
        <v>-41</v>
      </c>
      <c r="AR17" s="700">
        <f t="shared" si="6"/>
        <v>100.03090028100002</v>
      </c>
      <c r="AS17" s="700">
        <f t="shared" si="6"/>
        <v>59.032618195707919</v>
      </c>
      <c r="AT17" s="751">
        <f t="shared" si="4"/>
        <v>-41</v>
      </c>
      <c r="AU17" s="730"/>
      <c r="AV17" s="730"/>
      <c r="AW17" s="725"/>
      <c r="AX17" s="725"/>
    </row>
    <row r="18" spans="1:50" s="752" customFormat="1" ht="18.75" customHeight="1" x14ac:dyDescent="0.3">
      <c r="A18" s="688" t="s">
        <v>430</v>
      </c>
      <c r="B18" s="449"/>
      <c r="C18" s="689"/>
      <c r="D18" s="750"/>
      <c r="E18" s="449"/>
      <c r="F18" s="689"/>
      <c r="G18" s="751"/>
      <c r="H18" s="449"/>
      <c r="I18" s="689"/>
      <c r="J18" s="751"/>
      <c r="K18" s="449"/>
      <c r="L18" s="689"/>
      <c r="M18" s="750"/>
      <c r="N18" s="449"/>
      <c r="O18" s="689"/>
      <c r="P18" s="751"/>
      <c r="Q18" s="449"/>
      <c r="R18" s="689"/>
      <c r="S18" s="751"/>
      <c r="T18" s="449"/>
      <c r="U18" s="689">
        <v>2</v>
      </c>
      <c r="V18" s="751"/>
      <c r="W18" s="694">
        <v>34</v>
      </c>
      <c r="X18" s="689">
        <v>30.971284707853734</v>
      </c>
      <c r="Y18" s="751">
        <f t="shared" si="7"/>
        <v>-8.9</v>
      </c>
      <c r="Z18" s="449"/>
      <c r="AA18" s="689"/>
      <c r="AB18" s="751"/>
      <c r="AC18" s="449"/>
      <c r="AD18" s="689"/>
      <c r="AE18" s="751"/>
      <c r="AF18" s="449"/>
      <c r="AG18" s="689"/>
      <c r="AH18" s="751"/>
      <c r="AI18" s="449"/>
      <c r="AJ18" s="689"/>
      <c r="AK18" s="751"/>
      <c r="AL18" s="449"/>
      <c r="AM18" s="689"/>
      <c r="AN18" s="751"/>
      <c r="AO18" s="750">
        <f t="shared" si="5"/>
        <v>34</v>
      </c>
      <c r="AP18" s="750">
        <f t="shared" si="5"/>
        <v>32.971284707853734</v>
      </c>
      <c r="AQ18" s="751">
        <f t="shared" si="3"/>
        <v>-3</v>
      </c>
      <c r="AR18" s="700">
        <f t="shared" si="6"/>
        <v>34</v>
      </c>
      <c r="AS18" s="700">
        <f t="shared" si="6"/>
        <v>32.971284707853734</v>
      </c>
      <c r="AT18" s="751">
        <f t="shared" si="4"/>
        <v>-3</v>
      </c>
      <c r="AU18" s="730"/>
      <c r="AV18" s="730"/>
      <c r="AW18" s="725"/>
      <c r="AX18" s="725"/>
    </row>
    <row r="19" spans="1:50" s="752" customFormat="1" ht="18.75" customHeight="1" x14ac:dyDescent="0.3">
      <c r="A19" s="688" t="s">
        <v>431</v>
      </c>
      <c r="B19" s="449"/>
      <c r="C19" s="689"/>
      <c r="D19" s="750"/>
      <c r="E19" s="449"/>
      <c r="F19" s="689"/>
      <c r="G19" s="751"/>
      <c r="H19" s="449"/>
      <c r="I19" s="689"/>
      <c r="J19" s="751"/>
      <c r="K19" s="449"/>
      <c r="L19" s="689"/>
      <c r="M19" s="750"/>
      <c r="N19" s="449"/>
      <c r="O19" s="689"/>
      <c r="P19" s="751"/>
      <c r="Q19" s="449"/>
      <c r="R19" s="689"/>
      <c r="S19" s="751"/>
      <c r="T19" s="449">
        <v>-14</v>
      </c>
      <c r="U19" s="689">
        <v>6</v>
      </c>
      <c r="V19" s="751">
        <f>IF(T19=0, "    ---- ", IF(ABS(ROUND(100/T19*U19-100,1))&lt;999,ROUND(100/T19*U19-100,1),IF(ROUND(100/T19*U19-100,1)&gt;999,999,-999)))</f>
        <v>-142.9</v>
      </c>
      <c r="W19" s="694">
        <v>-74.848214999999996</v>
      </c>
      <c r="X19" s="689">
        <v>-36.913455999999996</v>
      </c>
      <c r="Y19" s="751">
        <f t="shared" si="7"/>
        <v>-50.7</v>
      </c>
      <c r="Z19" s="449"/>
      <c r="AA19" s="689"/>
      <c r="AB19" s="751"/>
      <c r="AC19" s="449"/>
      <c r="AD19" s="689"/>
      <c r="AE19" s="751"/>
      <c r="AF19" s="449"/>
      <c r="AG19" s="689"/>
      <c r="AH19" s="751"/>
      <c r="AI19" s="449"/>
      <c r="AJ19" s="689"/>
      <c r="AK19" s="751"/>
      <c r="AL19" s="449">
        <v>-23</v>
      </c>
      <c r="AM19" s="689"/>
      <c r="AN19" s="751">
        <f t="shared" si="2"/>
        <v>-100</v>
      </c>
      <c r="AO19" s="750">
        <f t="shared" si="5"/>
        <v>-111.848215</v>
      </c>
      <c r="AP19" s="750">
        <f t="shared" si="5"/>
        <v>-30.913455999999996</v>
      </c>
      <c r="AQ19" s="751">
        <f t="shared" si="3"/>
        <v>-72.400000000000006</v>
      </c>
      <c r="AR19" s="700">
        <f t="shared" si="6"/>
        <v>-111.848215</v>
      </c>
      <c r="AS19" s="700">
        <f t="shared" si="6"/>
        <v>-30.913455999999996</v>
      </c>
      <c r="AT19" s="751">
        <f t="shared" si="4"/>
        <v>-72.400000000000006</v>
      </c>
      <c r="AU19" s="730"/>
      <c r="AV19" s="730"/>
      <c r="AW19" s="725"/>
      <c r="AX19" s="725"/>
    </row>
    <row r="20" spans="1:50" s="755" customFormat="1" ht="18.75" customHeight="1" x14ac:dyDescent="0.3">
      <c r="A20" s="679" t="s">
        <v>432</v>
      </c>
      <c r="B20" s="680">
        <v>-4.2629999999999999</v>
      </c>
      <c r="C20" s="681">
        <f>SUM(C12:C17)+C19</f>
        <v>-5.1159999999999997</v>
      </c>
      <c r="D20" s="748">
        <f>IF(B20=0, "    ---- ", IF(ABS(ROUND(100/B20*C20-100,1))&lt;999,ROUND(100/B20*C20-100,1),IF(ROUND(100/B20*C20-100,1)&gt;999,999,-999)))</f>
        <v>20</v>
      </c>
      <c r="E20" s="680">
        <v>510.42399999999998</v>
      </c>
      <c r="F20" s="681">
        <f>SUM(F12:F17)+F19</f>
        <v>476.02000000000004</v>
      </c>
      <c r="G20" s="749">
        <f>IF(E20=0, "    ---- ", IF(ABS(ROUND(100/E20*F20-100,1))&lt;999,ROUND(100/E20*F20-100,1),IF(ROUND(100/E20*F20-100,1)&gt;999,999,-999)))</f>
        <v>-6.7</v>
      </c>
      <c r="H20" s="680"/>
      <c r="I20" s="681"/>
      <c r="J20" s="749"/>
      <c r="K20" s="680"/>
      <c r="L20" s="681"/>
      <c r="M20" s="748"/>
      <c r="N20" s="680"/>
      <c r="O20" s="681"/>
      <c r="P20" s="749"/>
      <c r="Q20" s="680"/>
      <c r="R20" s="681"/>
      <c r="S20" s="749"/>
      <c r="T20" s="680">
        <v>8</v>
      </c>
      <c r="U20" s="681">
        <f>SUM(U12:U17)+U19</f>
        <v>21</v>
      </c>
      <c r="V20" s="749">
        <f>IF(T20=0, "    ---- ", IF(ABS(ROUND(100/T20*U20-100,1))&lt;999,ROUND(100/T20*U20-100,1),IF(ROUND(100/T20*U20-100,1)&gt;999,999,-999)))</f>
        <v>162.5</v>
      </c>
      <c r="W20" s="681">
        <f>SUM(W12:W17)+W19</f>
        <v>99.683308701999991</v>
      </c>
      <c r="X20" s="681">
        <f>SUM(X12:X17)+X19</f>
        <v>107.9286486454975</v>
      </c>
      <c r="Y20" s="749">
        <f t="shared" si="7"/>
        <v>8.3000000000000007</v>
      </c>
      <c r="Z20" s="680"/>
      <c r="AA20" s="681"/>
      <c r="AB20" s="749"/>
      <c r="AC20" s="680"/>
      <c r="AD20" s="681"/>
      <c r="AE20" s="749"/>
      <c r="AF20" s="680"/>
      <c r="AG20" s="681"/>
      <c r="AH20" s="749"/>
      <c r="AI20" s="680">
        <v>39.576999999999998</v>
      </c>
      <c r="AJ20" s="681">
        <f>SUM(AJ12:AJ17)+AJ19</f>
        <v>95.344999999999999</v>
      </c>
      <c r="AK20" s="749">
        <f>IF(AI20=0, "    ---- ", IF(ABS(ROUND(100/AI20*AJ20-100,1))&lt;999,ROUND(100/AI20*AJ20-100,1),IF(ROUND(100/AI20*AJ20-100,1)&gt;999,999,-999)))</f>
        <v>140.9</v>
      </c>
      <c r="AL20" s="680">
        <v>1704</v>
      </c>
      <c r="AM20" s="681">
        <f>SUM(AM12:AM17)+AM19</f>
        <v>1103.72</v>
      </c>
      <c r="AN20" s="749">
        <f t="shared" si="2"/>
        <v>-35.200000000000003</v>
      </c>
      <c r="AO20" s="748">
        <f>B20+E20+H20+K20+Q20+T20+W20+Z20+AF20+AI20+AL20</f>
        <v>2357.4213087019998</v>
      </c>
      <c r="AP20" s="748">
        <f t="shared" si="5"/>
        <v>1798.8976486454976</v>
      </c>
      <c r="AQ20" s="749">
        <f t="shared" si="3"/>
        <v>-23.7</v>
      </c>
      <c r="AR20" s="702">
        <f t="shared" si="6"/>
        <v>2357.4213087019998</v>
      </c>
      <c r="AS20" s="702">
        <f t="shared" si="6"/>
        <v>1798.8976486454976</v>
      </c>
      <c r="AT20" s="749">
        <f t="shared" si="4"/>
        <v>-23.7</v>
      </c>
      <c r="AU20" s="753"/>
      <c r="AV20" s="728"/>
      <c r="AW20" s="754"/>
      <c r="AX20" s="754"/>
    </row>
    <row r="21" spans="1:50" s="752" customFormat="1" ht="18.75" customHeight="1" x14ac:dyDescent="0.3">
      <c r="A21" s="688" t="s">
        <v>433</v>
      </c>
      <c r="B21" s="449"/>
      <c r="C21" s="689"/>
      <c r="D21" s="750"/>
      <c r="E21" s="449">
        <v>352.95400000000001</v>
      </c>
      <c r="F21" s="689">
        <v>315.3</v>
      </c>
      <c r="G21" s="751">
        <f>IF(E21=0, "    ---- ", IF(ABS(ROUND(100/E21*F21-100,1))&lt;999,ROUND(100/E21*F21-100,1),IF(ROUND(100/E21*F21-100,1)&gt;999,999,-999)))</f>
        <v>-10.7</v>
      </c>
      <c r="H21" s="449"/>
      <c r="I21" s="689"/>
      <c r="J21" s="751"/>
      <c r="K21" s="449"/>
      <c r="L21" s="689"/>
      <c r="M21" s="750"/>
      <c r="N21" s="449"/>
      <c r="O21" s="689"/>
      <c r="P21" s="751"/>
      <c r="Q21" s="449"/>
      <c r="R21" s="689"/>
      <c r="S21" s="751"/>
      <c r="T21" s="449">
        <v>5</v>
      </c>
      <c r="U21" s="689">
        <v>8</v>
      </c>
      <c r="V21" s="751">
        <f>IF(T21=0, "    ---- ", IF(ABS(ROUND(100/T21*U21-100,1))&lt;999,ROUND(100/T21*U21-100,1),IF(ROUND(100/T21*U21-100,1)&gt;999,999,-999)))</f>
        <v>60</v>
      </c>
      <c r="W21" s="694">
        <v>26.115687463</v>
      </c>
      <c r="X21" s="689">
        <v>31.864517277446627</v>
      </c>
      <c r="Y21" s="751">
        <f t="shared" si="7"/>
        <v>22</v>
      </c>
      <c r="Z21" s="449"/>
      <c r="AA21" s="689"/>
      <c r="AB21" s="751"/>
      <c r="AC21" s="449"/>
      <c r="AD21" s="689"/>
      <c r="AE21" s="751"/>
      <c r="AF21" s="449"/>
      <c r="AG21" s="689"/>
      <c r="AH21" s="751"/>
      <c r="AI21" s="449">
        <v>14.917</v>
      </c>
      <c r="AJ21" s="689">
        <v>94.358999999999995</v>
      </c>
      <c r="AK21" s="751">
        <f>IF(AI21=0, "    ---- ", IF(ABS(ROUND(100/AI21*AJ21-100,1))&lt;999,ROUND(100/AI21*AJ21-100,1),IF(ROUND(100/AI21*AJ21-100,1)&gt;999,999,-999)))</f>
        <v>532.6</v>
      </c>
      <c r="AL21" s="449">
        <v>1319</v>
      </c>
      <c r="AM21" s="689">
        <v>821.9</v>
      </c>
      <c r="AN21" s="751">
        <f t="shared" si="2"/>
        <v>-37.700000000000003</v>
      </c>
      <c r="AO21" s="750">
        <f t="shared" si="5"/>
        <v>1717.986687463</v>
      </c>
      <c r="AP21" s="750">
        <f t="shared" si="5"/>
        <v>1271.4235172774465</v>
      </c>
      <c r="AQ21" s="751">
        <f t="shared" si="3"/>
        <v>-26</v>
      </c>
      <c r="AR21" s="700">
        <f t="shared" si="6"/>
        <v>1717.986687463</v>
      </c>
      <c r="AS21" s="700">
        <f t="shared" si="6"/>
        <v>1271.4235172774465</v>
      </c>
      <c r="AT21" s="751">
        <f t="shared" si="4"/>
        <v>-26</v>
      </c>
      <c r="AU21" s="730"/>
      <c r="AV21" s="730"/>
      <c r="AW21" s="725"/>
      <c r="AX21" s="725"/>
    </row>
    <row r="22" spans="1:50" s="752" customFormat="1" ht="18.75" customHeight="1" x14ac:dyDescent="0.3">
      <c r="A22" s="688" t="s">
        <v>434</v>
      </c>
      <c r="B22" s="449">
        <v>-4.2629999999999999</v>
      </c>
      <c r="C22" s="689">
        <v>-5.1159999999999997</v>
      </c>
      <c r="D22" s="750">
        <f>IF(B22=0, "    ---- ", IF(ABS(ROUND(100/B22*C22-100,1))&lt;999,ROUND(100/B22*C22-100,1),IF(ROUND(100/B22*C22-100,1)&gt;999,999,-999)))</f>
        <v>20</v>
      </c>
      <c r="E22" s="449">
        <v>158.029</v>
      </c>
      <c r="F22" s="689">
        <v>160.71</v>
      </c>
      <c r="G22" s="751">
        <f>IF(E22=0, "    ---- ", IF(ABS(ROUND(100/E22*F22-100,1))&lt;999,ROUND(100/E22*F22-100,1),IF(ROUND(100/E22*F22-100,1)&gt;999,999,-999)))</f>
        <v>1.7</v>
      </c>
      <c r="H22" s="449"/>
      <c r="I22" s="689"/>
      <c r="J22" s="751"/>
      <c r="K22" s="449"/>
      <c r="L22" s="689"/>
      <c r="M22" s="750"/>
      <c r="N22" s="449"/>
      <c r="O22" s="689"/>
      <c r="P22" s="751"/>
      <c r="Q22" s="449"/>
      <c r="R22" s="689"/>
      <c r="S22" s="751"/>
      <c r="T22" s="449">
        <v>3</v>
      </c>
      <c r="U22" s="689">
        <v>13</v>
      </c>
      <c r="V22" s="751">
        <f>IF(T22=0, "    ---- ", IF(ABS(ROUND(100/T22*U22-100,1))&lt;999,ROUND(100/T22*U22-100,1),IF(ROUND(100/T22*U22-100,1)&gt;999,999,-999)))</f>
        <v>333.3</v>
      </c>
      <c r="W22" s="694">
        <v>73.56762123899999</v>
      </c>
      <c r="X22" s="689">
        <v>76.06413136805088</v>
      </c>
      <c r="Y22" s="751">
        <f>IF(W22=0, "    ---- ", IF(ABS(ROUND(100/W22*X22-100,1))&lt;999,ROUND(100/W22*X22-100,1),IF(ROUND(100/W22*X22-100,1)&gt;999,999,-999)))</f>
        <v>3.4</v>
      </c>
      <c r="Z22" s="449"/>
      <c r="AA22" s="689"/>
      <c r="AB22" s="751"/>
      <c r="AC22" s="449"/>
      <c r="AD22" s="689"/>
      <c r="AE22" s="751"/>
      <c r="AF22" s="449"/>
      <c r="AG22" s="689"/>
      <c r="AH22" s="751"/>
      <c r="AI22" s="449">
        <v>24.66</v>
      </c>
      <c r="AJ22" s="689">
        <v>0.98599999999999999</v>
      </c>
      <c r="AK22" s="751">
        <f>IF(AI22=0, "    ---- ", IF(ABS(ROUND(100/AI22*AJ22-100,1))&lt;999,ROUND(100/AI22*AJ22-100,1),IF(ROUND(100/AI22*AJ22-100,1)&gt;999,999,-999)))</f>
        <v>-96</v>
      </c>
      <c r="AL22" s="449">
        <v>385</v>
      </c>
      <c r="AM22" s="689">
        <v>281.64999999999998</v>
      </c>
      <c r="AN22" s="751">
        <f t="shared" si="2"/>
        <v>-26.8</v>
      </c>
      <c r="AO22" s="750">
        <f t="shared" si="5"/>
        <v>639.99362123899994</v>
      </c>
      <c r="AP22" s="750">
        <f t="shared" si="5"/>
        <v>527.29413136805078</v>
      </c>
      <c r="AQ22" s="751">
        <f t="shared" si="3"/>
        <v>-17.600000000000001</v>
      </c>
      <c r="AR22" s="700">
        <f t="shared" si="6"/>
        <v>639.99362123899994</v>
      </c>
      <c r="AS22" s="700">
        <f t="shared" si="6"/>
        <v>527.29413136805078</v>
      </c>
      <c r="AT22" s="751">
        <f t="shared" si="4"/>
        <v>-17.600000000000001</v>
      </c>
      <c r="AU22" s="730"/>
      <c r="AV22" s="730"/>
      <c r="AW22" s="725"/>
      <c r="AX22" s="725"/>
    </row>
    <row r="23" spans="1:50" ht="18.75" customHeight="1" x14ac:dyDescent="0.3">
      <c r="A23" s="679" t="s">
        <v>445</v>
      </c>
      <c r="B23" s="680"/>
      <c r="C23" s="681"/>
      <c r="D23" s="748"/>
      <c r="E23" s="680"/>
      <c r="F23" s="681"/>
      <c r="G23" s="749"/>
      <c r="H23" s="680"/>
      <c r="I23" s="681"/>
      <c r="J23" s="749"/>
      <c r="K23" s="680"/>
      <c r="L23" s="681"/>
      <c r="M23" s="748"/>
      <c r="N23" s="680"/>
      <c r="O23" s="681"/>
      <c r="P23" s="749"/>
      <c r="Q23" s="680"/>
      <c r="R23" s="681"/>
      <c r="S23" s="749"/>
      <c r="T23" s="680"/>
      <c r="U23" s="681"/>
      <c r="V23" s="749"/>
      <c r="W23" s="685"/>
      <c r="X23" s="681"/>
      <c r="Y23" s="749"/>
      <c r="Z23" s="680"/>
      <c r="AA23" s="681"/>
      <c r="AB23" s="749"/>
      <c r="AC23" s="680"/>
      <c r="AD23" s="681"/>
      <c r="AE23" s="749"/>
      <c r="AF23" s="680"/>
      <c r="AG23" s="681"/>
      <c r="AH23" s="749"/>
      <c r="AI23" s="680"/>
      <c r="AJ23" s="681"/>
      <c r="AK23" s="749"/>
      <c r="AL23" s="680"/>
      <c r="AM23" s="681"/>
      <c r="AN23" s="749"/>
      <c r="AO23" s="748"/>
      <c r="AP23" s="748"/>
      <c r="AQ23" s="749"/>
      <c r="AR23" s="702"/>
      <c r="AS23" s="702"/>
      <c r="AT23" s="749"/>
      <c r="AU23" s="730"/>
      <c r="AV23" s="730"/>
      <c r="AW23" s="725"/>
      <c r="AX23" s="725"/>
    </row>
    <row r="24" spans="1:50" s="752" customFormat="1" ht="18.75" customHeight="1" x14ac:dyDescent="0.3">
      <c r="A24" s="688" t="s">
        <v>424</v>
      </c>
      <c r="B24" s="449"/>
      <c r="C24" s="689"/>
      <c r="D24" s="750"/>
      <c r="E24" s="449"/>
      <c r="F24" s="689"/>
      <c r="G24" s="751"/>
      <c r="H24" s="449"/>
      <c r="I24" s="689"/>
      <c r="J24" s="751"/>
      <c r="K24" s="449"/>
      <c r="L24" s="689"/>
      <c r="M24" s="750"/>
      <c r="N24" s="449"/>
      <c r="O24" s="689"/>
      <c r="P24" s="751"/>
      <c r="Q24" s="449"/>
      <c r="R24" s="689"/>
      <c r="S24" s="751"/>
      <c r="T24" s="449"/>
      <c r="U24" s="689"/>
      <c r="V24" s="751"/>
      <c r="W24" s="694"/>
      <c r="X24" s="689"/>
      <c r="Y24" s="751"/>
      <c r="Z24" s="449"/>
      <c r="AA24" s="689"/>
      <c r="AB24" s="751"/>
      <c r="AC24" s="449"/>
      <c r="AD24" s="689"/>
      <c r="AE24" s="751"/>
      <c r="AF24" s="449"/>
      <c r="AG24" s="689"/>
      <c r="AH24" s="751"/>
      <c r="AI24" s="449"/>
      <c r="AJ24" s="689"/>
      <c r="AK24" s="751"/>
      <c r="AL24" s="449"/>
      <c r="AM24" s="689"/>
      <c r="AN24" s="751"/>
      <c r="AO24" s="750"/>
      <c r="AP24" s="750"/>
      <c r="AQ24" s="751"/>
      <c r="AR24" s="700"/>
      <c r="AS24" s="700"/>
      <c r="AT24" s="751"/>
      <c r="AU24" s="730"/>
      <c r="AV24" s="730"/>
      <c r="AW24" s="725"/>
      <c r="AX24" s="725"/>
    </row>
    <row r="25" spans="1:50" s="752" customFormat="1" ht="18.75" customHeight="1" x14ac:dyDescent="0.3">
      <c r="A25" s="688" t="s">
        <v>425</v>
      </c>
      <c r="B25" s="449"/>
      <c r="C25" s="689"/>
      <c r="D25" s="750"/>
      <c r="E25" s="449"/>
      <c r="F25" s="689"/>
      <c r="G25" s="751"/>
      <c r="H25" s="449"/>
      <c r="I25" s="689"/>
      <c r="J25" s="751"/>
      <c r="K25" s="449"/>
      <c r="L25" s="689"/>
      <c r="M25" s="750"/>
      <c r="N25" s="449"/>
      <c r="O25" s="689"/>
      <c r="P25" s="751"/>
      <c r="Q25" s="449"/>
      <c r="R25" s="689"/>
      <c r="S25" s="751"/>
      <c r="T25" s="449"/>
      <c r="U25" s="689"/>
      <c r="V25" s="751"/>
      <c r="W25" s="694"/>
      <c r="X25" s="689"/>
      <c r="Y25" s="751"/>
      <c r="Z25" s="449"/>
      <c r="AA25" s="689"/>
      <c r="AB25" s="751"/>
      <c r="AC25" s="449"/>
      <c r="AD25" s="689"/>
      <c r="AE25" s="751"/>
      <c r="AF25" s="449"/>
      <c r="AG25" s="689"/>
      <c r="AH25" s="751"/>
      <c r="AI25" s="449"/>
      <c r="AJ25" s="689"/>
      <c r="AK25" s="751"/>
      <c r="AL25" s="449"/>
      <c r="AM25" s="689"/>
      <c r="AN25" s="751"/>
      <c r="AO25" s="750"/>
      <c r="AP25" s="750"/>
      <c r="AQ25" s="751"/>
      <c r="AR25" s="700"/>
      <c r="AS25" s="700"/>
      <c r="AT25" s="751"/>
      <c r="AU25" s="730"/>
      <c r="AV25" s="730"/>
      <c r="AW25" s="725"/>
      <c r="AX25" s="725"/>
    </row>
    <row r="26" spans="1:50" s="752" customFormat="1" ht="18.75" customHeight="1" x14ac:dyDescent="0.3">
      <c r="A26" s="688" t="s">
        <v>426</v>
      </c>
      <c r="B26" s="449"/>
      <c r="C26" s="689"/>
      <c r="D26" s="750"/>
      <c r="E26" s="449"/>
      <c r="F26" s="689"/>
      <c r="G26" s="751"/>
      <c r="H26" s="449"/>
      <c r="I26" s="689"/>
      <c r="J26" s="751"/>
      <c r="K26" s="449"/>
      <c r="L26" s="689"/>
      <c r="M26" s="750"/>
      <c r="N26" s="449"/>
      <c r="O26" s="689"/>
      <c r="P26" s="751"/>
      <c r="Q26" s="449"/>
      <c r="R26" s="689"/>
      <c r="S26" s="751"/>
      <c r="T26" s="449"/>
      <c r="U26" s="689"/>
      <c r="V26" s="751"/>
      <c r="W26" s="694"/>
      <c r="X26" s="689"/>
      <c r="Y26" s="751"/>
      <c r="Z26" s="449"/>
      <c r="AA26" s="689"/>
      <c r="AB26" s="751"/>
      <c r="AC26" s="449"/>
      <c r="AD26" s="689"/>
      <c r="AE26" s="751"/>
      <c r="AF26" s="449"/>
      <c r="AG26" s="689"/>
      <c r="AH26" s="751"/>
      <c r="AI26" s="449"/>
      <c r="AJ26" s="689"/>
      <c r="AK26" s="751"/>
      <c r="AL26" s="449"/>
      <c r="AM26" s="689"/>
      <c r="AN26" s="751"/>
      <c r="AO26" s="750"/>
      <c r="AP26" s="750"/>
      <c r="AQ26" s="751"/>
      <c r="AR26" s="700"/>
      <c r="AS26" s="700"/>
      <c r="AT26" s="751"/>
      <c r="AU26" s="730"/>
      <c r="AV26" s="730"/>
      <c r="AW26" s="725"/>
      <c r="AX26" s="725"/>
    </row>
    <row r="27" spans="1:50" s="752" customFormat="1" ht="18.75" customHeight="1" x14ac:dyDescent="0.3">
      <c r="A27" s="688" t="s">
        <v>427</v>
      </c>
      <c r="B27" s="449"/>
      <c r="C27" s="689"/>
      <c r="D27" s="750"/>
      <c r="E27" s="449"/>
      <c r="F27" s="689"/>
      <c r="G27" s="751"/>
      <c r="H27" s="449"/>
      <c r="I27" s="689"/>
      <c r="J27" s="751"/>
      <c r="K27" s="449"/>
      <c r="L27" s="689"/>
      <c r="M27" s="750"/>
      <c r="N27" s="449"/>
      <c r="O27" s="689"/>
      <c r="P27" s="751"/>
      <c r="Q27" s="449"/>
      <c r="R27" s="689"/>
      <c r="S27" s="751"/>
      <c r="T27" s="449"/>
      <c r="U27" s="689"/>
      <c r="V27" s="751"/>
      <c r="W27" s="694"/>
      <c r="X27" s="689"/>
      <c r="Y27" s="751"/>
      <c r="Z27" s="449"/>
      <c r="AA27" s="689"/>
      <c r="AB27" s="751"/>
      <c r="AC27" s="449"/>
      <c r="AD27" s="689"/>
      <c r="AE27" s="751"/>
      <c r="AF27" s="449"/>
      <c r="AG27" s="689"/>
      <c r="AH27" s="751"/>
      <c r="AI27" s="449"/>
      <c r="AJ27" s="689"/>
      <c r="AK27" s="751"/>
      <c r="AL27" s="449"/>
      <c r="AM27" s="689"/>
      <c r="AN27" s="751"/>
      <c r="AO27" s="750"/>
      <c r="AP27" s="750"/>
      <c r="AQ27" s="751"/>
      <c r="AR27" s="700"/>
      <c r="AS27" s="700"/>
      <c r="AT27" s="751"/>
      <c r="AU27" s="730"/>
      <c r="AV27" s="730"/>
      <c r="AW27" s="725"/>
      <c r="AX27" s="725"/>
    </row>
    <row r="28" spans="1:50" s="752" customFormat="1" ht="18.75" customHeight="1" x14ac:dyDescent="0.3">
      <c r="A28" s="688" t="s">
        <v>428</v>
      </c>
      <c r="B28" s="449"/>
      <c r="C28" s="689"/>
      <c r="D28" s="750"/>
      <c r="E28" s="449"/>
      <c r="F28" s="689"/>
      <c r="G28" s="751"/>
      <c r="H28" s="449"/>
      <c r="I28" s="689"/>
      <c r="J28" s="751"/>
      <c r="K28" s="449"/>
      <c r="L28" s="689"/>
      <c r="M28" s="750"/>
      <c r="N28" s="449"/>
      <c r="O28" s="689"/>
      <c r="P28" s="751"/>
      <c r="Q28" s="449"/>
      <c r="R28" s="689"/>
      <c r="S28" s="751"/>
      <c r="T28" s="449"/>
      <c r="U28" s="689"/>
      <c r="V28" s="751"/>
      <c r="W28" s="694"/>
      <c r="X28" s="689"/>
      <c r="Y28" s="751"/>
      <c r="Z28" s="449"/>
      <c r="AA28" s="689"/>
      <c r="AB28" s="751"/>
      <c r="AC28" s="449"/>
      <c r="AD28" s="689"/>
      <c r="AE28" s="751"/>
      <c r="AF28" s="449"/>
      <c r="AG28" s="689"/>
      <c r="AH28" s="751"/>
      <c r="AI28" s="449"/>
      <c r="AJ28" s="689"/>
      <c r="AK28" s="751"/>
      <c r="AL28" s="449"/>
      <c r="AM28" s="689"/>
      <c r="AN28" s="751"/>
      <c r="AO28" s="750"/>
      <c r="AP28" s="750"/>
      <c r="AQ28" s="751"/>
      <c r="AR28" s="700"/>
      <c r="AS28" s="700"/>
      <c r="AT28" s="751"/>
      <c r="AU28" s="730"/>
      <c r="AV28" s="730"/>
      <c r="AW28" s="725"/>
      <c r="AX28" s="725"/>
    </row>
    <row r="29" spans="1:50" s="752" customFormat="1" ht="18.75" customHeight="1" x14ac:dyDescent="0.3">
      <c r="A29" s="688" t="s">
        <v>429</v>
      </c>
      <c r="B29" s="449"/>
      <c r="C29" s="689"/>
      <c r="D29" s="750"/>
      <c r="E29" s="449"/>
      <c r="F29" s="689"/>
      <c r="G29" s="751"/>
      <c r="H29" s="449"/>
      <c r="I29" s="689"/>
      <c r="J29" s="751"/>
      <c r="K29" s="449"/>
      <c r="L29" s="689"/>
      <c r="M29" s="750"/>
      <c r="N29" s="449"/>
      <c r="O29" s="689"/>
      <c r="P29" s="751"/>
      <c r="Q29" s="449"/>
      <c r="R29" s="689"/>
      <c r="S29" s="751"/>
      <c r="T29" s="449"/>
      <c r="U29" s="689"/>
      <c r="V29" s="751"/>
      <c r="W29" s="694"/>
      <c r="X29" s="689"/>
      <c r="Y29" s="751"/>
      <c r="Z29" s="449"/>
      <c r="AA29" s="689"/>
      <c r="AB29" s="751"/>
      <c r="AC29" s="449"/>
      <c r="AD29" s="689"/>
      <c r="AE29" s="751"/>
      <c r="AF29" s="449"/>
      <c r="AG29" s="689"/>
      <c r="AH29" s="751"/>
      <c r="AI29" s="449"/>
      <c r="AJ29" s="689"/>
      <c r="AK29" s="751"/>
      <c r="AL29" s="449"/>
      <c r="AM29" s="689"/>
      <c r="AN29" s="751"/>
      <c r="AO29" s="750"/>
      <c r="AP29" s="750"/>
      <c r="AQ29" s="751"/>
      <c r="AR29" s="700"/>
      <c r="AS29" s="700"/>
      <c r="AT29" s="751"/>
      <c r="AU29" s="730"/>
      <c r="AV29" s="730"/>
      <c r="AW29" s="725"/>
      <c r="AX29" s="725"/>
    </row>
    <row r="30" spans="1:50" s="752" customFormat="1" ht="18.75" customHeight="1" x14ac:dyDescent="0.3">
      <c r="A30" s="688" t="s">
        <v>430</v>
      </c>
      <c r="B30" s="449"/>
      <c r="C30" s="689"/>
      <c r="D30" s="750"/>
      <c r="E30" s="449"/>
      <c r="F30" s="689"/>
      <c r="G30" s="751"/>
      <c r="H30" s="449"/>
      <c r="I30" s="689"/>
      <c r="J30" s="751"/>
      <c r="K30" s="449"/>
      <c r="L30" s="689"/>
      <c r="M30" s="750"/>
      <c r="N30" s="449"/>
      <c r="O30" s="689"/>
      <c r="P30" s="751"/>
      <c r="Q30" s="449"/>
      <c r="R30" s="689"/>
      <c r="S30" s="751"/>
      <c r="T30" s="449"/>
      <c r="U30" s="689"/>
      <c r="V30" s="751"/>
      <c r="W30" s="694"/>
      <c r="X30" s="689"/>
      <c r="Y30" s="751"/>
      <c r="Z30" s="449"/>
      <c r="AA30" s="689"/>
      <c r="AB30" s="751"/>
      <c r="AC30" s="449"/>
      <c r="AD30" s="689"/>
      <c r="AE30" s="751"/>
      <c r="AF30" s="449"/>
      <c r="AG30" s="689"/>
      <c r="AH30" s="751"/>
      <c r="AI30" s="449"/>
      <c r="AJ30" s="689"/>
      <c r="AK30" s="751"/>
      <c r="AL30" s="449"/>
      <c r="AM30" s="689"/>
      <c r="AN30" s="751"/>
      <c r="AO30" s="750"/>
      <c r="AP30" s="750"/>
      <c r="AQ30" s="751"/>
      <c r="AR30" s="700"/>
      <c r="AS30" s="700"/>
      <c r="AT30" s="751"/>
      <c r="AU30" s="730"/>
      <c r="AV30" s="730"/>
      <c r="AW30" s="725"/>
      <c r="AX30" s="725"/>
    </row>
    <row r="31" spans="1:50" s="752" customFormat="1" ht="18.75" customHeight="1" x14ac:dyDescent="0.3">
      <c r="A31" s="688" t="s">
        <v>431</v>
      </c>
      <c r="B31" s="449"/>
      <c r="C31" s="689"/>
      <c r="D31" s="750"/>
      <c r="E31" s="449"/>
      <c r="F31" s="689"/>
      <c r="G31" s="751"/>
      <c r="H31" s="449"/>
      <c r="I31" s="689"/>
      <c r="J31" s="751"/>
      <c r="K31" s="449"/>
      <c r="L31" s="689"/>
      <c r="M31" s="750"/>
      <c r="N31" s="449"/>
      <c r="O31" s="689"/>
      <c r="P31" s="751"/>
      <c r="Q31" s="449"/>
      <c r="R31" s="689"/>
      <c r="S31" s="751"/>
      <c r="T31" s="449"/>
      <c r="U31" s="689"/>
      <c r="V31" s="751"/>
      <c r="W31" s="694"/>
      <c r="X31" s="689"/>
      <c r="Y31" s="751"/>
      <c r="Z31" s="449"/>
      <c r="AA31" s="689"/>
      <c r="AB31" s="751"/>
      <c r="AC31" s="449"/>
      <c r="AD31" s="689"/>
      <c r="AE31" s="751"/>
      <c r="AF31" s="449"/>
      <c r="AG31" s="689"/>
      <c r="AH31" s="751"/>
      <c r="AI31" s="449"/>
      <c r="AJ31" s="689"/>
      <c r="AK31" s="751"/>
      <c r="AL31" s="449"/>
      <c r="AM31" s="689"/>
      <c r="AN31" s="751"/>
      <c r="AO31" s="750"/>
      <c r="AP31" s="750"/>
      <c r="AQ31" s="751"/>
      <c r="AR31" s="700"/>
      <c r="AS31" s="700"/>
      <c r="AT31" s="751"/>
      <c r="AU31" s="730"/>
      <c r="AV31" s="730"/>
      <c r="AW31" s="725"/>
      <c r="AX31" s="725"/>
    </row>
    <row r="32" spans="1:50" s="755" customFormat="1" ht="18.75" customHeight="1" x14ac:dyDescent="0.3">
      <c r="A32" s="679" t="s">
        <v>432</v>
      </c>
      <c r="B32" s="680"/>
      <c r="C32" s="681"/>
      <c r="D32" s="748"/>
      <c r="E32" s="680"/>
      <c r="F32" s="681"/>
      <c r="G32" s="749"/>
      <c r="H32" s="680"/>
      <c r="I32" s="681"/>
      <c r="J32" s="749"/>
      <c r="K32" s="680"/>
      <c r="L32" s="681"/>
      <c r="M32" s="748"/>
      <c r="N32" s="680"/>
      <c r="O32" s="681"/>
      <c r="P32" s="749"/>
      <c r="Q32" s="680"/>
      <c r="R32" s="681"/>
      <c r="S32" s="749"/>
      <c r="T32" s="680"/>
      <c r="U32" s="681"/>
      <c r="V32" s="749"/>
      <c r="W32" s="681"/>
      <c r="X32" s="681"/>
      <c r="Y32" s="749"/>
      <c r="Z32" s="680"/>
      <c r="AA32" s="681"/>
      <c r="AB32" s="749"/>
      <c r="AC32" s="680"/>
      <c r="AD32" s="681"/>
      <c r="AE32" s="749"/>
      <c r="AF32" s="680"/>
      <c r="AG32" s="681"/>
      <c r="AH32" s="749"/>
      <c r="AI32" s="680"/>
      <c r="AJ32" s="681"/>
      <c r="AK32" s="749"/>
      <c r="AL32" s="680"/>
      <c r="AM32" s="681"/>
      <c r="AN32" s="749"/>
      <c r="AO32" s="748"/>
      <c r="AP32" s="748"/>
      <c r="AQ32" s="749"/>
      <c r="AR32" s="702"/>
      <c r="AS32" s="702"/>
      <c r="AT32" s="749"/>
      <c r="AU32" s="728"/>
      <c r="AV32" s="728"/>
      <c r="AW32" s="754"/>
      <c r="AX32" s="754"/>
    </row>
    <row r="33" spans="1:50" s="752" customFormat="1" ht="18.75" customHeight="1" x14ac:dyDescent="0.3">
      <c r="A33" s="688" t="s">
        <v>433</v>
      </c>
      <c r="B33" s="449"/>
      <c r="C33" s="689"/>
      <c r="D33" s="750"/>
      <c r="E33" s="449"/>
      <c r="F33" s="689"/>
      <c r="G33" s="751"/>
      <c r="H33" s="449"/>
      <c r="I33" s="689"/>
      <c r="J33" s="751"/>
      <c r="K33" s="449"/>
      <c r="L33" s="689"/>
      <c r="M33" s="750"/>
      <c r="N33" s="449"/>
      <c r="O33" s="689"/>
      <c r="P33" s="751"/>
      <c r="Q33" s="449"/>
      <c r="R33" s="689"/>
      <c r="S33" s="751"/>
      <c r="T33" s="449"/>
      <c r="U33" s="689"/>
      <c r="V33" s="751"/>
      <c r="W33" s="694"/>
      <c r="X33" s="689"/>
      <c r="Y33" s="751"/>
      <c r="Z33" s="449"/>
      <c r="AA33" s="689"/>
      <c r="AB33" s="751"/>
      <c r="AC33" s="449"/>
      <c r="AD33" s="689"/>
      <c r="AE33" s="751"/>
      <c r="AF33" s="449"/>
      <c r="AG33" s="689"/>
      <c r="AH33" s="751"/>
      <c r="AI33" s="449"/>
      <c r="AJ33" s="689"/>
      <c r="AK33" s="751"/>
      <c r="AL33" s="449"/>
      <c r="AM33" s="689"/>
      <c r="AN33" s="751"/>
      <c r="AO33" s="750"/>
      <c r="AP33" s="750"/>
      <c r="AQ33" s="751"/>
      <c r="AR33" s="700"/>
      <c r="AS33" s="700"/>
      <c r="AT33" s="751"/>
      <c r="AU33" s="730"/>
      <c r="AV33" s="730"/>
      <c r="AW33" s="725"/>
      <c r="AX33" s="725"/>
    </row>
    <row r="34" spans="1:50" s="752" customFormat="1" ht="18.75" customHeight="1" x14ac:dyDescent="0.3">
      <c r="A34" s="688" t="s">
        <v>434</v>
      </c>
      <c r="B34" s="449"/>
      <c r="C34" s="689"/>
      <c r="D34" s="750"/>
      <c r="E34" s="449"/>
      <c r="F34" s="689"/>
      <c r="G34" s="751"/>
      <c r="H34" s="449"/>
      <c r="I34" s="689"/>
      <c r="J34" s="751"/>
      <c r="K34" s="449"/>
      <c r="L34" s="689"/>
      <c r="M34" s="750"/>
      <c r="N34" s="449"/>
      <c r="O34" s="689"/>
      <c r="P34" s="751"/>
      <c r="Q34" s="449"/>
      <c r="R34" s="689"/>
      <c r="S34" s="751"/>
      <c r="T34" s="449"/>
      <c r="U34" s="689"/>
      <c r="V34" s="751"/>
      <c r="W34" s="694"/>
      <c r="X34" s="689"/>
      <c r="Y34" s="751"/>
      <c r="Z34" s="449"/>
      <c r="AA34" s="689"/>
      <c r="AB34" s="751"/>
      <c r="AC34" s="449"/>
      <c r="AD34" s="689"/>
      <c r="AE34" s="751"/>
      <c r="AF34" s="449"/>
      <c r="AG34" s="689"/>
      <c r="AH34" s="751"/>
      <c r="AI34" s="449"/>
      <c r="AJ34" s="689"/>
      <c r="AK34" s="751"/>
      <c r="AL34" s="449"/>
      <c r="AM34" s="689"/>
      <c r="AN34" s="751"/>
      <c r="AO34" s="750"/>
      <c r="AP34" s="750"/>
      <c r="AQ34" s="751"/>
      <c r="AR34" s="700"/>
      <c r="AS34" s="700"/>
      <c r="AT34" s="751"/>
      <c r="AU34" s="730"/>
      <c r="AV34" s="730"/>
      <c r="AW34" s="725"/>
      <c r="AX34" s="725"/>
    </row>
    <row r="35" spans="1:50" ht="18.75" customHeight="1" x14ac:dyDescent="0.3">
      <c r="A35" s="679" t="s">
        <v>446</v>
      </c>
      <c r="B35" s="449"/>
      <c r="C35" s="681"/>
      <c r="D35" s="748"/>
      <c r="E35" s="680"/>
      <c r="F35" s="681"/>
      <c r="G35" s="749"/>
      <c r="H35" s="680"/>
      <c r="I35" s="681"/>
      <c r="J35" s="749"/>
      <c r="K35" s="680"/>
      <c r="L35" s="681"/>
      <c r="M35" s="748"/>
      <c r="N35" s="680"/>
      <c r="O35" s="681"/>
      <c r="P35" s="749"/>
      <c r="Q35" s="680"/>
      <c r="R35" s="681"/>
      <c r="S35" s="749"/>
      <c r="T35" s="680"/>
      <c r="U35" s="681"/>
      <c r="V35" s="749"/>
      <c r="W35" s="685"/>
      <c r="X35" s="681"/>
      <c r="Y35" s="749"/>
      <c r="Z35" s="680"/>
      <c r="AA35" s="681"/>
      <c r="AB35" s="749"/>
      <c r="AC35" s="680"/>
      <c r="AD35" s="681"/>
      <c r="AE35" s="749"/>
      <c r="AF35" s="680"/>
      <c r="AG35" s="681"/>
      <c r="AH35" s="749"/>
      <c r="AI35" s="680"/>
      <c r="AJ35" s="681"/>
      <c r="AK35" s="749"/>
      <c r="AL35" s="680"/>
      <c r="AM35" s="681"/>
      <c r="AN35" s="749"/>
      <c r="AO35" s="748"/>
      <c r="AP35" s="748"/>
      <c r="AQ35" s="749"/>
      <c r="AR35" s="702"/>
      <c r="AS35" s="702"/>
      <c r="AT35" s="749"/>
      <c r="AU35" s="730"/>
      <c r="AV35" s="730"/>
      <c r="AW35" s="725"/>
      <c r="AX35" s="725"/>
    </row>
    <row r="36" spans="1:50" s="752" customFormat="1" ht="18.75" customHeight="1" x14ac:dyDescent="0.3">
      <c r="A36" s="688" t="s">
        <v>424</v>
      </c>
      <c r="B36" s="449"/>
      <c r="C36" s="689"/>
      <c r="D36" s="750"/>
      <c r="E36" s="449"/>
      <c r="F36" s="689"/>
      <c r="G36" s="751"/>
      <c r="H36" s="449"/>
      <c r="I36" s="689"/>
      <c r="J36" s="751"/>
      <c r="K36" s="449"/>
      <c r="L36" s="689"/>
      <c r="M36" s="750"/>
      <c r="N36" s="449"/>
      <c r="O36" s="689"/>
      <c r="P36" s="751"/>
      <c r="Q36" s="449"/>
      <c r="R36" s="689"/>
      <c r="S36" s="751"/>
      <c r="T36" s="449"/>
      <c r="U36" s="689"/>
      <c r="V36" s="751"/>
      <c r="W36" s="694"/>
      <c r="X36" s="689"/>
      <c r="Y36" s="751"/>
      <c r="Z36" s="449"/>
      <c r="AA36" s="689"/>
      <c r="AB36" s="751"/>
      <c r="AC36" s="449"/>
      <c r="AD36" s="689"/>
      <c r="AE36" s="751"/>
      <c r="AF36" s="449"/>
      <c r="AG36" s="689"/>
      <c r="AH36" s="751"/>
      <c r="AI36" s="449">
        <v>20.905000000000001</v>
      </c>
      <c r="AJ36" s="689">
        <v>35.149000000000001</v>
      </c>
      <c r="AK36" s="751">
        <f>IF(AI36=0, "    ---- ", IF(ABS(ROUND(100/AI36*AJ36-100,1))&lt;999,ROUND(100/AI36*AJ36-100,1),IF(ROUND(100/AI36*AJ36-100,1)&gt;999,999,-999)))</f>
        <v>68.099999999999994</v>
      </c>
      <c r="AL36" s="449"/>
      <c r="AM36" s="689">
        <f>0.18+2.2</f>
        <v>2.3800000000000003</v>
      </c>
      <c r="AN36" s="751" t="str">
        <f>IF(AL36=0, "    ---- ", IF(ABS(ROUND(100/AL36*AM36-100,1))&lt;999,ROUND(100/AL36*AM36-100,1),IF(ROUND(100/AL36*AM36-100,1)&gt;999,999,-999)))</f>
        <v xml:space="preserve">    ---- </v>
      </c>
      <c r="AO36" s="750">
        <f t="shared" si="5"/>
        <v>20.905000000000001</v>
      </c>
      <c r="AP36" s="750">
        <f t="shared" si="5"/>
        <v>37.529000000000003</v>
      </c>
      <c r="AQ36" s="751">
        <f t="shared" si="3"/>
        <v>79.5</v>
      </c>
      <c r="AR36" s="700">
        <f t="shared" si="6"/>
        <v>20.905000000000001</v>
      </c>
      <c r="AS36" s="700">
        <f t="shared" si="6"/>
        <v>37.529000000000003</v>
      </c>
      <c r="AT36" s="751">
        <f t="shared" si="4"/>
        <v>79.5</v>
      </c>
      <c r="AU36" s="730"/>
      <c r="AV36" s="730"/>
      <c r="AW36" s="725"/>
      <c r="AX36" s="725"/>
    </row>
    <row r="37" spans="1:50" s="752" customFormat="1" ht="18.75" customHeight="1" x14ac:dyDescent="0.3">
      <c r="A37" s="688" t="s">
        <v>425</v>
      </c>
      <c r="B37" s="449"/>
      <c r="C37" s="689"/>
      <c r="D37" s="750"/>
      <c r="E37" s="449"/>
      <c r="F37" s="689"/>
      <c r="G37" s="751"/>
      <c r="H37" s="449"/>
      <c r="I37" s="689"/>
      <c r="J37" s="751"/>
      <c r="K37" s="449"/>
      <c r="L37" s="689"/>
      <c r="M37" s="750"/>
      <c r="N37" s="449"/>
      <c r="O37" s="689"/>
      <c r="P37" s="751"/>
      <c r="Q37" s="449"/>
      <c r="R37" s="689"/>
      <c r="S37" s="751"/>
      <c r="T37" s="449"/>
      <c r="U37" s="689"/>
      <c r="V37" s="751"/>
      <c r="W37" s="449"/>
      <c r="X37" s="689"/>
      <c r="Y37" s="751"/>
      <c r="Z37" s="449"/>
      <c r="AA37" s="689"/>
      <c r="AB37" s="751"/>
      <c r="AC37" s="449"/>
      <c r="AD37" s="689"/>
      <c r="AE37" s="751"/>
      <c r="AF37" s="449"/>
      <c r="AG37" s="689"/>
      <c r="AH37" s="751"/>
      <c r="AI37" s="449"/>
      <c r="AJ37" s="689"/>
      <c r="AK37" s="751"/>
      <c r="AL37" s="449"/>
      <c r="AM37" s="689"/>
      <c r="AN37" s="751"/>
      <c r="AO37" s="750"/>
      <c r="AP37" s="750"/>
      <c r="AQ37" s="751"/>
      <c r="AR37" s="700"/>
      <c r="AS37" s="700"/>
      <c r="AT37" s="751"/>
      <c r="AU37" s="730"/>
      <c r="AV37" s="730"/>
      <c r="AW37" s="725"/>
      <c r="AX37" s="725"/>
    </row>
    <row r="38" spans="1:50" s="752" customFormat="1" ht="18.75" customHeight="1" x14ac:dyDescent="0.3">
      <c r="A38" s="688" t="s">
        <v>426</v>
      </c>
      <c r="B38" s="449"/>
      <c r="C38" s="689"/>
      <c r="D38" s="750"/>
      <c r="E38" s="449"/>
      <c r="F38" s="689"/>
      <c r="G38" s="751"/>
      <c r="H38" s="449"/>
      <c r="I38" s="689"/>
      <c r="J38" s="751"/>
      <c r="K38" s="449"/>
      <c r="L38" s="689"/>
      <c r="M38" s="750"/>
      <c r="N38" s="449"/>
      <c r="O38" s="689"/>
      <c r="P38" s="751"/>
      <c r="Q38" s="449"/>
      <c r="R38" s="689"/>
      <c r="S38" s="751"/>
      <c r="T38" s="449"/>
      <c r="U38" s="689"/>
      <c r="V38" s="751"/>
      <c r="X38" s="689"/>
      <c r="Y38" s="751"/>
      <c r="Z38" s="449"/>
      <c r="AA38" s="689"/>
      <c r="AB38" s="751"/>
      <c r="AC38" s="449"/>
      <c r="AD38" s="689"/>
      <c r="AE38" s="751"/>
      <c r="AF38" s="449"/>
      <c r="AG38" s="689"/>
      <c r="AH38" s="751"/>
      <c r="AI38" s="449">
        <v>-3.746</v>
      </c>
      <c r="AJ38" s="689">
        <v>-6.4819999999999993</v>
      </c>
      <c r="AK38" s="751">
        <f>IF(AI38=0, "    ---- ", IF(ABS(ROUND(100/AI38*AJ38-100,1))&lt;999,ROUND(100/AI38*AJ38-100,1),IF(ROUND(100/AI38*AJ38-100,1)&gt;999,999,-999)))</f>
        <v>73</v>
      </c>
      <c r="AL38" s="449"/>
      <c r="AM38" s="689">
        <f>0.03+1.75</f>
        <v>1.78</v>
      </c>
      <c r="AN38" s="751" t="str">
        <f>IF(AL38=0, "    ---- ", IF(ABS(ROUND(100/AL38*AM38-100,1))&lt;999,ROUND(100/AL38*AM38-100,1),IF(ROUND(100/AL38*AM38-100,1)&gt;999,999,-999)))</f>
        <v xml:space="preserve">    ---- </v>
      </c>
      <c r="AO38" s="750">
        <f t="shared" ref="AO38:AO42" si="8">B38+E38+H38+K38+Q38+T38+W49+Z38+AF38+AI38+AL38</f>
        <v>-3.746</v>
      </c>
      <c r="AP38" s="750">
        <f t="shared" si="5"/>
        <v>-4.7019999999999991</v>
      </c>
      <c r="AQ38" s="751">
        <f t="shared" si="3"/>
        <v>25.5</v>
      </c>
      <c r="AR38" s="700">
        <f t="shared" ref="AR38:AR42" si="9">+B38+E38+H38+K38+N38+Q38+T38+W49+Z38+AC38+AF38+AI38+AL38</f>
        <v>-3.746</v>
      </c>
      <c r="AS38" s="700">
        <f t="shared" si="6"/>
        <v>-4.7019999999999991</v>
      </c>
      <c r="AT38" s="751">
        <f t="shared" si="4"/>
        <v>25.5</v>
      </c>
      <c r="AU38" s="730"/>
      <c r="AV38" s="730"/>
      <c r="AW38" s="725"/>
      <c r="AX38" s="725"/>
    </row>
    <row r="39" spans="1:50" s="752" customFormat="1" ht="18.75" customHeight="1" x14ac:dyDescent="0.3">
      <c r="A39" s="688" t="s">
        <v>427</v>
      </c>
      <c r="B39" s="449"/>
      <c r="C39" s="689"/>
      <c r="D39" s="750"/>
      <c r="E39" s="449"/>
      <c r="F39" s="689"/>
      <c r="G39" s="751"/>
      <c r="H39" s="449"/>
      <c r="I39" s="689"/>
      <c r="J39" s="751"/>
      <c r="K39" s="449"/>
      <c r="L39" s="689"/>
      <c r="M39" s="750"/>
      <c r="N39" s="449"/>
      <c r="O39" s="689"/>
      <c r="P39" s="751"/>
      <c r="Q39" s="449"/>
      <c r="R39" s="689"/>
      <c r="S39" s="751"/>
      <c r="T39" s="449"/>
      <c r="U39" s="689"/>
      <c r="V39" s="751"/>
      <c r="X39" s="689"/>
      <c r="Y39" s="751"/>
      <c r="Z39" s="449"/>
      <c r="AA39" s="689"/>
      <c r="AB39" s="751"/>
      <c r="AC39" s="449"/>
      <c r="AD39" s="689"/>
      <c r="AE39" s="751"/>
      <c r="AF39" s="449"/>
      <c r="AG39" s="689"/>
      <c r="AH39" s="751"/>
      <c r="AI39" s="449"/>
      <c r="AJ39" s="689"/>
      <c r="AK39" s="751"/>
      <c r="AL39" s="449"/>
      <c r="AM39" s="689"/>
      <c r="AN39" s="751"/>
      <c r="AO39" s="750">
        <f t="shared" si="8"/>
        <v>128.50200881500001</v>
      </c>
      <c r="AP39" s="750">
        <f t="shared" si="5"/>
        <v>0</v>
      </c>
      <c r="AQ39" s="751">
        <f t="shared" si="3"/>
        <v>-100</v>
      </c>
      <c r="AR39" s="700">
        <f t="shared" si="9"/>
        <v>128.50200881500001</v>
      </c>
      <c r="AS39" s="700">
        <f t="shared" si="6"/>
        <v>0</v>
      </c>
      <c r="AT39" s="751">
        <f t="shared" si="4"/>
        <v>-100</v>
      </c>
      <c r="AU39" s="730"/>
      <c r="AV39" s="730"/>
      <c r="AW39" s="725"/>
      <c r="AX39" s="725"/>
    </row>
    <row r="40" spans="1:50" s="752" customFormat="1" ht="18.75" customHeight="1" x14ac:dyDescent="0.3">
      <c r="A40" s="688" t="s">
        <v>428</v>
      </c>
      <c r="B40" s="449"/>
      <c r="C40" s="689"/>
      <c r="D40" s="750"/>
      <c r="E40" s="449"/>
      <c r="F40" s="689"/>
      <c r="G40" s="751"/>
      <c r="H40" s="449"/>
      <c r="I40" s="689"/>
      <c r="J40" s="751"/>
      <c r="K40" s="449"/>
      <c r="L40" s="689"/>
      <c r="M40" s="750"/>
      <c r="N40" s="449"/>
      <c r="O40" s="689"/>
      <c r="P40" s="751"/>
      <c r="Q40" s="449"/>
      <c r="R40" s="689"/>
      <c r="S40" s="751"/>
      <c r="T40" s="449"/>
      <c r="U40" s="689"/>
      <c r="V40" s="751"/>
      <c r="X40" s="689"/>
      <c r="Y40" s="751"/>
      <c r="Z40" s="449"/>
      <c r="AA40" s="689"/>
      <c r="AB40" s="751"/>
      <c r="AC40" s="449"/>
      <c r="AD40" s="689"/>
      <c r="AE40" s="751"/>
      <c r="AF40" s="449"/>
      <c r="AG40" s="689"/>
      <c r="AH40" s="751"/>
      <c r="AI40" s="449">
        <v>2.629</v>
      </c>
      <c r="AJ40" s="689">
        <v>2.8730000000000002</v>
      </c>
      <c r="AK40" s="751">
        <f>IF(AI40=0, "    ---- ", IF(ABS(ROUND(100/AI40*AJ40-100,1))&lt;999,ROUND(100/AI40*AJ40-100,1),IF(ROUND(100/AI40*AJ40-100,1)&gt;999,999,-999)))</f>
        <v>9.3000000000000007</v>
      </c>
      <c r="AL40" s="449"/>
      <c r="AM40" s="689"/>
      <c r="AN40" s="751"/>
      <c r="AO40" s="750">
        <f t="shared" si="8"/>
        <v>2.629</v>
      </c>
      <c r="AP40" s="750">
        <f t="shared" si="5"/>
        <v>2.8730000000000002</v>
      </c>
      <c r="AQ40" s="751">
        <f t="shared" si="3"/>
        <v>9.3000000000000007</v>
      </c>
      <c r="AR40" s="700">
        <f t="shared" si="9"/>
        <v>2.629</v>
      </c>
      <c r="AS40" s="700">
        <f t="shared" si="6"/>
        <v>2.8730000000000002</v>
      </c>
      <c r="AT40" s="751">
        <f t="shared" si="4"/>
        <v>9.3000000000000007</v>
      </c>
      <c r="AU40" s="730"/>
      <c r="AV40" s="730"/>
      <c r="AW40" s="725"/>
      <c r="AX40" s="725"/>
    </row>
    <row r="41" spans="1:50" s="752" customFormat="1" ht="18.75" customHeight="1" x14ac:dyDescent="0.3">
      <c r="A41" s="688" t="s">
        <v>429</v>
      </c>
      <c r="B41" s="449"/>
      <c r="C41" s="689"/>
      <c r="D41" s="750"/>
      <c r="E41" s="449"/>
      <c r="F41" s="689"/>
      <c r="G41" s="751"/>
      <c r="H41" s="449"/>
      <c r="I41" s="689"/>
      <c r="J41" s="751"/>
      <c r="K41" s="449"/>
      <c r="L41" s="689"/>
      <c r="M41" s="750"/>
      <c r="N41" s="449"/>
      <c r="O41" s="689"/>
      <c r="P41" s="751"/>
      <c r="Q41" s="449"/>
      <c r="R41" s="689"/>
      <c r="S41" s="751"/>
      <c r="T41" s="449"/>
      <c r="U41" s="689"/>
      <c r="V41" s="751"/>
      <c r="X41" s="689"/>
      <c r="Y41" s="751"/>
      <c r="Z41" s="449"/>
      <c r="AA41" s="689"/>
      <c r="AB41" s="751"/>
      <c r="AC41" s="449"/>
      <c r="AD41" s="689"/>
      <c r="AE41" s="751"/>
      <c r="AF41" s="449"/>
      <c r="AG41" s="689"/>
      <c r="AH41" s="751"/>
      <c r="AI41" s="449">
        <v>-5.0000000000000001E-3</v>
      </c>
      <c r="AJ41" s="689"/>
      <c r="AK41" s="751">
        <f>IF(AI41=0, "    ---- ", IF(ABS(ROUND(100/AI41*AJ41-100,1))&lt;999,ROUND(100/AI41*AJ41-100,1),IF(ROUND(100/AI41*AJ41-100,1)&gt;999,999,-999)))</f>
        <v>-100</v>
      </c>
      <c r="AL41" s="449"/>
      <c r="AM41" s="689"/>
      <c r="AN41" s="751"/>
      <c r="AO41" s="750">
        <f t="shared" si="8"/>
        <v>-5.0000000000000001E-3</v>
      </c>
      <c r="AP41" s="750">
        <f t="shared" si="5"/>
        <v>0</v>
      </c>
      <c r="AQ41" s="751">
        <f t="shared" si="3"/>
        <v>-100</v>
      </c>
      <c r="AR41" s="700">
        <f t="shared" si="9"/>
        <v>-5.0000000000000001E-3</v>
      </c>
      <c r="AS41" s="700">
        <f t="shared" si="6"/>
        <v>0</v>
      </c>
      <c r="AT41" s="751">
        <f t="shared" si="4"/>
        <v>-100</v>
      </c>
      <c r="AU41" s="730"/>
      <c r="AV41" s="730"/>
      <c r="AW41" s="725"/>
      <c r="AX41" s="725"/>
    </row>
    <row r="42" spans="1:50" s="752" customFormat="1" ht="18.75" customHeight="1" x14ac:dyDescent="0.3">
      <c r="A42" s="688" t="s">
        <v>430</v>
      </c>
      <c r="B42" s="449"/>
      <c r="C42" s="689"/>
      <c r="D42" s="750"/>
      <c r="E42" s="449"/>
      <c r="F42" s="689"/>
      <c r="G42" s="751"/>
      <c r="H42" s="449"/>
      <c r="I42" s="689"/>
      <c r="J42" s="751"/>
      <c r="K42" s="449"/>
      <c r="L42" s="689"/>
      <c r="M42" s="750"/>
      <c r="N42" s="449"/>
      <c r="O42" s="689"/>
      <c r="P42" s="751"/>
      <c r="Q42" s="449"/>
      <c r="R42" s="689"/>
      <c r="S42" s="751"/>
      <c r="T42" s="449"/>
      <c r="U42" s="689"/>
      <c r="V42" s="751"/>
      <c r="X42" s="689"/>
      <c r="Y42" s="751"/>
      <c r="Z42" s="449"/>
      <c r="AA42" s="689"/>
      <c r="AB42" s="751"/>
      <c r="AC42" s="449"/>
      <c r="AD42" s="689"/>
      <c r="AE42" s="751"/>
      <c r="AF42" s="449"/>
      <c r="AG42" s="689"/>
      <c r="AH42" s="751"/>
      <c r="AI42" s="449"/>
      <c r="AJ42" s="689"/>
      <c r="AK42" s="751"/>
      <c r="AL42" s="449"/>
      <c r="AM42" s="689"/>
      <c r="AN42" s="751"/>
      <c r="AO42" s="750">
        <f t="shared" si="8"/>
        <v>-0.63230299999999995</v>
      </c>
      <c r="AP42" s="750">
        <f t="shared" si="5"/>
        <v>0</v>
      </c>
      <c r="AQ42" s="751">
        <f t="shared" si="3"/>
        <v>-100</v>
      </c>
      <c r="AR42" s="700">
        <f t="shared" si="9"/>
        <v>-0.63230299999999995</v>
      </c>
      <c r="AS42" s="700">
        <f t="shared" si="6"/>
        <v>0</v>
      </c>
      <c r="AT42" s="751">
        <f t="shared" si="4"/>
        <v>-100</v>
      </c>
      <c r="AU42" s="730"/>
      <c r="AV42" s="730"/>
      <c r="AW42" s="725"/>
      <c r="AX42" s="725"/>
    </row>
    <row r="43" spans="1:50" s="752" customFormat="1" ht="18.75" customHeight="1" x14ac:dyDescent="0.3">
      <c r="A43" s="688" t="s">
        <v>431</v>
      </c>
      <c r="B43" s="449"/>
      <c r="C43" s="750"/>
      <c r="D43" s="750"/>
      <c r="E43" s="756"/>
      <c r="F43" s="750"/>
      <c r="G43" s="751"/>
      <c r="H43" s="756"/>
      <c r="I43" s="750"/>
      <c r="J43" s="751"/>
      <c r="K43" s="756"/>
      <c r="L43" s="750"/>
      <c r="M43" s="750"/>
      <c r="N43" s="756"/>
      <c r="O43" s="750"/>
      <c r="P43" s="751"/>
      <c r="Q43" s="756"/>
      <c r="R43" s="750"/>
      <c r="S43" s="751"/>
      <c r="T43" s="756"/>
      <c r="U43" s="750"/>
      <c r="V43" s="751"/>
      <c r="X43" s="750"/>
      <c r="Y43" s="751"/>
      <c r="Z43" s="756"/>
      <c r="AA43" s="750"/>
      <c r="AB43" s="751"/>
      <c r="AC43" s="756"/>
      <c r="AD43" s="750"/>
      <c r="AE43" s="751"/>
      <c r="AF43" s="756"/>
      <c r="AG43" s="750"/>
      <c r="AH43" s="751"/>
      <c r="AI43" s="756"/>
      <c r="AJ43" s="750"/>
      <c r="AK43" s="751"/>
      <c r="AL43" s="756"/>
      <c r="AM43" s="750"/>
      <c r="AN43" s="751"/>
      <c r="AO43" s="750"/>
      <c r="AP43" s="750"/>
      <c r="AQ43" s="751"/>
      <c r="AR43" s="700"/>
      <c r="AS43" s="700"/>
      <c r="AT43" s="751"/>
      <c r="AU43" s="730"/>
      <c r="AV43" s="730"/>
      <c r="AW43" s="725"/>
      <c r="AX43" s="725"/>
    </row>
    <row r="44" spans="1:50" s="755" customFormat="1" ht="18.75" customHeight="1" x14ac:dyDescent="0.3">
      <c r="A44" s="679" t="s">
        <v>432</v>
      </c>
      <c r="B44" s="680"/>
      <c r="C44" s="748"/>
      <c r="D44" s="748"/>
      <c r="E44" s="757"/>
      <c r="F44" s="748"/>
      <c r="G44" s="749"/>
      <c r="H44" s="757"/>
      <c r="I44" s="748"/>
      <c r="J44" s="749"/>
      <c r="K44" s="757"/>
      <c r="L44" s="748"/>
      <c r="M44" s="748"/>
      <c r="N44" s="757"/>
      <c r="O44" s="748"/>
      <c r="P44" s="749"/>
      <c r="Q44" s="757"/>
      <c r="R44" s="748"/>
      <c r="S44" s="749"/>
      <c r="T44" s="757"/>
      <c r="U44" s="748"/>
      <c r="V44" s="749"/>
      <c r="W44" s="748"/>
      <c r="X44" s="748"/>
      <c r="Y44" s="751"/>
      <c r="Z44" s="757"/>
      <c r="AA44" s="748"/>
      <c r="AB44" s="749"/>
      <c r="AC44" s="757"/>
      <c r="AD44" s="748"/>
      <c r="AE44" s="749"/>
      <c r="AF44" s="757"/>
      <c r="AG44" s="748"/>
      <c r="AH44" s="749"/>
      <c r="AI44" s="757">
        <v>19.783000000000005</v>
      </c>
      <c r="AJ44" s="748">
        <f>SUM(AJ36:AJ41)+AJ43</f>
        <v>31.540000000000003</v>
      </c>
      <c r="AK44" s="749">
        <f>IF(AI44=0, "    ---- ", IF(ABS(ROUND(100/AI44*AJ44-100,1))&lt;999,ROUND(100/AI44*AJ44-100,1),IF(ROUND(100/AI44*AJ44-100,1)&gt;999,999,-999)))</f>
        <v>59.4</v>
      </c>
      <c r="AL44" s="757"/>
      <c r="AM44" s="748">
        <f>SUM(AM36:AM41)+AM43</f>
        <v>4.16</v>
      </c>
      <c r="AN44" s="749" t="str">
        <f t="shared" ref="AN44" si="10">IF(AL44=0, "    ---- ", IF(ABS(ROUND(100/AL44*AM44-100,1))&lt;999,ROUND(100/AL44*AM44-100,1),IF(ROUND(100/AL44*AM44-100,1)&gt;999,999,-999)))</f>
        <v xml:space="preserve">    ---- </v>
      </c>
      <c r="AO44" s="748">
        <f t="shared" si="5"/>
        <v>19.783000000000005</v>
      </c>
      <c r="AP44" s="748">
        <f t="shared" si="5"/>
        <v>35.700000000000003</v>
      </c>
      <c r="AQ44" s="749">
        <f>IF(AO44=0, "    ---- ", IF(ABS(ROUND(100/AO44*AP44-100,1))&lt;999,ROUND(100/AO44*AP44-100,1),IF(ROUND(100/AO44*AP44-100,1)&gt;999,999,-999)))</f>
        <v>80.5</v>
      </c>
      <c r="AR44" s="702">
        <f t="shared" si="6"/>
        <v>19.783000000000005</v>
      </c>
      <c r="AS44" s="702">
        <f t="shared" si="6"/>
        <v>35.700000000000003</v>
      </c>
      <c r="AT44" s="749">
        <f>IF(AR44=0, "    ---- ", IF(ABS(ROUND(100/AR44*AS44-100,1))&lt;999,ROUND(100/AR44*AS44-100,1),IF(ROUND(100/AR44*AS44-100,1)&gt;999,999,-999)))</f>
        <v>80.5</v>
      </c>
      <c r="AU44" s="753"/>
      <c r="AV44" s="728"/>
      <c r="AW44" s="754"/>
      <c r="AX44" s="754"/>
    </row>
    <row r="45" spans="1:50" s="752" customFormat="1" ht="18.75" customHeight="1" x14ac:dyDescent="0.3">
      <c r="A45" s="688" t="s">
        <v>433</v>
      </c>
      <c r="B45" s="449"/>
      <c r="C45" s="750"/>
      <c r="D45" s="750"/>
      <c r="E45" s="756"/>
      <c r="F45" s="750"/>
      <c r="G45" s="751"/>
      <c r="H45" s="756"/>
      <c r="I45" s="750"/>
      <c r="J45" s="751"/>
      <c r="K45" s="756"/>
      <c r="L45" s="750"/>
      <c r="M45" s="750"/>
      <c r="N45" s="756"/>
      <c r="O45" s="750"/>
      <c r="P45" s="751"/>
      <c r="Q45" s="756"/>
      <c r="R45" s="750"/>
      <c r="S45" s="751"/>
      <c r="T45" s="756"/>
      <c r="U45" s="750"/>
      <c r="V45" s="751"/>
      <c r="W45" s="756"/>
      <c r="X45" s="750"/>
      <c r="Y45" s="751"/>
      <c r="Z45" s="756"/>
      <c r="AA45" s="750"/>
      <c r="AB45" s="751"/>
      <c r="AC45" s="756"/>
      <c r="AD45" s="750"/>
      <c r="AE45" s="751"/>
      <c r="AF45" s="756"/>
      <c r="AG45" s="750"/>
      <c r="AH45" s="751"/>
      <c r="AI45" s="756">
        <v>20.905000000000001</v>
      </c>
      <c r="AJ45" s="750">
        <v>35.149000000000001</v>
      </c>
      <c r="AK45" s="751">
        <f>IF(AI45=0, "    ---- ", IF(ABS(ROUND(100/AI45*AJ45-100,1))&lt;999,ROUND(100/AI45*AJ45-100,1),IF(ROUND(100/AI45*AJ45-100,1)&gt;999,999,-999)))</f>
        <v>68.099999999999994</v>
      </c>
      <c r="AL45" s="756"/>
      <c r="AM45" s="750">
        <v>2.38</v>
      </c>
      <c r="AN45" s="751" t="str">
        <f>IF(AL45=0, "    ---- ", IF(ABS(ROUND(100/AL45*AM45-100,1))&lt;999,ROUND(100/AL45*AM45-100,1),IF(ROUND(100/AL45*AM45-100,1)&gt;999,999,-999)))</f>
        <v xml:space="preserve">    ---- </v>
      </c>
      <c r="AO45" s="750">
        <f t="shared" si="5"/>
        <v>20.905000000000001</v>
      </c>
      <c r="AP45" s="750">
        <f t="shared" si="5"/>
        <v>37.529000000000003</v>
      </c>
      <c r="AQ45" s="751">
        <f t="shared" ref="AQ45:AQ144" si="11">IF(AO45=0, "    ---- ", IF(ABS(ROUND(100/AO45*AP45-100,1))&lt;999,ROUND(100/AO45*AP45-100,1),IF(ROUND(100/AO45*AP45-100,1)&gt;999,999,-999)))</f>
        <v>79.5</v>
      </c>
      <c r="AR45" s="700">
        <f t="shared" si="6"/>
        <v>20.905000000000001</v>
      </c>
      <c r="AS45" s="700">
        <f t="shared" si="6"/>
        <v>37.529000000000003</v>
      </c>
      <c r="AT45" s="751">
        <f t="shared" ref="AT45:AT144" si="12">IF(AR45=0, "    ---- ", IF(ABS(ROUND(100/AR45*AS45-100,1))&lt;999,ROUND(100/AR45*AS45-100,1),IF(ROUND(100/AR45*AS45-100,1)&gt;999,999,-999)))</f>
        <v>79.5</v>
      </c>
      <c r="AU45" s="730"/>
      <c r="AV45" s="730"/>
      <c r="AW45" s="725"/>
      <c r="AX45" s="725"/>
    </row>
    <row r="46" spans="1:50" s="752" customFormat="1" ht="18.75" customHeight="1" x14ac:dyDescent="0.3">
      <c r="A46" s="688" t="s">
        <v>434</v>
      </c>
      <c r="B46" s="449"/>
      <c r="C46" s="750"/>
      <c r="D46" s="750"/>
      <c r="E46" s="756"/>
      <c r="F46" s="750"/>
      <c r="G46" s="751"/>
      <c r="H46" s="756"/>
      <c r="I46" s="750"/>
      <c r="J46" s="751"/>
      <c r="K46" s="756"/>
      <c r="L46" s="750"/>
      <c r="M46" s="750"/>
      <c r="N46" s="756"/>
      <c r="O46" s="750"/>
      <c r="P46" s="751"/>
      <c r="Q46" s="756"/>
      <c r="R46" s="750"/>
      <c r="S46" s="751"/>
      <c r="T46" s="756"/>
      <c r="U46" s="750"/>
      <c r="V46" s="751"/>
      <c r="X46" s="750"/>
      <c r="Y46" s="751"/>
      <c r="Z46" s="756"/>
      <c r="AA46" s="750"/>
      <c r="AB46" s="751"/>
      <c r="AC46" s="756"/>
      <c r="AD46" s="750"/>
      <c r="AE46" s="751"/>
      <c r="AF46" s="756"/>
      <c r="AG46" s="750"/>
      <c r="AH46" s="751"/>
      <c r="AI46" s="756">
        <v>-1.1219999999999999</v>
      </c>
      <c r="AJ46" s="750">
        <v>-3.6139999999999999</v>
      </c>
      <c r="AK46" s="751">
        <f>IF(AI46=0, "    ---- ", IF(ABS(ROUND(100/AI46*AJ46-100,1))&lt;999,ROUND(100/AI46*AJ46-100,1),IF(ROUND(100/AI46*AJ46-100,1)&gt;999,999,-999)))</f>
        <v>222.1</v>
      </c>
      <c r="AL46" s="756"/>
      <c r="AM46" s="750">
        <v>1.78</v>
      </c>
      <c r="AN46" s="751" t="str">
        <f>IF(AL46=0, "    ---- ", IF(ABS(ROUND(100/AL46*AM46-100,1))&lt;999,ROUND(100/AL46*AM46-100,1),IF(ROUND(100/AL46*AM46-100,1)&gt;999,999,-999)))</f>
        <v xml:space="preserve">    ---- </v>
      </c>
      <c r="AO46" s="750">
        <f t="shared" si="5"/>
        <v>-1.1219999999999999</v>
      </c>
      <c r="AP46" s="750">
        <f t="shared" si="5"/>
        <v>-1.8339999999999999</v>
      </c>
      <c r="AQ46" s="751">
        <f t="shared" si="11"/>
        <v>63.5</v>
      </c>
      <c r="AR46" s="700">
        <f t="shared" si="6"/>
        <v>-1.1219999999999999</v>
      </c>
      <c r="AS46" s="700">
        <f t="shared" si="6"/>
        <v>-1.8339999999999999</v>
      </c>
      <c r="AT46" s="751">
        <f t="shared" si="12"/>
        <v>63.5</v>
      </c>
      <c r="AU46" s="730"/>
      <c r="AV46" s="730"/>
      <c r="AW46" s="725"/>
      <c r="AX46" s="725"/>
    </row>
    <row r="47" spans="1:50" s="752" customFormat="1" ht="18.75" customHeight="1" x14ac:dyDescent="0.3">
      <c r="A47" s="679" t="s">
        <v>447</v>
      </c>
      <c r="B47" s="680"/>
      <c r="C47" s="750"/>
      <c r="D47" s="750"/>
      <c r="E47" s="756"/>
      <c r="F47" s="750"/>
      <c r="G47" s="751"/>
      <c r="H47" s="756"/>
      <c r="I47" s="750"/>
      <c r="J47" s="751"/>
      <c r="K47" s="756"/>
      <c r="L47" s="750"/>
      <c r="M47" s="750"/>
      <c r="N47" s="756"/>
      <c r="O47" s="750"/>
      <c r="P47" s="751"/>
      <c r="Q47" s="756"/>
      <c r="R47" s="750"/>
      <c r="S47" s="751"/>
      <c r="T47" s="756"/>
      <c r="U47" s="750"/>
      <c r="V47" s="751"/>
      <c r="W47" s="756"/>
      <c r="X47" s="750"/>
      <c r="Y47" s="751"/>
      <c r="Z47" s="756"/>
      <c r="AA47" s="750"/>
      <c r="AB47" s="751"/>
      <c r="AC47" s="756"/>
      <c r="AD47" s="750"/>
      <c r="AE47" s="751"/>
      <c r="AF47" s="756"/>
      <c r="AG47" s="750"/>
      <c r="AH47" s="751"/>
      <c r="AI47" s="756"/>
      <c r="AJ47" s="750"/>
      <c r="AK47" s="751"/>
      <c r="AL47" s="756"/>
      <c r="AM47" s="750"/>
      <c r="AN47" s="751"/>
      <c r="AO47" s="750"/>
      <c r="AP47" s="750"/>
      <c r="AQ47" s="751"/>
      <c r="AR47" s="700"/>
      <c r="AS47" s="700"/>
      <c r="AT47" s="751"/>
      <c r="AU47" s="730"/>
      <c r="AV47" s="730"/>
      <c r="AW47" s="725"/>
      <c r="AX47" s="725"/>
    </row>
    <row r="48" spans="1:50" s="752" customFormat="1" ht="18.75" customHeight="1" x14ac:dyDescent="0.3">
      <c r="A48" s="688" t="s">
        <v>424</v>
      </c>
      <c r="B48" s="449"/>
      <c r="C48" s="750"/>
      <c r="D48" s="750"/>
      <c r="E48" s="756">
        <v>3496.1239999999998</v>
      </c>
      <c r="F48" s="750">
        <v>5607.85</v>
      </c>
      <c r="G48" s="751">
        <f>IF(E48=0, "    ---- ", IF(ABS(ROUND(100/E48*F48-100,1))&lt;999,ROUND(100/E48*F48-100,1),IF(ROUND(100/E48*F48-100,1)&gt;999,999,-999)))</f>
        <v>60.4</v>
      </c>
      <c r="H48" s="756">
        <v>5.1189999999999998</v>
      </c>
      <c r="I48" s="750">
        <v>7.8739999999999997</v>
      </c>
      <c r="J48" s="751">
        <f>IF(H48=0, "    ---- ", IF(ABS(ROUND(100/H48*I48-100,1))&lt;999,ROUND(100/H48*I48-100,1),IF(ROUND(100/H48*I48-100,1)&gt;999,999,-999)))</f>
        <v>53.8</v>
      </c>
      <c r="K48" s="756">
        <v>2.8079999999999998</v>
      </c>
      <c r="L48" s="750">
        <v>11.443</v>
      </c>
      <c r="M48" s="750">
        <f>IF(K48=0, "    ---- ", IF(ABS(ROUND(100/K48*L48-100,1))&lt;999,ROUND(100/K48*L48-100,1),IF(ROUND(100/K48*L48-100,1)&gt;999,999,-999)))</f>
        <v>307.5</v>
      </c>
      <c r="N48" s="756"/>
      <c r="O48" s="750"/>
      <c r="P48" s="751"/>
      <c r="Q48" s="756"/>
      <c r="R48" s="750"/>
      <c r="S48" s="751"/>
      <c r="T48" s="756"/>
      <c r="U48" s="750"/>
      <c r="V48" s="751"/>
      <c r="W48" s="756"/>
      <c r="X48" s="750"/>
      <c r="Y48" s="751"/>
      <c r="Z48" s="756"/>
      <c r="AA48" s="750"/>
      <c r="AB48" s="751"/>
      <c r="AC48" s="756"/>
      <c r="AD48" s="750"/>
      <c r="AE48" s="751"/>
      <c r="AF48" s="756"/>
      <c r="AG48" s="750"/>
      <c r="AH48" s="751"/>
      <c r="AI48" s="756">
        <v>8.5120000000000005</v>
      </c>
      <c r="AJ48" s="750">
        <v>8.1039999999999992</v>
      </c>
      <c r="AK48" s="751">
        <f>IF(AI48=0, "    ---- ", IF(ABS(ROUND(100/AI48*AJ48-100,1))&lt;999,ROUND(100/AI48*AJ48-100,1),IF(ROUND(100/AI48*AJ48-100,1)&gt;999,999,-999)))</f>
        <v>-4.8</v>
      </c>
      <c r="AL48" s="756">
        <v>-4.5</v>
      </c>
      <c r="AM48" s="750">
        <v>-0.42</v>
      </c>
      <c r="AN48" s="751">
        <f>IF(AL48=0, "    ---- ", IF(ABS(ROUND(100/AL48*AM48-100,1))&lt;999,ROUND(100/AL48*AM48-100,1),IF(ROUND(100/AL48*AM48-100,1)&gt;999,999,-999)))</f>
        <v>-90.7</v>
      </c>
      <c r="AO48" s="750">
        <f t="shared" si="5"/>
        <v>3508.0630000000001</v>
      </c>
      <c r="AP48" s="750">
        <f t="shared" si="5"/>
        <v>5634.8510000000006</v>
      </c>
      <c r="AQ48" s="751">
        <f t="shared" si="11"/>
        <v>60.6</v>
      </c>
      <c r="AR48" s="750">
        <f t="shared" si="6"/>
        <v>3508.0630000000001</v>
      </c>
      <c r="AS48" s="750">
        <f t="shared" si="6"/>
        <v>5634.8510000000006</v>
      </c>
      <c r="AT48" s="751">
        <f t="shared" si="12"/>
        <v>60.6</v>
      </c>
      <c r="AU48" s="730"/>
      <c r="AV48" s="730"/>
      <c r="AW48" s="725"/>
      <c r="AX48" s="725"/>
    </row>
    <row r="49" spans="1:50" s="752" customFormat="1" ht="18.75" customHeight="1" x14ac:dyDescent="0.3">
      <c r="A49" s="688" t="s">
        <v>425</v>
      </c>
      <c r="B49" s="449"/>
      <c r="C49" s="750"/>
      <c r="D49" s="750"/>
      <c r="E49" s="756"/>
      <c r="F49" s="750"/>
      <c r="G49" s="751"/>
      <c r="H49" s="756"/>
      <c r="I49" s="750"/>
      <c r="J49" s="751"/>
      <c r="K49" s="756"/>
      <c r="L49" s="750"/>
      <c r="M49" s="750"/>
      <c r="N49" s="756"/>
      <c r="O49" s="750"/>
      <c r="P49" s="751"/>
      <c r="Q49" s="756"/>
      <c r="R49" s="750"/>
      <c r="S49" s="751"/>
      <c r="T49" s="756"/>
      <c r="U49" s="750"/>
      <c r="V49" s="751"/>
      <c r="W49" s="449"/>
      <c r="X49" s="750"/>
      <c r="Y49" s="751"/>
      <c r="Z49" s="756"/>
      <c r="AA49" s="750"/>
      <c r="AB49" s="751"/>
      <c r="AC49" s="756"/>
      <c r="AD49" s="750"/>
      <c r="AE49" s="751"/>
      <c r="AF49" s="756"/>
      <c r="AG49" s="750"/>
      <c r="AH49" s="751"/>
      <c r="AI49" s="756"/>
      <c r="AJ49" s="750"/>
      <c r="AK49" s="751"/>
      <c r="AL49" s="756"/>
      <c r="AM49" s="750"/>
      <c r="AN49" s="751"/>
      <c r="AO49" s="750"/>
      <c r="AP49" s="750"/>
      <c r="AQ49" s="751"/>
      <c r="AR49" s="700"/>
      <c r="AS49" s="700"/>
      <c r="AT49" s="751"/>
      <c r="AU49" s="730"/>
      <c r="AV49" s="730"/>
      <c r="AW49" s="725"/>
      <c r="AX49" s="725"/>
    </row>
    <row r="50" spans="1:50" s="752" customFormat="1" ht="18.75" customHeight="1" x14ac:dyDescent="0.3">
      <c r="A50" s="688" t="s">
        <v>426</v>
      </c>
      <c r="B50" s="449">
        <v>13.385999999999999</v>
      </c>
      <c r="C50" s="750">
        <v>9.1370000000000005</v>
      </c>
      <c r="D50" s="750">
        <f>IF(B50=0, "    ---- ", IF(ABS(ROUND(100/B50*C50-100,1))&lt;999,ROUND(100/B50*C50-100,1),IF(ROUND(100/B50*C50-100,1)&gt;999,999,-999)))</f>
        <v>-31.7</v>
      </c>
      <c r="E50" s="756">
        <v>131.19</v>
      </c>
      <c r="F50" s="750">
        <v>198.64</v>
      </c>
      <c r="G50" s="751">
        <f>IF(E50=0, "    ---- ", IF(ABS(ROUND(100/E50*F50-100,1))&lt;999,ROUND(100/E50*F50-100,1),IF(ROUND(100/E50*F50-100,1)&gt;999,999,-999)))</f>
        <v>51.4</v>
      </c>
      <c r="H50" s="756">
        <v>1.6E-2</v>
      </c>
      <c r="I50" s="750">
        <v>-11.042</v>
      </c>
      <c r="J50" s="751">
        <f>IF(H50=0, "    ---- ", IF(ABS(ROUND(100/H50*I50-100,1))&lt;999,ROUND(100/H50*I50-100,1),IF(ROUND(100/H50*I50-100,1)&gt;999,999,-999)))</f>
        <v>-999</v>
      </c>
      <c r="K50" s="756">
        <v>-39.768000000000001</v>
      </c>
      <c r="L50" s="750">
        <v>-42.662999999999997</v>
      </c>
      <c r="M50" s="750">
        <f>IF(K50=0, "    ---- ", IF(ABS(ROUND(100/K50*L50-100,1))&lt;999,ROUND(100/K50*L50-100,1),IF(ROUND(100/K50*L50-100,1)&gt;999,999,-999)))</f>
        <v>7.3</v>
      </c>
      <c r="N50" s="756"/>
      <c r="O50" s="750"/>
      <c r="P50" s="751"/>
      <c r="Q50" s="756"/>
      <c r="R50" s="750"/>
      <c r="S50" s="751"/>
      <c r="T50" s="756">
        <v>-26</v>
      </c>
      <c r="U50" s="750">
        <v>-34</v>
      </c>
      <c r="V50" s="751">
        <f>IF(T50=0, "    ---- ", IF(ABS(ROUND(100/T50*U50-100,1))&lt;999,ROUND(100/T50*U50-100,1),IF(ROUND(100/T50*U50-100,1)&gt;999,999,-999)))</f>
        <v>30.8</v>
      </c>
      <c r="W50" s="449">
        <v>128.50200881500001</v>
      </c>
      <c r="X50" s="750">
        <v>156.00107554140104</v>
      </c>
      <c r="Y50" s="751">
        <f>IF(W50=0, "    ---- ", IF(ABS(ROUND(100/W50*X50-100,1))&lt;999,ROUND(100/W50*X50-100,1),IF(ROUND(100/W50*X50-100,1)&gt;999,999,-999)))</f>
        <v>21.4</v>
      </c>
      <c r="Z50" s="756"/>
      <c r="AA50" s="750"/>
      <c r="AB50" s="751"/>
      <c r="AC50" s="756"/>
      <c r="AD50" s="750">
        <v>1.849</v>
      </c>
      <c r="AE50" s="751"/>
      <c r="AF50" s="756"/>
      <c r="AG50" s="750"/>
      <c r="AH50" s="751"/>
      <c r="AI50" s="756">
        <v>22.456000000000003</v>
      </c>
      <c r="AJ50" s="750">
        <v>30.856000000000002</v>
      </c>
      <c r="AK50" s="751">
        <f>IF(AI50=0, "    ---- ", IF(ABS(ROUND(100/AI50*AJ50-100,1))&lt;999,ROUND(100/AI50*AJ50-100,1),IF(ROUND(100/AI50*AJ50-100,1)&gt;999,999,-999)))</f>
        <v>37.4</v>
      </c>
      <c r="AL50" s="756">
        <v>203.4</v>
      </c>
      <c r="AM50" s="750">
        <v>244.29</v>
      </c>
      <c r="AN50" s="751">
        <f>IF(AL50=0, "    ---- ", IF(ABS(ROUND(100/AL50*AM50-100,1))&lt;999,ROUND(100/AL50*AM50-100,1),IF(ROUND(100/AL50*AM50-100,1)&gt;999,999,-999)))</f>
        <v>20.100000000000001</v>
      </c>
      <c r="AO50" s="750">
        <f t="shared" si="5"/>
        <v>433.18200881500002</v>
      </c>
      <c r="AP50" s="750">
        <f t="shared" si="5"/>
        <v>551.21907554140103</v>
      </c>
      <c r="AQ50" s="751">
        <f t="shared" si="11"/>
        <v>27.2</v>
      </c>
      <c r="AR50" s="750">
        <f t="shared" si="6"/>
        <v>433.18200881500002</v>
      </c>
      <c r="AS50" s="750">
        <f t="shared" si="6"/>
        <v>553.06807554140107</v>
      </c>
      <c r="AT50" s="751">
        <f t="shared" si="12"/>
        <v>27.7</v>
      </c>
      <c r="AU50" s="730"/>
      <c r="AV50" s="730"/>
      <c r="AW50" s="725"/>
      <c r="AX50" s="725"/>
    </row>
    <row r="51" spans="1:50" s="752" customFormat="1" ht="18.75" customHeight="1" x14ac:dyDescent="0.3">
      <c r="A51" s="688" t="s">
        <v>427</v>
      </c>
      <c r="B51" s="449"/>
      <c r="C51" s="750"/>
      <c r="D51" s="750"/>
      <c r="E51" s="756"/>
      <c r="F51" s="750"/>
      <c r="G51" s="751"/>
      <c r="H51" s="756"/>
      <c r="I51" s="750"/>
      <c r="J51" s="751"/>
      <c r="K51" s="756"/>
      <c r="L51" s="750"/>
      <c r="M51" s="750"/>
      <c r="N51" s="756"/>
      <c r="O51" s="750"/>
      <c r="P51" s="751"/>
      <c r="Q51" s="756"/>
      <c r="R51" s="750"/>
      <c r="S51" s="751"/>
      <c r="T51" s="756"/>
      <c r="U51" s="750"/>
      <c r="V51" s="751"/>
      <c r="W51" s="449"/>
      <c r="X51" s="750"/>
      <c r="Y51" s="751"/>
      <c r="Z51" s="756"/>
      <c r="AA51" s="750"/>
      <c r="AB51" s="751"/>
      <c r="AC51" s="756"/>
      <c r="AD51" s="750"/>
      <c r="AE51" s="751"/>
      <c r="AF51" s="756"/>
      <c r="AG51" s="750"/>
      <c r="AH51" s="751"/>
      <c r="AI51" s="756"/>
      <c r="AJ51" s="750"/>
      <c r="AK51" s="751"/>
      <c r="AL51" s="756"/>
      <c r="AM51" s="750"/>
      <c r="AN51" s="751"/>
      <c r="AO51" s="750"/>
      <c r="AP51" s="750"/>
      <c r="AQ51" s="751"/>
      <c r="AR51" s="750"/>
      <c r="AS51" s="750"/>
      <c r="AT51" s="751"/>
      <c r="AU51" s="730"/>
      <c r="AV51" s="730"/>
      <c r="AW51" s="725"/>
      <c r="AX51" s="725"/>
    </row>
    <row r="52" spans="1:50" s="752" customFormat="1" ht="18.75" customHeight="1" x14ac:dyDescent="0.3">
      <c r="A52" s="688" t="s">
        <v>428</v>
      </c>
      <c r="B52" s="449"/>
      <c r="C52" s="750"/>
      <c r="D52" s="750"/>
      <c r="E52" s="756"/>
      <c r="F52" s="750"/>
      <c r="G52" s="751"/>
      <c r="H52" s="756"/>
      <c r="I52" s="750"/>
      <c r="J52" s="751"/>
      <c r="K52" s="756"/>
      <c r="L52" s="750"/>
      <c r="M52" s="750"/>
      <c r="N52" s="756"/>
      <c r="O52" s="750"/>
      <c r="P52" s="751"/>
      <c r="Q52" s="756"/>
      <c r="R52" s="750"/>
      <c r="S52" s="751"/>
      <c r="T52" s="756"/>
      <c r="U52" s="750"/>
      <c r="V52" s="751"/>
      <c r="W52" s="449"/>
      <c r="X52" s="750"/>
      <c r="Y52" s="751"/>
      <c r="Z52" s="756"/>
      <c r="AA52" s="750"/>
      <c r="AB52" s="751"/>
      <c r="AC52" s="756"/>
      <c r="AD52" s="750"/>
      <c r="AE52" s="751"/>
      <c r="AF52" s="756"/>
      <c r="AG52" s="750"/>
      <c r="AH52" s="751"/>
      <c r="AI52" s="756"/>
      <c r="AJ52" s="750"/>
      <c r="AK52" s="751"/>
      <c r="AL52" s="756"/>
      <c r="AM52" s="750"/>
      <c r="AN52" s="751"/>
      <c r="AO52" s="750"/>
      <c r="AP52" s="750"/>
      <c r="AQ52" s="751"/>
      <c r="AR52" s="700"/>
      <c r="AS52" s="700"/>
      <c r="AT52" s="751"/>
      <c r="AU52" s="730"/>
      <c r="AV52" s="730"/>
      <c r="AW52" s="725"/>
      <c r="AX52" s="725"/>
    </row>
    <row r="53" spans="1:50" s="752" customFormat="1" ht="18.75" customHeight="1" x14ac:dyDescent="0.3">
      <c r="A53" s="688" t="s">
        <v>429</v>
      </c>
      <c r="B53" s="449">
        <v>-0.33700000000000002</v>
      </c>
      <c r="C53" s="750">
        <v>0</v>
      </c>
      <c r="D53" s="750">
        <f>IF(B53=0, "    ---- ", IF(ABS(ROUND(100/B53*C53-100,1))&lt;999,ROUND(100/B53*C53-100,1),IF(ROUND(100/B53*C53-100,1)&gt;999,999,-999)))</f>
        <v>-100</v>
      </c>
      <c r="E53" s="756">
        <v>-0.66</v>
      </c>
      <c r="F53" s="750">
        <v>-0.79</v>
      </c>
      <c r="G53" s="751">
        <f>IF(E53=0, "    ---- ", IF(ABS(ROUND(100/E53*F53-100,1))&lt;999,ROUND(100/E53*F53-100,1),IF(ROUND(100/E53*F53-100,1)&gt;999,999,-999)))</f>
        <v>19.7</v>
      </c>
      <c r="H53" s="756">
        <v>4.7140000000000004</v>
      </c>
      <c r="I53" s="750">
        <v>1.73</v>
      </c>
      <c r="J53" s="751">
        <f>IF(H53=0, "    ---- ", IF(ABS(ROUND(100/H53*I53-100,1))&lt;999,ROUND(100/H53*I53-100,1),IF(ROUND(100/H53*I53-100,1)&gt;999,999,-999)))</f>
        <v>-63.3</v>
      </c>
      <c r="K53" s="756">
        <v>-1.6719999999999999</v>
      </c>
      <c r="L53" s="750">
        <v>-10.459999999999999</v>
      </c>
      <c r="M53" s="750">
        <f>IF(K53=0, "    ---- ", IF(ABS(ROUND(100/K53*L53-100,1))&lt;999,ROUND(100/K53*L53-100,1),IF(ROUND(100/K53*L53-100,1)&gt;999,999,-999)))</f>
        <v>525.6</v>
      </c>
      <c r="N53" s="756"/>
      <c r="O53" s="750"/>
      <c r="P53" s="751"/>
      <c r="Q53" s="756"/>
      <c r="R53" s="750"/>
      <c r="S53" s="751"/>
      <c r="T53" s="756"/>
      <c r="U53" s="750"/>
      <c r="V53" s="751"/>
      <c r="W53" s="449">
        <v>-0.63230299999999995</v>
      </c>
      <c r="X53" s="750">
        <v>-2.5804219999999995</v>
      </c>
      <c r="Y53" s="751">
        <f>IF(W53=0, "    ---- ", IF(ABS(ROUND(100/W53*X53-100,1))&lt;999,ROUND(100/W53*X53-100,1),IF(ROUND(100/W53*X53-100,1)&gt;999,999,-999)))</f>
        <v>308.10000000000002</v>
      </c>
      <c r="Z53" s="756"/>
      <c r="AA53" s="750"/>
      <c r="AB53" s="751"/>
      <c r="AC53" s="756"/>
      <c r="AD53" s="750"/>
      <c r="AE53" s="751"/>
      <c r="AF53" s="756"/>
      <c r="AG53" s="750"/>
      <c r="AH53" s="751"/>
      <c r="AI53" s="756">
        <v>-0.40400000000000003</v>
      </c>
      <c r="AJ53" s="750">
        <v>-0.53300000000000003</v>
      </c>
      <c r="AK53" s="751">
        <f>IF(AI53=0, "    ---- ", IF(ABS(ROUND(100/AI53*AJ53-100,1))&lt;999,ROUND(100/AI53*AJ53-100,1),IF(ROUND(100/AI53*AJ53-100,1)&gt;999,999,-999)))</f>
        <v>31.9</v>
      </c>
      <c r="AL53" s="756"/>
      <c r="AM53" s="750">
        <v>-5.1100000000000003</v>
      </c>
      <c r="AN53" s="751" t="str">
        <f>IF(AL53=0, "    ---- ", IF(ABS(ROUND(100/AL53*AM53-100,1))&lt;999,ROUND(100/AL53*AM53-100,1),IF(ROUND(100/AL53*AM53-100,1)&gt;999,999,-999)))</f>
        <v xml:space="preserve">    ---- </v>
      </c>
      <c r="AO53" s="750">
        <f t="shared" si="5"/>
        <v>1.0086970000000011</v>
      </c>
      <c r="AP53" s="750">
        <f t="shared" si="5"/>
        <v>-17.743421999999999</v>
      </c>
      <c r="AQ53" s="751">
        <f t="shared" si="11"/>
        <v>-999</v>
      </c>
      <c r="AR53" s="700">
        <f t="shared" si="6"/>
        <v>1.0086970000000011</v>
      </c>
      <c r="AS53" s="700">
        <f t="shared" si="6"/>
        <v>-17.743421999999999</v>
      </c>
      <c r="AT53" s="751">
        <f t="shared" si="12"/>
        <v>-999</v>
      </c>
      <c r="AU53" s="730"/>
      <c r="AV53" s="730"/>
      <c r="AW53" s="725"/>
      <c r="AX53" s="725"/>
    </row>
    <row r="54" spans="1:50" s="752" customFormat="1" ht="18.75" customHeight="1" x14ac:dyDescent="0.3">
      <c r="A54" s="688" t="s">
        <v>430</v>
      </c>
      <c r="B54" s="449"/>
      <c r="C54" s="750"/>
      <c r="D54" s="750"/>
      <c r="E54" s="756"/>
      <c r="F54" s="750"/>
      <c r="G54" s="751"/>
      <c r="H54" s="756"/>
      <c r="I54" s="750"/>
      <c r="J54" s="751"/>
      <c r="K54" s="756"/>
      <c r="L54" s="750"/>
      <c r="M54" s="750"/>
      <c r="N54" s="756"/>
      <c r="O54" s="750"/>
      <c r="P54" s="751"/>
      <c r="Q54" s="756"/>
      <c r="R54" s="750"/>
      <c r="S54" s="751"/>
      <c r="T54" s="756"/>
      <c r="U54" s="750"/>
      <c r="V54" s="751"/>
      <c r="W54" s="756"/>
      <c r="X54" s="750"/>
      <c r="Y54" s="751"/>
      <c r="Z54" s="756"/>
      <c r="AA54" s="750"/>
      <c r="AB54" s="751"/>
      <c r="AC54" s="756"/>
      <c r="AD54" s="750"/>
      <c r="AE54" s="751"/>
      <c r="AF54" s="756"/>
      <c r="AG54" s="750"/>
      <c r="AH54" s="751"/>
      <c r="AI54" s="756"/>
      <c r="AJ54" s="750"/>
      <c r="AK54" s="751"/>
      <c r="AL54" s="756"/>
      <c r="AM54" s="750"/>
      <c r="AN54" s="751"/>
      <c r="AO54" s="750"/>
      <c r="AP54" s="750"/>
      <c r="AQ54" s="751"/>
      <c r="AR54" s="700"/>
      <c r="AS54" s="700"/>
      <c r="AT54" s="751"/>
      <c r="AU54" s="730"/>
      <c r="AV54" s="730"/>
      <c r="AW54" s="725"/>
      <c r="AX54" s="725"/>
    </row>
    <row r="55" spans="1:50" s="752" customFormat="1" ht="18.75" customHeight="1" x14ac:dyDescent="0.3">
      <c r="A55" s="688" t="s">
        <v>431</v>
      </c>
      <c r="B55" s="449"/>
      <c r="C55" s="750"/>
      <c r="D55" s="750"/>
      <c r="E55" s="756"/>
      <c r="F55" s="750"/>
      <c r="G55" s="751"/>
      <c r="H55" s="756">
        <v>3.4000000000000002E-2</v>
      </c>
      <c r="I55" s="750"/>
      <c r="J55" s="751">
        <f>IF(H55=0, "    ---- ", IF(ABS(ROUND(100/H55*I55-100,1))&lt;999,ROUND(100/H55*I55-100,1),IF(ROUND(100/H55*I55-100,1)&gt;999,999,-999)))</f>
        <v>-100</v>
      </c>
      <c r="K55" s="756"/>
      <c r="L55" s="750">
        <v>112.12100000000001</v>
      </c>
      <c r="M55" s="750"/>
      <c r="N55" s="756"/>
      <c r="O55" s="750"/>
      <c r="P55" s="751"/>
      <c r="Q55" s="756"/>
      <c r="R55" s="750"/>
      <c r="S55" s="751"/>
      <c r="T55" s="756"/>
      <c r="U55" s="750"/>
      <c r="V55" s="751"/>
      <c r="W55" s="756">
        <v>18.735525000000003</v>
      </c>
      <c r="X55" s="750">
        <v>0</v>
      </c>
      <c r="Y55" s="751">
        <f>IF(W55=0, "    ---- ", IF(ABS(ROUND(100/W55*X55-100,1))&lt;999,ROUND(100/W55*X55-100,1),IF(ROUND(100/W55*X55-100,1)&gt;999,999,-999)))</f>
        <v>-100</v>
      </c>
      <c r="Z55" s="756"/>
      <c r="AA55" s="750"/>
      <c r="AB55" s="751"/>
      <c r="AC55" s="756"/>
      <c r="AD55" s="750"/>
      <c r="AE55" s="751"/>
      <c r="AF55" s="756"/>
      <c r="AG55" s="750"/>
      <c r="AH55" s="751"/>
      <c r="AI55" s="756"/>
      <c r="AJ55" s="750"/>
      <c r="AK55" s="751"/>
      <c r="AL55" s="756"/>
      <c r="AM55" s="750"/>
      <c r="AN55" s="751"/>
      <c r="AO55" s="750">
        <f t="shared" si="5"/>
        <v>18.769525000000002</v>
      </c>
      <c r="AP55" s="750">
        <f t="shared" si="5"/>
        <v>112.12100000000001</v>
      </c>
      <c r="AQ55" s="751">
        <f t="shared" si="11"/>
        <v>497.4</v>
      </c>
      <c r="AR55" s="700">
        <f t="shared" si="6"/>
        <v>18.769525000000002</v>
      </c>
      <c r="AS55" s="700">
        <f t="shared" si="6"/>
        <v>112.12100000000001</v>
      </c>
      <c r="AT55" s="751">
        <f t="shared" si="12"/>
        <v>497.4</v>
      </c>
      <c r="AU55" s="730"/>
      <c r="AV55" s="730"/>
      <c r="AW55" s="725"/>
      <c r="AX55" s="725"/>
    </row>
    <row r="56" spans="1:50" s="755" customFormat="1" ht="18.75" customHeight="1" x14ac:dyDescent="0.3">
      <c r="A56" s="679" t="s">
        <v>432</v>
      </c>
      <c r="B56" s="680">
        <v>13.048999999999999</v>
      </c>
      <c r="C56" s="748">
        <f>SUM(C48:C53)+C55</f>
        <v>9.1370000000000005</v>
      </c>
      <c r="D56" s="748">
        <f>IF(B56=0, "    ---- ", IF(ABS(ROUND(100/B56*C56-100,1))&lt;999,ROUND(100/B56*C56-100,1),IF(ROUND(100/B56*C56-100,1)&gt;999,999,-999)))</f>
        <v>-30</v>
      </c>
      <c r="E56" s="757">
        <v>3626.654</v>
      </c>
      <c r="F56" s="748">
        <f>SUM(F48:F53)+F55</f>
        <v>5805.7000000000007</v>
      </c>
      <c r="G56" s="749">
        <f>IF(E56=0, "    ---- ", IF(ABS(ROUND(100/E56*F56-100,1))&lt;999,ROUND(100/E56*F56-100,1),IF(ROUND(100/E56*F56-100,1)&gt;999,999,-999)))</f>
        <v>60.1</v>
      </c>
      <c r="H56" s="757">
        <v>9.8830000000000009</v>
      </c>
      <c r="I56" s="748">
        <f>SUM(I48:I53)+I55</f>
        <v>-1.4380000000000002</v>
      </c>
      <c r="J56" s="749">
        <f>IF(H56=0, "    ---- ", IF(ABS(ROUND(100/H56*I56-100,1))&lt;999,ROUND(100/H56*I56-100,1),IF(ROUND(100/H56*I56-100,1)&gt;999,999,-999)))</f>
        <v>-114.6</v>
      </c>
      <c r="K56" s="757">
        <v>-38.631999999999998</v>
      </c>
      <c r="L56" s="748">
        <f>SUM(L48:L53)+L55</f>
        <v>70.441000000000003</v>
      </c>
      <c r="M56" s="748">
        <f>IF(K56=0, "    ---- ", IF(ABS(ROUND(100/K56*L56-100,1))&lt;999,ROUND(100/K56*L56-100,1),IF(ROUND(100/K56*L56-100,1)&gt;999,999,-999)))</f>
        <v>-282.3</v>
      </c>
      <c r="N56" s="757"/>
      <c r="O56" s="748"/>
      <c r="P56" s="751"/>
      <c r="Q56" s="757"/>
      <c r="R56" s="748"/>
      <c r="S56" s="749"/>
      <c r="T56" s="757">
        <v>-26</v>
      </c>
      <c r="U56" s="748">
        <f>SUM(U48:U53)+U55</f>
        <v>-34</v>
      </c>
      <c r="V56" s="749">
        <f>IF(T56=0, "    ---- ", IF(ABS(ROUND(100/T56*U56-100,1))&lt;999,ROUND(100/T56*U56-100,1),IF(ROUND(100/T56*U56-100,1)&gt;999,999,-999)))</f>
        <v>30.8</v>
      </c>
      <c r="W56" s="748">
        <f>SUM(W48:W53)+W55</f>
        <v>146.60523081500003</v>
      </c>
      <c r="X56" s="748">
        <f>SUM(X48:X53)+X55</f>
        <v>153.42065354140104</v>
      </c>
      <c r="Y56" s="749">
        <f>IF(W56=0, "    ---- ", IF(ABS(ROUND(100/W56*X56-100,1))&lt;999,ROUND(100/W56*X56-100,1),IF(ROUND(100/W56*X56-100,1)&gt;999,999,-999)))</f>
        <v>4.5999999999999996</v>
      </c>
      <c r="Z56" s="757"/>
      <c r="AA56" s="748"/>
      <c r="AB56" s="749"/>
      <c r="AC56" s="757"/>
      <c r="AD56" s="748">
        <f>SUM(AD48:AD53)+AD55</f>
        <v>1.849</v>
      </c>
      <c r="AE56" s="749"/>
      <c r="AF56" s="757"/>
      <c r="AG56" s="748"/>
      <c r="AH56" s="749"/>
      <c r="AI56" s="757">
        <v>30.564000000000004</v>
      </c>
      <c r="AJ56" s="748">
        <f>SUM(AJ48:AJ53)+AJ55</f>
        <v>38.427</v>
      </c>
      <c r="AK56" s="749">
        <f>IF(AI56=0, "    ---- ", IF(ABS(ROUND(100/AI56*AJ56-100,1))&lt;999,ROUND(100/AI56*AJ56-100,1),IF(ROUND(100/AI56*AJ56-100,1)&gt;999,999,-999)))</f>
        <v>25.7</v>
      </c>
      <c r="AL56" s="757">
        <v>198.9</v>
      </c>
      <c r="AM56" s="748">
        <f>SUM(AM48:AM53)+AM55</f>
        <v>238.76</v>
      </c>
      <c r="AN56" s="749">
        <f>IF(AL56=0, "    ---- ", IF(ABS(ROUND(100/AL56*AM56-100,1))&lt;999,ROUND(100/AL56*AM56-100,1),IF(ROUND(100/AL56*AM56-100,1)&gt;999,999,-999)))</f>
        <v>20</v>
      </c>
      <c r="AO56" s="748">
        <f t="shared" si="5"/>
        <v>3961.0232308149998</v>
      </c>
      <c r="AP56" s="748">
        <f t="shared" si="5"/>
        <v>6280.4476535414015</v>
      </c>
      <c r="AQ56" s="749">
        <f t="shared" si="11"/>
        <v>58.6</v>
      </c>
      <c r="AR56" s="748">
        <f t="shared" si="6"/>
        <v>3961.0232308149998</v>
      </c>
      <c r="AS56" s="748">
        <f t="shared" si="6"/>
        <v>6282.2966535414016</v>
      </c>
      <c r="AT56" s="749">
        <f t="shared" si="12"/>
        <v>58.6</v>
      </c>
      <c r="AU56" s="728"/>
      <c r="AV56" s="728"/>
      <c r="AW56" s="754"/>
      <c r="AX56" s="754"/>
    </row>
    <row r="57" spans="1:50" s="752" customFormat="1" ht="18.75" customHeight="1" x14ac:dyDescent="0.3">
      <c r="A57" s="688" t="s">
        <v>433</v>
      </c>
      <c r="B57" s="756"/>
      <c r="C57" s="750"/>
      <c r="D57" s="750"/>
      <c r="E57" s="756">
        <v>3497.9290000000001</v>
      </c>
      <c r="F57" s="750">
        <v>5607.85</v>
      </c>
      <c r="G57" s="750">
        <f>IF(E57=0, "    ---- ", IF(ABS(ROUND(100/E57*F57-100,1))&lt;999,ROUND(100/E57*F57-100,1),IF(ROUND(100/E57*F57-100,1)&gt;999,999,-999)))</f>
        <v>60.3</v>
      </c>
      <c r="H57" s="756"/>
      <c r="I57" s="750"/>
      <c r="J57" s="751"/>
      <c r="K57" s="756">
        <v>2.8079999999999998</v>
      </c>
      <c r="L57" s="750">
        <v>0.996</v>
      </c>
      <c r="M57" s="750">
        <f>IF(K57=0, "    ---- ", IF(ABS(ROUND(100/K57*L57-100,1))&lt;999,ROUND(100/K57*L57-100,1),IF(ROUND(100/K57*L57-100,1)&gt;999,999,-999)))</f>
        <v>-64.5</v>
      </c>
      <c r="N57" s="756"/>
      <c r="O57" s="750"/>
      <c r="P57" s="751"/>
      <c r="Q57" s="756"/>
      <c r="R57" s="750"/>
      <c r="S57" s="751"/>
      <c r="T57" s="756"/>
      <c r="U57" s="750"/>
      <c r="V57" s="751"/>
      <c r="W57" s="756">
        <v>0</v>
      </c>
      <c r="X57" s="750">
        <v>0</v>
      </c>
      <c r="Y57" s="751"/>
      <c r="Z57" s="756"/>
      <c r="AA57" s="750"/>
      <c r="AB57" s="751"/>
      <c r="AC57" s="756"/>
      <c r="AD57" s="750"/>
      <c r="AE57" s="751"/>
      <c r="AF57" s="756"/>
      <c r="AG57" s="750"/>
      <c r="AH57" s="751"/>
      <c r="AI57" s="756"/>
      <c r="AJ57" s="750">
        <v>8.1039999999999992</v>
      </c>
      <c r="AK57" s="751"/>
      <c r="AL57" s="756"/>
      <c r="AM57" s="750">
        <v>-5.16</v>
      </c>
      <c r="AN57" s="751" t="str">
        <f>IF(AL57=0, "    ---- ", IF(ABS(ROUND(100/AL57*AM57-100,1))&lt;999,ROUND(100/AL57*AM57-100,1),IF(ROUND(100/AL57*AM57-100,1)&gt;999,999,-999)))</f>
        <v xml:space="preserve">    ---- </v>
      </c>
      <c r="AO57" s="750">
        <f t="shared" si="5"/>
        <v>3500.7370000000001</v>
      </c>
      <c r="AP57" s="750">
        <f t="shared" si="5"/>
        <v>5611.7900000000009</v>
      </c>
      <c r="AQ57" s="751">
        <f t="shared" si="11"/>
        <v>60.3</v>
      </c>
      <c r="AR57" s="700">
        <f t="shared" si="6"/>
        <v>3500.7370000000001</v>
      </c>
      <c r="AS57" s="700">
        <f t="shared" si="6"/>
        <v>5611.7900000000009</v>
      </c>
      <c r="AT57" s="751">
        <f t="shared" si="12"/>
        <v>60.3</v>
      </c>
      <c r="AU57" s="730"/>
      <c r="AV57" s="730"/>
      <c r="AW57" s="725"/>
      <c r="AX57" s="725"/>
    </row>
    <row r="58" spans="1:50" s="752" customFormat="1" ht="18.75" customHeight="1" x14ac:dyDescent="0.3">
      <c r="A58" s="688" t="s">
        <v>434</v>
      </c>
      <c r="B58" s="756">
        <v>13.048999999999999</v>
      </c>
      <c r="C58" s="750">
        <v>9.1370000000000005</v>
      </c>
      <c r="D58" s="750">
        <f>IF(B58=0, "    ---- ", IF(ABS(ROUND(100/B58*C58-100,1))&lt;999,ROUND(100/B58*C58-100,1),IF(ROUND(100/B58*C58-100,1)&gt;999,999,-999)))</f>
        <v>-30</v>
      </c>
      <c r="E58" s="756">
        <v>129.31899999999999</v>
      </c>
      <c r="F58" s="750">
        <v>197.85</v>
      </c>
      <c r="G58" s="751">
        <f>IF(E58=0, "    ---- ", IF(ABS(ROUND(100/E58*F58-100,1))&lt;999,ROUND(100/E58*F58-100,1),IF(ROUND(100/E58*F58-100,1)&gt;999,999,-999)))</f>
        <v>53</v>
      </c>
      <c r="H58" s="756">
        <v>9.8149999999999995</v>
      </c>
      <c r="I58" s="750">
        <v>-1.4380000000000002</v>
      </c>
      <c r="J58" s="751">
        <f>IF(H58=0, "    ---- ", IF(ABS(ROUND(100/H58*I58-100,1))&lt;999,ROUND(100/H58*I58-100,1),IF(ROUND(100/H58*I58-100,1)&gt;999,999,-999)))</f>
        <v>-114.7</v>
      </c>
      <c r="K58" s="756">
        <v>-41.44</v>
      </c>
      <c r="L58" s="750">
        <v>69.445000000000007</v>
      </c>
      <c r="M58" s="750">
        <f>IF(K58=0, "    ---- ", IF(ABS(ROUND(100/K58*L58-100,1))&lt;999,ROUND(100/K58*L58-100,1),IF(ROUND(100/K58*L58-100,1)&gt;999,999,-999)))</f>
        <v>-267.60000000000002</v>
      </c>
      <c r="N58" s="756"/>
      <c r="O58" s="750"/>
      <c r="P58" s="751"/>
      <c r="Q58" s="756"/>
      <c r="R58" s="750"/>
      <c r="S58" s="751"/>
      <c r="T58" s="756">
        <v>-26</v>
      </c>
      <c r="U58" s="750">
        <v>-34</v>
      </c>
      <c r="V58" s="751">
        <f>IF(T58=0, "    ---- ", IF(ABS(ROUND(100/T58*U58-100,1))&lt;999,ROUND(100/T58*U58-100,1),IF(ROUND(100/T58*U58-100,1)&gt;999,999,-999)))</f>
        <v>30.8</v>
      </c>
      <c r="W58" s="756">
        <v>146.60523081500003</v>
      </c>
      <c r="X58" s="750">
        <v>153.42065354140104</v>
      </c>
      <c r="Y58" s="751">
        <f>IF(W58=0, "    ---- ", IF(ABS(ROUND(100/W58*X58-100,1))&lt;999,ROUND(100/W58*X58-100,1),IF(ROUND(100/W58*X58-100,1)&gt;999,999,-999)))</f>
        <v>4.5999999999999996</v>
      </c>
      <c r="Z58" s="756"/>
      <c r="AA58" s="750"/>
      <c r="AB58" s="751"/>
      <c r="AC58" s="756"/>
      <c r="AD58" s="750">
        <v>1.849</v>
      </c>
      <c r="AE58" s="751"/>
      <c r="AF58" s="756"/>
      <c r="AG58" s="750"/>
      <c r="AH58" s="751"/>
      <c r="AI58" s="756">
        <v>30.564000000000004</v>
      </c>
      <c r="AJ58" s="750">
        <v>30.323</v>
      </c>
      <c r="AK58" s="751">
        <f>IF(AI58=0, "    ---- ", IF(ABS(ROUND(100/AI58*AJ58-100,1))&lt;999,ROUND(100/AI58*AJ58-100,1),IF(ROUND(100/AI58*AJ58-100,1)&gt;999,999,-999)))</f>
        <v>-0.8</v>
      </c>
      <c r="AL58" s="756">
        <v>198.9</v>
      </c>
      <c r="AM58" s="750">
        <v>243.91</v>
      </c>
      <c r="AN58" s="751">
        <f>IF(AL58=0, "    ---- ", IF(ABS(ROUND(100/AL58*AM58-100,1))&lt;999,ROUND(100/AL58*AM58-100,1),IF(ROUND(100/AL58*AM58-100,1)&gt;999,999,-999)))</f>
        <v>22.6</v>
      </c>
      <c r="AO58" s="750">
        <f t="shared" si="5"/>
        <v>460.81223081500002</v>
      </c>
      <c r="AP58" s="750">
        <f t="shared" si="5"/>
        <v>668.64765354140104</v>
      </c>
      <c r="AQ58" s="751">
        <f t="shared" si="11"/>
        <v>45.1</v>
      </c>
      <c r="AR58" s="700">
        <f t="shared" si="6"/>
        <v>460.81223081500002</v>
      </c>
      <c r="AS58" s="700">
        <f t="shared" si="6"/>
        <v>670.49665354140109</v>
      </c>
      <c r="AT58" s="751">
        <f t="shared" si="12"/>
        <v>45.5</v>
      </c>
      <c r="AU58" s="730"/>
      <c r="AV58" s="730"/>
      <c r="AW58" s="725"/>
      <c r="AX58" s="725"/>
    </row>
    <row r="59" spans="1:50" s="752" customFormat="1" ht="18.75" customHeight="1" x14ac:dyDescent="0.3">
      <c r="A59" s="758" t="s">
        <v>448</v>
      </c>
      <c r="B59" s="756"/>
      <c r="C59" s="750"/>
      <c r="D59" s="750"/>
      <c r="E59" s="756"/>
      <c r="F59" s="750"/>
      <c r="G59" s="751"/>
      <c r="H59" s="756"/>
      <c r="I59" s="750"/>
      <c r="J59" s="751"/>
      <c r="K59" s="756"/>
      <c r="L59" s="750"/>
      <c r="M59" s="750"/>
      <c r="N59" s="756"/>
      <c r="O59" s="750"/>
      <c r="P59" s="751"/>
      <c r="Q59" s="756"/>
      <c r="R59" s="750"/>
      <c r="S59" s="751"/>
      <c r="T59" s="756"/>
      <c r="U59" s="750"/>
      <c r="V59" s="751"/>
      <c r="W59" s="756"/>
      <c r="X59" s="750"/>
      <c r="Y59" s="751"/>
      <c r="Z59" s="756"/>
      <c r="AA59" s="750"/>
      <c r="AB59" s="751"/>
      <c r="AC59" s="756"/>
      <c r="AD59" s="750"/>
      <c r="AE59" s="751"/>
      <c r="AF59" s="756"/>
      <c r="AG59" s="750"/>
      <c r="AH59" s="751"/>
      <c r="AI59" s="756"/>
      <c r="AJ59" s="750"/>
      <c r="AK59" s="751"/>
      <c r="AL59" s="756"/>
      <c r="AM59" s="750"/>
      <c r="AN59" s="751"/>
      <c r="AO59" s="750"/>
      <c r="AP59" s="750"/>
      <c r="AQ59" s="751"/>
      <c r="AR59" s="700"/>
      <c r="AS59" s="700"/>
      <c r="AT59" s="751"/>
      <c r="AU59" s="730"/>
      <c r="AV59" s="730"/>
      <c r="AW59" s="725"/>
      <c r="AX59" s="725"/>
    </row>
    <row r="60" spans="1:50" s="752" customFormat="1" ht="18.75" customHeight="1" x14ac:dyDescent="0.3">
      <c r="A60" s="759" t="s">
        <v>424</v>
      </c>
      <c r="B60" s="756"/>
      <c r="C60" s="750"/>
      <c r="D60" s="750"/>
      <c r="E60" s="756"/>
      <c r="F60" s="750"/>
      <c r="G60" s="751"/>
      <c r="H60" s="756"/>
      <c r="I60" s="750"/>
      <c r="J60" s="751"/>
      <c r="K60" s="756"/>
      <c r="L60" s="750"/>
      <c r="M60" s="750"/>
      <c r="N60" s="756"/>
      <c r="O60" s="750"/>
      <c r="P60" s="751"/>
      <c r="Q60" s="756"/>
      <c r="R60" s="750"/>
      <c r="S60" s="751"/>
      <c r="T60" s="756"/>
      <c r="U60" s="750"/>
      <c r="V60" s="751"/>
      <c r="W60" s="756"/>
      <c r="X60" s="750"/>
      <c r="Y60" s="751"/>
      <c r="Z60" s="756"/>
      <c r="AA60" s="750"/>
      <c r="AB60" s="751"/>
      <c r="AC60" s="756"/>
      <c r="AD60" s="750"/>
      <c r="AE60" s="751"/>
      <c r="AF60" s="756"/>
      <c r="AG60" s="750"/>
      <c r="AH60" s="751"/>
      <c r="AI60" s="756">
        <v>1.966</v>
      </c>
      <c r="AJ60" s="750">
        <v>12.115</v>
      </c>
      <c r="AK60" s="751">
        <f t="shared" ref="AK60:AK70" si="13">IF(AI60=0, "    ---- ", IF(ABS(ROUND(100/AI60*AJ60-100,1))&lt;999,ROUND(100/AI60*AJ60-100,1),IF(ROUND(100/AI60*AJ60-100,1)&gt;999,999,-999)))</f>
        <v>516.20000000000005</v>
      </c>
      <c r="AL60" s="756"/>
      <c r="AM60" s="750">
        <v>31.47</v>
      </c>
      <c r="AN60" s="751" t="str">
        <f>IF(AL60=0, "    ---- ", IF(ABS(ROUND(100/AL60*AM60-100,1))&lt;999,ROUND(100/AL60*AM60-100,1),IF(ROUND(100/AL60*AM60-100,1)&gt;999,999,-999)))</f>
        <v xml:space="preserve">    ---- </v>
      </c>
      <c r="AO60" s="750">
        <f t="shared" si="5"/>
        <v>1.966</v>
      </c>
      <c r="AP60" s="750">
        <f t="shared" si="5"/>
        <v>43.585000000000001</v>
      </c>
      <c r="AQ60" s="751">
        <f t="shared" si="11"/>
        <v>999</v>
      </c>
      <c r="AR60" s="700">
        <f t="shared" si="6"/>
        <v>1.966</v>
      </c>
      <c r="AS60" s="700">
        <f t="shared" si="6"/>
        <v>43.585000000000001</v>
      </c>
      <c r="AT60" s="751">
        <f t="shared" si="12"/>
        <v>999</v>
      </c>
      <c r="AU60" s="730"/>
      <c r="AV60" s="730"/>
      <c r="AW60" s="725"/>
      <c r="AX60" s="725"/>
    </row>
    <row r="61" spans="1:50" s="752" customFormat="1" ht="18.75" customHeight="1" x14ac:dyDescent="0.3">
      <c r="A61" s="759" t="s">
        <v>425</v>
      </c>
      <c r="B61" s="756"/>
      <c r="C61" s="750"/>
      <c r="D61" s="750"/>
      <c r="E61" s="756"/>
      <c r="F61" s="750"/>
      <c r="G61" s="751"/>
      <c r="H61" s="756"/>
      <c r="I61" s="750"/>
      <c r="J61" s="751"/>
      <c r="K61" s="756"/>
      <c r="L61" s="750"/>
      <c r="M61" s="750"/>
      <c r="N61" s="756"/>
      <c r="O61" s="750"/>
      <c r="P61" s="751"/>
      <c r="Q61" s="756"/>
      <c r="R61" s="750"/>
      <c r="S61" s="751"/>
      <c r="T61" s="756"/>
      <c r="U61" s="750"/>
      <c r="V61" s="751"/>
      <c r="W61" s="756"/>
      <c r="X61" s="750"/>
      <c r="Y61" s="751"/>
      <c r="Z61" s="756"/>
      <c r="AA61" s="750"/>
      <c r="AB61" s="751"/>
      <c r="AC61" s="756"/>
      <c r="AD61" s="750"/>
      <c r="AE61" s="751"/>
      <c r="AF61" s="756"/>
      <c r="AG61" s="750"/>
      <c r="AH61" s="751"/>
      <c r="AI61" s="756">
        <v>-1.966</v>
      </c>
      <c r="AJ61" s="750"/>
      <c r="AK61" s="751">
        <f t="shared" si="13"/>
        <v>-100</v>
      </c>
      <c r="AL61" s="756"/>
      <c r="AM61" s="750"/>
      <c r="AN61" s="751"/>
      <c r="AO61" s="750">
        <f t="shared" si="5"/>
        <v>-1.966</v>
      </c>
      <c r="AP61" s="750">
        <f t="shared" si="5"/>
        <v>0</v>
      </c>
      <c r="AQ61" s="751">
        <f t="shared" si="11"/>
        <v>-100</v>
      </c>
      <c r="AR61" s="700">
        <f t="shared" si="6"/>
        <v>-1.966</v>
      </c>
      <c r="AS61" s="700">
        <f t="shared" si="6"/>
        <v>0</v>
      </c>
      <c r="AT61" s="751">
        <f t="shared" si="12"/>
        <v>-100</v>
      </c>
      <c r="AU61" s="730"/>
      <c r="AV61" s="730"/>
      <c r="AW61" s="725"/>
      <c r="AX61" s="725"/>
    </row>
    <row r="62" spans="1:50" s="752" customFormat="1" ht="18.75" customHeight="1" x14ac:dyDescent="0.3">
      <c r="A62" s="759" t="s">
        <v>426</v>
      </c>
      <c r="B62" s="756"/>
      <c r="C62" s="750"/>
      <c r="D62" s="750"/>
      <c r="E62" s="756"/>
      <c r="F62" s="750"/>
      <c r="G62" s="751"/>
      <c r="H62" s="756"/>
      <c r="I62" s="750"/>
      <c r="J62" s="751"/>
      <c r="K62" s="756"/>
      <c r="L62" s="750"/>
      <c r="M62" s="750"/>
      <c r="N62" s="756"/>
      <c r="O62" s="750"/>
      <c r="P62" s="751"/>
      <c r="Q62" s="756"/>
      <c r="R62" s="750"/>
      <c r="S62" s="751"/>
      <c r="T62" s="756"/>
      <c r="U62" s="750"/>
      <c r="V62" s="751"/>
      <c r="W62" s="756"/>
      <c r="X62" s="750"/>
      <c r="Y62" s="751"/>
      <c r="Z62" s="756"/>
      <c r="AA62" s="750"/>
      <c r="AB62" s="751"/>
      <c r="AC62" s="756"/>
      <c r="AD62" s="750"/>
      <c r="AE62" s="751"/>
      <c r="AF62" s="756"/>
      <c r="AG62" s="750"/>
      <c r="AH62" s="751"/>
      <c r="AI62" s="756">
        <v>-17.632999999999999</v>
      </c>
      <c r="AJ62" s="750">
        <v>-22.454000000000001</v>
      </c>
      <c r="AK62" s="751">
        <f t="shared" si="13"/>
        <v>27.3</v>
      </c>
      <c r="AL62" s="756"/>
      <c r="AM62" s="750">
        <v>-8.5299999999999994</v>
      </c>
      <c r="AN62" s="751" t="str">
        <f>IF(AL62=0, "    ---- ", IF(ABS(ROUND(100/AL62*AM62-100,1))&lt;999,ROUND(100/AL62*AM62-100,1),IF(ROUND(100/AL62*AM62-100,1)&gt;999,999,-999)))</f>
        <v xml:space="preserve">    ---- </v>
      </c>
      <c r="AO62" s="750">
        <f t="shared" si="5"/>
        <v>-17.632999999999999</v>
      </c>
      <c r="AP62" s="750">
        <f t="shared" si="5"/>
        <v>-30.984000000000002</v>
      </c>
      <c r="AQ62" s="751">
        <f t="shared" si="11"/>
        <v>75.7</v>
      </c>
      <c r="AR62" s="700">
        <f t="shared" si="6"/>
        <v>-17.632999999999999</v>
      </c>
      <c r="AS62" s="700">
        <f t="shared" si="6"/>
        <v>-30.984000000000002</v>
      </c>
      <c r="AT62" s="751">
        <f t="shared" si="12"/>
        <v>75.7</v>
      </c>
      <c r="AU62" s="730"/>
      <c r="AV62" s="730"/>
      <c r="AW62" s="725"/>
      <c r="AX62" s="725"/>
    </row>
    <row r="63" spans="1:50" s="752" customFormat="1" ht="18.75" customHeight="1" x14ac:dyDescent="0.3">
      <c r="A63" s="759" t="s">
        <v>427</v>
      </c>
      <c r="B63" s="756"/>
      <c r="C63" s="750"/>
      <c r="D63" s="750"/>
      <c r="E63" s="756"/>
      <c r="F63" s="750"/>
      <c r="G63" s="751"/>
      <c r="H63" s="756"/>
      <c r="I63" s="750"/>
      <c r="J63" s="751"/>
      <c r="K63" s="756"/>
      <c r="L63" s="750"/>
      <c r="M63" s="750"/>
      <c r="N63" s="756"/>
      <c r="O63" s="750"/>
      <c r="P63" s="751"/>
      <c r="Q63" s="756"/>
      <c r="R63" s="750"/>
      <c r="S63" s="751"/>
      <c r="T63" s="756"/>
      <c r="U63" s="750"/>
      <c r="V63" s="751"/>
      <c r="W63" s="756"/>
      <c r="X63" s="750"/>
      <c r="Y63" s="751"/>
      <c r="Z63" s="756"/>
      <c r="AA63" s="750"/>
      <c r="AB63" s="751"/>
      <c r="AC63" s="756"/>
      <c r="AD63" s="750"/>
      <c r="AE63" s="751"/>
      <c r="AF63" s="756"/>
      <c r="AG63" s="750"/>
      <c r="AH63" s="751"/>
      <c r="AI63" s="756"/>
      <c r="AJ63" s="750"/>
      <c r="AK63" s="751"/>
      <c r="AL63" s="756"/>
      <c r="AM63" s="750">
        <v>8.19</v>
      </c>
      <c r="AN63" s="751" t="str">
        <f>IF(AL63=0, "    ---- ", IF(ABS(ROUND(100/AL63*AM63-100,1))&lt;999,ROUND(100/AL63*AM63-100,1),IF(ROUND(100/AL63*AM63-100,1)&gt;999,999,-999)))</f>
        <v xml:space="preserve">    ---- </v>
      </c>
      <c r="AO63" s="750">
        <f t="shared" si="5"/>
        <v>0</v>
      </c>
      <c r="AP63" s="750">
        <f t="shared" si="5"/>
        <v>8.19</v>
      </c>
      <c r="AQ63" s="751" t="str">
        <f t="shared" si="11"/>
        <v xml:space="preserve">    ---- </v>
      </c>
      <c r="AR63" s="700">
        <f t="shared" si="6"/>
        <v>0</v>
      </c>
      <c r="AS63" s="700">
        <f t="shared" si="6"/>
        <v>8.19</v>
      </c>
      <c r="AT63" s="751" t="str">
        <f t="shared" si="12"/>
        <v xml:space="preserve">    ---- </v>
      </c>
      <c r="AU63" s="730"/>
      <c r="AV63" s="730"/>
      <c r="AW63" s="725"/>
      <c r="AX63" s="725"/>
    </row>
    <row r="64" spans="1:50" s="752" customFormat="1" ht="18.75" customHeight="1" x14ac:dyDescent="0.3">
      <c r="A64" s="759" t="s">
        <v>428</v>
      </c>
      <c r="B64" s="756"/>
      <c r="C64" s="750"/>
      <c r="D64" s="750"/>
      <c r="E64" s="756"/>
      <c r="F64" s="750"/>
      <c r="G64" s="751"/>
      <c r="H64" s="756"/>
      <c r="I64" s="750"/>
      <c r="J64" s="751"/>
      <c r="K64" s="756"/>
      <c r="L64" s="750"/>
      <c r="M64" s="750"/>
      <c r="N64" s="756"/>
      <c r="O64" s="750"/>
      <c r="P64" s="751"/>
      <c r="Q64" s="756"/>
      <c r="R64" s="750"/>
      <c r="S64" s="751"/>
      <c r="T64" s="756"/>
      <c r="U64" s="750"/>
      <c r="V64" s="751"/>
      <c r="W64" s="756"/>
      <c r="X64" s="750"/>
      <c r="Y64" s="751"/>
      <c r="Z64" s="756"/>
      <c r="AA64" s="750"/>
      <c r="AB64" s="751"/>
      <c r="AC64" s="756"/>
      <c r="AD64" s="750"/>
      <c r="AE64" s="751"/>
      <c r="AF64" s="756"/>
      <c r="AG64" s="750"/>
      <c r="AH64" s="751"/>
      <c r="AI64" s="756">
        <v>0.17599999999999999</v>
      </c>
      <c r="AJ64" s="750">
        <v>0.44</v>
      </c>
      <c r="AK64" s="751">
        <f t="shared" si="13"/>
        <v>150</v>
      </c>
      <c r="AL64" s="756"/>
      <c r="AM64" s="750"/>
      <c r="AN64" s="751"/>
      <c r="AO64" s="750">
        <f t="shared" si="5"/>
        <v>0.17599999999999999</v>
      </c>
      <c r="AP64" s="750">
        <f t="shared" si="5"/>
        <v>0.44</v>
      </c>
      <c r="AQ64" s="751">
        <f t="shared" si="11"/>
        <v>150</v>
      </c>
      <c r="AR64" s="700">
        <f t="shared" si="6"/>
        <v>0.17599999999999999</v>
      </c>
      <c r="AS64" s="700">
        <f t="shared" si="6"/>
        <v>0.44</v>
      </c>
      <c r="AT64" s="751">
        <f t="shared" si="12"/>
        <v>150</v>
      </c>
      <c r="AU64" s="730"/>
      <c r="AV64" s="730"/>
      <c r="AW64" s="725"/>
      <c r="AX64" s="725"/>
    </row>
    <row r="65" spans="1:50" s="752" customFormat="1" ht="18.75" customHeight="1" x14ac:dyDescent="0.3">
      <c r="A65" s="759" t="s">
        <v>429</v>
      </c>
      <c r="B65" s="756"/>
      <c r="C65" s="750"/>
      <c r="D65" s="750"/>
      <c r="E65" s="756"/>
      <c r="F65" s="750"/>
      <c r="G65" s="751"/>
      <c r="H65" s="756"/>
      <c r="I65" s="750"/>
      <c r="J65" s="751"/>
      <c r="K65" s="756"/>
      <c r="L65" s="750"/>
      <c r="M65" s="750"/>
      <c r="N65" s="756"/>
      <c r="O65" s="750"/>
      <c r="P65" s="751"/>
      <c r="Q65" s="756"/>
      <c r="R65" s="750"/>
      <c r="S65" s="751"/>
      <c r="T65" s="756"/>
      <c r="U65" s="750"/>
      <c r="V65" s="751"/>
      <c r="W65" s="756"/>
      <c r="X65" s="750"/>
      <c r="Y65" s="751"/>
      <c r="Z65" s="756"/>
      <c r="AA65" s="750"/>
      <c r="AB65" s="751"/>
      <c r="AC65" s="756"/>
      <c r="AD65" s="750"/>
      <c r="AE65" s="751"/>
      <c r="AF65" s="756"/>
      <c r="AG65" s="750"/>
      <c r="AH65" s="751"/>
      <c r="AI65" s="756">
        <v>-1.2E-2</v>
      </c>
      <c r="AJ65" s="750">
        <v>-5.3490000000000002</v>
      </c>
      <c r="AK65" s="751">
        <f t="shared" si="13"/>
        <v>999</v>
      </c>
      <c r="AL65" s="756"/>
      <c r="AM65" s="750">
        <v>0.22999999999999998</v>
      </c>
      <c r="AN65" s="751" t="str">
        <f>IF(AL65=0, "    ---- ", IF(ABS(ROUND(100/AL65*AM65-100,1))&lt;999,ROUND(100/AL65*AM65-100,1),IF(ROUND(100/AL65*AM65-100,1)&gt;999,999,-999)))</f>
        <v xml:space="preserve">    ---- </v>
      </c>
      <c r="AO65" s="750">
        <f t="shared" si="5"/>
        <v>-1.2E-2</v>
      </c>
      <c r="AP65" s="750">
        <f t="shared" si="5"/>
        <v>-5.1189999999999998</v>
      </c>
      <c r="AQ65" s="751">
        <f t="shared" si="11"/>
        <v>999</v>
      </c>
      <c r="AR65" s="700">
        <f t="shared" si="6"/>
        <v>-1.2E-2</v>
      </c>
      <c r="AS65" s="700">
        <f t="shared" si="6"/>
        <v>-5.1189999999999998</v>
      </c>
      <c r="AT65" s="751">
        <f t="shared" si="12"/>
        <v>999</v>
      </c>
      <c r="AU65" s="730"/>
      <c r="AV65" s="730"/>
      <c r="AW65" s="725"/>
      <c r="AX65" s="725"/>
    </row>
    <row r="66" spans="1:50" s="752" customFormat="1" ht="18.75" customHeight="1" x14ac:dyDescent="0.3">
      <c r="A66" s="759" t="s">
        <v>430</v>
      </c>
      <c r="B66" s="756"/>
      <c r="C66" s="750"/>
      <c r="D66" s="750"/>
      <c r="E66" s="756"/>
      <c r="F66" s="750"/>
      <c r="G66" s="751"/>
      <c r="H66" s="756"/>
      <c r="I66" s="750"/>
      <c r="J66" s="751"/>
      <c r="K66" s="756"/>
      <c r="L66" s="750"/>
      <c r="M66" s="750"/>
      <c r="N66" s="756"/>
      <c r="O66" s="750"/>
      <c r="P66" s="751"/>
      <c r="Q66" s="756"/>
      <c r="R66" s="750"/>
      <c r="S66" s="751"/>
      <c r="T66" s="756"/>
      <c r="U66" s="750"/>
      <c r="V66" s="751"/>
      <c r="W66" s="756"/>
      <c r="X66" s="750"/>
      <c r="Y66" s="751"/>
      <c r="Z66" s="756"/>
      <c r="AA66" s="750"/>
      <c r="AB66" s="751"/>
      <c r="AC66" s="756"/>
      <c r="AD66" s="750"/>
      <c r="AE66" s="751"/>
      <c r="AF66" s="756"/>
      <c r="AG66" s="750"/>
      <c r="AH66" s="751"/>
      <c r="AI66" s="756"/>
      <c r="AJ66" s="750"/>
      <c r="AK66" s="751"/>
      <c r="AL66" s="756"/>
      <c r="AM66" s="750"/>
      <c r="AN66" s="751"/>
      <c r="AO66" s="750"/>
      <c r="AP66" s="750"/>
      <c r="AQ66" s="751"/>
      <c r="AR66" s="700"/>
      <c r="AS66" s="700"/>
      <c r="AT66" s="751"/>
      <c r="AU66" s="730"/>
      <c r="AV66" s="730"/>
      <c r="AW66" s="725"/>
      <c r="AX66" s="725"/>
    </row>
    <row r="67" spans="1:50" s="752" customFormat="1" ht="18.75" customHeight="1" x14ac:dyDescent="0.3">
      <c r="A67" s="759" t="s">
        <v>431</v>
      </c>
      <c r="B67" s="756"/>
      <c r="C67" s="750"/>
      <c r="D67" s="750"/>
      <c r="E67" s="756"/>
      <c r="F67" s="750"/>
      <c r="G67" s="751"/>
      <c r="H67" s="756"/>
      <c r="I67" s="750"/>
      <c r="J67" s="751"/>
      <c r="K67" s="756"/>
      <c r="L67" s="750"/>
      <c r="M67" s="750"/>
      <c r="N67" s="756"/>
      <c r="O67" s="750"/>
      <c r="P67" s="751"/>
      <c r="Q67" s="756"/>
      <c r="R67" s="750"/>
      <c r="S67" s="751"/>
      <c r="T67" s="756"/>
      <c r="U67" s="750"/>
      <c r="V67" s="751"/>
      <c r="W67" s="756"/>
      <c r="X67" s="750"/>
      <c r="Y67" s="751"/>
      <c r="Z67" s="756"/>
      <c r="AA67" s="750"/>
      <c r="AB67" s="751"/>
      <c r="AC67" s="756"/>
      <c r="AD67" s="750"/>
      <c r="AE67" s="751"/>
      <c r="AF67" s="756"/>
      <c r="AG67" s="750"/>
      <c r="AH67" s="751"/>
      <c r="AI67" s="756"/>
      <c r="AJ67" s="750"/>
      <c r="AK67" s="751"/>
      <c r="AL67" s="756"/>
      <c r="AM67" s="750"/>
      <c r="AN67" s="751"/>
      <c r="AO67" s="750"/>
      <c r="AP67" s="750"/>
      <c r="AQ67" s="751"/>
      <c r="AR67" s="700"/>
      <c r="AS67" s="700"/>
      <c r="AT67" s="751"/>
      <c r="AU67" s="730"/>
      <c r="AV67" s="730"/>
      <c r="AW67" s="725"/>
      <c r="AX67" s="725"/>
    </row>
    <row r="68" spans="1:50" s="755" customFormat="1" ht="18.75" customHeight="1" x14ac:dyDescent="0.3">
      <c r="A68" s="758" t="s">
        <v>432</v>
      </c>
      <c r="B68" s="680"/>
      <c r="C68" s="748"/>
      <c r="D68" s="748"/>
      <c r="E68" s="757"/>
      <c r="F68" s="748"/>
      <c r="G68" s="749"/>
      <c r="H68" s="757"/>
      <c r="I68" s="748"/>
      <c r="J68" s="749"/>
      <c r="K68" s="757"/>
      <c r="L68" s="748"/>
      <c r="M68" s="748"/>
      <c r="N68" s="757"/>
      <c r="O68" s="748"/>
      <c r="P68" s="749"/>
      <c r="Q68" s="757"/>
      <c r="R68" s="748"/>
      <c r="S68" s="749"/>
      <c r="T68" s="757"/>
      <c r="U68" s="748"/>
      <c r="V68" s="749"/>
      <c r="W68" s="748"/>
      <c r="X68" s="748"/>
      <c r="Y68" s="749"/>
      <c r="Z68" s="757"/>
      <c r="AA68" s="748"/>
      <c r="AB68" s="749"/>
      <c r="AC68" s="757"/>
      <c r="AD68" s="748"/>
      <c r="AE68" s="749"/>
      <c r="AF68" s="757"/>
      <c r="AG68" s="748"/>
      <c r="AH68" s="749"/>
      <c r="AI68" s="757">
        <v>-17.469000000000001</v>
      </c>
      <c r="AJ68" s="748">
        <f>SUM(AJ60:AJ65)+AJ67</f>
        <v>-15.248000000000001</v>
      </c>
      <c r="AK68" s="749">
        <f t="shared" si="13"/>
        <v>-12.7</v>
      </c>
      <c r="AL68" s="757"/>
      <c r="AM68" s="748">
        <f>SUM(AM60:AM65)+AM67</f>
        <v>31.359999999999996</v>
      </c>
      <c r="AN68" s="749" t="str">
        <f>IF(AL68=0, "    ---- ", IF(ABS(ROUND(100/AL68*AM68-100,1))&lt;999,ROUND(100/AL68*AM68-100,1),IF(ROUND(100/AL68*AM68-100,1)&gt;999,999,-999)))</f>
        <v xml:space="preserve">    ---- </v>
      </c>
      <c r="AO68" s="748">
        <f>B68+E68+H68+K68+Q68+T68+W68+Z68+AF68+AI68+AL68</f>
        <v>-17.469000000000001</v>
      </c>
      <c r="AP68" s="748">
        <f>C68+F68+I68+L68+R68+U68+X68+AA68+AG68+AJ68+AM68</f>
        <v>16.111999999999995</v>
      </c>
      <c r="AQ68" s="749">
        <f>IF(AO68=0, "    ---- ", IF(ABS(ROUND(100/AO68*AP68-100,1))&lt;999,ROUND(100/AO68*AP68-100,1),IF(ROUND(100/AO68*AP68-100,1)&gt;999,999,-999)))</f>
        <v>-192.2</v>
      </c>
      <c r="AR68" s="702">
        <f t="shared" si="6"/>
        <v>-17.469000000000001</v>
      </c>
      <c r="AS68" s="702">
        <f t="shared" si="6"/>
        <v>16.111999999999995</v>
      </c>
      <c r="AT68" s="749">
        <f t="shared" si="12"/>
        <v>-192.2</v>
      </c>
      <c r="AU68" s="753" t="e">
        <f>B68,C68,E68,F68,H68,I68,K68,L68,N68,O68,Q68,R68,T68,U68,W68,X68,Z68,AA68,AC68,AD68,AF68,AG68,AI68,AJ68,AL68,AM68,AO68,AP68,AR68,AS68</f>
        <v>#VALUE!</v>
      </c>
      <c r="AV68" s="728"/>
      <c r="AW68" s="754"/>
      <c r="AX68" s="754"/>
    </row>
    <row r="69" spans="1:50" s="752" customFormat="1" ht="18.75" customHeight="1" x14ac:dyDescent="0.3">
      <c r="A69" s="759" t="s">
        <v>433</v>
      </c>
      <c r="B69" s="756"/>
      <c r="C69" s="750"/>
      <c r="D69" s="750"/>
      <c r="E69" s="756"/>
      <c r="F69" s="750"/>
      <c r="G69" s="751"/>
      <c r="H69" s="756"/>
      <c r="I69" s="750"/>
      <c r="J69" s="751"/>
      <c r="K69" s="756"/>
      <c r="L69" s="750"/>
      <c r="M69" s="750"/>
      <c r="N69" s="756"/>
      <c r="O69" s="750"/>
      <c r="P69" s="751"/>
      <c r="Q69" s="756"/>
      <c r="R69" s="750"/>
      <c r="S69" s="751"/>
      <c r="T69" s="756"/>
      <c r="U69" s="750"/>
      <c r="V69" s="751"/>
      <c r="W69" s="756"/>
      <c r="X69" s="750"/>
      <c r="Y69" s="751"/>
      <c r="Z69" s="756"/>
      <c r="AA69" s="750"/>
      <c r="AB69" s="751"/>
      <c r="AC69" s="756"/>
      <c r="AD69" s="750"/>
      <c r="AE69" s="751"/>
      <c r="AF69" s="756"/>
      <c r="AG69" s="750"/>
      <c r="AH69" s="751"/>
      <c r="AI69" s="756"/>
      <c r="AJ69" s="750">
        <v>12.115</v>
      </c>
      <c r="AK69" s="751" t="str">
        <f t="shared" si="13"/>
        <v xml:space="preserve">    ---- </v>
      </c>
      <c r="AL69" s="756"/>
      <c r="AM69" s="750">
        <v>31.71</v>
      </c>
      <c r="AN69" s="751" t="str">
        <f>IF(AL69=0, "    ---- ", IF(ABS(ROUND(100/AL69*AM69-100,1))&lt;999,ROUND(100/AL69*AM69-100,1),IF(ROUND(100/AL69*AM69-100,1)&gt;999,999,-999)))</f>
        <v xml:space="preserve">    ---- </v>
      </c>
      <c r="AO69" s="750">
        <f t="shared" ref="AO69:AP77" si="14">B69+E69+H69+K69+Q69+T69+W69+Z69+AF69+AI69+AL69</f>
        <v>0</v>
      </c>
      <c r="AP69" s="750">
        <f t="shared" si="14"/>
        <v>43.825000000000003</v>
      </c>
      <c r="AQ69" s="751" t="str">
        <f t="shared" ref="AQ69:AQ77" si="15">IF(AO69=0, "    ---- ", IF(ABS(ROUND(100/AO69*AP69-100,1))&lt;999,ROUND(100/AO69*AP69-100,1),IF(ROUND(100/AO69*AP69-100,1)&gt;999,999,-999)))</f>
        <v xml:space="preserve">    ---- </v>
      </c>
      <c r="AR69" s="700">
        <f t="shared" si="6"/>
        <v>0</v>
      </c>
      <c r="AS69" s="700">
        <f t="shared" si="6"/>
        <v>43.825000000000003</v>
      </c>
      <c r="AT69" s="751" t="str">
        <f t="shared" si="12"/>
        <v xml:space="preserve">    ---- </v>
      </c>
      <c r="AU69" s="730"/>
      <c r="AV69" s="730"/>
      <c r="AW69" s="725"/>
      <c r="AX69" s="725"/>
    </row>
    <row r="70" spans="1:50" s="752" customFormat="1" ht="18.75" customHeight="1" x14ac:dyDescent="0.3">
      <c r="A70" s="759" t="s">
        <v>434</v>
      </c>
      <c r="B70" s="756"/>
      <c r="C70" s="750"/>
      <c r="D70" s="750"/>
      <c r="E70" s="756"/>
      <c r="F70" s="750"/>
      <c r="G70" s="751"/>
      <c r="H70" s="756"/>
      <c r="I70" s="750"/>
      <c r="J70" s="751"/>
      <c r="K70" s="756"/>
      <c r="L70" s="750"/>
      <c r="M70" s="750"/>
      <c r="N70" s="756"/>
      <c r="O70" s="750"/>
      <c r="P70" s="751"/>
      <c r="Q70" s="756"/>
      <c r="R70" s="750"/>
      <c r="S70" s="751"/>
      <c r="T70" s="756"/>
      <c r="U70" s="750"/>
      <c r="V70" s="751"/>
      <c r="W70" s="756"/>
      <c r="X70" s="750"/>
      <c r="Y70" s="751"/>
      <c r="Z70" s="756"/>
      <c r="AA70" s="750"/>
      <c r="AB70" s="751"/>
      <c r="AC70" s="756"/>
      <c r="AD70" s="750"/>
      <c r="AE70" s="751"/>
      <c r="AF70" s="756"/>
      <c r="AG70" s="750"/>
      <c r="AH70" s="751"/>
      <c r="AI70" s="756">
        <v>-17.469000000000001</v>
      </c>
      <c r="AJ70" s="750">
        <v>-27.363</v>
      </c>
      <c r="AK70" s="751">
        <f t="shared" si="13"/>
        <v>56.6</v>
      </c>
      <c r="AL70" s="756"/>
      <c r="AM70" s="750">
        <v>-0.34</v>
      </c>
      <c r="AN70" s="751" t="str">
        <f>IF(AL70=0, "    ---- ", IF(ABS(ROUND(100/AL70*AM70-100,1))&lt;999,ROUND(100/AL70*AM70-100,1),IF(ROUND(100/AL70*AM70-100,1)&gt;999,999,-999)))</f>
        <v xml:space="preserve">    ---- </v>
      </c>
      <c r="AO70" s="750">
        <f t="shared" si="14"/>
        <v>-17.469000000000001</v>
      </c>
      <c r="AP70" s="750">
        <f t="shared" si="14"/>
        <v>-27.702999999999999</v>
      </c>
      <c r="AQ70" s="751">
        <f t="shared" si="15"/>
        <v>58.6</v>
      </c>
      <c r="AR70" s="700">
        <f t="shared" si="6"/>
        <v>-17.469000000000001</v>
      </c>
      <c r="AS70" s="700">
        <f t="shared" si="6"/>
        <v>-27.702999999999999</v>
      </c>
      <c r="AT70" s="751">
        <f t="shared" si="12"/>
        <v>58.6</v>
      </c>
      <c r="AU70" s="730"/>
      <c r="AV70" s="730"/>
      <c r="AW70" s="725"/>
      <c r="AX70" s="725"/>
    </row>
    <row r="71" spans="1:50" s="752" customFormat="1" ht="18.75" customHeight="1" x14ac:dyDescent="0.3">
      <c r="A71" s="758" t="s">
        <v>449</v>
      </c>
      <c r="B71" s="756"/>
      <c r="C71" s="750"/>
      <c r="D71" s="750"/>
      <c r="E71" s="756"/>
      <c r="F71" s="750"/>
      <c r="G71" s="751"/>
      <c r="H71" s="756"/>
      <c r="I71" s="750"/>
      <c r="J71" s="751"/>
      <c r="K71" s="756"/>
      <c r="L71" s="750"/>
      <c r="M71" s="750"/>
      <c r="N71" s="756"/>
      <c r="O71" s="750"/>
      <c r="P71" s="751"/>
      <c r="Q71" s="756"/>
      <c r="R71" s="750"/>
      <c r="S71" s="751"/>
      <c r="T71" s="756"/>
      <c r="U71" s="750"/>
      <c r="V71" s="751"/>
      <c r="W71" s="756"/>
      <c r="X71" s="750"/>
      <c r="Y71" s="751"/>
      <c r="Z71" s="756"/>
      <c r="AA71" s="750"/>
      <c r="AB71" s="751"/>
      <c r="AC71" s="756"/>
      <c r="AD71" s="750"/>
      <c r="AE71" s="751"/>
      <c r="AF71" s="756"/>
      <c r="AG71" s="750"/>
      <c r="AH71" s="751"/>
      <c r="AI71" s="756"/>
      <c r="AJ71" s="750"/>
      <c r="AK71" s="751"/>
      <c r="AL71" s="756"/>
      <c r="AM71" s="750"/>
      <c r="AN71" s="751"/>
      <c r="AO71" s="750"/>
      <c r="AP71" s="750"/>
      <c r="AQ71" s="751"/>
      <c r="AR71" s="700"/>
      <c r="AS71" s="700"/>
      <c r="AT71" s="751"/>
      <c r="AU71" s="730"/>
      <c r="AV71" s="730"/>
      <c r="AW71" s="725"/>
      <c r="AX71" s="725"/>
    </row>
    <row r="72" spans="1:50" s="752" customFormat="1" ht="18.75" customHeight="1" x14ac:dyDescent="0.3">
      <c r="A72" s="759" t="s">
        <v>424</v>
      </c>
      <c r="B72" s="756"/>
      <c r="C72" s="750"/>
      <c r="D72" s="750"/>
      <c r="E72" s="756"/>
      <c r="F72" s="750"/>
      <c r="G72" s="751"/>
      <c r="H72" s="756"/>
      <c r="I72" s="750"/>
      <c r="J72" s="751"/>
      <c r="K72" s="756"/>
      <c r="L72" s="750"/>
      <c r="M72" s="750"/>
      <c r="N72" s="756"/>
      <c r="O72" s="750"/>
      <c r="P72" s="751"/>
      <c r="Q72" s="756"/>
      <c r="R72" s="750"/>
      <c r="S72" s="751"/>
      <c r="T72" s="756"/>
      <c r="U72" s="750"/>
      <c r="V72" s="751"/>
      <c r="W72" s="756"/>
      <c r="X72" s="750"/>
      <c r="Y72" s="751"/>
      <c r="Z72" s="756"/>
      <c r="AA72" s="750"/>
      <c r="AB72" s="751"/>
      <c r="AC72" s="756"/>
      <c r="AD72" s="750"/>
      <c r="AE72" s="751"/>
      <c r="AF72" s="756"/>
      <c r="AG72" s="750"/>
      <c r="AH72" s="751"/>
      <c r="AI72" s="756">
        <v>2.1000000000000001E-2</v>
      </c>
      <c r="AJ72" s="750">
        <v>2.5999999999999999E-2</v>
      </c>
      <c r="AK72" s="751">
        <f t="shared" ref="AK72:AK82" si="16">IF(AI72=0, "    ---- ", IF(ABS(ROUND(100/AI72*AJ72-100,1))&lt;999,ROUND(100/AI72*AJ72-100,1),IF(ROUND(100/AI72*AJ72-100,1)&gt;999,999,-999)))</f>
        <v>23.8</v>
      </c>
      <c r="AL72" s="756"/>
      <c r="AM72" s="750">
        <v>0.54</v>
      </c>
      <c r="AN72" s="751" t="str">
        <f>IF(AL72=0, "    ---- ", IF(ABS(ROUND(100/AL72*AM72-100,1))&lt;999,ROUND(100/AL72*AM72-100,1),IF(ROUND(100/AL72*AM72-100,1)&gt;999,999,-999)))</f>
        <v xml:space="preserve">    ---- </v>
      </c>
      <c r="AO72" s="750">
        <f t="shared" si="14"/>
        <v>2.1000000000000001E-2</v>
      </c>
      <c r="AP72" s="750">
        <f t="shared" si="14"/>
        <v>0.56600000000000006</v>
      </c>
      <c r="AQ72" s="751">
        <f t="shared" si="15"/>
        <v>999</v>
      </c>
      <c r="AR72" s="700">
        <f t="shared" ref="AR72:AS82" si="17">+B72+E72+H72+K72+N72+Q72+T72+W72+Z72+AC72+AF72+AI72+AL72</f>
        <v>2.1000000000000001E-2</v>
      </c>
      <c r="AS72" s="700">
        <f t="shared" si="17"/>
        <v>0.56600000000000006</v>
      </c>
      <c r="AT72" s="751">
        <f t="shared" si="12"/>
        <v>999</v>
      </c>
      <c r="AU72" s="730"/>
      <c r="AV72" s="730"/>
      <c r="AW72" s="725"/>
      <c r="AX72" s="725"/>
    </row>
    <row r="73" spans="1:50" s="752" customFormat="1" ht="18.75" customHeight="1" x14ac:dyDescent="0.3">
      <c r="A73" s="759" t="s">
        <v>425</v>
      </c>
      <c r="B73" s="756"/>
      <c r="C73" s="750"/>
      <c r="D73" s="750"/>
      <c r="E73" s="756"/>
      <c r="F73" s="750"/>
      <c r="G73" s="751"/>
      <c r="H73" s="756"/>
      <c r="I73" s="750"/>
      <c r="J73" s="751"/>
      <c r="K73" s="756"/>
      <c r="L73" s="750"/>
      <c r="M73" s="750"/>
      <c r="N73" s="756"/>
      <c r="O73" s="750"/>
      <c r="P73" s="751"/>
      <c r="Q73" s="756"/>
      <c r="R73" s="750"/>
      <c r="S73" s="751"/>
      <c r="T73" s="756"/>
      <c r="U73" s="750"/>
      <c r="V73" s="751"/>
      <c r="W73" s="756"/>
      <c r="X73" s="750"/>
      <c r="Y73" s="751"/>
      <c r="Z73" s="756"/>
      <c r="AA73" s="750"/>
      <c r="AB73" s="751"/>
      <c r="AC73" s="756"/>
      <c r="AD73" s="750"/>
      <c r="AE73" s="751"/>
      <c r="AF73" s="756"/>
      <c r="AG73" s="750"/>
      <c r="AH73" s="751"/>
      <c r="AI73" s="756"/>
      <c r="AJ73" s="750"/>
      <c r="AK73" s="751"/>
      <c r="AL73" s="756"/>
      <c r="AM73" s="750"/>
      <c r="AN73" s="751"/>
      <c r="AO73" s="750"/>
      <c r="AP73" s="750"/>
      <c r="AQ73" s="751"/>
      <c r="AR73" s="700"/>
      <c r="AS73" s="700"/>
      <c r="AT73" s="751"/>
      <c r="AU73" s="730"/>
      <c r="AV73" s="730"/>
      <c r="AW73" s="725"/>
      <c r="AX73" s="725"/>
    </row>
    <row r="74" spans="1:50" s="752" customFormat="1" ht="18.75" customHeight="1" x14ac:dyDescent="0.3">
      <c r="A74" s="759" t="s">
        <v>426</v>
      </c>
      <c r="B74" s="756"/>
      <c r="C74" s="750"/>
      <c r="D74" s="750"/>
      <c r="E74" s="756"/>
      <c r="F74" s="750"/>
      <c r="G74" s="751"/>
      <c r="H74" s="756"/>
      <c r="I74" s="750"/>
      <c r="J74" s="751"/>
      <c r="K74" s="756"/>
      <c r="L74" s="750"/>
      <c r="M74" s="750"/>
      <c r="N74" s="756"/>
      <c r="O74" s="750"/>
      <c r="P74" s="751"/>
      <c r="Q74" s="756"/>
      <c r="R74" s="750"/>
      <c r="S74" s="751"/>
      <c r="T74" s="756"/>
      <c r="U74" s="750"/>
      <c r="V74" s="751"/>
      <c r="W74" s="756"/>
      <c r="X74" s="750"/>
      <c r="Y74" s="751"/>
      <c r="Z74" s="756"/>
      <c r="AA74" s="750"/>
      <c r="AB74" s="751"/>
      <c r="AC74" s="756"/>
      <c r="AD74" s="750"/>
      <c r="AE74" s="751"/>
      <c r="AF74" s="756"/>
      <c r="AG74" s="750"/>
      <c r="AH74" s="751"/>
      <c r="AI74" s="756">
        <v>-19.387</v>
      </c>
      <c r="AJ74" s="750">
        <v>-21.236999999999998</v>
      </c>
      <c r="AK74" s="751">
        <f t="shared" si="16"/>
        <v>9.5</v>
      </c>
      <c r="AL74" s="756"/>
      <c r="AM74" s="750"/>
      <c r="AN74" s="751"/>
      <c r="AO74" s="750">
        <f t="shared" si="14"/>
        <v>-19.387</v>
      </c>
      <c r="AP74" s="750">
        <f t="shared" si="14"/>
        <v>-21.236999999999998</v>
      </c>
      <c r="AQ74" s="751">
        <f t="shared" si="15"/>
        <v>9.5</v>
      </c>
      <c r="AR74" s="700">
        <f t="shared" si="17"/>
        <v>-19.387</v>
      </c>
      <c r="AS74" s="700">
        <f t="shared" si="17"/>
        <v>-21.236999999999998</v>
      </c>
      <c r="AT74" s="751">
        <f t="shared" si="12"/>
        <v>9.5</v>
      </c>
      <c r="AU74" s="730"/>
      <c r="AV74" s="730"/>
      <c r="AW74" s="725"/>
      <c r="AX74" s="725"/>
    </row>
    <row r="75" spans="1:50" s="752" customFormat="1" ht="18.75" customHeight="1" x14ac:dyDescent="0.3">
      <c r="A75" s="759" t="s">
        <v>427</v>
      </c>
      <c r="B75" s="756"/>
      <c r="C75" s="750"/>
      <c r="D75" s="750"/>
      <c r="E75" s="756"/>
      <c r="F75" s="750"/>
      <c r="G75" s="751"/>
      <c r="H75" s="756"/>
      <c r="I75" s="750"/>
      <c r="J75" s="751"/>
      <c r="K75" s="756"/>
      <c r="L75" s="750"/>
      <c r="M75" s="750"/>
      <c r="N75" s="756"/>
      <c r="O75" s="750"/>
      <c r="P75" s="751"/>
      <c r="Q75" s="756"/>
      <c r="R75" s="750"/>
      <c r="S75" s="751"/>
      <c r="T75" s="756"/>
      <c r="U75" s="750"/>
      <c r="V75" s="751"/>
      <c r="W75" s="756"/>
      <c r="X75" s="750"/>
      <c r="Y75" s="751"/>
      <c r="Z75" s="756"/>
      <c r="AA75" s="750"/>
      <c r="AB75" s="751"/>
      <c r="AC75" s="756"/>
      <c r="AD75" s="750"/>
      <c r="AE75" s="751"/>
      <c r="AF75" s="756"/>
      <c r="AG75" s="750"/>
      <c r="AH75" s="751"/>
      <c r="AI75" s="756"/>
      <c r="AJ75" s="750"/>
      <c r="AK75" s="751"/>
      <c r="AL75" s="756"/>
      <c r="AM75" s="750"/>
      <c r="AN75" s="751"/>
      <c r="AO75" s="750"/>
      <c r="AP75" s="750"/>
      <c r="AQ75" s="751"/>
      <c r="AR75" s="700"/>
      <c r="AS75" s="700"/>
      <c r="AT75" s="751"/>
      <c r="AU75" s="730"/>
      <c r="AV75" s="730"/>
      <c r="AW75" s="725"/>
      <c r="AX75" s="725"/>
    </row>
    <row r="76" spans="1:50" s="752" customFormat="1" ht="18.75" customHeight="1" x14ac:dyDescent="0.3">
      <c r="A76" s="759" t="s">
        <v>428</v>
      </c>
      <c r="B76" s="756"/>
      <c r="C76" s="750"/>
      <c r="D76" s="750"/>
      <c r="E76" s="756"/>
      <c r="F76" s="750"/>
      <c r="G76" s="751"/>
      <c r="H76" s="756"/>
      <c r="I76" s="750"/>
      <c r="J76" s="751"/>
      <c r="K76" s="756"/>
      <c r="L76" s="750"/>
      <c r="M76" s="750"/>
      <c r="N76" s="756"/>
      <c r="O76" s="750"/>
      <c r="P76" s="751"/>
      <c r="Q76" s="756"/>
      <c r="R76" s="750"/>
      <c r="S76" s="751"/>
      <c r="T76" s="756"/>
      <c r="U76" s="750"/>
      <c r="V76" s="751"/>
      <c r="W76" s="756"/>
      <c r="X76" s="750"/>
      <c r="Y76" s="751"/>
      <c r="Z76" s="756"/>
      <c r="AA76" s="750"/>
      <c r="AB76" s="751"/>
      <c r="AC76" s="756"/>
      <c r="AD76" s="750"/>
      <c r="AE76" s="751"/>
      <c r="AF76" s="756"/>
      <c r="AG76" s="750"/>
      <c r="AH76" s="751"/>
      <c r="AI76" s="756"/>
      <c r="AJ76" s="750"/>
      <c r="AK76" s="751"/>
      <c r="AL76" s="756"/>
      <c r="AM76" s="750"/>
      <c r="AN76" s="751"/>
      <c r="AO76" s="750"/>
      <c r="AP76" s="750"/>
      <c r="AQ76" s="751"/>
      <c r="AR76" s="700"/>
      <c r="AS76" s="700"/>
      <c r="AT76" s="751"/>
      <c r="AU76" s="730"/>
      <c r="AV76" s="730"/>
      <c r="AW76" s="725"/>
      <c r="AX76" s="725"/>
    </row>
    <row r="77" spans="1:50" s="752" customFormat="1" ht="18.75" customHeight="1" x14ac:dyDescent="0.3">
      <c r="A77" s="759" t="s">
        <v>429</v>
      </c>
      <c r="B77" s="756"/>
      <c r="C77" s="750"/>
      <c r="D77" s="750"/>
      <c r="E77" s="756"/>
      <c r="F77" s="750"/>
      <c r="G77" s="751"/>
      <c r="H77" s="756"/>
      <c r="I77" s="750"/>
      <c r="J77" s="751"/>
      <c r="K77" s="756"/>
      <c r="L77" s="750"/>
      <c r="M77" s="750"/>
      <c r="N77" s="756"/>
      <c r="O77" s="750"/>
      <c r="P77" s="751"/>
      <c r="Q77" s="756"/>
      <c r="R77" s="750"/>
      <c r="S77" s="751"/>
      <c r="T77" s="756"/>
      <c r="U77" s="750"/>
      <c r="V77" s="751"/>
      <c r="W77" s="756"/>
      <c r="X77" s="750"/>
      <c r="Y77" s="751"/>
      <c r="Z77" s="756"/>
      <c r="AA77" s="750"/>
      <c r="AB77" s="751"/>
      <c r="AC77" s="756"/>
      <c r="AD77" s="750"/>
      <c r="AE77" s="751"/>
      <c r="AF77" s="756"/>
      <c r="AG77" s="750"/>
      <c r="AH77" s="751"/>
      <c r="AI77" s="756">
        <v>-8.1000000000000003E-2</v>
      </c>
      <c r="AJ77" s="750">
        <v>-3.4329999999999998</v>
      </c>
      <c r="AK77" s="751">
        <f t="shared" si="16"/>
        <v>999</v>
      </c>
      <c r="AL77" s="756"/>
      <c r="AM77" s="750"/>
      <c r="AN77" s="751"/>
      <c r="AO77" s="750">
        <f t="shared" si="14"/>
        <v>-8.1000000000000003E-2</v>
      </c>
      <c r="AP77" s="750">
        <f t="shared" si="14"/>
        <v>-3.4329999999999998</v>
      </c>
      <c r="AQ77" s="751">
        <f t="shared" si="15"/>
        <v>999</v>
      </c>
      <c r="AR77" s="700">
        <f t="shared" si="17"/>
        <v>-8.1000000000000003E-2</v>
      </c>
      <c r="AS77" s="700">
        <f t="shared" si="17"/>
        <v>-3.4329999999999998</v>
      </c>
      <c r="AT77" s="751">
        <f t="shared" si="12"/>
        <v>999</v>
      </c>
      <c r="AU77" s="730"/>
      <c r="AV77" s="730"/>
      <c r="AW77" s="725"/>
      <c r="AX77" s="725"/>
    </row>
    <row r="78" spans="1:50" s="752" customFormat="1" ht="18.75" customHeight="1" x14ac:dyDescent="0.3">
      <c r="A78" s="759" t="s">
        <v>430</v>
      </c>
      <c r="B78" s="756"/>
      <c r="C78" s="750"/>
      <c r="D78" s="750"/>
      <c r="E78" s="756"/>
      <c r="F78" s="750"/>
      <c r="G78" s="751"/>
      <c r="H78" s="756"/>
      <c r="I78" s="750"/>
      <c r="J78" s="751"/>
      <c r="K78" s="756"/>
      <c r="L78" s="750"/>
      <c r="M78" s="750"/>
      <c r="N78" s="756"/>
      <c r="O78" s="750"/>
      <c r="P78" s="751"/>
      <c r="Q78" s="756"/>
      <c r="R78" s="750"/>
      <c r="S78" s="751"/>
      <c r="T78" s="756"/>
      <c r="U78" s="750"/>
      <c r="V78" s="751"/>
      <c r="W78" s="756"/>
      <c r="X78" s="750"/>
      <c r="Y78" s="751"/>
      <c r="Z78" s="756"/>
      <c r="AA78" s="750"/>
      <c r="AB78" s="751"/>
      <c r="AC78" s="756"/>
      <c r="AD78" s="750"/>
      <c r="AE78" s="751"/>
      <c r="AF78" s="756"/>
      <c r="AG78" s="750"/>
      <c r="AH78" s="751"/>
      <c r="AI78" s="756"/>
      <c r="AJ78" s="750"/>
      <c r="AK78" s="751"/>
      <c r="AL78" s="756"/>
      <c r="AM78" s="750"/>
      <c r="AN78" s="751"/>
      <c r="AO78" s="750"/>
      <c r="AP78" s="750"/>
      <c r="AQ78" s="751"/>
      <c r="AR78" s="700"/>
      <c r="AS78" s="700"/>
      <c r="AT78" s="751"/>
      <c r="AU78" s="730"/>
      <c r="AV78" s="730"/>
      <c r="AW78" s="725"/>
      <c r="AX78" s="725"/>
    </row>
    <row r="79" spans="1:50" s="752" customFormat="1" ht="18.75" customHeight="1" x14ac:dyDescent="0.3">
      <c r="A79" s="759" t="s">
        <v>431</v>
      </c>
      <c r="B79" s="756"/>
      <c r="C79" s="750"/>
      <c r="D79" s="750"/>
      <c r="E79" s="756"/>
      <c r="F79" s="750"/>
      <c r="G79" s="751"/>
      <c r="H79" s="756"/>
      <c r="I79" s="750"/>
      <c r="J79" s="751"/>
      <c r="K79" s="756"/>
      <c r="L79" s="750"/>
      <c r="M79" s="750"/>
      <c r="N79" s="756"/>
      <c r="O79" s="750"/>
      <c r="P79" s="751"/>
      <c r="Q79" s="756"/>
      <c r="R79" s="750"/>
      <c r="S79" s="751"/>
      <c r="T79" s="756"/>
      <c r="U79" s="750"/>
      <c r="V79" s="751"/>
      <c r="W79" s="756"/>
      <c r="X79" s="750"/>
      <c r="Y79" s="751"/>
      <c r="Z79" s="756"/>
      <c r="AA79" s="750"/>
      <c r="AB79" s="751"/>
      <c r="AC79" s="756"/>
      <c r="AD79" s="750"/>
      <c r="AE79" s="751"/>
      <c r="AF79" s="756"/>
      <c r="AG79" s="750"/>
      <c r="AH79" s="751"/>
      <c r="AI79" s="756"/>
      <c r="AJ79" s="750"/>
      <c r="AK79" s="751"/>
      <c r="AL79" s="756"/>
      <c r="AM79" s="750"/>
      <c r="AN79" s="751"/>
      <c r="AO79" s="750"/>
      <c r="AP79" s="750"/>
      <c r="AQ79" s="751"/>
      <c r="AR79" s="700"/>
      <c r="AS79" s="700"/>
      <c r="AT79" s="751"/>
      <c r="AU79" s="730"/>
      <c r="AV79" s="730"/>
      <c r="AW79" s="725"/>
      <c r="AX79" s="725"/>
    </row>
    <row r="80" spans="1:50" s="752" customFormat="1" ht="18.75" customHeight="1" x14ac:dyDescent="0.3">
      <c r="A80" s="758" t="s">
        <v>432</v>
      </c>
      <c r="B80" s="680"/>
      <c r="C80" s="748"/>
      <c r="D80" s="748"/>
      <c r="E80" s="757"/>
      <c r="F80" s="748"/>
      <c r="G80" s="749"/>
      <c r="H80" s="757"/>
      <c r="I80" s="748"/>
      <c r="J80" s="749"/>
      <c r="K80" s="757"/>
      <c r="L80" s="748"/>
      <c r="M80" s="748"/>
      <c r="N80" s="757"/>
      <c r="O80" s="748"/>
      <c r="P80" s="749"/>
      <c r="Q80" s="757"/>
      <c r="R80" s="748"/>
      <c r="S80" s="749"/>
      <c r="T80" s="757"/>
      <c r="U80" s="748"/>
      <c r="V80" s="749"/>
      <c r="W80" s="748"/>
      <c r="X80" s="748"/>
      <c r="Y80" s="749"/>
      <c r="Z80" s="757"/>
      <c r="AA80" s="748"/>
      <c r="AB80" s="749"/>
      <c r="AC80" s="757"/>
      <c r="AD80" s="748"/>
      <c r="AE80" s="749"/>
      <c r="AF80" s="757"/>
      <c r="AG80" s="748"/>
      <c r="AH80" s="749"/>
      <c r="AI80" s="757">
        <v>-19.446999999999999</v>
      </c>
      <c r="AJ80" s="748">
        <f>SUM(AJ72:AJ77)+AJ79</f>
        <v>-24.643999999999998</v>
      </c>
      <c r="AK80" s="749">
        <f t="shared" si="16"/>
        <v>26.7</v>
      </c>
      <c r="AL80" s="757"/>
      <c r="AM80" s="748">
        <f>SUM(AM72:AM77)+AM79</f>
        <v>0.54</v>
      </c>
      <c r="AN80" s="749" t="str">
        <f>IF(AL80=0, "    ---- ", IF(ABS(ROUND(100/AL80*AM80-100,1))&lt;999,ROUND(100/AL80*AM80-100,1),IF(ROUND(100/AL80*AM80-100,1)&gt;999,999,-999)))</f>
        <v xml:space="preserve">    ---- </v>
      </c>
      <c r="AO80" s="748">
        <f>B80+E80+H80+K80+Q80+T80+W80+Z80+AF80+AI80+AL80</f>
        <v>-19.446999999999999</v>
      </c>
      <c r="AP80" s="748">
        <f>C80+F80+I80+L80+R80+U80+X80+AA80+AG80+AJ80+AM80</f>
        <v>-24.103999999999999</v>
      </c>
      <c r="AQ80" s="749">
        <f>IF(AO80=0, "    ---- ", IF(ABS(ROUND(100/AO80*AP80-100,1))&lt;999,ROUND(100/AO80*AP80-100,1),IF(ROUND(100/AO80*AP80-100,1)&gt;999,999,-999)))</f>
        <v>23.9</v>
      </c>
      <c r="AR80" s="702">
        <f t="shared" si="17"/>
        <v>-19.446999999999999</v>
      </c>
      <c r="AS80" s="702">
        <f t="shared" si="17"/>
        <v>-24.103999999999999</v>
      </c>
      <c r="AT80" s="749">
        <f t="shared" si="12"/>
        <v>23.9</v>
      </c>
      <c r="AU80" s="753" t="e">
        <f>B80,C80,E80,F80,H80,I80,K80,L80,N80,O80,Q80,R80,T80,U80,W80,X80,Z80,AA80,AC80,AD80,AF80,AG80,AI80,AJ80,AL80,AM80,AO80,AP80,AR80,AS80</f>
        <v>#VALUE!</v>
      </c>
      <c r="AV80" s="730"/>
      <c r="AW80" s="725"/>
      <c r="AX80" s="725"/>
    </row>
    <row r="81" spans="1:50" s="752" customFormat="1" ht="18.75" customHeight="1" x14ac:dyDescent="0.3">
      <c r="A81" s="759" t="s">
        <v>433</v>
      </c>
      <c r="B81" s="756"/>
      <c r="C81" s="750"/>
      <c r="D81" s="750"/>
      <c r="E81" s="756"/>
      <c r="F81" s="750"/>
      <c r="G81" s="751"/>
      <c r="H81" s="756"/>
      <c r="I81" s="750"/>
      <c r="J81" s="751"/>
      <c r="K81" s="756"/>
      <c r="L81" s="750"/>
      <c r="M81" s="750"/>
      <c r="N81" s="756"/>
      <c r="O81" s="750"/>
      <c r="P81" s="751"/>
      <c r="Q81" s="756"/>
      <c r="R81" s="750"/>
      <c r="S81" s="751"/>
      <c r="T81" s="756"/>
      <c r="U81" s="750"/>
      <c r="V81" s="751"/>
      <c r="W81" s="756"/>
      <c r="X81" s="750"/>
      <c r="Y81" s="751"/>
      <c r="Z81" s="756"/>
      <c r="AA81" s="750"/>
      <c r="AB81" s="751"/>
      <c r="AC81" s="756"/>
      <c r="AD81" s="750"/>
      <c r="AE81" s="751"/>
      <c r="AF81" s="756"/>
      <c r="AG81" s="750"/>
      <c r="AH81" s="751"/>
      <c r="AI81" s="756"/>
      <c r="AJ81" s="750">
        <v>-2.5999999999999999E-2</v>
      </c>
      <c r="AK81" s="751"/>
      <c r="AL81" s="756"/>
      <c r="AM81" s="750">
        <v>0.54</v>
      </c>
      <c r="AN81" s="751" t="str">
        <f>IF(AL81=0, "    ---- ", IF(ABS(ROUND(100/AL81*AM81-100,1))&lt;999,ROUND(100/AL81*AM81-100,1),IF(ROUND(100/AL81*AM81-100,1)&gt;999,999,-999)))</f>
        <v xml:space="preserve">    ---- </v>
      </c>
      <c r="AO81" s="750">
        <f t="shared" ref="AO81:AP82" si="18">B81+E81+H81+K81+Q81+T81+W81+Z81+AF81+AI81+AL81</f>
        <v>0</v>
      </c>
      <c r="AP81" s="750">
        <f t="shared" si="18"/>
        <v>0.51400000000000001</v>
      </c>
      <c r="AQ81" s="751" t="str">
        <f t="shared" ref="AQ81:AQ82" si="19">IF(AO81=0, "    ---- ", IF(ABS(ROUND(100/AO81*AP81-100,1))&lt;999,ROUND(100/AO81*AP81-100,1),IF(ROUND(100/AO81*AP81-100,1)&gt;999,999,-999)))</f>
        <v xml:space="preserve">    ---- </v>
      </c>
      <c r="AR81" s="700">
        <f t="shared" si="17"/>
        <v>0</v>
      </c>
      <c r="AS81" s="700">
        <f t="shared" si="17"/>
        <v>0.51400000000000001</v>
      </c>
      <c r="AT81" s="751" t="str">
        <f t="shared" si="12"/>
        <v xml:space="preserve">    ---- </v>
      </c>
      <c r="AU81" s="730"/>
      <c r="AV81" s="730"/>
      <c r="AW81" s="725"/>
      <c r="AX81" s="725"/>
    </row>
    <row r="82" spans="1:50" s="752" customFormat="1" ht="18.75" customHeight="1" x14ac:dyDescent="0.3">
      <c r="A82" s="759" t="s">
        <v>434</v>
      </c>
      <c r="B82" s="756"/>
      <c r="C82" s="750"/>
      <c r="D82" s="750"/>
      <c r="E82" s="756"/>
      <c r="F82" s="750"/>
      <c r="G82" s="751"/>
      <c r="H82" s="756"/>
      <c r="I82" s="750"/>
      <c r="J82" s="751"/>
      <c r="K82" s="756"/>
      <c r="L82" s="750"/>
      <c r="M82" s="750"/>
      <c r="N82" s="756"/>
      <c r="O82" s="750"/>
      <c r="P82" s="751"/>
      <c r="Q82" s="756"/>
      <c r="R82" s="750"/>
      <c r="S82" s="751"/>
      <c r="T82" s="756"/>
      <c r="U82" s="750"/>
      <c r="V82" s="751"/>
      <c r="W82" s="756"/>
      <c r="X82" s="750"/>
      <c r="Y82" s="751"/>
      <c r="Z82" s="756"/>
      <c r="AA82" s="750"/>
      <c r="AB82" s="751"/>
      <c r="AC82" s="756"/>
      <c r="AD82" s="750"/>
      <c r="AE82" s="751"/>
      <c r="AF82" s="756"/>
      <c r="AG82" s="750"/>
      <c r="AH82" s="751"/>
      <c r="AI82" s="756">
        <v>-19.446999999999999</v>
      </c>
      <c r="AJ82" s="750">
        <v>-24.67</v>
      </c>
      <c r="AK82" s="751">
        <f t="shared" si="16"/>
        <v>26.9</v>
      </c>
      <c r="AL82" s="756"/>
      <c r="AM82" s="750"/>
      <c r="AN82" s="751"/>
      <c r="AO82" s="750">
        <f t="shared" si="18"/>
        <v>-19.446999999999999</v>
      </c>
      <c r="AP82" s="750">
        <f t="shared" si="18"/>
        <v>-24.67</v>
      </c>
      <c r="AQ82" s="751">
        <f t="shared" si="19"/>
        <v>26.9</v>
      </c>
      <c r="AR82" s="700">
        <f t="shared" si="17"/>
        <v>-19.446999999999999</v>
      </c>
      <c r="AS82" s="700">
        <f t="shared" si="17"/>
        <v>-24.67</v>
      </c>
      <c r="AT82" s="751">
        <f t="shared" si="12"/>
        <v>26.9</v>
      </c>
      <c r="AU82" s="730"/>
      <c r="AV82" s="730"/>
      <c r="AW82" s="725"/>
      <c r="AX82" s="725"/>
    </row>
    <row r="83" spans="1:50" s="752" customFormat="1" ht="18.75" customHeight="1" x14ac:dyDescent="0.3">
      <c r="A83" s="679" t="s">
        <v>450</v>
      </c>
      <c r="B83" s="756"/>
      <c r="C83" s="750"/>
      <c r="D83" s="750"/>
      <c r="E83" s="756"/>
      <c r="F83" s="750"/>
      <c r="G83" s="751"/>
      <c r="H83" s="756"/>
      <c r="I83" s="750"/>
      <c r="J83" s="751"/>
      <c r="K83" s="756"/>
      <c r="L83" s="750"/>
      <c r="M83" s="750"/>
      <c r="N83" s="756"/>
      <c r="O83" s="750"/>
      <c r="P83" s="751"/>
      <c r="Q83" s="756"/>
      <c r="R83" s="750"/>
      <c r="S83" s="751"/>
      <c r="T83" s="756"/>
      <c r="U83" s="750"/>
      <c r="V83" s="751"/>
      <c r="W83" s="756"/>
      <c r="X83" s="750"/>
      <c r="Y83" s="751"/>
      <c r="Z83" s="756"/>
      <c r="AA83" s="750"/>
      <c r="AB83" s="751"/>
      <c r="AC83" s="756"/>
      <c r="AD83" s="750"/>
      <c r="AE83" s="751"/>
      <c r="AF83" s="756"/>
      <c r="AG83" s="750"/>
      <c r="AH83" s="751"/>
      <c r="AI83" s="756"/>
      <c r="AJ83" s="750"/>
      <c r="AK83" s="751"/>
      <c r="AL83" s="756"/>
      <c r="AM83" s="750"/>
      <c r="AN83" s="751"/>
      <c r="AO83" s="750"/>
      <c r="AP83" s="750"/>
      <c r="AQ83" s="751"/>
      <c r="AR83" s="700"/>
      <c r="AS83" s="700"/>
      <c r="AT83" s="751"/>
      <c r="AU83" s="730"/>
      <c r="AV83" s="730"/>
      <c r="AW83" s="725"/>
      <c r="AX83" s="725"/>
    </row>
    <row r="84" spans="1:50" s="752" customFormat="1" ht="18.75" customHeight="1" x14ac:dyDescent="0.3">
      <c r="A84" s="688" t="s">
        <v>424</v>
      </c>
      <c r="B84" s="756"/>
      <c r="C84" s="750"/>
      <c r="D84" s="750"/>
      <c r="E84" s="756">
        <v>1165.32</v>
      </c>
      <c r="F84" s="750">
        <v>1415.92</v>
      </c>
      <c r="G84" s="751">
        <f>IF(E84=0, "    ---- ", IF(ABS(ROUND(100/E84*F84-100,1))&lt;999,ROUND(100/E84*F84-100,1),IF(ROUND(100/E84*F84-100,1)&gt;999,999,-999)))</f>
        <v>21.5</v>
      </c>
      <c r="H84" s="756"/>
      <c r="I84" s="750"/>
      <c r="J84" s="751"/>
      <c r="K84" s="756">
        <v>30.452999999999999</v>
      </c>
      <c r="L84" s="750">
        <v>19.091000000000001</v>
      </c>
      <c r="M84" s="750">
        <f>IF(K84=0, "    ---- ", IF(ABS(ROUND(100/K84*L84-100,1))&lt;999,ROUND(100/K84*L84-100,1),IF(ROUND(100/K84*L84-100,1)&gt;999,999,-999)))</f>
        <v>-37.299999999999997</v>
      </c>
      <c r="N84" s="756"/>
      <c r="O84" s="750"/>
      <c r="P84" s="751"/>
      <c r="Q84" s="756"/>
      <c r="R84" s="750"/>
      <c r="S84" s="751"/>
      <c r="T84" s="756">
        <v>14</v>
      </c>
      <c r="U84" s="750">
        <v>50</v>
      </c>
      <c r="V84" s="751"/>
      <c r="W84" s="756">
        <v>267.79804356099999</v>
      </c>
      <c r="X84" s="750">
        <v>342.64124443171477</v>
      </c>
      <c r="Y84" s="751">
        <f>IF(W84=0, "    ---- ", IF(ABS(ROUND(100/W84*X84-100,1))&lt;999,ROUND(100/W84*X84-100,1),IF(ROUND(100/W84*X84-100,1)&gt;999,999,-999)))</f>
        <v>27.9</v>
      </c>
      <c r="Z84" s="756"/>
      <c r="AA84" s="750"/>
      <c r="AB84" s="751"/>
      <c r="AC84" s="756"/>
      <c r="AD84" s="750"/>
      <c r="AE84" s="751"/>
      <c r="AF84" s="756"/>
      <c r="AG84" s="750"/>
      <c r="AH84" s="751"/>
      <c r="AI84" s="756">
        <v>54.863999999999997</v>
      </c>
      <c r="AJ84" s="750">
        <v>255.876</v>
      </c>
      <c r="AK84" s="751">
        <f>IF(AI84=0, "    ---- ", IF(ABS(ROUND(100/AI84*AJ84-100,1))&lt;999,ROUND(100/AI84*AJ84-100,1),IF(ROUND(100/AI84*AJ84-100,1)&gt;999,999,-999)))</f>
        <v>366.4</v>
      </c>
      <c r="AL84" s="756">
        <v>2365.4</v>
      </c>
      <c r="AM84" s="750">
        <v>1538.32</v>
      </c>
      <c r="AN84" s="751">
        <f>IF(AL84=0, "    ---- ", IF(ABS(ROUND(100/AL84*AM84-100,1))&lt;999,ROUND(100/AL84*AM84-100,1),IF(ROUND(100/AL84*AM84-100,1)&gt;999,999,-999)))</f>
        <v>-35</v>
      </c>
      <c r="AO84" s="750">
        <f t="shared" si="5"/>
        <v>3897.835043561</v>
      </c>
      <c r="AP84" s="750">
        <f t="shared" si="5"/>
        <v>3621.8482444317151</v>
      </c>
      <c r="AQ84" s="751">
        <f t="shared" si="11"/>
        <v>-7.1</v>
      </c>
      <c r="AR84" s="750">
        <f t="shared" si="6"/>
        <v>3897.835043561</v>
      </c>
      <c r="AS84" s="750">
        <f t="shared" si="6"/>
        <v>3621.8482444317151</v>
      </c>
      <c r="AT84" s="751">
        <f t="shared" si="12"/>
        <v>-7.1</v>
      </c>
      <c r="AU84" s="730"/>
      <c r="AV84" s="730"/>
      <c r="AW84" s="725"/>
      <c r="AX84" s="725"/>
    </row>
    <row r="85" spans="1:50" s="752" customFormat="1" ht="18.75" customHeight="1" x14ac:dyDescent="0.3">
      <c r="A85" s="688" t="s">
        <v>425</v>
      </c>
      <c r="B85" s="756"/>
      <c r="C85" s="750"/>
      <c r="D85" s="750"/>
      <c r="E85" s="756">
        <v>-363.952</v>
      </c>
      <c r="F85" s="750">
        <v>-839.54</v>
      </c>
      <c r="G85" s="751"/>
      <c r="H85" s="756"/>
      <c r="I85" s="750"/>
      <c r="J85" s="751"/>
      <c r="K85" s="756"/>
      <c r="L85" s="750"/>
      <c r="M85" s="750"/>
      <c r="N85" s="756"/>
      <c r="O85" s="750"/>
      <c r="P85" s="751"/>
      <c r="Q85" s="756"/>
      <c r="R85" s="750"/>
      <c r="S85" s="751"/>
      <c r="T85" s="756">
        <v>-5</v>
      </c>
      <c r="U85" s="750">
        <v>-40</v>
      </c>
      <c r="V85" s="751"/>
      <c r="W85" s="756">
        <v>-78.026010999999997</v>
      </c>
      <c r="X85" s="750">
        <v>-182.275305</v>
      </c>
      <c r="Y85" s="751">
        <f>IF(W85=0, "    ---- ", IF(ABS(ROUND(100/W85*X85-100,1))&lt;999,ROUND(100/W85*X85-100,1),IF(ROUND(100/W85*X85-100,1)&gt;999,999,-999)))</f>
        <v>133.6</v>
      </c>
      <c r="Z85" s="756"/>
      <c r="AA85" s="750"/>
      <c r="AB85" s="751"/>
      <c r="AC85" s="756"/>
      <c r="AD85" s="750"/>
      <c r="AE85" s="751"/>
      <c r="AF85" s="756"/>
      <c r="AG85" s="750"/>
      <c r="AH85" s="751"/>
      <c r="AI85" s="756">
        <v>-22.068999999999999</v>
      </c>
      <c r="AJ85" s="750">
        <v>-240.554</v>
      </c>
      <c r="AK85" s="751">
        <f>IF(AI85=0, "    ---- ", IF(ABS(ROUND(100/AI85*AJ85-100,1))&lt;999,ROUND(100/AI85*AJ85-100,1),IF(ROUND(100/AI85*AJ85-100,1)&gt;999,999,-999)))</f>
        <v>990</v>
      </c>
      <c r="AL85" s="756"/>
      <c r="AM85" s="750"/>
      <c r="AN85" s="751"/>
      <c r="AO85" s="750">
        <f t="shared" si="5"/>
        <v>-469.047011</v>
      </c>
      <c r="AP85" s="750">
        <f t="shared" si="5"/>
        <v>-1302.3693050000002</v>
      </c>
      <c r="AQ85" s="751">
        <f t="shared" si="11"/>
        <v>177.7</v>
      </c>
      <c r="AR85" s="750">
        <f t="shared" si="6"/>
        <v>-469.047011</v>
      </c>
      <c r="AS85" s="750">
        <f t="shared" si="6"/>
        <v>-1302.3693050000002</v>
      </c>
      <c r="AT85" s="751">
        <f t="shared" si="12"/>
        <v>177.7</v>
      </c>
      <c r="AU85" s="730"/>
      <c r="AV85" s="730"/>
      <c r="AW85" s="725"/>
      <c r="AX85" s="725"/>
    </row>
    <row r="86" spans="1:50" s="752" customFormat="1" ht="18.75" customHeight="1" x14ac:dyDescent="0.3">
      <c r="A86" s="688" t="s">
        <v>426</v>
      </c>
      <c r="B86" s="756"/>
      <c r="C86" s="750"/>
      <c r="D86" s="750"/>
      <c r="E86" s="756">
        <v>133.846</v>
      </c>
      <c r="F86" s="750">
        <v>149.30000000000001</v>
      </c>
      <c r="G86" s="751">
        <f>IF(E86=0, "    ---- ", IF(ABS(ROUND(100/E86*F86-100,1))&lt;999,ROUND(100/E86*F86-100,1),IF(ROUND(100/E86*F86-100,1)&gt;999,999,-999)))</f>
        <v>11.5</v>
      </c>
      <c r="H86" s="756"/>
      <c r="I86" s="750"/>
      <c r="J86" s="751"/>
      <c r="K86" s="756">
        <v>-8.3870000000000005</v>
      </c>
      <c r="L86" s="750">
        <v>-10.384</v>
      </c>
      <c r="M86" s="750">
        <f>IF(K86=0, "    ---- ", IF(ABS(ROUND(100/K86*L86-100,1))&lt;999,ROUND(100/K86*L86-100,1),IF(ROUND(100/K86*L86-100,1)&gt;999,999,-999)))</f>
        <v>23.8</v>
      </c>
      <c r="N86" s="756"/>
      <c r="O86" s="750"/>
      <c r="P86" s="751"/>
      <c r="Q86" s="756"/>
      <c r="R86" s="750"/>
      <c r="S86" s="751"/>
      <c r="T86" s="756">
        <v>-7</v>
      </c>
      <c r="U86" s="750">
        <v>-9</v>
      </c>
      <c r="V86" s="751"/>
      <c r="W86" s="756">
        <v>3.8090719609999999</v>
      </c>
      <c r="X86" s="750">
        <v>4.3853053094524892</v>
      </c>
      <c r="Y86" s="751">
        <f>IF(W86=0, "    ---- ", IF(ABS(ROUND(100/W86*X86-100,1))&lt;999,ROUND(100/W86*X86-100,1),IF(ROUND(100/W86*X86-100,1)&gt;999,999,-999)))</f>
        <v>15.1</v>
      </c>
      <c r="Z86" s="756"/>
      <c r="AA86" s="750"/>
      <c r="AB86" s="751"/>
      <c r="AC86" s="756"/>
      <c r="AD86" s="750"/>
      <c r="AE86" s="751"/>
      <c r="AF86" s="756"/>
      <c r="AG86" s="750"/>
      <c r="AH86" s="751"/>
      <c r="AI86" s="756">
        <v>-2.3340000000000001</v>
      </c>
      <c r="AJ86" s="750">
        <v>7.5999999999999998E-2</v>
      </c>
      <c r="AK86" s="751">
        <f>IF(AI86=0, "    ---- ", IF(ABS(ROUND(100/AI86*AJ86-100,1))&lt;999,ROUND(100/AI86*AJ86-100,1),IF(ROUND(100/AI86*AJ86-100,1)&gt;999,999,-999)))</f>
        <v>-103.3</v>
      </c>
      <c r="AL86" s="756">
        <v>48.9</v>
      </c>
      <c r="AM86" s="750">
        <v>119.73</v>
      </c>
      <c r="AN86" s="751">
        <f>IF(AL86=0, "    ---- ", IF(ABS(ROUND(100/AL86*AM86-100,1))&lt;999,ROUND(100/AL86*AM86-100,1),IF(ROUND(100/AL86*AM86-100,1)&gt;999,999,-999)))</f>
        <v>144.80000000000001</v>
      </c>
      <c r="AO86" s="750">
        <f t="shared" si="5"/>
        <v>168.83407196100001</v>
      </c>
      <c r="AP86" s="750">
        <f t="shared" si="5"/>
        <v>254.1073053094525</v>
      </c>
      <c r="AQ86" s="751">
        <f t="shared" si="11"/>
        <v>50.5</v>
      </c>
      <c r="AR86" s="750">
        <f t="shared" si="6"/>
        <v>168.83407196100001</v>
      </c>
      <c r="AS86" s="750">
        <f t="shared" si="6"/>
        <v>254.1073053094525</v>
      </c>
      <c r="AT86" s="751">
        <f t="shared" si="12"/>
        <v>50.5</v>
      </c>
      <c r="AU86" s="730"/>
      <c r="AV86" s="730"/>
      <c r="AW86" s="725"/>
      <c r="AX86" s="725"/>
    </row>
    <row r="87" spans="1:50" s="752" customFormat="1" ht="18.75" customHeight="1" x14ac:dyDescent="0.3">
      <c r="A87" s="688" t="s">
        <v>427</v>
      </c>
      <c r="B87" s="756"/>
      <c r="C87" s="750"/>
      <c r="D87" s="750"/>
      <c r="E87" s="756"/>
      <c r="F87" s="750"/>
      <c r="G87" s="751"/>
      <c r="H87" s="756"/>
      <c r="I87" s="750"/>
      <c r="J87" s="751"/>
      <c r="K87" s="756"/>
      <c r="L87" s="750"/>
      <c r="M87" s="750"/>
      <c r="N87" s="756"/>
      <c r="O87" s="750"/>
      <c r="P87" s="751"/>
      <c r="Q87" s="756"/>
      <c r="R87" s="750"/>
      <c r="S87" s="751"/>
      <c r="T87" s="756"/>
      <c r="U87" s="750"/>
      <c r="V87" s="751"/>
      <c r="W87" s="756"/>
      <c r="X87" s="750">
        <v>0</v>
      </c>
      <c r="Y87" s="751"/>
      <c r="Z87" s="756"/>
      <c r="AA87" s="750"/>
      <c r="AB87" s="751"/>
      <c r="AC87" s="756"/>
      <c r="AD87" s="750"/>
      <c r="AE87" s="751"/>
      <c r="AF87" s="756"/>
      <c r="AG87" s="750"/>
      <c r="AH87" s="751"/>
      <c r="AI87" s="756"/>
      <c r="AJ87" s="750"/>
      <c r="AK87" s="751"/>
      <c r="AL87" s="756"/>
      <c r="AM87" s="750"/>
      <c r="AN87" s="751"/>
      <c r="AO87" s="750"/>
      <c r="AP87" s="750"/>
      <c r="AQ87" s="751"/>
      <c r="AR87" s="750"/>
      <c r="AS87" s="750"/>
      <c r="AT87" s="751"/>
      <c r="AU87" s="730"/>
      <c r="AV87" s="730"/>
      <c r="AW87" s="725"/>
      <c r="AX87" s="725"/>
    </row>
    <row r="88" spans="1:50" s="752" customFormat="1" ht="18.75" customHeight="1" x14ac:dyDescent="0.3">
      <c r="A88" s="688" t="s">
        <v>428</v>
      </c>
      <c r="B88" s="756"/>
      <c r="C88" s="750"/>
      <c r="D88" s="750"/>
      <c r="E88" s="756"/>
      <c r="F88" s="750"/>
      <c r="G88" s="751"/>
      <c r="H88" s="756"/>
      <c r="I88" s="750"/>
      <c r="J88" s="751"/>
      <c r="K88" s="756"/>
      <c r="L88" s="750"/>
      <c r="M88" s="750"/>
      <c r="N88" s="756"/>
      <c r="O88" s="750"/>
      <c r="P88" s="751"/>
      <c r="Q88" s="756"/>
      <c r="R88" s="750"/>
      <c r="S88" s="751"/>
      <c r="T88" s="756"/>
      <c r="U88" s="750"/>
      <c r="V88" s="751"/>
      <c r="W88" s="756"/>
      <c r="X88" s="750"/>
      <c r="Y88" s="751"/>
      <c r="Z88" s="756"/>
      <c r="AA88" s="750"/>
      <c r="AB88" s="751"/>
      <c r="AC88" s="756"/>
      <c r="AD88" s="750"/>
      <c r="AE88" s="751"/>
      <c r="AF88" s="756"/>
      <c r="AG88" s="750"/>
      <c r="AH88" s="751"/>
      <c r="AI88" s="756"/>
      <c r="AJ88" s="750"/>
      <c r="AK88" s="751"/>
      <c r="AL88" s="756"/>
      <c r="AM88" s="750"/>
      <c r="AN88" s="751"/>
      <c r="AO88" s="750"/>
      <c r="AP88" s="750"/>
      <c r="AQ88" s="751"/>
      <c r="AR88" s="750"/>
      <c r="AS88" s="750"/>
      <c r="AT88" s="751"/>
      <c r="AU88" s="730"/>
      <c r="AV88" s="730"/>
      <c r="AW88" s="725"/>
      <c r="AX88" s="725"/>
    </row>
    <row r="89" spans="1:50" s="752" customFormat="1" ht="18.75" customHeight="1" x14ac:dyDescent="0.3">
      <c r="A89" s="688" t="s">
        <v>429</v>
      </c>
      <c r="B89" s="756"/>
      <c r="C89" s="750"/>
      <c r="D89" s="750"/>
      <c r="E89" s="756">
        <v>159.12200000000001</v>
      </c>
      <c r="F89" s="750">
        <v>165.05</v>
      </c>
      <c r="G89" s="751">
        <f t="shared" ref="G89:G94" si="20">IF(E89=0, "    ---- ", IF(ABS(ROUND(100/E89*F89-100,1))&lt;999,ROUND(100/E89*F89-100,1),IF(ROUND(100/E89*F89-100,1)&gt;999,999,-999)))</f>
        <v>3.7</v>
      </c>
      <c r="H89" s="756"/>
      <c r="I89" s="750"/>
      <c r="J89" s="751"/>
      <c r="K89" s="756">
        <v>5.0019999999999998</v>
      </c>
      <c r="L89" s="750">
        <v>0.107</v>
      </c>
      <c r="M89" s="750">
        <f>IF(K89=0, "    ---- ", IF(ABS(ROUND(100/K89*L89-100,1))&lt;999,ROUND(100/K89*L89-100,1),IF(ROUND(100/K89*L89-100,1)&gt;999,999,-999)))</f>
        <v>-97.9</v>
      </c>
      <c r="N89" s="756"/>
      <c r="O89" s="750"/>
      <c r="P89" s="751"/>
      <c r="Q89" s="756"/>
      <c r="R89" s="750"/>
      <c r="S89" s="751"/>
      <c r="T89" s="756"/>
      <c r="U89" s="750"/>
      <c r="V89" s="751"/>
      <c r="W89" s="756">
        <v>38.7525233</v>
      </c>
      <c r="X89" s="750">
        <v>33.454789694915803</v>
      </c>
      <c r="Y89" s="751">
        <f t="shared" ref="Y89:Y94" si="21">IF(W89=0, "    ---- ", IF(ABS(ROUND(100/W89*X89-100,1))&lt;999,ROUND(100/W89*X89-100,1),IF(ROUND(100/W89*X89-100,1)&gt;999,999,-999)))</f>
        <v>-13.7</v>
      </c>
      <c r="Z89" s="756"/>
      <c r="AA89" s="750"/>
      <c r="AB89" s="751"/>
      <c r="AC89" s="756"/>
      <c r="AD89" s="750"/>
      <c r="AE89" s="751"/>
      <c r="AF89" s="756"/>
      <c r="AG89" s="750"/>
      <c r="AH89" s="751"/>
      <c r="AI89" s="756">
        <v>25.789000000000001</v>
      </c>
      <c r="AJ89" s="750">
        <v>10.404999999999999</v>
      </c>
      <c r="AK89" s="751">
        <f>IF(AI89=0, "    ---- ", IF(ABS(ROUND(100/AI89*AJ89-100,1))&lt;999,ROUND(100/AI89*AJ89-100,1),IF(ROUND(100/AI89*AJ89-100,1)&gt;999,999,-999)))</f>
        <v>-59.7</v>
      </c>
      <c r="AL89" s="756">
        <v>0.9</v>
      </c>
      <c r="AM89" s="750">
        <v>0.87</v>
      </c>
      <c r="AN89" s="751">
        <f t="shared" ref="AN89:AN94" si="22">IF(AL89=0, "    ---- ", IF(ABS(ROUND(100/AL89*AM89-100,1))&lt;999,ROUND(100/AL89*AM89-100,1),IF(ROUND(100/AL89*AM89-100,1)&gt;999,999,-999)))</f>
        <v>-3.3</v>
      </c>
      <c r="AO89" s="750">
        <f t="shared" si="5"/>
        <v>229.56552330000002</v>
      </c>
      <c r="AP89" s="750">
        <f t="shared" si="5"/>
        <v>209.88678969491582</v>
      </c>
      <c r="AQ89" s="751">
        <f t="shared" si="11"/>
        <v>-8.6</v>
      </c>
      <c r="AR89" s="750">
        <f t="shared" si="6"/>
        <v>229.56552330000002</v>
      </c>
      <c r="AS89" s="750">
        <f t="shared" si="6"/>
        <v>209.88678969491582</v>
      </c>
      <c r="AT89" s="751">
        <f t="shared" si="12"/>
        <v>-8.6</v>
      </c>
      <c r="AU89" s="730"/>
      <c r="AV89" s="730"/>
      <c r="AW89" s="725"/>
      <c r="AX89" s="725"/>
    </row>
    <row r="90" spans="1:50" s="752" customFormat="1" ht="18.75" customHeight="1" x14ac:dyDescent="0.3">
      <c r="A90" s="688" t="s">
        <v>430</v>
      </c>
      <c r="B90" s="756"/>
      <c r="C90" s="750"/>
      <c r="D90" s="750"/>
      <c r="E90" s="756"/>
      <c r="F90" s="750"/>
      <c r="G90" s="751"/>
      <c r="H90" s="756"/>
      <c r="I90" s="750"/>
      <c r="J90" s="751"/>
      <c r="K90" s="756"/>
      <c r="L90" s="750"/>
      <c r="M90" s="750"/>
      <c r="N90" s="756"/>
      <c r="O90" s="750"/>
      <c r="P90" s="751"/>
      <c r="Q90" s="756"/>
      <c r="R90" s="750"/>
      <c r="S90" s="751"/>
      <c r="T90" s="756"/>
      <c r="U90" s="750"/>
      <c r="V90" s="751"/>
      <c r="W90" s="756">
        <v>58</v>
      </c>
      <c r="X90" s="750">
        <v>69.634674392699139</v>
      </c>
      <c r="Y90" s="751">
        <f t="shared" si="21"/>
        <v>20.100000000000001</v>
      </c>
      <c r="Z90" s="756"/>
      <c r="AA90" s="750"/>
      <c r="AB90" s="751"/>
      <c r="AC90" s="756"/>
      <c r="AD90" s="750"/>
      <c r="AE90" s="751"/>
      <c r="AF90" s="756"/>
      <c r="AG90" s="750"/>
      <c r="AH90" s="751"/>
      <c r="AI90" s="756"/>
      <c r="AJ90" s="750"/>
      <c r="AK90" s="751"/>
      <c r="AL90" s="756"/>
      <c r="AM90" s="750"/>
      <c r="AN90" s="751"/>
      <c r="AO90" s="750">
        <f t="shared" si="5"/>
        <v>58</v>
      </c>
      <c r="AP90" s="750">
        <f t="shared" si="5"/>
        <v>69.634674392699139</v>
      </c>
      <c r="AQ90" s="751">
        <f t="shared" si="11"/>
        <v>20.100000000000001</v>
      </c>
      <c r="AR90" s="750">
        <f t="shared" si="6"/>
        <v>58</v>
      </c>
      <c r="AS90" s="750">
        <f t="shared" si="6"/>
        <v>69.634674392699139</v>
      </c>
      <c r="AT90" s="751">
        <f t="shared" si="12"/>
        <v>20.100000000000001</v>
      </c>
      <c r="AU90" s="730"/>
      <c r="AV90" s="730"/>
      <c r="AW90" s="725"/>
      <c r="AX90" s="725"/>
    </row>
    <row r="91" spans="1:50" s="752" customFormat="1" ht="18.75" customHeight="1" x14ac:dyDescent="0.3">
      <c r="A91" s="688" t="s">
        <v>431</v>
      </c>
      <c r="B91" s="756"/>
      <c r="C91" s="750"/>
      <c r="D91" s="750"/>
      <c r="E91" s="756"/>
      <c r="F91" s="750"/>
      <c r="G91" s="751"/>
      <c r="H91" s="756"/>
      <c r="I91" s="750"/>
      <c r="J91" s="751"/>
      <c r="K91" s="756"/>
      <c r="L91" s="750">
        <v>0.48899999999999999</v>
      </c>
      <c r="M91" s="750"/>
      <c r="N91" s="756"/>
      <c r="O91" s="750"/>
      <c r="P91" s="751"/>
      <c r="Q91" s="756"/>
      <c r="R91" s="750"/>
      <c r="S91" s="751"/>
      <c r="T91" s="756">
        <v>-4</v>
      </c>
      <c r="U91" s="750">
        <v>3</v>
      </c>
      <c r="V91" s="751"/>
      <c r="W91" s="756">
        <v>-286.77682700000003</v>
      </c>
      <c r="X91" s="750">
        <v>-201.283357</v>
      </c>
      <c r="Y91" s="751">
        <f t="shared" si="21"/>
        <v>-29.8</v>
      </c>
      <c r="Z91" s="756"/>
      <c r="AA91" s="750"/>
      <c r="AB91" s="751"/>
      <c r="AC91" s="756"/>
      <c r="AD91" s="750"/>
      <c r="AE91" s="751"/>
      <c r="AF91" s="756"/>
      <c r="AG91" s="750"/>
      <c r="AH91" s="751"/>
      <c r="AI91" s="756">
        <v>-127.05799999999999</v>
      </c>
      <c r="AJ91" s="750"/>
      <c r="AK91" s="751">
        <f>IF(AI91=0, "    ---- ", IF(ABS(ROUND(100/AI91*AJ91-100,1))&lt;999,ROUND(100/AI91*AJ91-100,1),IF(ROUND(100/AI91*AJ91-100,1)&gt;999,999,-999)))</f>
        <v>-100</v>
      </c>
      <c r="AL91" s="756">
        <v>-28.2</v>
      </c>
      <c r="AM91" s="750">
        <v>-3.42</v>
      </c>
      <c r="AN91" s="751">
        <f t="shared" si="22"/>
        <v>-87.9</v>
      </c>
      <c r="AO91" s="750">
        <f t="shared" si="5"/>
        <v>-446.03482700000001</v>
      </c>
      <c r="AP91" s="750">
        <f t="shared" si="5"/>
        <v>-201.21435699999998</v>
      </c>
      <c r="AQ91" s="751">
        <f t="shared" si="11"/>
        <v>-54.9</v>
      </c>
      <c r="AR91" s="750">
        <f t="shared" si="6"/>
        <v>-446.03482700000001</v>
      </c>
      <c r="AS91" s="750">
        <f t="shared" si="6"/>
        <v>-201.21435699999998</v>
      </c>
      <c r="AT91" s="751">
        <f t="shared" si="12"/>
        <v>-54.9</v>
      </c>
      <c r="AU91" s="730"/>
      <c r="AV91" s="730"/>
      <c r="AW91" s="725"/>
      <c r="AX91" s="725"/>
    </row>
    <row r="92" spans="1:50" s="755" customFormat="1" ht="18.75" customHeight="1" x14ac:dyDescent="0.3">
      <c r="A92" s="679" t="s">
        <v>432</v>
      </c>
      <c r="B92" s="680"/>
      <c r="C92" s="748"/>
      <c r="D92" s="748"/>
      <c r="E92" s="757">
        <v>1094.336</v>
      </c>
      <c r="F92" s="748">
        <f>SUM(F84:F89)+F91</f>
        <v>890.73</v>
      </c>
      <c r="G92" s="749">
        <f t="shared" si="20"/>
        <v>-18.600000000000001</v>
      </c>
      <c r="H92" s="757"/>
      <c r="I92" s="748"/>
      <c r="J92" s="749"/>
      <c r="K92" s="757">
        <v>27.067999999999998</v>
      </c>
      <c r="L92" s="748">
        <f>SUM(L84:L89)+L91</f>
        <v>9.3030000000000008</v>
      </c>
      <c r="M92" s="748">
        <f>IF(K92=0, "    ---- ", IF(ABS(ROUND(100/K92*L92-100,1))&lt;999,ROUND(100/K92*L92-100,1),IF(ROUND(100/K92*L92-100,1)&gt;999,999,-999)))</f>
        <v>-65.599999999999994</v>
      </c>
      <c r="N92" s="757"/>
      <c r="O92" s="748"/>
      <c r="P92" s="749"/>
      <c r="Q92" s="757"/>
      <c r="R92" s="748"/>
      <c r="S92" s="749"/>
      <c r="T92" s="757">
        <v>-2</v>
      </c>
      <c r="U92" s="748">
        <f>SUM(U84:U89)+U91</f>
        <v>4</v>
      </c>
      <c r="V92" s="749"/>
      <c r="W92" s="757">
        <v>-54.443199178000015</v>
      </c>
      <c r="X92" s="748">
        <f>SUM(X84:X89)+X91</f>
        <v>-3.0773225639169368</v>
      </c>
      <c r="Y92" s="749">
        <f t="shared" si="21"/>
        <v>-94.3</v>
      </c>
      <c r="Z92" s="757"/>
      <c r="AA92" s="748"/>
      <c r="AB92" s="749"/>
      <c r="AC92" s="757"/>
      <c r="AD92" s="748"/>
      <c r="AE92" s="749"/>
      <c r="AF92" s="757"/>
      <c r="AG92" s="748"/>
      <c r="AH92" s="749"/>
      <c r="AI92" s="757">
        <v>-70.807999999999993</v>
      </c>
      <c r="AJ92" s="748">
        <f>SUM(AJ84:AJ89)+AJ91</f>
        <v>25.803000000000004</v>
      </c>
      <c r="AK92" s="749">
        <f>IF(AI92=0, "    ---- ", IF(ABS(ROUND(100/AI92*AJ92-100,1))&lt;999,ROUND(100/AI92*AJ92-100,1),IF(ROUND(100/AI92*AJ92-100,1)&gt;999,999,-999)))</f>
        <v>-136.4</v>
      </c>
      <c r="AL92" s="757">
        <v>2387.0000000000005</v>
      </c>
      <c r="AM92" s="748">
        <f>SUM(AM84:AM89)+AM91</f>
        <v>1655.4999999999998</v>
      </c>
      <c r="AN92" s="749">
        <f t="shared" si="22"/>
        <v>-30.6</v>
      </c>
      <c r="AO92" s="748">
        <f t="shared" si="5"/>
        <v>3381.1528008220002</v>
      </c>
      <c r="AP92" s="748">
        <f t="shared" si="5"/>
        <v>2582.258677436083</v>
      </c>
      <c r="AQ92" s="749">
        <f t="shared" si="11"/>
        <v>-23.6</v>
      </c>
      <c r="AR92" s="748">
        <f t="shared" si="6"/>
        <v>3381.1528008220002</v>
      </c>
      <c r="AS92" s="748">
        <f t="shared" si="6"/>
        <v>2582.258677436083</v>
      </c>
      <c r="AT92" s="749">
        <f t="shared" si="12"/>
        <v>-23.6</v>
      </c>
      <c r="AU92" s="753" t="e">
        <f>B92,C92,E92,F92,H92,I92,K92,L92,N92,O92,Q92,R92,T92,U92,W92,X92,Z92,AA92,AC92,AD92,AF92,AG92,AI92,AJ92,AL92,AM92,AO92,AP92,AR92,AS92</f>
        <v>#VALUE!</v>
      </c>
      <c r="AV92" s="728"/>
      <c r="AW92" s="754"/>
      <c r="AX92" s="754"/>
    </row>
    <row r="93" spans="1:50" s="752" customFormat="1" ht="18.75" customHeight="1" x14ac:dyDescent="0.3">
      <c r="A93" s="688" t="s">
        <v>433</v>
      </c>
      <c r="B93" s="756"/>
      <c r="C93" s="750"/>
      <c r="D93" s="750"/>
      <c r="E93" s="756">
        <v>1166.7379999999998</v>
      </c>
      <c r="F93" s="750">
        <v>667.82</v>
      </c>
      <c r="G93" s="751">
        <f t="shared" si="20"/>
        <v>-42.8</v>
      </c>
      <c r="H93" s="756"/>
      <c r="I93" s="750"/>
      <c r="J93" s="751"/>
      <c r="K93" s="756">
        <v>36.1</v>
      </c>
      <c r="L93" s="750">
        <v>19.215</v>
      </c>
      <c r="M93" s="750">
        <f>IF(K93=0, "    ---- ", IF(ABS(ROUND(100/K93*L93-100,1))&lt;999,ROUND(100/K93*L93-100,1),IF(ROUND(100/K93*L93-100,1)&gt;999,999,-999)))</f>
        <v>-46.8</v>
      </c>
      <c r="N93" s="756"/>
      <c r="O93" s="750"/>
      <c r="P93" s="751"/>
      <c r="Q93" s="756"/>
      <c r="R93" s="750"/>
      <c r="S93" s="751"/>
      <c r="T93" s="756">
        <v>4</v>
      </c>
      <c r="U93" s="750">
        <v>8</v>
      </c>
      <c r="V93" s="751"/>
      <c r="W93" s="756">
        <v>7.9703174360000002</v>
      </c>
      <c r="X93" s="750">
        <v>16.183565813439252</v>
      </c>
      <c r="Y93" s="751">
        <f t="shared" si="21"/>
        <v>103</v>
      </c>
      <c r="Z93" s="756"/>
      <c r="AA93" s="750"/>
      <c r="AB93" s="751"/>
      <c r="AC93" s="756"/>
      <c r="AD93" s="750"/>
      <c r="AE93" s="751"/>
      <c r="AF93" s="756"/>
      <c r="AG93" s="750"/>
      <c r="AH93" s="751"/>
      <c r="AI93" s="756">
        <v>7.7</v>
      </c>
      <c r="AJ93" s="750">
        <v>17.327000000000002</v>
      </c>
      <c r="AK93" s="751">
        <f>IF(AI93=0, "    ---- ", IF(ABS(ROUND(100/AI93*AJ93-100,1))&lt;999,ROUND(100/AI93*AJ93-100,1),IF(ROUND(100/AI93*AJ93-100,1)&gt;999,999,-999)))</f>
        <v>125</v>
      </c>
      <c r="AL93" s="756">
        <v>2341</v>
      </c>
      <c r="AM93" s="750">
        <v>1533.75</v>
      </c>
      <c r="AN93" s="751">
        <f t="shared" si="22"/>
        <v>-34.5</v>
      </c>
      <c r="AO93" s="750">
        <f t="shared" si="5"/>
        <v>3563.5083174359997</v>
      </c>
      <c r="AP93" s="750">
        <f t="shared" si="5"/>
        <v>2262.2955658134392</v>
      </c>
      <c r="AQ93" s="751">
        <f t="shared" si="11"/>
        <v>-36.5</v>
      </c>
      <c r="AR93" s="750">
        <f t="shared" si="6"/>
        <v>3563.5083174359997</v>
      </c>
      <c r="AS93" s="750">
        <f t="shared" si="6"/>
        <v>2262.2955658134392</v>
      </c>
      <c r="AT93" s="751">
        <f t="shared" si="12"/>
        <v>-36.5</v>
      </c>
      <c r="AU93" s="730"/>
      <c r="AV93" s="730"/>
      <c r="AW93" s="725"/>
      <c r="AX93" s="725"/>
    </row>
    <row r="94" spans="1:50" s="752" customFormat="1" ht="18.75" customHeight="1" x14ac:dyDescent="0.3">
      <c r="A94" s="688" t="s">
        <v>434</v>
      </c>
      <c r="B94" s="756"/>
      <c r="C94" s="750"/>
      <c r="D94" s="750"/>
      <c r="E94" s="756">
        <v>-72.402000000000001</v>
      </c>
      <c r="F94" s="750">
        <v>222.91</v>
      </c>
      <c r="G94" s="751">
        <f t="shared" si="20"/>
        <v>-407.9</v>
      </c>
      <c r="H94" s="756"/>
      <c r="I94" s="750"/>
      <c r="J94" s="751"/>
      <c r="K94" s="756">
        <v>-9.0299999999999994</v>
      </c>
      <c r="L94" s="750">
        <v>-9.9120000000000008</v>
      </c>
      <c r="M94" s="750">
        <f>IF(K94=0, "    ---- ", IF(ABS(ROUND(100/K94*L94-100,1))&lt;999,ROUND(100/K94*L94-100,1),IF(ROUND(100/K94*L94-100,1)&gt;999,999,-999)))</f>
        <v>9.8000000000000007</v>
      </c>
      <c r="N94" s="756"/>
      <c r="O94" s="750"/>
      <c r="P94" s="751"/>
      <c r="Q94" s="756"/>
      <c r="R94" s="750"/>
      <c r="S94" s="751"/>
      <c r="T94" s="756">
        <v>-6</v>
      </c>
      <c r="U94" s="750">
        <v>-4</v>
      </c>
      <c r="V94" s="751"/>
      <c r="W94" s="756">
        <v>-62.413516614000017</v>
      </c>
      <c r="X94" s="750">
        <v>-19.260888377356189</v>
      </c>
      <c r="Y94" s="751">
        <f t="shared" si="21"/>
        <v>-69.099999999999994</v>
      </c>
      <c r="Z94" s="756"/>
      <c r="AA94" s="750"/>
      <c r="AB94" s="751"/>
      <c r="AC94" s="756"/>
      <c r="AD94" s="750"/>
      <c r="AE94" s="751"/>
      <c r="AF94" s="756"/>
      <c r="AG94" s="750"/>
      <c r="AH94" s="751"/>
      <c r="AI94" s="756">
        <v>-78.507999999999996</v>
      </c>
      <c r="AJ94" s="750">
        <v>8.4760000000000009</v>
      </c>
      <c r="AK94" s="751">
        <f>IF(AI94=0, "    ---- ", IF(ABS(ROUND(100/AI94*AJ94-100,1))&lt;999,ROUND(100/AI94*AJ94-100,1),IF(ROUND(100/AI94*AJ94-100,1)&gt;999,999,-999)))</f>
        <v>-110.8</v>
      </c>
      <c r="AL94" s="756">
        <v>46</v>
      </c>
      <c r="AM94" s="750">
        <v>121.75</v>
      </c>
      <c r="AN94" s="751">
        <f t="shared" si="22"/>
        <v>164.7</v>
      </c>
      <c r="AO94" s="750">
        <f t="shared" si="5"/>
        <v>-182.353516614</v>
      </c>
      <c r="AP94" s="750">
        <f t="shared" si="5"/>
        <v>319.96311162264379</v>
      </c>
      <c r="AQ94" s="751">
        <f t="shared" si="11"/>
        <v>-275.5</v>
      </c>
      <c r="AR94" s="700">
        <f t="shared" si="6"/>
        <v>-182.353516614</v>
      </c>
      <c r="AS94" s="700">
        <f t="shared" si="6"/>
        <v>319.96311162264379</v>
      </c>
      <c r="AT94" s="751">
        <f t="shared" si="12"/>
        <v>-275.5</v>
      </c>
      <c r="AU94" s="730"/>
      <c r="AV94" s="730"/>
      <c r="AW94" s="725"/>
      <c r="AX94" s="725"/>
    </row>
    <row r="95" spans="1:50" s="752" customFormat="1" ht="18.75" customHeight="1" x14ac:dyDescent="0.3">
      <c r="A95" s="679" t="s">
        <v>451</v>
      </c>
      <c r="B95" s="756"/>
      <c r="C95" s="750"/>
      <c r="D95" s="750"/>
      <c r="E95" s="756"/>
      <c r="F95" s="750"/>
      <c r="G95" s="751"/>
      <c r="H95" s="756"/>
      <c r="I95" s="750"/>
      <c r="J95" s="751"/>
      <c r="K95" s="756"/>
      <c r="L95" s="750"/>
      <c r="M95" s="750"/>
      <c r="N95" s="756"/>
      <c r="O95" s="750"/>
      <c r="P95" s="751"/>
      <c r="Q95" s="756"/>
      <c r="R95" s="750"/>
      <c r="S95" s="751"/>
      <c r="T95" s="756"/>
      <c r="U95" s="750"/>
      <c r="V95" s="751"/>
      <c r="W95" s="756"/>
      <c r="X95" s="750"/>
      <c r="Y95" s="751"/>
      <c r="Z95" s="756"/>
      <c r="AA95" s="750"/>
      <c r="AB95" s="751"/>
      <c r="AC95" s="756"/>
      <c r="AD95" s="750"/>
      <c r="AE95" s="751"/>
      <c r="AF95" s="756"/>
      <c r="AG95" s="750"/>
      <c r="AH95" s="751"/>
      <c r="AI95" s="756"/>
      <c r="AJ95" s="750"/>
      <c r="AK95" s="751"/>
      <c r="AL95" s="756"/>
      <c r="AM95" s="750"/>
      <c r="AN95" s="751"/>
      <c r="AO95" s="750"/>
      <c r="AP95" s="750"/>
      <c r="AQ95" s="751"/>
      <c r="AR95" s="700"/>
      <c r="AS95" s="700"/>
      <c r="AT95" s="751"/>
      <c r="AU95" s="730"/>
      <c r="AV95" s="730"/>
      <c r="AW95" s="725"/>
      <c r="AX95" s="725"/>
    </row>
    <row r="96" spans="1:50" s="752" customFormat="1" ht="18.75" customHeight="1" x14ac:dyDescent="0.3">
      <c r="A96" s="688" t="s">
        <v>424</v>
      </c>
      <c r="B96" s="756"/>
      <c r="C96" s="750"/>
      <c r="D96" s="750"/>
      <c r="E96" s="756">
        <v>82.775999999999996</v>
      </c>
      <c r="F96" s="750">
        <v>85.71</v>
      </c>
      <c r="G96" s="751">
        <f>IF(E96=0, "    ---- ", IF(ABS(ROUND(100/E96*F96-100,1))&lt;999,ROUND(100/E96*F96-100,1),IF(ROUND(100/E96*F96-100,1)&gt;999,999,-999)))</f>
        <v>3.5</v>
      </c>
      <c r="H96" s="756"/>
      <c r="I96" s="750"/>
      <c r="J96" s="751"/>
      <c r="K96" s="756"/>
      <c r="L96" s="750"/>
      <c r="M96" s="750"/>
      <c r="N96" s="756"/>
      <c r="O96" s="750"/>
      <c r="P96" s="751"/>
      <c r="Q96" s="756"/>
      <c r="R96" s="750"/>
      <c r="S96" s="751"/>
      <c r="T96" s="756">
        <v>3</v>
      </c>
      <c r="U96" s="750">
        <v>3</v>
      </c>
      <c r="V96" s="751"/>
      <c r="W96" s="756">
        <v>26.692166474</v>
      </c>
      <c r="X96" s="750">
        <v>29.545053326502881</v>
      </c>
      <c r="Y96" s="751">
        <f>IF(W96=0, "    ---- ", IF(ABS(ROUND(100/W96*X96-100,1))&lt;999,ROUND(100/W96*X96-100,1),IF(ROUND(100/W96*X96-100,1)&gt;999,999,-999)))</f>
        <v>10.7</v>
      </c>
      <c r="Z96" s="756"/>
      <c r="AA96" s="750"/>
      <c r="AB96" s="751"/>
      <c r="AC96" s="756"/>
      <c r="AD96" s="750"/>
      <c r="AE96" s="751"/>
      <c r="AF96" s="756"/>
      <c r="AG96" s="750"/>
      <c r="AH96" s="751"/>
      <c r="AI96" s="756">
        <v>12.138000000000002</v>
      </c>
      <c r="AJ96" s="750">
        <v>2.234</v>
      </c>
      <c r="AK96" s="751">
        <f>IF(AI96=0, "    ---- ", IF(ABS(ROUND(100/AI96*AJ96-100,1))&lt;999,ROUND(100/AI96*AJ96-100,1),IF(ROUND(100/AI96*AJ96-100,1)&gt;999,999,-999)))</f>
        <v>-81.599999999999994</v>
      </c>
      <c r="AL96" s="756">
        <v>63</v>
      </c>
      <c r="AM96" s="750">
        <v>43.55</v>
      </c>
      <c r="AN96" s="751">
        <f>IF(AL96=0, "    ---- ", IF(ABS(ROUND(100/AL96*AM96-100,1))&lt;999,ROUND(100/AL96*AM96-100,1),IF(ROUND(100/AL96*AM96-100,1)&gt;999,999,-999)))</f>
        <v>-30.9</v>
      </c>
      <c r="AO96" s="750">
        <f t="shared" si="5"/>
        <v>187.60616647400002</v>
      </c>
      <c r="AP96" s="750">
        <f t="shared" si="5"/>
        <v>164.03905332650288</v>
      </c>
      <c r="AQ96" s="751">
        <f t="shared" si="11"/>
        <v>-12.6</v>
      </c>
      <c r="AR96" s="700">
        <f t="shared" si="6"/>
        <v>187.60616647400002</v>
      </c>
      <c r="AS96" s="700">
        <f t="shared" si="6"/>
        <v>164.03905332650288</v>
      </c>
      <c r="AT96" s="751">
        <f t="shared" si="12"/>
        <v>-12.6</v>
      </c>
      <c r="AU96" s="730"/>
      <c r="AV96" s="730"/>
      <c r="AW96" s="725"/>
      <c r="AX96" s="725"/>
    </row>
    <row r="97" spans="1:50" s="752" customFormat="1" ht="18.75" customHeight="1" x14ac:dyDescent="0.3">
      <c r="A97" s="688" t="s">
        <v>425</v>
      </c>
      <c r="B97" s="756"/>
      <c r="C97" s="750"/>
      <c r="D97" s="750"/>
      <c r="E97" s="756">
        <v>-6.6</v>
      </c>
      <c r="F97" s="750">
        <v>0</v>
      </c>
      <c r="G97" s="751">
        <f>IF(E97=0, "    ---- ", IF(ABS(ROUND(100/E97*F97-100,1))&lt;999,ROUND(100/E97*F97-100,1),IF(ROUND(100/E97*F97-100,1)&gt;999,999,-999)))</f>
        <v>-100</v>
      </c>
      <c r="H97" s="756"/>
      <c r="I97" s="750"/>
      <c r="J97" s="751"/>
      <c r="K97" s="756"/>
      <c r="L97" s="750"/>
      <c r="M97" s="750"/>
      <c r="N97" s="756"/>
      <c r="O97" s="750"/>
      <c r="P97" s="751"/>
      <c r="Q97" s="756"/>
      <c r="R97" s="750"/>
      <c r="S97" s="751"/>
      <c r="T97" s="756">
        <v>-7</v>
      </c>
      <c r="U97" s="750">
        <v>-2</v>
      </c>
      <c r="V97" s="751"/>
      <c r="W97" s="756"/>
      <c r="X97" s="750"/>
      <c r="Y97" s="751"/>
      <c r="Z97" s="756"/>
      <c r="AA97" s="750"/>
      <c r="AB97" s="751"/>
      <c r="AC97" s="756"/>
      <c r="AD97" s="750"/>
      <c r="AE97" s="751"/>
      <c r="AF97" s="756"/>
      <c r="AG97" s="750"/>
      <c r="AH97" s="751"/>
      <c r="AI97" s="756"/>
      <c r="AJ97" s="750"/>
      <c r="AK97" s="751"/>
      <c r="AL97" s="756"/>
      <c r="AM97" s="750"/>
      <c r="AN97" s="751"/>
      <c r="AO97" s="750">
        <f t="shared" si="5"/>
        <v>-13.6</v>
      </c>
      <c r="AP97" s="750">
        <f t="shared" si="5"/>
        <v>-2</v>
      </c>
      <c r="AQ97" s="751">
        <f t="shared" si="11"/>
        <v>-85.3</v>
      </c>
      <c r="AR97" s="700">
        <f t="shared" si="6"/>
        <v>-13.6</v>
      </c>
      <c r="AS97" s="700">
        <f t="shared" si="6"/>
        <v>-2</v>
      </c>
      <c r="AT97" s="751">
        <f t="shared" si="12"/>
        <v>-85.3</v>
      </c>
      <c r="AU97" s="730"/>
      <c r="AV97" s="730"/>
      <c r="AW97" s="725"/>
      <c r="AX97" s="725"/>
    </row>
    <row r="98" spans="1:50" s="752" customFormat="1" ht="18.75" customHeight="1" x14ac:dyDescent="0.3">
      <c r="A98" s="688" t="s">
        <v>426</v>
      </c>
      <c r="B98" s="756">
        <v>-8.7629999999999999</v>
      </c>
      <c r="C98" s="750">
        <v>-6.8659999999999997</v>
      </c>
      <c r="D98" s="751">
        <f>IF(B98=0, "    ---- ", IF(ABS(ROUND(100/B98*C98-100,1))&lt;999,ROUND(100/B98*C98-100,1),IF(ROUND(100/B98*C98-100,1)&gt;999,999,-999)))</f>
        <v>-21.6</v>
      </c>
      <c r="E98" s="756">
        <v>8.5833999999999993</v>
      </c>
      <c r="F98" s="750">
        <v>-33.1</v>
      </c>
      <c r="G98" s="751">
        <f>IF(E98=0, "    ---- ", IF(ABS(ROUND(100/E98*F98-100,1))&lt;999,ROUND(100/E98*F98-100,1),IF(ROUND(100/E98*F98-100,1)&gt;999,999,-999)))</f>
        <v>-485.6</v>
      </c>
      <c r="H98" s="756"/>
      <c r="I98" s="750"/>
      <c r="J98" s="751"/>
      <c r="K98" s="756"/>
      <c r="L98" s="750"/>
      <c r="M98" s="750"/>
      <c r="N98" s="756"/>
      <c r="O98" s="750"/>
      <c r="P98" s="751"/>
      <c r="Q98" s="756"/>
      <c r="R98" s="750"/>
      <c r="S98" s="751"/>
      <c r="T98" s="756">
        <v>1</v>
      </c>
      <c r="U98" s="750">
        <v>3</v>
      </c>
      <c r="V98" s="751"/>
      <c r="W98" s="756">
        <v>3.0915953460000001</v>
      </c>
      <c r="X98" s="750">
        <v>-27.72917585827151</v>
      </c>
      <c r="Y98" s="751">
        <f>IF(W98=0, "    ---- ", IF(ABS(ROUND(100/W98*X98-100,1))&lt;999,ROUND(100/W98*X98-100,1),IF(ROUND(100/W98*X98-100,1)&gt;999,999,-999)))</f>
        <v>-996.9</v>
      </c>
      <c r="Z98" s="756"/>
      <c r="AA98" s="750"/>
      <c r="AB98" s="751"/>
      <c r="AC98" s="756"/>
      <c r="AD98" s="750"/>
      <c r="AE98" s="751"/>
      <c r="AF98" s="756"/>
      <c r="AG98" s="750"/>
      <c r="AH98" s="751"/>
      <c r="AI98" s="756">
        <v>-36.238</v>
      </c>
      <c r="AJ98" s="750">
        <v>-12.016999999999999</v>
      </c>
      <c r="AK98" s="751">
        <f>IF(AI98=0, "    ---- ", IF(ABS(ROUND(100/AI98*AJ98-100,1))&lt;999,ROUND(100/AI98*AJ98-100,1),IF(ROUND(100/AI98*AJ98-100,1)&gt;999,999,-999)))</f>
        <v>-66.8</v>
      </c>
      <c r="AL98" s="756">
        <v>21</v>
      </c>
      <c r="AM98" s="750">
        <v>-27.57</v>
      </c>
      <c r="AN98" s="751">
        <f>IF(AL98=0, "    ---- ", IF(ABS(ROUND(100/AL98*AM98-100,1))&lt;999,ROUND(100/AL98*AM98-100,1),IF(ROUND(100/AL98*AM98-100,1)&gt;999,999,-999)))</f>
        <v>-231.3</v>
      </c>
      <c r="AO98" s="750">
        <f t="shared" si="5"/>
        <v>-11.326004654000002</v>
      </c>
      <c r="AP98" s="750">
        <f t="shared" si="5"/>
        <v>-104.2821758582715</v>
      </c>
      <c r="AQ98" s="751">
        <f t="shared" si="11"/>
        <v>820.7</v>
      </c>
      <c r="AR98" s="700">
        <f t="shared" si="6"/>
        <v>-11.326004654000002</v>
      </c>
      <c r="AS98" s="700">
        <f t="shared" si="6"/>
        <v>-104.2821758582715</v>
      </c>
      <c r="AT98" s="751">
        <f t="shared" si="12"/>
        <v>820.7</v>
      </c>
      <c r="AU98" s="730"/>
      <c r="AV98" s="730"/>
      <c r="AW98" s="725"/>
      <c r="AX98" s="725"/>
    </row>
    <row r="99" spans="1:50" s="752" customFormat="1" ht="18.75" customHeight="1" x14ac:dyDescent="0.3">
      <c r="A99" s="688" t="s">
        <v>427</v>
      </c>
      <c r="B99" s="756"/>
      <c r="C99" s="750"/>
      <c r="D99" s="750"/>
      <c r="E99" s="756">
        <v>3.2130000000000001</v>
      </c>
      <c r="F99" s="750">
        <v>0.23</v>
      </c>
      <c r="G99" s="751">
        <f>IF(E99=0, "    ---- ", IF(ABS(ROUND(100/E99*F99-100,1))&lt;999,ROUND(100/E99*F99-100,1),IF(ROUND(100/E99*F99-100,1)&gt;999,999,-999)))</f>
        <v>-92.8</v>
      </c>
      <c r="H99" s="756"/>
      <c r="I99" s="750"/>
      <c r="J99" s="751"/>
      <c r="K99" s="756"/>
      <c r="L99" s="750"/>
      <c r="M99" s="750"/>
      <c r="N99" s="756"/>
      <c r="O99" s="750"/>
      <c r="P99" s="751"/>
      <c r="Q99" s="756"/>
      <c r="R99" s="750"/>
      <c r="S99" s="751"/>
      <c r="T99" s="756">
        <v>2</v>
      </c>
      <c r="U99" s="750">
        <v>2</v>
      </c>
      <c r="V99" s="751"/>
      <c r="W99" s="756"/>
      <c r="X99" s="750"/>
      <c r="Y99" s="751"/>
      <c r="Z99" s="756"/>
      <c r="AA99" s="750"/>
      <c r="AB99" s="751"/>
      <c r="AC99" s="756"/>
      <c r="AD99" s="750"/>
      <c r="AE99" s="751"/>
      <c r="AF99" s="756"/>
      <c r="AG99" s="750"/>
      <c r="AH99" s="751"/>
      <c r="AI99" s="756"/>
      <c r="AJ99" s="750"/>
      <c r="AK99" s="751"/>
      <c r="AL99" s="756">
        <v>24.5</v>
      </c>
      <c r="AM99" s="750">
        <v>11.67</v>
      </c>
      <c r="AN99" s="751">
        <f>IF(AL99=0, "    ---- ", IF(ABS(ROUND(100/AL99*AM99-100,1))&lt;999,ROUND(100/AL99*AM99-100,1),IF(ROUND(100/AL99*AM99-100,1)&gt;999,999,-999)))</f>
        <v>-52.4</v>
      </c>
      <c r="AO99" s="750">
        <f t="shared" si="5"/>
        <v>29.713000000000001</v>
      </c>
      <c r="AP99" s="750">
        <f t="shared" si="5"/>
        <v>13.9</v>
      </c>
      <c r="AQ99" s="751">
        <f t="shared" si="11"/>
        <v>-53.2</v>
      </c>
      <c r="AR99" s="700">
        <f t="shared" si="6"/>
        <v>29.713000000000001</v>
      </c>
      <c r="AS99" s="700">
        <f t="shared" si="6"/>
        <v>13.9</v>
      </c>
      <c r="AT99" s="751">
        <f t="shared" si="12"/>
        <v>-53.2</v>
      </c>
      <c r="AU99" s="730"/>
      <c r="AV99" s="730"/>
      <c r="AW99" s="725"/>
      <c r="AX99" s="725"/>
    </row>
    <row r="100" spans="1:50" s="752" customFormat="1" ht="18.75" customHeight="1" x14ac:dyDescent="0.3">
      <c r="A100" s="688" t="s">
        <v>428</v>
      </c>
      <c r="B100" s="756"/>
      <c r="C100" s="750"/>
      <c r="D100" s="750"/>
      <c r="E100" s="756">
        <v>22.14</v>
      </c>
      <c r="F100" s="750">
        <v>9.25</v>
      </c>
      <c r="G100" s="751">
        <f t="shared" ref="G100:G106" si="23">IF(E100=0, "    ---- ", IF(ABS(ROUND(100/E100*F100-100,1))&lt;999,ROUND(100/E100*F100-100,1),IF(ROUND(100/E100*F100-100,1)&gt;999,999,-999)))</f>
        <v>-58.2</v>
      </c>
      <c r="H100" s="756"/>
      <c r="I100" s="750"/>
      <c r="J100" s="751"/>
      <c r="K100" s="756"/>
      <c r="L100" s="750"/>
      <c r="M100" s="750"/>
      <c r="N100" s="756"/>
      <c r="O100" s="750"/>
      <c r="P100" s="751"/>
      <c r="Q100" s="756"/>
      <c r="R100" s="750"/>
      <c r="S100" s="751"/>
      <c r="T100" s="756"/>
      <c r="U100" s="750"/>
      <c r="V100" s="751"/>
      <c r="W100" s="756"/>
      <c r="X100" s="750"/>
      <c r="Y100" s="751"/>
      <c r="Z100" s="756"/>
      <c r="AA100" s="750"/>
      <c r="AB100" s="751"/>
      <c r="AC100" s="756"/>
      <c r="AD100" s="750"/>
      <c r="AE100" s="751"/>
      <c r="AF100" s="756"/>
      <c r="AG100" s="750"/>
      <c r="AH100" s="751"/>
      <c r="AI100" s="756"/>
      <c r="AJ100" s="750"/>
      <c r="AK100" s="751"/>
      <c r="AL100" s="756"/>
      <c r="AM100" s="750"/>
      <c r="AN100" s="751"/>
      <c r="AO100" s="750">
        <f t="shared" si="5"/>
        <v>22.14</v>
      </c>
      <c r="AP100" s="750">
        <f t="shared" si="5"/>
        <v>9.25</v>
      </c>
      <c r="AQ100" s="751">
        <f t="shared" si="11"/>
        <v>-58.2</v>
      </c>
      <c r="AR100" s="750">
        <f t="shared" si="6"/>
        <v>22.14</v>
      </c>
      <c r="AS100" s="750">
        <f t="shared" si="6"/>
        <v>9.25</v>
      </c>
      <c r="AT100" s="751">
        <f t="shared" si="12"/>
        <v>-58.2</v>
      </c>
      <c r="AU100" s="730"/>
      <c r="AV100" s="730"/>
      <c r="AW100" s="725"/>
      <c r="AX100" s="725"/>
    </row>
    <row r="101" spans="1:50" s="752" customFormat="1" ht="18.75" customHeight="1" x14ac:dyDescent="0.3">
      <c r="A101" s="688" t="s">
        <v>429</v>
      </c>
      <c r="B101" s="449">
        <v>11.496</v>
      </c>
      <c r="C101" s="689">
        <v>13.600000000000001</v>
      </c>
      <c r="D101" s="751">
        <f>IF(B101=0, "    ---- ", IF(ABS(ROUND(100/B101*C101-100,1))&lt;999,ROUND(100/B101*C101-100,1),IF(ROUND(100/B101*C101-100,1)&gt;999,999,-999)))</f>
        <v>18.3</v>
      </c>
      <c r="E101" s="449">
        <v>122.8</v>
      </c>
      <c r="F101" s="689">
        <v>-11.2</v>
      </c>
      <c r="G101" s="751">
        <f t="shared" si="23"/>
        <v>-109.1</v>
      </c>
      <c r="H101" s="449"/>
      <c r="I101" s="689"/>
      <c r="J101" s="751"/>
      <c r="K101" s="449"/>
      <c r="L101" s="689"/>
      <c r="M101" s="750"/>
      <c r="N101" s="449"/>
      <c r="O101" s="689"/>
      <c r="P101" s="751"/>
      <c r="Q101" s="449"/>
      <c r="R101" s="689"/>
      <c r="S101" s="751"/>
      <c r="T101" s="449">
        <v>2</v>
      </c>
      <c r="U101" s="689">
        <v>-6</v>
      </c>
      <c r="V101" s="751"/>
      <c r="W101" s="449">
        <v>-65.305108618999995</v>
      </c>
      <c r="X101" s="689">
        <v>32.725484314588805</v>
      </c>
      <c r="Y101" s="751">
        <f t="shared" ref="Y101:Y106" si="24">IF(W101=0, "    ---- ", IF(ABS(ROUND(100/W101*X101-100,1))&lt;999,ROUND(100/W101*X101-100,1),IF(ROUND(100/W101*X101-100,1)&gt;999,999,-999)))</f>
        <v>-150.1</v>
      </c>
      <c r="Z101" s="449"/>
      <c r="AA101" s="689"/>
      <c r="AB101" s="751"/>
      <c r="AC101" s="449"/>
      <c r="AD101" s="689"/>
      <c r="AE101" s="751"/>
      <c r="AF101" s="449"/>
      <c r="AG101" s="689"/>
      <c r="AH101" s="751"/>
      <c r="AI101" s="449">
        <v>-5.5149999999999997</v>
      </c>
      <c r="AJ101" s="689">
        <v>-30.681000000000001</v>
      </c>
      <c r="AK101" s="751">
        <f t="shared" ref="AK101:AK106" si="25">IF(AI101=0, "    ---- ", IF(ABS(ROUND(100/AI101*AJ101-100,1))&lt;999,ROUND(100/AI101*AJ101-100,1),IF(ROUND(100/AI101*AJ101-100,1)&gt;999,999,-999)))</f>
        <v>456.3</v>
      </c>
      <c r="AL101" s="449">
        <v>-74.400000000000006</v>
      </c>
      <c r="AM101" s="689">
        <v>13.28</v>
      </c>
      <c r="AN101" s="751">
        <f t="shared" ref="AN101:AN106" si="26">IF(AL101=0, "    ---- ", IF(ABS(ROUND(100/AL101*AM101-100,1))&lt;999,ROUND(100/AL101*AM101-100,1),IF(ROUND(100/AL101*AM101-100,1)&gt;999,999,-999)))</f>
        <v>-117.8</v>
      </c>
      <c r="AO101" s="750">
        <f t="shared" ref="AO101:AP144" si="27">B101+E101+H101+K101+Q101+T101+W101+Z101+AF101+AI101+AL101</f>
        <v>-8.924108619000009</v>
      </c>
      <c r="AP101" s="750">
        <f t="shared" si="27"/>
        <v>11.724484314588805</v>
      </c>
      <c r="AQ101" s="751">
        <f t="shared" si="11"/>
        <v>-231.4</v>
      </c>
      <c r="AR101" s="750">
        <f t="shared" ref="AR101:AS144" si="28">+B101+E101+H101+K101+N101+Q101+T101+W101+Z101+AC101+AF101+AI101+AL101</f>
        <v>-8.924108619000009</v>
      </c>
      <c r="AS101" s="750">
        <f t="shared" si="28"/>
        <v>11.724484314588805</v>
      </c>
      <c r="AT101" s="751">
        <f t="shared" si="12"/>
        <v>-231.4</v>
      </c>
      <c r="AU101" s="730"/>
      <c r="AV101" s="730"/>
      <c r="AW101" s="725"/>
      <c r="AX101" s="725"/>
    </row>
    <row r="102" spans="1:50" s="752" customFormat="1" ht="18.75" customHeight="1" x14ac:dyDescent="0.3">
      <c r="A102" s="688" t="s">
        <v>430</v>
      </c>
      <c r="B102" s="756"/>
      <c r="C102" s="750"/>
      <c r="D102" s="750"/>
      <c r="E102" s="756"/>
      <c r="F102" s="750"/>
      <c r="G102" s="751"/>
      <c r="H102" s="756"/>
      <c r="I102" s="750"/>
      <c r="J102" s="751"/>
      <c r="K102" s="756"/>
      <c r="L102" s="750"/>
      <c r="M102" s="750"/>
      <c r="N102" s="756"/>
      <c r="O102" s="750"/>
      <c r="P102" s="751"/>
      <c r="Q102" s="756"/>
      <c r="R102" s="750"/>
      <c r="S102" s="751"/>
      <c r="T102" s="756"/>
      <c r="U102" s="750"/>
      <c r="V102" s="751"/>
      <c r="W102" s="756"/>
      <c r="X102" s="750"/>
      <c r="Y102" s="751"/>
      <c r="Z102" s="756"/>
      <c r="AA102" s="750"/>
      <c r="AB102" s="751"/>
      <c r="AC102" s="756"/>
      <c r="AD102" s="750"/>
      <c r="AE102" s="751"/>
      <c r="AF102" s="756"/>
      <c r="AG102" s="750"/>
      <c r="AH102" s="751"/>
      <c r="AI102" s="756"/>
      <c r="AJ102" s="750"/>
      <c r="AK102" s="751"/>
      <c r="AL102" s="756"/>
      <c r="AM102" s="750"/>
      <c r="AN102" s="751"/>
      <c r="AO102" s="750"/>
      <c r="AP102" s="750"/>
      <c r="AQ102" s="751"/>
      <c r="AR102" s="700"/>
      <c r="AS102" s="700"/>
      <c r="AT102" s="751"/>
      <c r="AU102" s="730"/>
      <c r="AV102" s="730"/>
      <c r="AW102" s="725"/>
      <c r="AX102" s="725"/>
    </row>
    <row r="103" spans="1:50" s="752" customFormat="1" ht="18.75" customHeight="1" x14ac:dyDescent="0.3">
      <c r="A103" s="688" t="s">
        <v>431</v>
      </c>
      <c r="B103" s="756"/>
      <c r="C103" s="750"/>
      <c r="D103" s="750"/>
      <c r="E103" s="756"/>
      <c r="F103" s="750"/>
      <c r="G103" s="751"/>
      <c r="H103" s="756"/>
      <c r="I103" s="750"/>
      <c r="J103" s="751"/>
      <c r="K103" s="756"/>
      <c r="L103" s="750"/>
      <c r="M103" s="750"/>
      <c r="N103" s="756"/>
      <c r="O103" s="750"/>
      <c r="P103" s="751"/>
      <c r="Q103" s="756"/>
      <c r="R103" s="750"/>
      <c r="S103" s="751"/>
      <c r="T103" s="756"/>
      <c r="U103" s="750"/>
      <c r="V103" s="751"/>
      <c r="W103" s="756"/>
      <c r="X103" s="750">
        <v>0</v>
      </c>
      <c r="Y103" s="751"/>
      <c r="Z103" s="756"/>
      <c r="AA103" s="750"/>
      <c r="AB103" s="751"/>
      <c r="AC103" s="756"/>
      <c r="AD103" s="750"/>
      <c r="AE103" s="751"/>
      <c r="AF103" s="756"/>
      <c r="AG103" s="750"/>
      <c r="AH103" s="751"/>
      <c r="AI103" s="756"/>
      <c r="AJ103" s="750"/>
      <c r="AK103" s="751"/>
      <c r="AL103" s="756"/>
      <c r="AM103" s="750"/>
      <c r="AN103" s="751"/>
      <c r="AO103" s="750"/>
      <c r="AP103" s="750"/>
      <c r="AQ103" s="751"/>
      <c r="AR103" s="700"/>
      <c r="AS103" s="700"/>
      <c r="AT103" s="751"/>
      <c r="AU103" s="730"/>
      <c r="AV103" s="730"/>
      <c r="AW103" s="725"/>
      <c r="AX103" s="725"/>
    </row>
    <row r="104" spans="1:50" s="755" customFormat="1" ht="18.75" customHeight="1" x14ac:dyDescent="0.3">
      <c r="A104" s="679" t="s">
        <v>432</v>
      </c>
      <c r="B104" s="680">
        <v>2.7330000000000005</v>
      </c>
      <c r="C104" s="748">
        <f>SUM(C96:C101)+C103</f>
        <v>6.7340000000000018</v>
      </c>
      <c r="D104" s="751">
        <f>IF(B104=0, "    ---- ", IF(ABS(ROUND(100/B104*C104-100,1))&lt;999,ROUND(100/B104*C104-100,1),IF(ROUND(100/B104*C104-100,1)&gt;999,999,-999)))</f>
        <v>146.4</v>
      </c>
      <c r="E104" s="757">
        <v>232.91239999999999</v>
      </c>
      <c r="F104" s="748">
        <f>SUM(F96:F101)+F103</f>
        <v>50.889999999999986</v>
      </c>
      <c r="G104" s="749">
        <f t="shared" si="23"/>
        <v>-78.2</v>
      </c>
      <c r="H104" s="757"/>
      <c r="I104" s="748"/>
      <c r="J104" s="749"/>
      <c r="K104" s="757"/>
      <c r="L104" s="748"/>
      <c r="M104" s="748"/>
      <c r="N104" s="757"/>
      <c r="O104" s="748"/>
      <c r="P104" s="749"/>
      <c r="Q104" s="757"/>
      <c r="R104" s="748"/>
      <c r="S104" s="749"/>
      <c r="T104" s="757">
        <v>1</v>
      </c>
      <c r="U104" s="748">
        <f>SUM(U96:U101)+U103</f>
        <v>0</v>
      </c>
      <c r="V104" s="749"/>
      <c r="W104" s="757">
        <v>-35.521346798999993</v>
      </c>
      <c r="X104" s="748">
        <f>SUM(X96:X101)+X103</f>
        <v>34.541361782820175</v>
      </c>
      <c r="Y104" s="749">
        <f t="shared" si="24"/>
        <v>-197.2</v>
      </c>
      <c r="Z104" s="757"/>
      <c r="AA104" s="748"/>
      <c r="AB104" s="749"/>
      <c r="AC104" s="757"/>
      <c r="AD104" s="748"/>
      <c r="AE104" s="749"/>
      <c r="AF104" s="757"/>
      <c r="AG104" s="748"/>
      <c r="AH104" s="749"/>
      <c r="AI104" s="757">
        <v>-29.614999999999998</v>
      </c>
      <c r="AJ104" s="748">
        <f>SUM(AJ96:AJ101)+AJ103</f>
        <v>-40.463999999999999</v>
      </c>
      <c r="AK104" s="749">
        <f t="shared" si="25"/>
        <v>36.6</v>
      </c>
      <c r="AL104" s="757">
        <v>34.099999999999994</v>
      </c>
      <c r="AM104" s="748">
        <f>SUM(AM96:AM101)+AM103</f>
        <v>40.93</v>
      </c>
      <c r="AN104" s="749">
        <f t="shared" si="26"/>
        <v>20</v>
      </c>
      <c r="AO104" s="748">
        <f t="shared" si="27"/>
        <v>205.60905320099999</v>
      </c>
      <c r="AP104" s="748">
        <f t="shared" si="27"/>
        <v>92.631361782820164</v>
      </c>
      <c r="AQ104" s="749">
        <f t="shared" si="11"/>
        <v>-54.9</v>
      </c>
      <c r="AR104" s="702">
        <f t="shared" si="28"/>
        <v>205.60905320099999</v>
      </c>
      <c r="AS104" s="702">
        <f t="shared" si="28"/>
        <v>92.631361782820164</v>
      </c>
      <c r="AT104" s="749">
        <f t="shared" si="12"/>
        <v>-54.9</v>
      </c>
      <c r="AU104" s="753" t="e">
        <f>B104,C104,E104,F104,H104,I104,K104,L104,N104,O104,Q104,R104,T104,U104,W104,X104,Z104,AA104,AC104,AD104,AF104,AG104,AI104,AJ104,AL104,AM104,AO104,AP104,AR104,AS104</f>
        <v>#VALUE!</v>
      </c>
      <c r="AV104" s="728"/>
      <c r="AW104" s="754"/>
      <c r="AX104" s="754"/>
    </row>
    <row r="105" spans="1:50" s="752" customFormat="1" ht="18.75" customHeight="1" x14ac:dyDescent="0.3">
      <c r="A105" s="688" t="s">
        <v>433</v>
      </c>
      <c r="B105" s="756"/>
      <c r="C105" s="750"/>
      <c r="D105" s="750"/>
      <c r="E105" s="756">
        <v>35.28</v>
      </c>
      <c r="F105" s="750">
        <v>49.53</v>
      </c>
      <c r="G105" s="751">
        <f t="shared" si="23"/>
        <v>40.4</v>
      </c>
      <c r="H105" s="756"/>
      <c r="I105" s="750"/>
      <c r="J105" s="751"/>
      <c r="K105" s="756"/>
      <c r="L105" s="750"/>
      <c r="M105" s="750"/>
      <c r="N105" s="756"/>
      <c r="O105" s="750"/>
      <c r="P105" s="751"/>
      <c r="Q105" s="756"/>
      <c r="R105" s="750"/>
      <c r="S105" s="751"/>
      <c r="T105" s="756"/>
      <c r="U105" s="750">
        <v>1</v>
      </c>
      <c r="V105" s="751"/>
      <c r="W105" s="756"/>
      <c r="X105" s="750">
        <v>-16.495118111616449</v>
      </c>
      <c r="Y105" s="751"/>
      <c r="Z105" s="756"/>
      <c r="AA105" s="750"/>
      <c r="AB105" s="751"/>
      <c r="AC105" s="756"/>
      <c r="AD105" s="750"/>
      <c r="AE105" s="751"/>
      <c r="AF105" s="756"/>
      <c r="AG105" s="750"/>
      <c r="AH105" s="751"/>
      <c r="AI105" s="756">
        <v>2.7640000000000002</v>
      </c>
      <c r="AJ105" s="750">
        <v>0.93599999999999994</v>
      </c>
      <c r="AK105" s="751">
        <f t="shared" si="25"/>
        <v>-66.099999999999994</v>
      </c>
      <c r="AL105" s="756"/>
      <c r="AM105" s="750">
        <v>43.55</v>
      </c>
      <c r="AN105" s="751" t="str">
        <f t="shared" si="26"/>
        <v xml:space="preserve">    ---- </v>
      </c>
      <c r="AO105" s="750">
        <f t="shared" si="27"/>
        <v>38.044000000000004</v>
      </c>
      <c r="AP105" s="750">
        <f t="shared" si="27"/>
        <v>78.520881888383542</v>
      </c>
      <c r="AQ105" s="751">
        <f t="shared" si="11"/>
        <v>106.4</v>
      </c>
      <c r="AR105" s="700">
        <f t="shared" si="28"/>
        <v>38.044000000000004</v>
      </c>
      <c r="AS105" s="700">
        <f t="shared" si="28"/>
        <v>78.520881888383542</v>
      </c>
      <c r="AT105" s="751">
        <f t="shared" si="12"/>
        <v>106.4</v>
      </c>
      <c r="AU105" s="730"/>
      <c r="AV105" s="730"/>
      <c r="AW105" s="725"/>
      <c r="AX105" s="725"/>
    </row>
    <row r="106" spans="1:50" s="752" customFormat="1" ht="18.75" customHeight="1" x14ac:dyDescent="0.3">
      <c r="A106" s="688" t="s">
        <v>434</v>
      </c>
      <c r="B106" s="756">
        <v>2.7330000000000001</v>
      </c>
      <c r="C106" s="750">
        <v>6.734</v>
      </c>
      <c r="D106" s="751">
        <f>IF(B106=0, "    ---- ", IF(ABS(ROUND(100/B106*C106-100,1))&lt;999,ROUND(100/B106*C106-100,1),IF(ROUND(100/B106*C106-100,1)&gt;999,999,-999)))</f>
        <v>146.4</v>
      </c>
      <c r="E106" s="756">
        <v>197.63200000000001</v>
      </c>
      <c r="F106" s="750">
        <v>1.37</v>
      </c>
      <c r="G106" s="751">
        <f t="shared" si="23"/>
        <v>-99.3</v>
      </c>
      <c r="H106" s="756"/>
      <c r="I106" s="750"/>
      <c r="J106" s="751"/>
      <c r="K106" s="756"/>
      <c r="L106" s="750"/>
      <c r="M106" s="750"/>
      <c r="N106" s="756"/>
      <c r="O106" s="750"/>
      <c r="P106" s="751"/>
      <c r="Q106" s="756"/>
      <c r="R106" s="750"/>
      <c r="S106" s="751"/>
      <c r="T106" s="756">
        <v>1</v>
      </c>
      <c r="U106" s="750">
        <v>-1</v>
      </c>
      <c r="V106" s="751"/>
      <c r="W106" s="756">
        <v>-35.521346798999993</v>
      </c>
      <c r="X106" s="750">
        <v>51.036479894436624</v>
      </c>
      <c r="Y106" s="751">
        <f t="shared" si="24"/>
        <v>-243.7</v>
      </c>
      <c r="Z106" s="756"/>
      <c r="AA106" s="750"/>
      <c r="AB106" s="751"/>
      <c r="AC106" s="756"/>
      <c r="AD106" s="750"/>
      <c r="AE106" s="751"/>
      <c r="AF106" s="756"/>
      <c r="AG106" s="750"/>
      <c r="AH106" s="751"/>
      <c r="AI106" s="756">
        <v>-32.378999999999998</v>
      </c>
      <c r="AJ106" s="750">
        <v>-42.638000000000005</v>
      </c>
      <c r="AK106" s="751">
        <f t="shared" si="25"/>
        <v>31.7</v>
      </c>
      <c r="AL106" s="756">
        <v>34.1</v>
      </c>
      <c r="AM106" s="750">
        <v>-2.63</v>
      </c>
      <c r="AN106" s="751">
        <f t="shared" si="26"/>
        <v>-107.7</v>
      </c>
      <c r="AO106" s="750">
        <f t="shared" si="27"/>
        <v>167.56465320100003</v>
      </c>
      <c r="AP106" s="750">
        <f t="shared" si="27"/>
        <v>12.872479894436619</v>
      </c>
      <c r="AQ106" s="751">
        <f t="shared" si="11"/>
        <v>-92.3</v>
      </c>
      <c r="AR106" s="700">
        <f t="shared" si="28"/>
        <v>167.56465320100003</v>
      </c>
      <c r="AS106" s="700">
        <f t="shared" si="28"/>
        <v>12.872479894436619</v>
      </c>
      <c r="AT106" s="751">
        <f t="shared" si="12"/>
        <v>-92.3</v>
      </c>
      <c r="AU106" s="730"/>
      <c r="AV106" s="730"/>
      <c r="AW106" s="725"/>
      <c r="AX106" s="725"/>
    </row>
    <row r="107" spans="1:50" s="762" customFormat="1" ht="18.75" customHeight="1" x14ac:dyDescent="0.3">
      <c r="A107" s="758" t="s">
        <v>452</v>
      </c>
      <c r="B107" s="756"/>
      <c r="C107" s="750"/>
      <c r="D107" s="750"/>
      <c r="E107" s="756"/>
      <c r="F107" s="750"/>
      <c r="G107" s="751"/>
      <c r="H107" s="756"/>
      <c r="I107" s="750"/>
      <c r="J107" s="751"/>
      <c r="K107" s="756"/>
      <c r="L107" s="750"/>
      <c r="M107" s="750"/>
      <c r="N107" s="756"/>
      <c r="O107" s="750"/>
      <c r="P107" s="751"/>
      <c r="Q107" s="756"/>
      <c r="R107" s="750"/>
      <c r="S107" s="751"/>
      <c r="T107" s="756"/>
      <c r="U107" s="750"/>
      <c r="V107" s="751"/>
      <c r="W107" s="756"/>
      <c r="X107" s="750"/>
      <c r="Y107" s="751"/>
      <c r="Z107" s="756"/>
      <c r="AA107" s="750"/>
      <c r="AB107" s="751"/>
      <c r="AC107" s="756"/>
      <c r="AD107" s="750"/>
      <c r="AE107" s="751"/>
      <c r="AF107" s="756"/>
      <c r="AG107" s="750"/>
      <c r="AH107" s="751"/>
      <c r="AI107" s="756"/>
      <c r="AJ107" s="750"/>
      <c r="AK107" s="751"/>
      <c r="AL107" s="756"/>
      <c r="AM107" s="750"/>
      <c r="AN107" s="751"/>
      <c r="AO107" s="750"/>
      <c r="AP107" s="750"/>
      <c r="AQ107" s="751"/>
      <c r="AR107" s="700"/>
      <c r="AS107" s="700"/>
      <c r="AT107" s="751"/>
      <c r="AU107" s="760"/>
      <c r="AV107" s="760"/>
      <c r="AW107" s="761"/>
      <c r="AX107" s="761"/>
    </row>
    <row r="108" spans="1:50" s="762" customFormat="1" ht="18.75" customHeight="1" x14ac:dyDescent="0.3">
      <c r="A108" s="759" t="s">
        <v>424</v>
      </c>
      <c r="B108" s="756"/>
      <c r="C108" s="750"/>
      <c r="D108" s="750"/>
      <c r="E108" s="756"/>
      <c r="F108" s="750"/>
      <c r="G108" s="751"/>
      <c r="H108" s="756"/>
      <c r="I108" s="750"/>
      <c r="J108" s="751"/>
      <c r="K108" s="756"/>
      <c r="L108" s="750"/>
      <c r="M108" s="750"/>
      <c r="N108" s="756"/>
      <c r="O108" s="750"/>
      <c r="P108" s="751"/>
      <c r="Q108" s="756"/>
      <c r="R108" s="750"/>
      <c r="S108" s="751"/>
      <c r="T108" s="756"/>
      <c r="U108" s="750"/>
      <c r="V108" s="751"/>
      <c r="W108" s="756"/>
      <c r="X108" s="750"/>
      <c r="Y108" s="751"/>
      <c r="Z108" s="756"/>
      <c r="AA108" s="750"/>
      <c r="AB108" s="751"/>
      <c r="AC108" s="756"/>
      <c r="AD108" s="750"/>
      <c r="AE108" s="751"/>
      <c r="AF108" s="756"/>
      <c r="AG108" s="750"/>
      <c r="AH108" s="751"/>
      <c r="AI108" s="756">
        <v>1E-3</v>
      </c>
      <c r="AJ108" s="750"/>
      <c r="AK108" s="751">
        <f>IF(AI108=0, "    ---- ", IF(ABS(ROUND(100/AI108*AJ108-100,1))&lt;999,ROUND(100/AI108*AJ108-100,1),IF(ROUND(100/AI108*AJ108-100,1)&gt;999,999,-999)))</f>
        <v>-100</v>
      </c>
      <c r="AL108" s="756">
        <v>2</v>
      </c>
      <c r="AM108" s="750">
        <v>0.18</v>
      </c>
      <c r="AN108" s="751">
        <f t="shared" ref="AN108:AN118" si="29">IF(AL108=0, "    ---- ", IF(ABS(ROUND(100/AL108*AM108-100,1))&lt;999,ROUND(100/AL108*AM108-100,1),IF(ROUND(100/AL108*AM108-100,1)&gt;999,999,-999)))</f>
        <v>-91</v>
      </c>
      <c r="AO108" s="750">
        <f t="shared" ref="AO108:AP118" si="30">B108+E108+H108+K108+Q108+T108+W108+Z108+AF108+AI108+AL108</f>
        <v>2.0009999999999999</v>
      </c>
      <c r="AP108" s="750">
        <f t="shared" si="30"/>
        <v>0.18</v>
      </c>
      <c r="AQ108" s="751">
        <f t="shared" ref="AQ108:AQ118" si="31">IF(AO108=0, "    ---- ", IF(ABS(ROUND(100/AO108*AP108-100,1))&lt;999,ROUND(100/AO108*AP108-100,1),IF(ROUND(100/AO108*AP108-100,1)&gt;999,999,-999)))</f>
        <v>-91</v>
      </c>
      <c r="AR108" s="750">
        <f t="shared" ref="AR108:AS118" si="32">+B108+E108+H108+K108+N108+Q108+T108+W108+Z108+AC108+AF108+AI108+AL108</f>
        <v>2.0009999999999999</v>
      </c>
      <c r="AS108" s="750">
        <f t="shared" si="32"/>
        <v>0.18</v>
      </c>
      <c r="AT108" s="751">
        <f t="shared" ref="AT108:AT118" si="33">IF(AR108=0, "    ---- ", IF(ABS(ROUND(100/AR108*AS108-100,1))&lt;999,ROUND(100/AR108*AS108-100,1),IF(ROUND(100/AR108*AS108-100,1)&gt;999,999,-999)))</f>
        <v>-91</v>
      </c>
      <c r="AU108" s="760"/>
      <c r="AV108" s="760"/>
      <c r="AW108" s="761"/>
      <c r="AX108" s="761"/>
    </row>
    <row r="109" spans="1:50" s="762" customFormat="1" ht="18.75" customHeight="1" x14ac:dyDescent="0.3">
      <c r="A109" s="759" t="s">
        <v>425</v>
      </c>
      <c r="B109" s="756"/>
      <c r="C109" s="750"/>
      <c r="D109" s="750"/>
      <c r="E109" s="756"/>
      <c r="F109" s="750"/>
      <c r="G109" s="751"/>
      <c r="H109" s="756"/>
      <c r="I109" s="750"/>
      <c r="J109" s="751"/>
      <c r="K109" s="756"/>
      <c r="L109" s="750"/>
      <c r="M109" s="750"/>
      <c r="N109" s="756"/>
      <c r="O109" s="750"/>
      <c r="P109" s="751"/>
      <c r="Q109" s="756"/>
      <c r="R109" s="750"/>
      <c r="S109" s="751"/>
      <c r="T109" s="756"/>
      <c r="U109" s="750"/>
      <c r="V109" s="751"/>
      <c r="W109" s="756"/>
      <c r="X109" s="750"/>
      <c r="Y109" s="751"/>
      <c r="Z109" s="756"/>
      <c r="AA109" s="750"/>
      <c r="AB109" s="751"/>
      <c r="AC109" s="756"/>
      <c r="AD109" s="750"/>
      <c r="AE109" s="751"/>
      <c r="AF109" s="756"/>
      <c r="AG109" s="750"/>
      <c r="AH109" s="751"/>
      <c r="AI109" s="756"/>
      <c r="AJ109" s="750"/>
      <c r="AK109" s="751"/>
      <c r="AL109" s="756"/>
      <c r="AM109" s="750"/>
      <c r="AN109" s="751"/>
      <c r="AO109" s="750"/>
      <c r="AP109" s="750"/>
      <c r="AQ109" s="751"/>
      <c r="AR109" s="750"/>
      <c r="AS109" s="750"/>
      <c r="AT109" s="751"/>
      <c r="AU109" s="760"/>
      <c r="AV109" s="760"/>
      <c r="AW109" s="761"/>
      <c r="AX109" s="761"/>
    </row>
    <row r="110" spans="1:50" s="762" customFormat="1" ht="18.75" customHeight="1" x14ac:dyDescent="0.3">
      <c r="A110" s="759" t="s">
        <v>426</v>
      </c>
      <c r="B110" s="756"/>
      <c r="C110" s="750"/>
      <c r="D110" s="750"/>
      <c r="E110" s="756"/>
      <c r="F110" s="750"/>
      <c r="G110" s="751"/>
      <c r="H110" s="756"/>
      <c r="I110" s="750"/>
      <c r="J110" s="751"/>
      <c r="K110" s="756"/>
      <c r="L110" s="750"/>
      <c r="M110" s="750"/>
      <c r="N110" s="756"/>
      <c r="O110" s="750"/>
      <c r="P110" s="751"/>
      <c r="Q110" s="756"/>
      <c r="R110" s="750"/>
      <c r="S110" s="751"/>
      <c r="T110" s="756"/>
      <c r="U110" s="750"/>
      <c r="V110" s="751"/>
      <c r="W110" s="756"/>
      <c r="X110" s="750"/>
      <c r="Y110" s="751"/>
      <c r="Z110" s="756"/>
      <c r="AA110" s="750"/>
      <c r="AB110" s="751"/>
      <c r="AC110" s="756"/>
      <c r="AD110" s="750"/>
      <c r="AE110" s="751"/>
      <c r="AF110" s="756"/>
      <c r="AG110" s="750"/>
      <c r="AH110" s="751"/>
      <c r="AI110" s="756"/>
      <c r="AJ110" s="750"/>
      <c r="AK110" s="751"/>
      <c r="AL110" s="756">
        <v>1</v>
      </c>
      <c r="AM110" s="750">
        <v>0.03</v>
      </c>
      <c r="AN110" s="751">
        <f t="shared" si="29"/>
        <v>-97</v>
      </c>
      <c r="AO110" s="750">
        <f t="shared" si="30"/>
        <v>1</v>
      </c>
      <c r="AP110" s="750">
        <f t="shared" si="30"/>
        <v>0.03</v>
      </c>
      <c r="AQ110" s="751">
        <f t="shared" si="31"/>
        <v>-97</v>
      </c>
      <c r="AR110" s="750">
        <f t="shared" si="32"/>
        <v>1</v>
      </c>
      <c r="AS110" s="750">
        <f t="shared" si="32"/>
        <v>0.03</v>
      </c>
      <c r="AT110" s="751">
        <f t="shared" si="33"/>
        <v>-97</v>
      </c>
      <c r="AU110" s="760"/>
      <c r="AV110" s="760"/>
      <c r="AW110" s="761"/>
      <c r="AX110" s="761"/>
    </row>
    <row r="111" spans="1:50" s="762" customFormat="1" ht="18.75" customHeight="1" x14ac:dyDescent="0.3">
      <c r="A111" s="759" t="s">
        <v>427</v>
      </c>
      <c r="B111" s="756"/>
      <c r="C111" s="750"/>
      <c r="D111" s="750"/>
      <c r="E111" s="756"/>
      <c r="F111" s="750"/>
      <c r="G111" s="751"/>
      <c r="H111" s="756"/>
      <c r="I111" s="750"/>
      <c r="J111" s="751"/>
      <c r="K111" s="756"/>
      <c r="L111" s="750"/>
      <c r="M111" s="750"/>
      <c r="N111" s="756"/>
      <c r="O111" s="750"/>
      <c r="P111" s="751"/>
      <c r="Q111" s="756"/>
      <c r="R111" s="750"/>
      <c r="S111" s="751"/>
      <c r="T111" s="756"/>
      <c r="U111" s="750"/>
      <c r="V111" s="751"/>
      <c r="W111" s="756"/>
      <c r="X111" s="750"/>
      <c r="Y111" s="751"/>
      <c r="Z111" s="756"/>
      <c r="AA111" s="750"/>
      <c r="AB111" s="751"/>
      <c r="AC111" s="756"/>
      <c r="AD111" s="750"/>
      <c r="AE111" s="751"/>
      <c r="AF111" s="756"/>
      <c r="AG111" s="750"/>
      <c r="AH111" s="751"/>
      <c r="AI111" s="756"/>
      <c r="AJ111" s="750"/>
      <c r="AK111" s="751"/>
      <c r="AL111" s="756"/>
      <c r="AM111" s="750"/>
      <c r="AN111" s="751"/>
      <c r="AO111" s="750"/>
      <c r="AP111" s="750"/>
      <c r="AQ111" s="751"/>
      <c r="AR111" s="750"/>
      <c r="AS111" s="750"/>
      <c r="AT111" s="751"/>
      <c r="AU111" s="760"/>
      <c r="AV111" s="760"/>
      <c r="AW111" s="761"/>
      <c r="AX111" s="761"/>
    </row>
    <row r="112" spans="1:50" s="762" customFormat="1" ht="18.75" customHeight="1" x14ac:dyDescent="0.3">
      <c r="A112" s="759" t="s">
        <v>428</v>
      </c>
      <c r="B112" s="756"/>
      <c r="C112" s="750"/>
      <c r="D112" s="750"/>
      <c r="E112" s="756"/>
      <c r="F112" s="750"/>
      <c r="G112" s="751"/>
      <c r="H112" s="756"/>
      <c r="I112" s="750"/>
      <c r="J112" s="751"/>
      <c r="K112" s="756"/>
      <c r="L112" s="750"/>
      <c r="M112" s="750"/>
      <c r="N112" s="756"/>
      <c r="O112" s="750"/>
      <c r="P112" s="751"/>
      <c r="Q112" s="756"/>
      <c r="R112" s="750"/>
      <c r="S112" s="751"/>
      <c r="T112" s="756"/>
      <c r="U112" s="750"/>
      <c r="V112" s="751"/>
      <c r="W112" s="756"/>
      <c r="X112" s="750"/>
      <c r="Y112" s="751"/>
      <c r="Z112" s="756"/>
      <c r="AA112" s="750"/>
      <c r="AB112" s="751"/>
      <c r="AC112" s="756"/>
      <c r="AD112" s="750"/>
      <c r="AE112" s="751"/>
      <c r="AF112" s="756"/>
      <c r="AG112" s="750"/>
      <c r="AH112" s="751"/>
      <c r="AI112" s="756"/>
      <c r="AJ112" s="750"/>
      <c r="AK112" s="751"/>
      <c r="AL112" s="756"/>
      <c r="AM112" s="750"/>
      <c r="AN112" s="751"/>
      <c r="AO112" s="750"/>
      <c r="AP112" s="750"/>
      <c r="AQ112" s="751"/>
      <c r="AR112" s="750"/>
      <c r="AS112" s="750"/>
      <c r="AT112" s="751"/>
      <c r="AU112" s="760"/>
      <c r="AV112" s="760"/>
      <c r="AW112" s="761"/>
      <c r="AX112" s="761"/>
    </row>
    <row r="113" spans="1:50" s="762" customFormat="1" ht="18.75" customHeight="1" x14ac:dyDescent="0.3">
      <c r="A113" s="759" t="s">
        <v>429</v>
      </c>
      <c r="B113" s="756"/>
      <c r="C113" s="750"/>
      <c r="D113" s="750"/>
      <c r="E113" s="756"/>
      <c r="F113" s="750"/>
      <c r="G113" s="751"/>
      <c r="H113" s="756"/>
      <c r="I113" s="750"/>
      <c r="J113" s="751"/>
      <c r="K113" s="756"/>
      <c r="L113" s="750"/>
      <c r="M113" s="750"/>
      <c r="N113" s="756"/>
      <c r="O113" s="750"/>
      <c r="P113" s="751"/>
      <c r="Q113" s="756"/>
      <c r="R113" s="750"/>
      <c r="S113" s="751"/>
      <c r="T113" s="756"/>
      <c r="U113" s="750"/>
      <c r="V113" s="751"/>
      <c r="W113" s="756"/>
      <c r="X113" s="750"/>
      <c r="Y113" s="751"/>
      <c r="Z113" s="756"/>
      <c r="AA113" s="750"/>
      <c r="AB113" s="751"/>
      <c r="AC113" s="756"/>
      <c r="AD113" s="750"/>
      <c r="AE113" s="751"/>
      <c r="AF113" s="756"/>
      <c r="AG113" s="750"/>
      <c r="AH113" s="751"/>
      <c r="AI113" s="756"/>
      <c r="AJ113" s="750"/>
      <c r="AK113" s="751"/>
      <c r="AL113" s="756"/>
      <c r="AM113" s="750"/>
      <c r="AN113" s="751"/>
      <c r="AO113" s="750"/>
      <c r="AP113" s="750"/>
      <c r="AQ113" s="751"/>
      <c r="AR113" s="750"/>
      <c r="AS113" s="750"/>
      <c r="AT113" s="751"/>
      <c r="AU113" s="760"/>
      <c r="AV113" s="760"/>
      <c r="AW113" s="761"/>
      <c r="AX113" s="761"/>
    </row>
    <row r="114" spans="1:50" s="762" customFormat="1" ht="18.75" customHeight="1" x14ac:dyDescent="0.3">
      <c r="A114" s="759" t="s">
        <v>430</v>
      </c>
      <c r="B114" s="756"/>
      <c r="C114" s="750"/>
      <c r="D114" s="750"/>
      <c r="E114" s="756"/>
      <c r="F114" s="750"/>
      <c r="G114" s="751"/>
      <c r="H114" s="756"/>
      <c r="I114" s="750"/>
      <c r="J114" s="751"/>
      <c r="K114" s="756"/>
      <c r="L114" s="750"/>
      <c r="M114" s="750"/>
      <c r="N114" s="756"/>
      <c r="O114" s="750"/>
      <c r="P114" s="751"/>
      <c r="Q114" s="756"/>
      <c r="R114" s="750"/>
      <c r="S114" s="751"/>
      <c r="T114" s="756"/>
      <c r="U114" s="750"/>
      <c r="V114" s="751"/>
      <c r="W114" s="756"/>
      <c r="X114" s="750"/>
      <c r="Y114" s="751"/>
      <c r="Z114" s="756"/>
      <c r="AA114" s="750"/>
      <c r="AB114" s="751"/>
      <c r="AC114" s="756"/>
      <c r="AD114" s="750"/>
      <c r="AE114" s="751"/>
      <c r="AF114" s="756"/>
      <c r="AG114" s="750"/>
      <c r="AH114" s="751"/>
      <c r="AI114" s="756"/>
      <c r="AJ114" s="750"/>
      <c r="AK114" s="751"/>
      <c r="AL114" s="756"/>
      <c r="AM114" s="750"/>
      <c r="AN114" s="751"/>
      <c r="AO114" s="750"/>
      <c r="AP114" s="750"/>
      <c r="AQ114" s="751"/>
      <c r="AR114" s="750"/>
      <c r="AS114" s="750"/>
      <c r="AT114" s="751"/>
      <c r="AU114" s="760"/>
      <c r="AV114" s="760"/>
      <c r="AW114" s="761"/>
      <c r="AX114" s="761"/>
    </row>
    <row r="115" spans="1:50" s="762" customFormat="1" ht="18.75" customHeight="1" x14ac:dyDescent="0.3">
      <c r="A115" s="759" t="s">
        <v>431</v>
      </c>
      <c r="B115" s="756"/>
      <c r="C115" s="750"/>
      <c r="D115" s="750"/>
      <c r="E115" s="756"/>
      <c r="F115" s="750"/>
      <c r="G115" s="751"/>
      <c r="H115" s="756"/>
      <c r="I115" s="750"/>
      <c r="J115" s="751"/>
      <c r="K115" s="756"/>
      <c r="L115" s="750"/>
      <c r="M115" s="750"/>
      <c r="N115" s="756"/>
      <c r="O115" s="750"/>
      <c r="P115" s="751"/>
      <c r="Q115" s="756"/>
      <c r="R115" s="750"/>
      <c r="S115" s="751"/>
      <c r="T115" s="756"/>
      <c r="U115" s="750"/>
      <c r="V115" s="751"/>
      <c r="W115" s="756"/>
      <c r="X115" s="750"/>
      <c r="Y115" s="751"/>
      <c r="Z115" s="756"/>
      <c r="AA115" s="750"/>
      <c r="AB115" s="751"/>
      <c r="AC115" s="756"/>
      <c r="AD115" s="750"/>
      <c r="AE115" s="751"/>
      <c r="AF115" s="756"/>
      <c r="AG115" s="750"/>
      <c r="AH115" s="751"/>
      <c r="AI115" s="756"/>
      <c r="AJ115" s="750"/>
      <c r="AK115" s="751"/>
      <c r="AL115" s="756"/>
      <c r="AM115" s="750"/>
      <c r="AN115" s="751"/>
      <c r="AO115" s="750"/>
      <c r="AP115" s="750"/>
      <c r="AQ115" s="751"/>
      <c r="AR115" s="750"/>
      <c r="AS115" s="750"/>
      <c r="AT115" s="751"/>
      <c r="AU115" s="760"/>
      <c r="AV115" s="760"/>
      <c r="AW115" s="761"/>
      <c r="AX115" s="761"/>
    </row>
    <row r="116" spans="1:50" s="765" customFormat="1" ht="18.75" customHeight="1" x14ac:dyDescent="0.3">
      <c r="A116" s="758" t="s">
        <v>432</v>
      </c>
      <c r="B116" s="680"/>
      <c r="C116" s="748"/>
      <c r="D116" s="748"/>
      <c r="E116" s="757"/>
      <c r="F116" s="748"/>
      <c r="G116" s="749"/>
      <c r="H116" s="757"/>
      <c r="I116" s="748"/>
      <c r="J116" s="749"/>
      <c r="K116" s="757"/>
      <c r="L116" s="748"/>
      <c r="M116" s="748"/>
      <c r="N116" s="757"/>
      <c r="O116" s="748"/>
      <c r="P116" s="749"/>
      <c r="Q116" s="757"/>
      <c r="R116" s="748"/>
      <c r="S116" s="749"/>
      <c r="T116" s="757"/>
      <c r="U116" s="748"/>
      <c r="V116" s="749"/>
      <c r="W116" s="748"/>
      <c r="X116" s="748"/>
      <c r="Y116" s="749"/>
      <c r="Z116" s="757"/>
      <c r="AA116" s="748"/>
      <c r="AB116" s="749"/>
      <c r="AC116" s="757"/>
      <c r="AD116" s="748"/>
      <c r="AE116" s="749"/>
      <c r="AF116" s="757"/>
      <c r="AG116" s="748"/>
      <c r="AH116" s="749"/>
      <c r="AI116" s="757">
        <v>1E-3</v>
      </c>
      <c r="AJ116" s="748">
        <f>SUM(AJ108:AJ113)+AJ115</f>
        <v>0</v>
      </c>
      <c r="AK116" s="749">
        <f>IF(AI116=0, "    ---- ", IF(ABS(ROUND(100/AI116*AJ116-100,1))&lt;999,ROUND(100/AI116*AJ116-100,1),IF(ROUND(100/AI116*AJ116-100,1)&gt;999,999,-999)))</f>
        <v>-100</v>
      </c>
      <c r="AL116" s="757">
        <v>3</v>
      </c>
      <c r="AM116" s="748">
        <f>SUM(AM108:AM113)+AM115</f>
        <v>0.21</v>
      </c>
      <c r="AN116" s="749">
        <f t="shared" si="29"/>
        <v>-93</v>
      </c>
      <c r="AO116" s="748">
        <f t="shared" si="30"/>
        <v>3.0009999999999999</v>
      </c>
      <c r="AP116" s="748">
        <f t="shared" si="30"/>
        <v>0.21</v>
      </c>
      <c r="AQ116" s="749">
        <f t="shared" si="31"/>
        <v>-93</v>
      </c>
      <c r="AR116" s="748">
        <f t="shared" si="32"/>
        <v>3.0009999999999999</v>
      </c>
      <c r="AS116" s="748">
        <f t="shared" si="32"/>
        <v>0.21</v>
      </c>
      <c r="AT116" s="749">
        <f t="shared" si="33"/>
        <v>-93</v>
      </c>
      <c r="AU116" s="753" t="e">
        <f>B116,C116,E116,F116,H116,I116,K116,L116,N116,O116,Q116,R116,T116,U116,W116,X116,Z116,AA116,AC116,AD116,AF116,AG116,AI116,AJ116,AL116,AM116,AO116,AP116,AR116,AS116</f>
        <v>#VALUE!</v>
      </c>
      <c r="AV116" s="763"/>
      <c r="AW116" s="764"/>
      <c r="AX116" s="764"/>
    </row>
    <row r="117" spans="1:50" s="762" customFormat="1" ht="18.75" customHeight="1" x14ac:dyDescent="0.3">
      <c r="A117" s="759" t="s">
        <v>433</v>
      </c>
      <c r="B117" s="756"/>
      <c r="C117" s="750"/>
      <c r="D117" s="750"/>
      <c r="E117" s="756"/>
      <c r="F117" s="750"/>
      <c r="G117" s="751"/>
      <c r="H117" s="756"/>
      <c r="I117" s="750"/>
      <c r="J117" s="751"/>
      <c r="K117" s="756"/>
      <c r="L117" s="750"/>
      <c r="M117" s="750"/>
      <c r="N117" s="756"/>
      <c r="O117" s="750"/>
      <c r="P117" s="751"/>
      <c r="Q117" s="756"/>
      <c r="R117" s="750"/>
      <c r="S117" s="751"/>
      <c r="T117" s="756"/>
      <c r="U117" s="750"/>
      <c r="V117" s="751"/>
      <c r="W117" s="756"/>
      <c r="X117" s="750"/>
      <c r="Y117" s="751"/>
      <c r="Z117" s="756"/>
      <c r="AA117" s="750"/>
      <c r="AB117" s="751"/>
      <c r="AC117" s="756"/>
      <c r="AD117" s="750"/>
      <c r="AE117" s="751"/>
      <c r="AF117" s="756"/>
      <c r="AG117" s="750"/>
      <c r="AH117" s="751"/>
      <c r="AI117" s="756">
        <v>1E-3</v>
      </c>
      <c r="AJ117" s="750"/>
      <c r="AK117" s="751">
        <f>IF(AI117=0, "    ---- ", IF(ABS(ROUND(100/AI117*AJ117-100,1))&lt;999,ROUND(100/AI117*AJ117-100,1),IF(ROUND(100/AI117*AJ117-100,1)&gt;999,999,-999)))</f>
        <v>-100</v>
      </c>
      <c r="AL117" s="756">
        <v>2</v>
      </c>
      <c r="AM117" s="750">
        <v>0.18</v>
      </c>
      <c r="AN117" s="751">
        <f t="shared" si="29"/>
        <v>-91</v>
      </c>
      <c r="AO117" s="750">
        <f t="shared" si="30"/>
        <v>2.0009999999999999</v>
      </c>
      <c r="AP117" s="750">
        <f t="shared" si="30"/>
        <v>0.18</v>
      </c>
      <c r="AQ117" s="751">
        <f t="shared" si="31"/>
        <v>-91</v>
      </c>
      <c r="AR117" s="750">
        <f t="shared" si="32"/>
        <v>2.0009999999999999</v>
      </c>
      <c r="AS117" s="750">
        <f t="shared" si="32"/>
        <v>0.18</v>
      </c>
      <c r="AT117" s="751">
        <f t="shared" si="33"/>
        <v>-91</v>
      </c>
      <c r="AU117" s="760"/>
      <c r="AV117" s="760"/>
      <c r="AW117" s="761"/>
      <c r="AX117" s="761"/>
    </row>
    <row r="118" spans="1:50" s="762" customFormat="1" ht="18.75" customHeight="1" x14ac:dyDescent="0.3">
      <c r="A118" s="759" t="s">
        <v>434</v>
      </c>
      <c r="B118" s="756"/>
      <c r="C118" s="750"/>
      <c r="D118" s="750"/>
      <c r="E118" s="756"/>
      <c r="F118" s="750"/>
      <c r="G118" s="751"/>
      <c r="H118" s="756"/>
      <c r="I118" s="750"/>
      <c r="J118" s="751"/>
      <c r="K118" s="756"/>
      <c r="L118" s="750"/>
      <c r="M118" s="750"/>
      <c r="N118" s="756"/>
      <c r="O118" s="750"/>
      <c r="P118" s="751"/>
      <c r="Q118" s="756"/>
      <c r="R118" s="750"/>
      <c r="S118" s="751"/>
      <c r="T118" s="756"/>
      <c r="U118" s="750"/>
      <c r="V118" s="751"/>
      <c r="W118" s="756"/>
      <c r="X118" s="750"/>
      <c r="Y118" s="751"/>
      <c r="Z118" s="756"/>
      <c r="AA118" s="750"/>
      <c r="AB118" s="751"/>
      <c r="AC118" s="756"/>
      <c r="AD118" s="750"/>
      <c r="AE118" s="751"/>
      <c r="AF118" s="756"/>
      <c r="AG118" s="750"/>
      <c r="AH118" s="751"/>
      <c r="AI118" s="756"/>
      <c r="AJ118" s="750"/>
      <c r="AK118" s="751"/>
      <c r="AL118" s="756">
        <v>1</v>
      </c>
      <c r="AM118" s="750">
        <v>3.0000000000000001E-3</v>
      </c>
      <c r="AN118" s="751">
        <f t="shared" si="29"/>
        <v>-99.7</v>
      </c>
      <c r="AO118" s="750">
        <f t="shared" si="30"/>
        <v>1</v>
      </c>
      <c r="AP118" s="750">
        <f t="shared" si="30"/>
        <v>3.0000000000000001E-3</v>
      </c>
      <c r="AQ118" s="751">
        <f t="shared" si="31"/>
        <v>-99.7</v>
      </c>
      <c r="AR118" s="700">
        <f t="shared" si="32"/>
        <v>1</v>
      </c>
      <c r="AS118" s="700">
        <f t="shared" si="32"/>
        <v>3.0000000000000001E-3</v>
      </c>
      <c r="AT118" s="751">
        <f t="shared" si="33"/>
        <v>-99.7</v>
      </c>
      <c r="AU118" s="760"/>
      <c r="AV118" s="760"/>
      <c r="AW118" s="761"/>
      <c r="AX118" s="761"/>
    </row>
    <row r="119" spans="1:50" s="752" customFormat="1" ht="18.75" customHeight="1" x14ac:dyDescent="0.3">
      <c r="A119" s="706"/>
      <c r="B119" s="766"/>
      <c r="C119" s="767"/>
      <c r="D119" s="767"/>
      <c r="E119" s="766"/>
      <c r="F119" s="767"/>
      <c r="G119" s="768"/>
      <c r="H119" s="766"/>
      <c r="I119" s="767"/>
      <c r="J119" s="768"/>
      <c r="K119" s="766"/>
      <c r="L119" s="767"/>
      <c r="M119" s="767"/>
      <c r="N119" s="766"/>
      <c r="O119" s="767"/>
      <c r="P119" s="768"/>
      <c r="Q119" s="766"/>
      <c r="R119" s="767"/>
      <c r="S119" s="768"/>
      <c r="T119" s="766"/>
      <c r="U119" s="767"/>
      <c r="V119" s="768"/>
      <c r="W119" s="766"/>
      <c r="X119" s="767"/>
      <c r="Y119" s="768"/>
      <c r="Z119" s="766"/>
      <c r="AA119" s="767"/>
      <c r="AB119" s="768"/>
      <c r="AC119" s="766"/>
      <c r="AD119" s="767"/>
      <c r="AE119" s="768"/>
      <c r="AF119" s="766"/>
      <c r="AG119" s="767"/>
      <c r="AH119" s="768"/>
      <c r="AI119" s="766"/>
      <c r="AJ119" s="767"/>
      <c r="AK119" s="768"/>
      <c r="AL119" s="766"/>
      <c r="AM119" s="767"/>
      <c r="AN119" s="768"/>
      <c r="AO119" s="767"/>
      <c r="AP119" s="767"/>
      <c r="AQ119" s="768"/>
      <c r="AR119" s="709"/>
      <c r="AS119" s="709"/>
      <c r="AT119" s="768"/>
      <c r="AU119" s="730"/>
      <c r="AV119" s="730"/>
      <c r="AW119" s="725"/>
      <c r="AX119" s="725"/>
    </row>
    <row r="120" spans="1:50" s="752" customFormat="1" ht="18.75" customHeight="1" x14ac:dyDescent="0.3">
      <c r="A120" s="688"/>
      <c r="B120" s="756"/>
      <c r="C120" s="750"/>
      <c r="D120" s="750"/>
      <c r="E120" s="756"/>
      <c r="F120" s="750"/>
      <c r="G120" s="751"/>
      <c r="H120" s="756"/>
      <c r="I120" s="750"/>
      <c r="J120" s="751"/>
      <c r="K120" s="756"/>
      <c r="L120" s="750"/>
      <c r="M120" s="750"/>
      <c r="N120" s="756"/>
      <c r="O120" s="750"/>
      <c r="P120" s="751"/>
      <c r="Q120" s="756"/>
      <c r="R120" s="750"/>
      <c r="S120" s="751"/>
      <c r="T120" s="756"/>
      <c r="U120" s="750"/>
      <c r="V120" s="751"/>
      <c r="W120" s="756"/>
      <c r="X120" s="750"/>
      <c r="Y120" s="751"/>
      <c r="Z120" s="756"/>
      <c r="AA120" s="750"/>
      <c r="AB120" s="751"/>
      <c r="AC120" s="756"/>
      <c r="AD120" s="750"/>
      <c r="AE120" s="751"/>
      <c r="AF120" s="756"/>
      <c r="AG120" s="750"/>
      <c r="AH120" s="751"/>
      <c r="AI120" s="756"/>
      <c r="AJ120" s="750"/>
      <c r="AK120" s="751"/>
      <c r="AL120" s="756"/>
      <c r="AM120" s="750"/>
      <c r="AN120" s="751"/>
      <c r="AO120" s="750"/>
      <c r="AP120" s="750"/>
      <c r="AQ120" s="751"/>
      <c r="AR120" s="700"/>
      <c r="AS120" s="700"/>
      <c r="AT120" s="751"/>
      <c r="AU120" s="730"/>
      <c r="AV120" s="730"/>
      <c r="AW120" s="725"/>
      <c r="AX120" s="725"/>
    </row>
    <row r="121" spans="1:50" s="752" customFormat="1" ht="18.75" customHeight="1" x14ac:dyDescent="0.3">
      <c r="A121" s="679" t="s">
        <v>453</v>
      </c>
      <c r="B121" s="756"/>
      <c r="C121" s="750"/>
      <c r="D121" s="750"/>
      <c r="E121" s="756"/>
      <c r="F121" s="750"/>
      <c r="G121" s="751"/>
      <c r="H121" s="756"/>
      <c r="I121" s="750"/>
      <c r="J121" s="751"/>
      <c r="K121" s="756"/>
      <c r="L121" s="750"/>
      <c r="M121" s="750"/>
      <c r="N121" s="756"/>
      <c r="O121" s="750"/>
      <c r="P121" s="751"/>
      <c r="Q121" s="756"/>
      <c r="R121" s="750"/>
      <c r="S121" s="751"/>
      <c r="T121" s="756"/>
      <c r="U121" s="750"/>
      <c r="V121" s="751"/>
      <c r="W121" s="756"/>
      <c r="X121" s="750"/>
      <c r="Y121" s="751"/>
      <c r="Z121" s="756"/>
      <c r="AA121" s="750"/>
      <c r="AB121" s="751"/>
      <c r="AC121" s="756"/>
      <c r="AD121" s="750"/>
      <c r="AE121" s="751"/>
      <c r="AF121" s="756"/>
      <c r="AG121" s="750"/>
      <c r="AH121" s="751"/>
      <c r="AI121" s="756"/>
      <c r="AJ121" s="750"/>
      <c r="AK121" s="751"/>
      <c r="AL121" s="756"/>
      <c r="AM121" s="750"/>
      <c r="AN121" s="751"/>
      <c r="AO121" s="750"/>
      <c r="AP121" s="750"/>
      <c r="AQ121" s="751"/>
      <c r="AR121" s="700"/>
      <c r="AS121" s="700"/>
      <c r="AT121" s="751"/>
      <c r="AU121" s="730"/>
      <c r="AV121" s="730"/>
      <c r="AW121" s="725"/>
      <c r="AX121" s="725"/>
    </row>
    <row r="122" spans="1:50" s="752" customFormat="1" ht="18.75" customHeight="1" x14ac:dyDescent="0.3">
      <c r="A122" s="688" t="s">
        <v>424</v>
      </c>
      <c r="B122" s="756"/>
      <c r="C122" s="750"/>
      <c r="D122" s="750"/>
      <c r="E122" s="756"/>
      <c r="F122" s="750"/>
      <c r="G122" s="751"/>
      <c r="H122" s="756"/>
      <c r="I122" s="750"/>
      <c r="J122" s="751"/>
      <c r="K122" s="756"/>
      <c r="L122" s="750"/>
      <c r="M122" s="750"/>
      <c r="N122" s="756"/>
      <c r="O122" s="750"/>
      <c r="P122" s="751"/>
      <c r="Q122" s="756">
        <v>8021.1680385597992</v>
      </c>
      <c r="R122" s="750">
        <v>6671.9396629587136</v>
      </c>
      <c r="S122" s="751">
        <f t="shared" ref="S122:S144" si="34">IF(Q122=0, "    ---- ", IF(ABS(ROUND(100/Q122*R122-100,1))&lt;999,ROUND(100/Q122*R122-100,1),IF(ROUND(100/Q122*R122-100,1)&gt;999,999,-999)))</f>
        <v>-16.8</v>
      </c>
      <c r="T122" s="756"/>
      <c r="U122" s="750"/>
      <c r="V122" s="751"/>
      <c r="W122" s="756"/>
      <c r="X122" s="750"/>
      <c r="Y122" s="751"/>
      <c r="Z122" s="756">
        <v>2463</v>
      </c>
      <c r="AA122" s="750">
        <v>3976</v>
      </c>
      <c r="AB122" s="751">
        <f t="shared" ref="AB122:AB132" si="35">IF(Z122=0, "    ---- ", IF(ABS(ROUND(100/Z122*AA122-100,1))&lt;999,ROUND(100/Z122*AA122-100,1),IF(ROUND(100/Z122*AA122-100,1)&gt;999,999,-999)))</f>
        <v>61.4</v>
      </c>
      <c r="AC122" s="756"/>
      <c r="AD122" s="750"/>
      <c r="AE122" s="751"/>
      <c r="AF122" s="756"/>
      <c r="AG122" s="750"/>
      <c r="AH122" s="751"/>
      <c r="AI122" s="756"/>
      <c r="AJ122" s="750"/>
      <c r="AK122" s="751"/>
      <c r="AL122" s="756">
        <v>83.9</v>
      </c>
      <c r="AM122" s="750">
        <v>70.430000000000007</v>
      </c>
      <c r="AN122" s="751">
        <f t="shared" ref="AN122:AN132" si="36">IF(AL122=0, "    ---- ", IF(ABS(ROUND(100/AL122*AM122-100,1))&lt;999,ROUND(100/AL122*AM122-100,1),IF(ROUND(100/AL122*AM122-100,1)&gt;999,999,-999)))</f>
        <v>-16.100000000000001</v>
      </c>
      <c r="AO122" s="750">
        <f t="shared" si="27"/>
        <v>10568.068038559799</v>
      </c>
      <c r="AP122" s="750">
        <f t="shared" si="27"/>
        <v>10718.369662958714</v>
      </c>
      <c r="AQ122" s="751">
        <f t="shared" si="11"/>
        <v>1.4</v>
      </c>
      <c r="AR122" s="700">
        <f t="shared" si="28"/>
        <v>10568.068038559799</v>
      </c>
      <c r="AS122" s="700">
        <f t="shared" si="28"/>
        <v>10718.369662958714</v>
      </c>
      <c r="AT122" s="751">
        <f t="shared" si="12"/>
        <v>1.4</v>
      </c>
      <c r="AU122" s="730"/>
      <c r="AV122" s="730"/>
      <c r="AW122" s="725"/>
      <c r="AX122" s="725"/>
    </row>
    <row r="123" spans="1:50" s="752" customFormat="1" ht="18.75" customHeight="1" x14ac:dyDescent="0.3">
      <c r="A123" s="688" t="s">
        <v>425</v>
      </c>
      <c r="B123" s="756"/>
      <c r="C123" s="750"/>
      <c r="D123" s="750"/>
      <c r="E123" s="756"/>
      <c r="F123" s="750"/>
      <c r="G123" s="751"/>
      <c r="H123" s="756"/>
      <c r="I123" s="750"/>
      <c r="J123" s="751"/>
      <c r="K123" s="756"/>
      <c r="L123" s="750"/>
      <c r="M123" s="750"/>
      <c r="N123" s="756"/>
      <c r="O123" s="750"/>
      <c r="P123" s="751"/>
      <c r="Q123" s="756">
        <v>4.3610605525112156</v>
      </c>
      <c r="R123" s="750">
        <v>-14.516126999999999</v>
      </c>
      <c r="S123" s="751">
        <f t="shared" si="34"/>
        <v>-432.9</v>
      </c>
      <c r="T123" s="756"/>
      <c r="U123" s="750"/>
      <c r="V123" s="751"/>
      <c r="W123" s="756"/>
      <c r="X123" s="750"/>
      <c r="Y123" s="751"/>
      <c r="Z123" s="756">
        <v>-1975</v>
      </c>
      <c r="AA123" s="750">
        <v>-3033</v>
      </c>
      <c r="AB123" s="751">
        <f t="shared" si="35"/>
        <v>53.6</v>
      </c>
      <c r="AC123" s="756"/>
      <c r="AD123" s="750"/>
      <c r="AE123" s="751"/>
      <c r="AF123" s="756"/>
      <c r="AG123" s="750"/>
      <c r="AH123" s="751"/>
      <c r="AI123" s="756"/>
      <c r="AJ123" s="750"/>
      <c r="AK123" s="751"/>
      <c r="AL123" s="756"/>
      <c r="AM123" s="750"/>
      <c r="AN123" s="751"/>
      <c r="AO123" s="750">
        <f t="shared" si="27"/>
        <v>-1970.6389394474888</v>
      </c>
      <c r="AP123" s="750">
        <f t="shared" si="27"/>
        <v>-3047.5161269999999</v>
      </c>
      <c r="AQ123" s="751">
        <f t="shared" si="11"/>
        <v>54.6</v>
      </c>
      <c r="AR123" s="700">
        <f t="shared" si="28"/>
        <v>-1970.6389394474888</v>
      </c>
      <c r="AS123" s="700">
        <f t="shared" si="28"/>
        <v>-3047.5161269999999</v>
      </c>
      <c r="AT123" s="751">
        <f t="shared" si="12"/>
        <v>54.6</v>
      </c>
      <c r="AU123" s="730"/>
      <c r="AV123" s="730"/>
      <c r="AW123" s="725"/>
      <c r="AX123" s="725"/>
    </row>
    <row r="124" spans="1:50" s="752" customFormat="1" ht="18.75" customHeight="1" x14ac:dyDescent="0.3">
      <c r="A124" s="688" t="s">
        <v>426</v>
      </c>
      <c r="B124" s="756"/>
      <c r="C124" s="750"/>
      <c r="D124" s="750"/>
      <c r="E124" s="756">
        <v>-10.638999999999999</v>
      </c>
      <c r="F124" s="750"/>
      <c r="G124" s="751">
        <f t="shared" ref="G124:G132" si="37">IF(E124=0, "    ---- ", IF(ABS(ROUND(100/E124*F124-100,1))&lt;999,ROUND(100/E124*F124-100,1),IF(ROUND(100/E124*F124-100,1)&gt;999,999,-999)))</f>
        <v>-100</v>
      </c>
      <c r="H124" s="756"/>
      <c r="I124" s="750"/>
      <c r="J124" s="751"/>
      <c r="K124" s="756"/>
      <c r="L124" s="750"/>
      <c r="M124" s="750"/>
      <c r="N124" s="756"/>
      <c r="O124" s="750"/>
      <c r="P124" s="751"/>
      <c r="Q124" s="756">
        <v>-49.179410697877408</v>
      </c>
      <c r="R124" s="750">
        <v>140.40104314866019</v>
      </c>
      <c r="S124" s="751">
        <f t="shared" si="34"/>
        <v>-385.5</v>
      </c>
      <c r="T124" s="756"/>
      <c r="U124" s="750"/>
      <c r="V124" s="751"/>
      <c r="W124" s="756"/>
      <c r="X124" s="750"/>
      <c r="Y124" s="751"/>
      <c r="Z124" s="756">
        <v>16</v>
      </c>
      <c r="AA124" s="750">
        <v>39</v>
      </c>
      <c r="AB124" s="751">
        <f t="shared" si="35"/>
        <v>143.80000000000001</v>
      </c>
      <c r="AC124" s="756"/>
      <c r="AD124" s="750"/>
      <c r="AE124" s="751"/>
      <c r="AF124" s="756"/>
      <c r="AG124" s="750"/>
      <c r="AH124" s="751"/>
      <c r="AI124" s="756"/>
      <c r="AJ124" s="750"/>
      <c r="AK124" s="751"/>
      <c r="AL124" s="756">
        <v>-66.400000000000006</v>
      </c>
      <c r="AM124" s="750">
        <v>-4.8099999999999996</v>
      </c>
      <c r="AN124" s="751">
        <f t="shared" si="36"/>
        <v>-92.8</v>
      </c>
      <c r="AO124" s="750">
        <f t="shared" si="27"/>
        <v>-110.21841069787742</v>
      </c>
      <c r="AP124" s="750">
        <f t="shared" si="27"/>
        <v>174.59104314866019</v>
      </c>
      <c r="AQ124" s="751">
        <f t="shared" si="11"/>
        <v>-258.39999999999998</v>
      </c>
      <c r="AR124" s="700">
        <f t="shared" si="28"/>
        <v>-110.21841069787742</v>
      </c>
      <c r="AS124" s="700">
        <f t="shared" si="28"/>
        <v>174.59104314866019</v>
      </c>
      <c r="AT124" s="751">
        <f t="shared" si="12"/>
        <v>-258.39999999999998</v>
      </c>
      <c r="AU124" s="730"/>
      <c r="AV124" s="730"/>
      <c r="AW124" s="725"/>
      <c r="AX124" s="725"/>
    </row>
    <row r="125" spans="1:50" s="752" customFormat="1" ht="18.75" customHeight="1" x14ac:dyDescent="0.3">
      <c r="A125" s="688" t="s">
        <v>427</v>
      </c>
      <c r="B125" s="756"/>
      <c r="C125" s="750"/>
      <c r="D125" s="750"/>
      <c r="E125" s="756">
        <v>0.87009999999999998</v>
      </c>
      <c r="F125" s="750"/>
      <c r="G125" s="751">
        <f t="shared" si="37"/>
        <v>-100</v>
      </c>
      <c r="H125" s="756"/>
      <c r="I125" s="750"/>
      <c r="J125" s="751"/>
      <c r="K125" s="756"/>
      <c r="L125" s="750"/>
      <c r="M125" s="750"/>
      <c r="N125" s="756"/>
      <c r="O125" s="750"/>
      <c r="P125" s="751"/>
      <c r="Q125" s="756"/>
      <c r="R125" s="750"/>
      <c r="S125" s="751"/>
      <c r="T125" s="756"/>
      <c r="U125" s="750"/>
      <c r="V125" s="751"/>
      <c r="W125" s="756"/>
      <c r="X125" s="750"/>
      <c r="Y125" s="751"/>
      <c r="Z125" s="756"/>
      <c r="AA125" s="750"/>
      <c r="AB125" s="751"/>
      <c r="AC125" s="756"/>
      <c r="AD125" s="750"/>
      <c r="AE125" s="751"/>
      <c r="AF125" s="756"/>
      <c r="AG125" s="750"/>
      <c r="AH125" s="751"/>
      <c r="AI125" s="756"/>
      <c r="AJ125" s="750"/>
      <c r="AK125" s="751"/>
      <c r="AL125" s="756">
        <v>5</v>
      </c>
      <c r="AM125" s="750">
        <v>5.32</v>
      </c>
      <c r="AN125" s="751">
        <f t="shared" si="36"/>
        <v>6.4</v>
      </c>
      <c r="AO125" s="750">
        <f t="shared" si="27"/>
        <v>5.8700999999999999</v>
      </c>
      <c r="AP125" s="750">
        <f t="shared" si="27"/>
        <v>5.32</v>
      </c>
      <c r="AQ125" s="751">
        <f t="shared" si="11"/>
        <v>-9.4</v>
      </c>
      <c r="AR125" s="700">
        <f t="shared" si="28"/>
        <v>5.8700999999999999</v>
      </c>
      <c r="AS125" s="700">
        <f t="shared" si="28"/>
        <v>5.32</v>
      </c>
      <c r="AT125" s="751">
        <f t="shared" si="12"/>
        <v>-9.4</v>
      </c>
      <c r="AU125" s="730"/>
      <c r="AV125" s="730"/>
      <c r="AW125" s="725"/>
      <c r="AX125" s="725"/>
    </row>
    <row r="126" spans="1:50" s="752" customFormat="1" ht="18.75" customHeight="1" x14ac:dyDescent="0.3">
      <c r="A126" s="688" t="s">
        <v>428</v>
      </c>
      <c r="B126" s="756"/>
      <c r="C126" s="750"/>
      <c r="D126" s="750"/>
      <c r="E126" s="756">
        <v>4.2350000000000003</v>
      </c>
      <c r="F126" s="750"/>
      <c r="G126" s="751">
        <f t="shared" si="37"/>
        <v>-100</v>
      </c>
      <c r="H126" s="756"/>
      <c r="I126" s="750"/>
      <c r="J126" s="751"/>
      <c r="K126" s="756"/>
      <c r="L126" s="750"/>
      <c r="M126" s="750"/>
      <c r="N126" s="756"/>
      <c r="O126" s="750"/>
      <c r="P126" s="751"/>
      <c r="Q126" s="756">
        <v>683.36542899999995</v>
      </c>
      <c r="R126" s="750">
        <v>703.36525500000005</v>
      </c>
      <c r="S126" s="751">
        <f t="shared" si="34"/>
        <v>2.9</v>
      </c>
      <c r="T126" s="756"/>
      <c r="U126" s="750"/>
      <c r="V126" s="751"/>
      <c r="W126" s="756"/>
      <c r="X126" s="750"/>
      <c r="Y126" s="751"/>
      <c r="Z126" s="756">
        <v>267</v>
      </c>
      <c r="AA126" s="750">
        <v>306</v>
      </c>
      <c r="AB126" s="751">
        <f t="shared" si="35"/>
        <v>14.6</v>
      </c>
      <c r="AC126" s="756"/>
      <c r="AD126" s="750"/>
      <c r="AE126" s="751"/>
      <c r="AF126" s="756"/>
      <c r="AG126" s="750"/>
      <c r="AH126" s="751"/>
      <c r="AI126" s="756"/>
      <c r="AJ126" s="750"/>
      <c r="AK126" s="751"/>
      <c r="AL126" s="756">
        <v>16.5</v>
      </c>
      <c r="AM126" s="750">
        <v>14.44</v>
      </c>
      <c r="AN126" s="751">
        <f t="shared" si="36"/>
        <v>-12.5</v>
      </c>
      <c r="AO126" s="750">
        <f t="shared" si="27"/>
        <v>971.10042899999996</v>
      </c>
      <c r="AP126" s="750">
        <f t="shared" si="27"/>
        <v>1023.8052550000001</v>
      </c>
      <c r="AQ126" s="751">
        <f t="shared" si="11"/>
        <v>5.4</v>
      </c>
      <c r="AR126" s="700">
        <f t="shared" si="28"/>
        <v>971.10042899999996</v>
      </c>
      <c r="AS126" s="700">
        <f t="shared" si="28"/>
        <v>1023.8052550000001</v>
      </c>
      <c r="AT126" s="751">
        <f t="shared" si="12"/>
        <v>5.4</v>
      </c>
      <c r="AU126" s="730"/>
      <c r="AV126" s="730"/>
      <c r="AW126" s="725"/>
      <c r="AX126" s="725"/>
    </row>
    <row r="127" spans="1:50" s="752" customFormat="1" ht="18.75" customHeight="1" x14ac:dyDescent="0.3">
      <c r="A127" s="688" t="s">
        <v>429</v>
      </c>
      <c r="B127" s="756"/>
      <c r="C127" s="750"/>
      <c r="D127" s="750"/>
      <c r="E127" s="756">
        <v>27.494</v>
      </c>
      <c r="F127" s="750"/>
      <c r="G127" s="751">
        <f t="shared" si="37"/>
        <v>-100</v>
      </c>
      <c r="H127" s="756"/>
      <c r="I127" s="750"/>
      <c r="J127" s="751"/>
      <c r="K127" s="756"/>
      <c r="L127" s="750"/>
      <c r="M127" s="750"/>
      <c r="N127" s="756"/>
      <c r="O127" s="750"/>
      <c r="P127" s="751"/>
      <c r="Q127" s="756">
        <v>784.80863243128704</v>
      </c>
      <c r="R127" s="750">
        <v>894.61142648381815</v>
      </c>
      <c r="S127" s="751">
        <f t="shared" si="34"/>
        <v>14</v>
      </c>
      <c r="T127" s="756"/>
      <c r="U127" s="750"/>
      <c r="V127" s="751"/>
      <c r="W127" s="756"/>
      <c r="X127" s="750"/>
      <c r="Y127" s="751"/>
      <c r="Z127" s="756">
        <v>303</v>
      </c>
      <c r="AA127" s="750">
        <v>358</v>
      </c>
      <c r="AB127" s="751">
        <f t="shared" si="35"/>
        <v>18.2</v>
      </c>
      <c r="AC127" s="756"/>
      <c r="AD127" s="750"/>
      <c r="AE127" s="751"/>
      <c r="AF127" s="756"/>
      <c r="AG127" s="750"/>
      <c r="AH127" s="751"/>
      <c r="AI127" s="756"/>
      <c r="AJ127" s="750"/>
      <c r="AK127" s="751"/>
      <c r="AL127" s="756"/>
      <c r="AM127" s="750">
        <v>0.66</v>
      </c>
      <c r="AN127" s="751" t="str">
        <f t="shared" si="36"/>
        <v xml:space="preserve">    ---- </v>
      </c>
      <c r="AO127" s="750">
        <f t="shared" si="27"/>
        <v>1115.3026324312871</v>
      </c>
      <c r="AP127" s="750">
        <f t="shared" si="27"/>
        <v>1253.2714264838182</v>
      </c>
      <c r="AQ127" s="751">
        <f t="shared" si="11"/>
        <v>12.4</v>
      </c>
      <c r="AR127" s="700">
        <f t="shared" si="28"/>
        <v>1115.3026324312871</v>
      </c>
      <c r="AS127" s="700">
        <f t="shared" si="28"/>
        <v>1253.2714264838182</v>
      </c>
      <c r="AT127" s="751">
        <f t="shared" si="12"/>
        <v>12.4</v>
      </c>
      <c r="AU127" s="730"/>
      <c r="AV127" s="730"/>
      <c r="AW127" s="725"/>
      <c r="AX127" s="725"/>
    </row>
    <row r="128" spans="1:50" s="752" customFormat="1" ht="18.75" customHeight="1" x14ac:dyDescent="0.3">
      <c r="A128" s="688" t="s">
        <v>430</v>
      </c>
      <c r="B128" s="756"/>
      <c r="C128" s="750"/>
      <c r="D128" s="750"/>
      <c r="E128" s="756"/>
      <c r="F128" s="750"/>
      <c r="G128" s="751"/>
      <c r="H128" s="756"/>
      <c r="I128" s="750"/>
      <c r="J128" s="751"/>
      <c r="K128" s="756"/>
      <c r="L128" s="750"/>
      <c r="M128" s="750"/>
      <c r="N128" s="756"/>
      <c r="O128" s="750"/>
      <c r="P128" s="751"/>
      <c r="Q128" s="756">
        <v>392.40431699999999</v>
      </c>
      <c r="R128" s="750">
        <v>518.50259500000004</v>
      </c>
      <c r="S128" s="751">
        <f t="shared" si="34"/>
        <v>32.1</v>
      </c>
      <c r="T128" s="756"/>
      <c r="U128" s="750"/>
      <c r="V128" s="751"/>
      <c r="W128" s="756"/>
      <c r="X128" s="750"/>
      <c r="Y128" s="751"/>
      <c r="Z128" s="756">
        <v>-151</v>
      </c>
      <c r="AA128" s="750">
        <v>-179</v>
      </c>
      <c r="AB128" s="751">
        <f t="shared" si="35"/>
        <v>18.5</v>
      </c>
      <c r="AC128" s="756"/>
      <c r="AD128" s="750"/>
      <c r="AE128" s="751"/>
      <c r="AF128" s="756"/>
      <c r="AG128" s="750"/>
      <c r="AH128" s="751"/>
      <c r="AI128" s="756"/>
      <c r="AJ128" s="750"/>
      <c r="AK128" s="751"/>
      <c r="AL128" s="756"/>
      <c r="AM128" s="750"/>
      <c r="AN128" s="751"/>
      <c r="AO128" s="750">
        <f t="shared" si="27"/>
        <v>241.40431699999999</v>
      </c>
      <c r="AP128" s="750">
        <f t="shared" si="27"/>
        <v>339.50259500000004</v>
      </c>
      <c r="AQ128" s="751">
        <f t="shared" si="11"/>
        <v>40.6</v>
      </c>
      <c r="AR128" s="700">
        <f t="shared" si="28"/>
        <v>241.40431699999999</v>
      </c>
      <c r="AS128" s="700">
        <f t="shared" si="28"/>
        <v>339.50259500000004</v>
      </c>
      <c r="AT128" s="751">
        <f t="shared" si="12"/>
        <v>40.6</v>
      </c>
      <c r="AU128" s="730"/>
      <c r="AV128" s="730"/>
      <c r="AW128" s="725"/>
      <c r="AX128" s="725"/>
    </row>
    <row r="129" spans="1:50" s="752" customFormat="1" ht="18.75" customHeight="1" x14ac:dyDescent="0.3">
      <c r="A129" s="688" t="s">
        <v>431</v>
      </c>
      <c r="B129" s="756"/>
      <c r="C129" s="750"/>
      <c r="D129" s="750"/>
      <c r="E129" s="756"/>
      <c r="F129" s="750"/>
      <c r="G129" s="751"/>
      <c r="H129" s="756"/>
      <c r="I129" s="750"/>
      <c r="J129" s="751"/>
      <c r="K129" s="756"/>
      <c r="L129" s="750"/>
      <c r="M129" s="750"/>
      <c r="N129" s="756"/>
      <c r="O129" s="750"/>
      <c r="P129" s="751"/>
      <c r="Q129" s="756"/>
      <c r="R129" s="750"/>
      <c r="S129" s="751"/>
      <c r="T129" s="756"/>
      <c r="U129" s="750"/>
      <c r="V129" s="751"/>
      <c r="W129" s="756"/>
      <c r="X129" s="750"/>
      <c r="Y129" s="751"/>
      <c r="Z129" s="756"/>
      <c r="AA129" s="750"/>
      <c r="AB129" s="751"/>
      <c r="AC129" s="756"/>
      <c r="AD129" s="750"/>
      <c r="AE129" s="751"/>
      <c r="AF129" s="756"/>
      <c r="AG129" s="750"/>
      <c r="AH129" s="751"/>
      <c r="AI129" s="756"/>
      <c r="AJ129" s="750"/>
      <c r="AK129" s="751"/>
      <c r="AL129" s="756">
        <v>-11</v>
      </c>
      <c r="AM129" s="750"/>
      <c r="AN129" s="751">
        <f t="shared" si="36"/>
        <v>-100</v>
      </c>
      <c r="AO129" s="750">
        <f t="shared" si="27"/>
        <v>-11</v>
      </c>
      <c r="AP129" s="750">
        <f t="shared" si="27"/>
        <v>0</v>
      </c>
      <c r="AQ129" s="751">
        <f t="shared" si="11"/>
        <v>-100</v>
      </c>
      <c r="AR129" s="700">
        <f t="shared" si="28"/>
        <v>-11</v>
      </c>
      <c r="AS129" s="700">
        <f t="shared" si="28"/>
        <v>0</v>
      </c>
      <c r="AT129" s="751">
        <f t="shared" si="12"/>
        <v>-100</v>
      </c>
      <c r="AU129" s="730"/>
      <c r="AV129" s="730"/>
      <c r="AW129" s="725"/>
      <c r="AX129" s="725"/>
    </row>
    <row r="130" spans="1:50" s="755" customFormat="1" ht="18.75" customHeight="1" x14ac:dyDescent="0.3">
      <c r="A130" s="679" t="s">
        <v>432</v>
      </c>
      <c r="B130" s="680"/>
      <c r="C130" s="748"/>
      <c r="D130" s="748"/>
      <c r="E130" s="757">
        <v>21.960100000000001</v>
      </c>
      <c r="F130" s="748">
        <f>SUM(F122:F127)+F129</f>
        <v>0</v>
      </c>
      <c r="G130" s="749">
        <f t="shared" si="37"/>
        <v>-100</v>
      </c>
      <c r="H130" s="757"/>
      <c r="I130" s="748"/>
      <c r="J130" s="749"/>
      <c r="K130" s="757"/>
      <c r="L130" s="748"/>
      <c r="M130" s="748"/>
      <c r="N130" s="757"/>
      <c r="O130" s="748"/>
      <c r="P130" s="749"/>
      <c r="Q130" s="757">
        <v>9444.5237498457191</v>
      </c>
      <c r="R130" s="748">
        <f>SUM(R122:R127)+R129</f>
        <v>8395.8012605911917</v>
      </c>
      <c r="S130" s="749">
        <f t="shared" si="34"/>
        <v>-11.1</v>
      </c>
      <c r="T130" s="757"/>
      <c r="U130" s="748"/>
      <c r="V130" s="749"/>
      <c r="W130" s="757"/>
      <c r="X130" s="748"/>
      <c r="Y130" s="749"/>
      <c r="Z130" s="757">
        <v>1074</v>
      </c>
      <c r="AA130" s="748">
        <f>SUM(AA122:AA127)+AA129</f>
        <v>1646</v>
      </c>
      <c r="AB130" s="751">
        <f t="shared" si="35"/>
        <v>53.3</v>
      </c>
      <c r="AC130" s="757"/>
      <c r="AD130" s="748"/>
      <c r="AE130" s="749"/>
      <c r="AF130" s="757"/>
      <c r="AG130" s="748"/>
      <c r="AH130" s="749"/>
      <c r="AI130" s="757"/>
      <c r="AJ130" s="748"/>
      <c r="AK130" s="749"/>
      <c r="AL130" s="757">
        <v>28</v>
      </c>
      <c r="AM130" s="748">
        <f>SUM(AM122:AM127)+AM129</f>
        <v>86.039999999999992</v>
      </c>
      <c r="AN130" s="749">
        <f t="shared" si="36"/>
        <v>207.3</v>
      </c>
      <c r="AO130" s="748">
        <f t="shared" si="27"/>
        <v>10568.483849845719</v>
      </c>
      <c r="AP130" s="748">
        <f t="shared" si="27"/>
        <v>10127.841260591193</v>
      </c>
      <c r="AQ130" s="749">
        <f t="shared" si="11"/>
        <v>-4.2</v>
      </c>
      <c r="AR130" s="702">
        <f t="shared" si="28"/>
        <v>10568.483849845719</v>
      </c>
      <c r="AS130" s="702">
        <f t="shared" si="28"/>
        <v>10127.841260591193</v>
      </c>
      <c r="AT130" s="749">
        <f t="shared" si="12"/>
        <v>-4.2</v>
      </c>
      <c r="AU130" s="753" t="e">
        <f>B130,C130,E130,F130,H130,I130,K130,L130,N130,O130,Q130,R130,T130,U130,W130,X130,Z130,AA130,AC130,AD130,AF130,AG130,AI130,AJ130,AL130,AM130,AO130,AP130,AR130,AS130</f>
        <v>#VALUE!</v>
      </c>
      <c r="AV130" s="728"/>
      <c r="AW130" s="754"/>
      <c r="AX130" s="754"/>
    </row>
    <row r="131" spans="1:50" s="752" customFormat="1" ht="18.75" customHeight="1" x14ac:dyDescent="0.3">
      <c r="A131" s="688" t="s">
        <v>433</v>
      </c>
      <c r="B131" s="756"/>
      <c r="C131" s="750"/>
      <c r="D131" s="750"/>
      <c r="E131" s="756">
        <v>13.747</v>
      </c>
      <c r="F131" s="750"/>
      <c r="G131" s="751">
        <f t="shared" si="37"/>
        <v>-100</v>
      </c>
      <c r="H131" s="756"/>
      <c r="I131" s="750"/>
      <c r="J131" s="751"/>
      <c r="K131" s="756"/>
      <c r="L131" s="750"/>
      <c r="M131" s="750"/>
      <c r="N131" s="756"/>
      <c r="O131" s="750"/>
      <c r="P131" s="751"/>
      <c r="Q131" s="756">
        <v>8266.1340353077503</v>
      </c>
      <c r="R131" s="750">
        <v>7307.611062278489</v>
      </c>
      <c r="S131" s="751">
        <f t="shared" si="34"/>
        <v>-11.6</v>
      </c>
      <c r="T131" s="756"/>
      <c r="U131" s="750"/>
      <c r="V131" s="751"/>
      <c r="W131" s="756"/>
      <c r="X131" s="750"/>
      <c r="Y131" s="751"/>
      <c r="Z131" s="756">
        <v>342</v>
      </c>
      <c r="AA131" s="750">
        <v>480</v>
      </c>
      <c r="AB131" s="751">
        <f t="shared" si="35"/>
        <v>40.4</v>
      </c>
      <c r="AC131" s="756"/>
      <c r="AD131" s="750"/>
      <c r="AE131" s="751"/>
      <c r="AF131" s="756"/>
      <c r="AG131" s="750"/>
      <c r="AH131" s="751"/>
      <c r="AI131" s="756"/>
      <c r="AJ131" s="750"/>
      <c r="AK131" s="751"/>
      <c r="AL131" s="756">
        <v>73</v>
      </c>
      <c r="AM131" s="750">
        <v>70.760000000000005</v>
      </c>
      <c r="AN131" s="751">
        <f t="shared" si="36"/>
        <v>-3.1</v>
      </c>
      <c r="AO131" s="750">
        <f t="shared" si="27"/>
        <v>8694.8810353077497</v>
      </c>
      <c r="AP131" s="750">
        <f t="shared" si="27"/>
        <v>7858.3710622784893</v>
      </c>
      <c r="AQ131" s="751">
        <f t="shared" si="11"/>
        <v>-9.6</v>
      </c>
      <c r="AR131" s="700">
        <f t="shared" si="28"/>
        <v>8694.8810353077497</v>
      </c>
      <c r="AS131" s="700">
        <f t="shared" si="28"/>
        <v>7858.3710622784893</v>
      </c>
      <c r="AT131" s="751">
        <f t="shared" si="12"/>
        <v>-9.6</v>
      </c>
      <c r="AU131" s="730"/>
      <c r="AV131" s="730"/>
      <c r="AW131" s="725"/>
      <c r="AX131" s="725"/>
    </row>
    <row r="132" spans="1:50" s="752" customFormat="1" ht="18.75" customHeight="1" x14ac:dyDescent="0.3">
      <c r="A132" s="688" t="s">
        <v>434</v>
      </c>
      <c r="B132" s="756"/>
      <c r="C132" s="750"/>
      <c r="D132" s="750"/>
      <c r="E132" s="756">
        <v>8.2140000000000004</v>
      </c>
      <c r="F132" s="750"/>
      <c r="G132" s="751">
        <f t="shared" si="37"/>
        <v>-100</v>
      </c>
      <c r="H132" s="756"/>
      <c r="I132" s="750"/>
      <c r="J132" s="751"/>
      <c r="K132" s="756"/>
      <c r="L132" s="750"/>
      <c r="M132" s="750"/>
      <c r="N132" s="756"/>
      <c r="O132" s="750"/>
      <c r="P132" s="751"/>
      <c r="Q132" s="756">
        <v>1178.3897145379706</v>
      </c>
      <c r="R132" s="750">
        <v>1088.1901983127043</v>
      </c>
      <c r="S132" s="751">
        <f t="shared" si="34"/>
        <v>-7.7</v>
      </c>
      <c r="T132" s="756"/>
      <c r="U132" s="750"/>
      <c r="V132" s="751"/>
      <c r="W132" s="756"/>
      <c r="X132" s="750"/>
      <c r="Y132" s="751"/>
      <c r="Z132" s="756">
        <v>732</v>
      </c>
      <c r="AA132" s="750">
        <v>1166</v>
      </c>
      <c r="AB132" s="751">
        <f t="shared" si="35"/>
        <v>59.3</v>
      </c>
      <c r="AC132" s="756"/>
      <c r="AD132" s="750"/>
      <c r="AE132" s="751"/>
      <c r="AF132" s="756"/>
      <c r="AG132" s="750"/>
      <c r="AH132" s="751"/>
      <c r="AI132" s="756"/>
      <c r="AJ132" s="750"/>
      <c r="AK132" s="751"/>
      <c r="AL132" s="756">
        <v>-45</v>
      </c>
      <c r="AM132" s="750">
        <v>15.28</v>
      </c>
      <c r="AN132" s="751">
        <f t="shared" si="36"/>
        <v>-134</v>
      </c>
      <c r="AO132" s="750">
        <f t="shared" si="27"/>
        <v>1873.6037145379705</v>
      </c>
      <c r="AP132" s="750">
        <f t="shared" si="27"/>
        <v>2269.4701983127047</v>
      </c>
      <c r="AQ132" s="751">
        <f t="shared" si="11"/>
        <v>21.1</v>
      </c>
      <c r="AR132" s="750">
        <f t="shared" si="28"/>
        <v>1873.6037145379705</v>
      </c>
      <c r="AS132" s="750">
        <f t="shared" si="28"/>
        <v>2269.4701983127047</v>
      </c>
      <c r="AT132" s="751">
        <f t="shared" si="12"/>
        <v>21.1</v>
      </c>
      <c r="AU132" s="730"/>
      <c r="AV132" s="730"/>
      <c r="AW132" s="725"/>
      <c r="AX132" s="725"/>
    </row>
    <row r="133" spans="1:50" s="752" customFormat="1" ht="18.75" customHeight="1" x14ac:dyDescent="0.3">
      <c r="A133" s="679" t="s">
        <v>454</v>
      </c>
      <c r="B133" s="756"/>
      <c r="C133" s="750"/>
      <c r="D133" s="750"/>
      <c r="E133" s="756"/>
      <c r="F133" s="750"/>
      <c r="G133" s="751"/>
      <c r="H133" s="756"/>
      <c r="I133" s="750"/>
      <c r="J133" s="751"/>
      <c r="K133" s="756"/>
      <c r="L133" s="750"/>
      <c r="M133" s="750"/>
      <c r="N133" s="756"/>
      <c r="O133" s="750"/>
      <c r="P133" s="751"/>
      <c r="Q133" s="756"/>
      <c r="R133" s="750"/>
      <c r="S133" s="751"/>
      <c r="T133" s="756"/>
      <c r="U133" s="750"/>
      <c r="V133" s="751"/>
      <c r="W133" s="756"/>
      <c r="X133" s="750"/>
      <c r="Y133" s="751"/>
      <c r="Z133" s="756"/>
      <c r="AA133" s="750"/>
      <c r="AB133" s="751"/>
      <c r="AC133" s="756"/>
      <c r="AD133" s="750"/>
      <c r="AE133" s="751"/>
      <c r="AF133" s="756"/>
      <c r="AG133" s="750"/>
      <c r="AH133" s="751"/>
      <c r="AI133" s="756"/>
      <c r="AJ133" s="750"/>
      <c r="AK133" s="751"/>
      <c r="AL133" s="756"/>
      <c r="AM133" s="750"/>
      <c r="AN133" s="751"/>
      <c r="AO133" s="750"/>
      <c r="AP133" s="750"/>
      <c r="AQ133" s="751"/>
      <c r="AR133" s="750"/>
      <c r="AS133" s="750"/>
      <c r="AT133" s="751"/>
      <c r="AU133" s="730"/>
      <c r="AV133" s="730"/>
      <c r="AW133" s="725"/>
      <c r="AX133" s="725"/>
    </row>
    <row r="134" spans="1:50" s="752" customFormat="1" ht="18.75" customHeight="1" x14ac:dyDescent="0.3">
      <c r="A134" s="688" t="s">
        <v>424</v>
      </c>
      <c r="B134" s="756"/>
      <c r="C134" s="750"/>
      <c r="D134" s="750"/>
      <c r="E134" s="756"/>
      <c r="F134" s="750"/>
      <c r="G134" s="751"/>
      <c r="H134" s="756"/>
      <c r="I134" s="750"/>
      <c r="J134" s="751"/>
      <c r="K134" s="756"/>
      <c r="L134" s="750"/>
      <c r="M134" s="750"/>
      <c r="N134" s="756"/>
      <c r="O134" s="750"/>
      <c r="P134" s="751"/>
      <c r="Q134" s="756">
        <v>75.069982449999998</v>
      </c>
      <c r="R134" s="750">
        <v>110.21498774000001</v>
      </c>
      <c r="S134" s="751">
        <f t="shared" si="34"/>
        <v>46.8</v>
      </c>
      <c r="T134" s="756"/>
      <c r="U134" s="750"/>
      <c r="V134" s="751"/>
      <c r="W134" s="756"/>
      <c r="X134" s="750"/>
      <c r="Y134" s="751"/>
      <c r="Z134" s="756"/>
      <c r="AA134" s="750"/>
      <c r="AB134" s="751"/>
      <c r="AC134" s="756"/>
      <c r="AD134" s="750"/>
      <c r="AE134" s="751"/>
      <c r="AF134" s="756"/>
      <c r="AG134" s="750"/>
      <c r="AH134" s="751"/>
      <c r="AI134" s="756"/>
      <c r="AJ134" s="750"/>
      <c r="AK134" s="751"/>
      <c r="AL134" s="756"/>
      <c r="AM134" s="750"/>
      <c r="AN134" s="751"/>
      <c r="AO134" s="750">
        <f t="shared" si="27"/>
        <v>75.069982449999998</v>
      </c>
      <c r="AP134" s="750">
        <f t="shared" si="27"/>
        <v>110.21498774000001</v>
      </c>
      <c r="AQ134" s="751">
        <f t="shared" si="11"/>
        <v>46.8</v>
      </c>
      <c r="AR134" s="750">
        <f t="shared" si="28"/>
        <v>75.069982449999998</v>
      </c>
      <c r="AS134" s="750">
        <f t="shared" si="28"/>
        <v>110.21498774000001</v>
      </c>
      <c r="AT134" s="751">
        <f t="shared" si="12"/>
        <v>46.8</v>
      </c>
      <c r="AU134" s="730"/>
      <c r="AV134" s="730"/>
      <c r="AW134" s="725"/>
      <c r="AX134" s="725"/>
    </row>
    <row r="135" spans="1:50" s="752" customFormat="1" ht="18.75" customHeight="1" x14ac:dyDescent="0.3">
      <c r="A135" s="688" t="s">
        <v>425</v>
      </c>
      <c r="B135" s="756"/>
      <c r="C135" s="750"/>
      <c r="D135" s="750"/>
      <c r="E135" s="756"/>
      <c r="F135" s="750"/>
      <c r="G135" s="751"/>
      <c r="H135" s="756"/>
      <c r="I135" s="750"/>
      <c r="J135" s="751"/>
      <c r="K135" s="756"/>
      <c r="L135" s="750"/>
      <c r="M135" s="750"/>
      <c r="N135" s="756"/>
      <c r="O135" s="750"/>
      <c r="P135" s="751"/>
      <c r="Q135" s="756">
        <v>-5.1040498539805413E-7</v>
      </c>
      <c r="R135" s="750">
        <v>1.870401</v>
      </c>
      <c r="S135" s="751"/>
      <c r="T135" s="756"/>
      <c r="U135" s="750"/>
      <c r="V135" s="751"/>
      <c r="W135" s="756"/>
      <c r="X135" s="750"/>
      <c r="Y135" s="751"/>
      <c r="Z135" s="756"/>
      <c r="AA135" s="750"/>
      <c r="AB135" s="751"/>
      <c r="AC135" s="756"/>
      <c r="AD135" s="750"/>
      <c r="AE135" s="751"/>
      <c r="AF135" s="756"/>
      <c r="AG135" s="750"/>
      <c r="AH135" s="751"/>
      <c r="AI135" s="756"/>
      <c r="AJ135" s="750"/>
      <c r="AK135" s="751"/>
      <c r="AL135" s="756"/>
      <c r="AM135" s="750"/>
      <c r="AN135" s="751"/>
      <c r="AO135" s="750">
        <f t="shared" si="27"/>
        <v>-5.1040498539805413E-7</v>
      </c>
      <c r="AP135" s="750">
        <f t="shared" si="27"/>
        <v>1.870401</v>
      </c>
      <c r="AQ135" s="751">
        <f t="shared" si="11"/>
        <v>-999</v>
      </c>
      <c r="AR135" s="750">
        <f t="shared" si="28"/>
        <v>-5.1040498539805413E-7</v>
      </c>
      <c r="AS135" s="750">
        <f t="shared" si="28"/>
        <v>1.870401</v>
      </c>
      <c r="AT135" s="751">
        <f t="shared" si="12"/>
        <v>-999</v>
      </c>
      <c r="AU135" s="730"/>
      <c r="AV135" s="730"/>
      <c r="AW135" s="725"/>
      <c r="AX135" s="725"/>
    </row>
    <row r="136" spans="1:50" s="752" customFormat="1" ht="18.75" customHeight="1" x14ac:dyDescent="0.3">
      <c r="A136" s="688" t="s">
        <v>426</v>
      </c>
      <c r="B136" s="756"/>
      <c r="C136" s="750"/>
      <c r="D136" s="750"/>
      <c r="E136" s="756"/>
      <c r="F136" s="750"/>
      <c r="G136" s="751"/>
      <c r="H136" s="756"/>
      <c r="I136" s="750"/>
      <c r="J136" s="751"/>
      <c r="K136" s="756"/>
      <c r="L136" s="750"/>
      <c r="M136" s="750"/>
      <c r="N136" s="756"/>
      <c r="O136" s="750"/>
      <c r="P136" s="751"/>
      <c r="Q136" s="756">
        <v>0.52398130088905714</v>
      </c>
      <c r="R136" s="750">
        <v>0.58957359830815348</v>
      </c>
      <c r="S136" s="751">
        <f t="shared" si="34"/>
        <v>12.5</v>
      </c>
      <c r="T136" s="756"/>
      <c r="U136" s="750"/>
      <c r="V136" s="751"/>
      <c r="W136" s="756"/>
      <c r="X136" s="750"/>
      <c r="Y136" s="751"/>
      <c r="Z136" s="756"/>
      <c r="AA136" s="750"/>
      <c r="AB136" s="751"/>
      <c r="AC136" s="756"/>
      <c r="AD136" s="750"/>
      <c r="AE136" s="751"/>
      <c r="AF136" s="756"/>
      <c r="AG136" s="750"/>
      <c r="AH136" s="751"/>
      <c r="AI136" s="756"/>
      <c r="AJ136" s="750"/>
      <c r="AK136" s="751"/>
      <c r="AL136" s="756"/>
      <c r="AM136" s="750"/>
      <c r="AN136" s="751"/>
      <c r="AO136" s="750">
        <f t="shared" si="27"/>
        <v>0.52398130088905714</v>
      </c>
      <c r="AP136" s="750">
        <f t="shared" si="27"/>
        <v>0.58957359830815348</v>
      </c>
      <c r="AQ136" s="751">
        <f t="shared" si="11"/>
        <v>12.5</v>
      </c>
      <c r="AR136" s="750">
        <f t="shared" si="28"/>
        <v>0.52398130088905714</v>
      </c>
      <c r="AS136" s="750">
        <f t="shared" si="28"/>
        <v>0.58957359830815348</v>
      </c>
      <c r="AT136" s="751">
        <f t="shared" si="12"/>
        <v>12.5</v>
      </c>
      <c r="AU136" s="730"/>
      <c r="AV136" s="730"/>
      <c r="AW136" s="725"/>
      <c r="AX136" s="725"/>
    </row>
    <row r="137" spans="1:50" s="752" customFormat="1" ht="18.75" customHeight="1" x14ac:dyDescent="0.3">
      <c r="A137" s="688" t="s">
        <v>427</v>
      </c>
      <c r="B137" s="756"/>
      <c r="C137" s="750"/>
      <c r="D137" s="750"/>
      <c r="E137" s="756"/>
      <c r="F137" s="750"/>
      <c r="G137" s="751"/>
      <c r="H137" s="756"/>
      <c r="I137" s="750"/>
      <c r="J137" s="751"/>
      <c r="K137" s="756"/>
      <c r="L137" s="750"/>
      <c r="M137" s="750"/>
      <c r="N137" s="756"/>
      <c r="O137" s="750"/>
      <c r="P137" s="751"/>
      <c r="Q137" s="756"/>
      <c r="R137" s="750"/>
      <c r="S137" s="751"/>
      <c r="T137" s="756"/>
      <c r="U137" s="750"/>
      <c r="V137" s="751"/>
      <c r="W137" s="756"/>
      <c r="X137" s="750"/>
      <c r="Y137" s="751"/>
      <c r="Z137" s="756"/>
      <c r="AA137" s="750"/>
      <c r="AB137" s="751"/>
      <c r="AC137" s="756"/>
      <c r="AD137" s="750"/>
      <c r="AE137" s="751"/>
      <c r="AF137" s="756"/>
      <c r="AG137" s="750"/>
      <c r="AH137" s="751"/>
      <c r="AI137" s="756"/>
      <c r="AJ137" s="750"/>
      <c r="AK137" s="751"/>
      <c r="AL137" s="756"/>
      <c r="AM137" s="750"/>
      <c r="AN137" s="751"/>
      <c r="AO137" s="750"/>
      <c r="AP137" s="750"/>
      <c r="AQ137" s="751"/>
      <c r="AR137" s="750"/>
      <c r="AS137" s="750"/>
      <c r="AT137" s="751"/>
      <c r="AU137" s="730"/>
      <c r="AV137" s="730"/>
      <c r="AW137" s="725"/>
      <c r="AX137" s="725"/>
    </row>
    <row r="138" spans="1:50" s="752" customFormat="1" ht="18.75" customHeight="1" x14ac:dyDescent="0.3">
      <c r="A138" s="688" t="s">
        <v>428</v>
      </c>
      <c r="B138" s="756"/>
      <c r="C138" s="750"/>
      <c r="D138" s="750"/>
      <c r="E138" s="756"/>
      <c r="F138" s="750"/>
      <c r="G138" s="751"/>
      <c r="H138" s="756"/>
      <c r="I138" s="750"/>
      <c r="J138" s="751"/>
      <c r="K138" s="756"/>
      <c r="L138" s="750"/>
      <c r="M138" s="750"/>
      <c r="N138" s="756"/>
      <c r="O138" s="750"/>
      <c r="P138" s="751"/>
      <c r="Q138" s="756">
        <v>6.8000999999999996</v>
      </c>
      <c r="R138" s="750">
        <v>7.1832510000000003</v>
      </c>
      <c r="S138" s="751">
        <f t="shared" si="34"/>
        <v>5.6</v>
      </c>
      <c r="T138" s="756"/>
      <c r="U138" s="750"/>
      <c r="V138" s="751"/>
      <c r="W138" s="756"/>
      <c r="X138" s="750"/>
      <c r="Y138" s="751"/>
      <c r="Z138" s="756"/>
      <c r="AA138" s="750"/>
      <c r="AB138" s="751"/>
      <c r="AC138" s="756"/>
      <c r="AD138" s="750"/>
      <c r="AE138" s="751"/>
      <c r="AF138" s="756"/>
      <c r="AG138" s="750"/>
      <c r="AH138" s="751"/>
      <c r="AI138" s="756"/>
      <c r="AJ138" s="750"/>
      <c r="AK138" s="751"/>
      <c r="AL138" s="756"/>
      <c r="AM138" s="750"/>
      <c r="AN138" s="751"/>
      <c r="AO138" s="750">
        <f t="shared" si="27"/>
        <v>6.8000999999999996</v>
      </c>
      <c r="AP138" s="750">
        <f t="shared" si="27"/>
        <v>7.1832510000000003</v>
      </c>
      <c r="AQ138" s="751">
        <f t="shared" si="11"/>
        <v>5.6</v>
      </c>
      <c r="AR138" s="750">
        <f t="shared" si="28"/>
        <v>6.8000999999999996</v>
      </c>
      <c r="AS138" s="750">
        <f t="shared" si="28"/>
        <v>7.1832510000000003</v>
      </c>
      <c r="AT138" s="751">
        <f t="shared" si="12"/>
        <v>5.6</v>
      </c>
      <c r="AU138" s="730"/>
      <c r="AV138" s="730"/>
      <c r="AW138" s="725"/>
      <c r="AX138" s="725"/>
    </row>
    <row r="139" spans="1:50" s="752" customFormat="1" ht="18.75" customHeight="1" x14ac:dyDescent="0.3">
      <c r="A139" s="688" t="s">
        <v>429</v>
      </c>
      <c r="B139" s="756"/>
      <c r="C139" s="750"/>
      <c r="D139" s="750"/>
      <c r="E139" s="756"/>
      <c r="F139" s="750"/>
      <c r="G139" s="751"/>
      <c r="H139" s="756"/>
      <c r="I139" s="750"/>
      <c r="J139" s="751"/>
      <c r="K139" s="756"/>
      <c r="L139" s="750"/>
      <c r="M139" s="750"/>
      <c r="N139" s="756"/>
      <c r="O139" s="750"/>
      <c r="P139" s="751"/>
      <c r="Q139" s="756">
        <v>3.4650685687130585</v>
      </c>
      <c r="R139" s="750">
        <v>4.2371376614476262</v>
      </c>
      <c r="S139" s="751">
        <f t="shared" si="34"/>
        <v>22.3</v>
      </c>
      <c r="T139" s="756"/>
      <c r="U139" s="750"/>
      <c r="V139" s="751"/>
      <c r="W139" s="756"/>
      <c r="X139" s="750"/>
      <c r="Y139" s="751"/>
      <c r="Z139" s="756"/>
      <c r="AA139" s="750"/>
      <c r="AB139" s="751"/>
      <c r="AC139" s="756"/>
      <c r="AD139" s="750"/>
      <c r="AE139" s="751"/>
      <c r="AF139" s="756"/>
      <c r="AG139" s="750"/>
      <c r="AH139" s="751"/>
      <c r="AI139" s="756"/>
      <c r="AJ139" s="750"/>
      <c r="AK139" s="751"/>
      <c r="AL139" s="756"/>
      <c r="AM139" s="750"/>
      <c r="AN139" s="751"/>
      <c r="AO139" s="750">
        <f t="shared" si="27"/>
        <v>3.4650685687130585</v>
      </c>
      <c r="AP139" s="750">
        <f t="shared" si="27"/>
        <v>4.2371376614476262</v>
      </c>
      <c r="AQ139" s="751">
        <f t="shared" si="11"/>
        <v>22.3</v>
      </c>
      <c r="AR139" s="750">
        <f t="shared" si="28"/>
        <v>3.4650685687130585</v>
      </c>
      <c r="AS139" s="750">
        <f t="shared" si="28"/>
        <v>4.2371376614476262</v>
      </c>
      <c r="AT139" s="751">
        <f t="shared" si="12"/>
        <v>22.3</v>
      </c>
      <c r="AU139" s="730"/>
      <c r="AV139" s="730"/>
      <c r="AW139" s="725"/>
      <c r="AX139" s="725"/>
    </row>
    <row r="140" spans="1:50" s="752" customFormat="1" ht="18.75" customHeight="1" x14ac:dyDescent="0.3">
      <c r="A140" s="688" t="s">
        <v>430</v>
      </c>
      <c r="B140" s="756"/>
      <c r="C140" s="750"/>
      <c r="D140" s="750"/>
      <c r="E140" s="756"/>
      <c r="F140" s="750"/>
      <c r="G140" s="751"/>
      <c r="H140" s="756"/>
      <c r="I140" s="750"/>
      <c r="J140" s="751"/>
      <c r="K140" s="756"/>
      <c r="L140" s="750"/>
      <c r="M140" s="750"/>
      <c r="N140" s="756"/>
      <c r="O140" s="750"/>
      <c r="P140" s="751"/>
      <c r="Q140" s="756">
        <v>1.732534</v>
      </c>
      <c r="R140" s="750">
        <v>2.1185689999999999</v>
      </c>
      <c r="S140" s="751"/>
      <c r="T140" s="756"/>
      <c r="U140" s="750"/>
      <c r="V140" s="751"/>
      <c r="W140" s="756"/>
      <c r="X140" s="750"/>
      <c r="Y140" s="751"/>
      <c r="Z140" s="756"/>
      <c r="AA140" s="750"/>
      <c r="AB140" s="751"/>
      <c r="AC140" s="756"/>
      <c r="AD140" s="750"/>
      <c r="AE140" s="751"/>
      <c r="AF140" s="756"/>
      <c r="AG140" s="750"/>
      <c r="AH140" s="751"/>
      <c r="AI140" s="756"/>
      <c r="AJ140" s="750"/>
      <c r="AK140" s="751"/>
      <c r="AL140" s="756"/>
      <c r="AM140" s="750"/>
      <c r="AN140" s="751"/>
      <c r="AO140" s="750">
        <f t="shared" si="27"/>
        <v>1.732534</v>
      </c>
      <c r="AP140" s="750">
        <f t="shared" si="27"/>
        <v>2.1185689999999999</v>
      </c>
      <c r="AQ140" s="751">
        <f t="shared" si="11"/>
        <v>22.3</v>
      </c>
      <c r="AR140" s="750">
        <f t="shared" si="28"/>
        <v>1.732534</v>
      </c>
      <c r="AS140" s="750">
        <f t="shared" si="28"/>
        <v>2.1185689999999999</v>
      </c>
      <c r="AT140" s="751">
        <f t="shared" si="12"/>
        <v>22.3</v>
      </c>
      <c r="AU140" s="730"/>
      <c r="AV140" s="730"/>
      <c r="AW140" s="725"/>
      <c r="AX140" s="725"/>
    </row>
    <row r="141" spans="1:50" s="752" customFormat="1" ht="18.75" customHeight="1" x14ac:dyDescent="0.3">
      <c r="A141" s="688" t="s">
        <v>431</v>
      </c>
      <c r="B141" s="756"/>
      <c r="C141" s="750"/>
      <c r="D141" s="750"/>
      <c r="E141" s="756"/>
      <c r="F141" s="750"/>
      <c r="G141" s="751"/>
      <c r="H141" s="756"/>
      <c r="I141" s="750"/>
      <c r="J141" s="751"/>
      <c r="K141" s="756"/>
      <c r="L141" s="750"/>
      <c r="M141" s="750"/>
      <c r="N141" s="756"/>
      <c r="O141" s="750"/>
      <c r="P141" s="751"/>
      <c r="Q141" s="756"/>
      <c r="R141" s="750"/>
      <c r="S141" s="751"/>
      <c r="T141" s="756"/>
      <c r="U141" s="750"/>
      <c r="V141" s="751"/>
      <c r="W141" s="756"/>
      <c r="X141" s="750"/>
      <c r="Y141" s="751"/>
      <c r="Z141" s="756"/>
      <c r="AA141" s="750"/>
      <c r="AB141" s="751"/>
      <c r="AC141" s="756"/>
      <c r="AD141" s="750"/>
      <c r="AE141" s="751"/>
      <c r="AF141" s="756"/>
      <c r="AG141" s="750"/>
      <c r="AH141" s="751"/>
      <c r="AI141" s="756"/>
      <c r="AJ141" s="750"/>
      <c r="AK141" s="751"/>
      <c r="AL141" s="756"/>
      <c r="AM141" s="750"/>
      <c r="AN141" s="751"/>
      <c r="AO141" s="750"/>
      <c r="AP141" s="750"/>
      <c r="AQ141" s="751"/>
      <c r="AR141" s="750"/>
      <c r="AS141" s="750"/>
      <c r="AT141" s="751"/>
      <c r="AU141" s="730"/>
      <c r="AV141" s="730"/>
      <c r="AW141" s="725"/>
      <c r="AX141" s="725"/>
    </row>
    <row r="142" spans="1:50" s="755" customFormat="1" ht="18.75" customHeight="1" x14ac:dyDescent="0.3">
      <c r="A142" s="679" t="s">
        <v>432</v>
      </c>
      <c r="B142" s="680"/>
      <c r="C142" s="748"/>
      <c r="D142" s="748"/>
      <c r="E142" s="757"/>
      <c r="F142" s="748"/>
      <c r="G142" s="749"/>
      <c r="H142" s="757"/>
      <c r="I142" s="748"/>
      <c r="J142" s="749"/>
      <c r="K142" s="757"/>
      <c r="L142" s="748"/>
      <c r="M142" s="748"/>
      <c r="N142" s="757"/>
      <c r="O142" s="748"/>
      <c r="P142" s="749"/>
      <c r="Q142" s="757">
        <v>85.859131809197137</v>
      </c>
      <c r="R142" s="748">
        <f>SUM(R134:R139)+R141</f>
        <v>124.09535099975579</v>
      </c>
      <c r="S142" s="749">
        <f t="shared" si="34"/>
        <v>44.5</v>
      </c>
      <c r="T142" s="757"/>
      <c r="U142" s="748"/>
      <c r="V142" s="749"/>
      <c r="W142" s="757"/>
      <c r="X142" s="748"/>
      <c r="Y142" s="749"/>
      <c r="Z142" s="757"/>
      <c r="AA142" s="748"/>
      <c r="AB142" s="749"/>
      <c r="AC142" s="757"/>
      <c r="AD142" s="748"/>
      <c r="AE142" s="749"/>
      <c r="AF142" s="757"/>
      <c r="AG142" s="748"/>
      <c r="AH142" s="749"/>
      <c r="AI142" s="757"/>
      <c r="AJ142" s="748"/>
      <c r="AK142" s="749"/>
      <c r="AL142" s="757"/>
      <c r="AM142" s="748"/>
      <c r="AN142" s="749"/>
      <c r="AO142" s="748">
        <f t="shared" si="27"/>
        <v>85.859131809197137</v>
      </c>
      <c r="AP142" s="748">
        <f t="shared" si="27"/>
        <v>124.09535099975579</v>
      </c>
      <c r="AQ142" s="749">
        <f t="shared" si="11"/>
        <v>44.5</v>
      </c>
      <c r="AR142" s="748">
        <f t="shared" si="28"/>
        <v>85.859131809197137</v>
      </c>
      <c r="AS142" s="748">
        <f t="shared" si="28"/>
        <v>124.09535099975579</v>
      </c>
      <c r="AT142" s="749">
        <f t="shared" si="12"/>
        <v>44.5</v>
      </c>
      <c r="AU142" s="753" t="e">
        <f>B142,C142,E142,F142,H142,I142,K142,L142,N142,O142,Q142,R142,T142,U142,W142,X142,Z142,AA142,AC142,AD142,AF142,AG142,AI142,AJ142,AL142,AM142,AO142,AP142,AR142,AS142</f>
        <v>#VALUE!</v>
      </c>
      <c r="AV142" s="728"/>
      <c r="AW142" s="754"/>
      <c r="AX142" s="754"/>
    </row>
    <row r="143" spans="1:50" s="752" customFormat="1" ht="18.75" customHeight="1" x14ac:dyDescent="0.3">
      <c r="A143" s="688" t="s">
        <v>433</v>
      </c>
      <c r="B143" s="756"/>
      <c r="C143" s="750"/>
      <c r="D143" s="750"/>
      <c r="E143" s="756"/>
      <c r="F143" s="750"/>
      <c r="G143" s="751"/>
      <c r="H143" s="756"/>
      <c r="I143" s="750"/>
      <c r="J143" s="751"/>
      <c r="K143" s="756"/>
      <c r="L143" s="750"/>
      <c r="M143" s="750"/>
      <c r="N143" s="756"/>
      <c r="O143" s="750"/>
      <c r="P143" s="751"/>
      <c r="Q143" s="756">
        <v>76.802516734356502</v>
      </c>
      <c r="R143" s="750">
        <v>113.25070869620012</v>
      </c>
      <c r="S143" s="751">
        <f t="shared" si="34"/>
        <v>47.5</v>
      </c>
      <c r="T143" s="756"/>
      <c r="U143" s="750"/>
      <c r="V143" s="751"/>
      <c r="W143" s="756"/>
      <c r="X143" s="750"/>
      <c r="Y143" s="751"/>
      <c r="Z143" s="756"/>
      <c r="AA143" s="750"/>
      <c r="AB143" s="751"/>
      <c r="AC143" s="756"/>
      <c r="AD143" s="750"/>
      <c r="AE143" s="751"/>
      <c r="AF143" s="756"/>
      <c r="AG143" s="750"/>
      <c r="AH143" s="751"/>
      <c r="AI143" s="756"/>
      <c r="AJ143" s="750"/>
      <c r="AK143" s="751"/>
      <c r="AL143" s="756"/>
      <c r="AM143" s="750"/>
      <c r="AN143" s="751"/>
      <c r="AO143" s="750">
        <f t="shared" si="27"/>
        <v>76.802516734356502</v>
      </c>
      <c r="AP143" s="750">
        <f t="shared" si="27"/>
        <v>113.25070869620012</v>
      </c>
      <c r="AQ143" s="751">
        <f t="shared" si="11"/>
        <v>47.5</v>
      </c>
      <c r="AR143" s="750">
        <f t="shared" si="28"/>
        <v>76.802516734356502</v>
      </c>
      <c r="AS143" s="750">
        <f t="shared" si="28"/>
        <v>113.25070869620012</v>
      </c>
      <c r="AT143" s="751">
        <f t="shared" si="12"/>
        <v>47.5</v>
      </c>
      <c r="AU143" s="730"/>
      <c r="AV143" s="730"/>
      <c r="AW143" s="725"/>
      <c r="AX143" s="725"/>
    </row>
    <row r="144" spans="1:50" s="725" customFormat="1" ht="18.75" customHeight="1" x14ac:dyDescent="0.3">
      <c r="A144" s="706" t="s">
        <v>434</v>
      </c>
      <c r="B144" s="766"/>
      <c r="C144" s="767"/>
      <c r="D144" s="767"/>
      <c r="E144" s="766"/>
      <c r="F144" s="767"/>
      <c r="G144" s="768"/>
      <c r="H144" s="766"/>
      <c r="I144" s="767"/>
      <c r="J144" s="768"/>
      <c r="K144" s="766"/>
      <c r="L144" s="767"/>
      <c r="M144" s="767"/>
      <c r="N144" s="766"/>
      <c r="O144" s="767"/>
      <c r="P144" s="768"/>
      <c r="Q144" s="766">
        <v>9.0566150748406198</v>
      </c>
      <c r="R144" s="767">
        <v>10.844642303555675</v>
      </c>
      <c r="S144" s="768">
        <f t="shared" si="34"/>
        <v>19.7</v>
      </c>
      <c r="T144" s="766"/>
      <c r="U144" s="767"/>
      <c r="V144" s="768"/>
      <c r="W144" s="766"/>
      <c r="X144" s="767"/>
      <c r="Y144" s="768"/>
      <c r="Z144" s="766"/>
      <c r="AA144" s="767"/>
      <c r="AB144" s="768"/>
      <c r="AC144" s="766"/>
      <c r="AD144" s="767"/>
      <c r="AE144" s="768"/>
      <c r="AF144" s="766"/>
      <c r="AG144" s="767"/>
      <c r="AH144" s="768"/>
      <c r="AI144" s="766"/>
      <c r="AJ144" s="767"/>
      <c r="AK144" s="768"/>
      <c r="AL144" s="766"/>
      <c r="AM144" s="767"/>
      <c r="AN144" s="768"/>
      <c r="AO144" s="767">
        <f t="shared" si="27"/>
        <v>9.0566150748406198</v>
      </c>
      <c r="AP144" s="767">
        <f t="shared" si="27"/>
        <v>10.844642303555675</v>
      </c>
      <c r="AQ144" s="768">
        <f t="shared" si="11"/>
        <v>19.7</v>
      </c>
      <c r="AR144" s="767">
        <f t="shared" si="28"/>
        <v>9.0566150748406198</v>
      </c>
      <c r="AS144" s="767">
        <f t="shared" si="28"/>
        <v>10.844642303555675</v>
      </c>
      <c r="AT144" s="768">
        <f t="shared" si="12"/>
        <v>19.7</v>
      </c>
      <c r="AU144" s="730"/>
      <c r="AV144" s="730"/>
    </row>
    <row r="145" spans="1:50" s="770" customFormat="1" ht="18.75" customHeight="1" x14ac:dyDescent="0.3">
      <c r="A145" s="725" t="s">
        <v>273</v>
      </c>
      <c r="B145" s="653"/>
      <c r="C145" s="769"/>
      <c r="D145" s="769"/>
      <c r="E145" s="769"/>
      <c r="F145" s="769"/>
      <c r="G145" s="769"/>
      <c r="H145" s="730"/>
      <c r="I145" s="725"/>
      <c r="J145" s="725"/>
      <c r="K145" s="725"/>
      <c r="L145" s="725"/>
      <c r="M145" s="725"/>
      <c r="N145" s="725"/>
      <c r="O145" s="725"/>
      <c r="P145" s="725"/>
      <c r="Q145" s="725"/>
      <c r="R145" s="725"/>
      <c r="S145" s="725"/>
      <c r="T145" s="725"/>
      <c r="U145" s="725"/>
      <c r="V145" s="725"/>
      <c r="X145" s="725"/>
      <c r="Y145" s="725"/>
      <c r="Z145" s="725"/>
      <c r="AA145" s="725"/>
      <c r="AB145" s="725"/>
      <c r="AD145" s="725"/>
      <c r="AE145" s="725"/>
      <c r="AF145" s="725"/>
      <c r="AG145" s="725"/>
      <c r="AH145" s="725"/>
      <c r="AI145" s="725"/>
      <c r="AJ145" s="725"/>
      <c r="AK145" s="725"/>
      <c r="AM145" s="725"/>
      <c r="AN145" s="725"/>
      <c r="AO145" s="725"/>
      <c r="AP145" s="725"/>
      <c r="AQ145" s="725"/>
      <c r="AR145" s="730"/>
      <c r="AS145" s="730"/>
      <c r="AT145" s="730"/>
      <c r="AU145" s="771"/>
      <c r="AV145" s="772"/>
      <c r="AW145" s="771"/>
      <c r="AX145" s="771"/>
    </row>
    <row r="146" spans="1:50" s="770" customFormat="1" ht="18.75" x14ac:dyDescent="0.3">
      <c r="A146" s="771"/>
      <c r="AV146" s="775"/>
    </row>
    <row r="147" spans="1:50" ht="18.75" x14ac:dyDescent="0.3">
      <c r="A147" s="725"/>
      <c r="W147" s="776"/>
      <c r="AV147" s="777"/>
    </row>
    <row r="148" spans="1:50" ht="18.75" x14ac:dyDescent="0.3">
      <c r="A148" s="725"/>
      <c r="AV148" s="777"/>
    </row>
    <row r="149" spans="1:50" ht="18.75" x14ac:dyDescent="0.3">
      <c r="A149" s="725"/>
      <c r="AV149" s="777"/>
    </row>
    <row r="150" spans="1:50" ht="18.75" x14ac:dyDescent="0.3">
      <c r="A150" s="725"/>
      <c r="AV150" s="777"/>
    </row>
    <row r="151" spans="1:50" ht="18.75" x14ac:dyDescent="0.3">
      <c r="A151" s="725"/>
      <c r="AV151" s="777"/>
    </row>
    <row r="152" spans="1:50" ht="18.75" x14ac:dyDescent="0.3">
      <c r="A152" s="725"/>
      <c r="AV152" s="777"/>
    </row>
    <row r="153" spans="1:50" ht="18.75" x14ac:dyDescent="0.3">
      <c r="A153" s="725"/>
      <c r="AV153" s="777"/>
    </row>
    <row r="154" spans="1:50" ht="18.75" x14ac:dyDescent="0.3">
      <c r="A154" s="725"/>
      <c r="AV154" s="777"/>
    </row>
    <row r="155" spans="1:50" ht="18.75" x14ac:dyDescent="0.3">
      <c r="A155" s="725"/>
      <c r="AV155" s="777"/>
    </row>
    <row r="156" spans="1:50" ht="18.75" x14ac:dyDescent="0.3">
      <c r="A156" s="725"/>
      <c r="AV156" s="777"/>
    </row>
    <row r="157" spans="1:50" ht="18.75" x14ac:dyDescent="0.3">
      <c r="A157" s="725"/>
      <c r="AV157" s="777"/>
    </row>
    <row r="158" spans="1:50" ht="18.75" x14ac:dyDescent="0.3">
      <c r="A158" s="725"/>
      <c r="AV158" s="777"/>
    </row>
    <row r="159" spans="1:50" ht="18.75" x14ac:dyDescent="0.3">
      <c r="A159" s="725"/>
      <c r="AV159" s="777"/>
    </row>
    <row r="160" spans="1:50" ht="18.75" x14ac:dyDescent="0.3">
      <c r="A160" s="725"/>
      <c r="AV160" s="777"/>
    </row>
    <row r="161" spans="1:48" ht="18.75" x14ac:dyDescent="0.3">
      <c r="A161" s="725"/>
      <c r="AV161" s="777"/>
    </row>
    <row r="162" spans="1:48" ht="18.75" x14ac:dyDescent="0.3">
      <c r="A162" s="725"/>
      <c r="AV162" s="777"/>
    </row>
    <row r="163" spans="1:48" ht="18.75" x14ac:dyDescent="0.3">
      <c r="A163" s="725"/>
      <c r="AV163" s="777"/>
    </row>
    <row r="164" spans="1:48" ht="18.75" x14ac:dyDescent="0.3">
      <c r="A164" s="725"/>
      <c r="AV164" s="777"/>
    </row>
    <row r="165" spans="1:48" ht="18.75" x14ac:dyDescent="0.3">
      <c r="A165" s="725"/>
      <c r="AV165" s="777"/>
    </row>
    <row r="166" spans="1:48" ht="18.75" x14ac:dyDescent="0.3">
      <c r="A166" s="725"/>
      <c r="AV166" s="777"/>
    </row>
    <row r="167" spans="1:48" ht="18.75" x14ac:dyDescent="0.3">
      <c r="A167" s="725"/>
      <c r="AV167" s="777"/>
    </row>
    <row r="168" spans="1:48" ht="18.75" x14ac:dyDescent="0.3">
      <c r="A168" s="725"/>
      <c r="AV168" s="777"/>
    </row>
    <row r="169" spans="1:48" ht="18.75" x14ac:dyDescent="0.3">
      <c r="A169" s="725"/>
      <c r="AV169" s="777"/>
    </row>
    <row r="170" spans="1:48" ht="18.75" x14ac:dyDescent="0.3">
      <c r="A170" s="725"/>
      <c r="AV170" s="777"/>
    </row>
    <row r="171" spans="1:48" ht="18.75" x14ac:dyDescent="0.3">
      <c r="A171" s="725"/>
      <c r="AV171" s="777"/>
    </row>
    <row r="172" spans="1:48" ht="18.75" x14ac:dyDescent="0.3">
      <c r="A172" s="725"/>
      <c r="AV172" s="777"/>
    </row>
    <row r="173" spans="1:48" ht="18.75" x14ac:dyDescent="0.3">
      <c r="A173" s="725"/>
      <c r="AV173" s="777"/>
    </row>
    <row r="174" spans="1:48" ht="18.75" x14ac:dyDescent="0.3">
      <c r="A174" s="725"/>
      <c r="AV174" s="777"/>
    </row>
    <row r="175" spans="1:48" ht="18.75" x14ac:dyDescent="0.3">
      <c r="A175" s="725"/>
      <c r="AV175" s="777"/>
    </row>
    <row r="176" spans="1:48" ht="18.75" x14ac:dyDescent="0.3">
      <c r="A176" s="725"/>
      <c r="AV176" s="777"/>
    </row>
    <row r="177" spans="1:48" ht="18.75" x14ac:dyDescent="0.3">
      <c r="A177" s="725"/>
      <c r="AV177" s="777"/>
    </row>
    <row r="178" spans="1:48" ht="18.75" x14ac:dyDescent="0.3">
      <c r="A178" s="725"/>
      <c r="AV178" s="777"/>
    </row>
    <row r="179" spans="1:48" ht="18.75" x14ac:dyDescent="0.3">
      <c r="A179" s="725"/>
      <c r="AV179" s="777"/>
    </row>
    <row r="180" spans="1:48" ht="18.75" x14ac:dyDescent="0.3">
      <c r="A180" s="725"/>
      <c r="AV180" s="777"/>
    </row>
    <row r="181" spans="1:48" ht="18.75" x14ac:dyDescent="0.3">
      <c r="A181" s="725"/>
      <c r="AV181" s="777"/>
    </row>
    <row r="182" spans="1:48" ht="18.75" x14ac:dyDescent="0.3">
      <c r="A182" s="725"/>
      <c r="AV182" s="777"/>
    </row>
    <row r="183" spans="1:48" ht="18.75" x14ac:dyDescent="0.3">
      <c r="A183" s="725"/>
      <c r="AV183" s="777"/>
    </row>
    <row r="184" spans="1:48" ht="18.75" x14ac:dyDescent="0.3">
      <c r="A184" s="725"/>
      <c r="AV184" s="777"/>
    </row>
    <row r="185" spans="1:48" ht="18.75" x14ac:dyDescent="0.3">
      <c r="A185" s="725"/>
      <c r="AV185" s="777"/>
    </row>
    <row r="186" spans="1:48" ht="18.75" x14ac:dyDescent="0.3">
      <c r="A186" s="725"/>
      <c r="AV186" s="777"/>
    </row>
    <row r="187" spans="1:48" ht="18.75" x14ac:dyDescent="0.3">
      <c r="A187" s="725"/>
      <c r="AV187" s="777"/>
    </row>
    <row r="188" spans="1:48" ht="18.75" x14ac:dyDescent="0.3">
      <c r="A188" s="725"/>
      <c r="AV188" s="777"/>
    </row>
    <row r="189" spans="1:48" ht="18.75" x14ac:dyDescent="0.3">
      <c r="A189" s="725"/>
      <c r="AV189" s="777"/>
    </row>
    <row r="190" spans="1:48" ht="18.75" x14ac:dyDescent="0.3">
      <c r="A190" s="725"/>
      <c r="AV190" s="777"/>
    </row>
    <row r="191" spans="1:48" ht="18.75" x14ac:dyDescent="0.3">
      <c r="A191" s="725"/>
      <c r="AV191" s="777"/>
    </row>
    <row r="192" spans="1:48" ht="18.75" x14ac:dyDescent="0.3">
      <c r="A192" s="725"/>
      <c r="AV192" s="777"/>
    </row>
    <row r="193" spans="1:48" ht="18.75" x14ac:dyDescent="0.3">
      <c r="A193" s="725"/>
      <c r="AV193" s="777"/>
    </row>
    <row r="194" spans="1:48" ht="18.75" x14ac:dyDescent="0.3">
      <c r="A194" s="725"/>
      <c r="AV194" s="777"/>
    </row>
    <row r="195" spans="1:48" ht="18.75" x14ac:dyDescent="0.3">
      <c r="A195" s="725"/>
      <c r="AV195" s="777"/>
    </row>
    <row r="196" spans="1:48" ht="18.75" x14ac:dyDescent="0.3">
      <c r="A196" s="725"/>
      <c r="AV196" s="777"/>
    </row>
    <row r="197" spans="1:48" ht="18.75" x14ac:dyDescent="0.3">
      <c r="A197" s="725"/>
      <c r="AV197" s="777"/>
    </row>
    <row r="198" spans="1:48" ht="18.75" x14ac:dyDescent="0.3">
      <c r="A198" s="725"/>
      <c r="AV198" s="777"/>
    </row>
    <row r="199" spans="1:48" ht="18.75" x14ac:dyDescent="0.3">
      <c r="A199" s="725"/>
      <c r="AV199" s="777"/>
    </row>
    <row r="200" spans="1:48" ht="18.75" x14ac:dyDescent="0.3">
      <c r="A200" s="725"/>
      <c r="AV200" s="777"/>
    </row>
    <row r="201" spans="1:48" ht="18.75" x14ac:dyDescent="0.3">
      <c r="A201" s="725"/>
      <c r="AV201" s="777"/>
    </row>
    <row r="202" spans="1:48" ht="18.75" x14ac:dyDescent="0.3">
      <c r="A202" s="725"/>
      <c r="AV202" s="777"/>
    </row>
    <row r="203" spans="1:48" ht="18.75" x14ac:dyDescent="0.3">
      <c r="A203" s="725"/>
      <c r="AV203" s="777"/>
    </row>
    <row r="204" spans="1:48" ht="18.75" x14ac:dyDescent="0.3">
      <c r="A204" s="725"/>
      <c r="AV204" s="777"/>
    </row>
    <row r="205" spans="1:48" ht="18.75" x14ac:dyDescent="0.3">
      <c r="A205" s="725"/>
      <c r="AV205" s="777"/>
    </row>
    <row r="206" spans="1:48" ht="18.75" x14ac:dyDescent="0.3">
      <c r="A206" s="725"/>
      <c r="AV206" s="777"/>
    </row>
    <row r="207" spans="1:48" ht="18.75" x14ac:dyDescent="0.3">
      <c r="A207" s="725"/>
      <c r="AV207" s="777"/>
    </row>
    <row r="208" spans="1:48" ht="18.75" x14ac:dyDescent="0.3">
      <c r="A208" s="725"/>
      <c r="AV208" s="777"/>
    </row>
    <row r="209" spans="1:48" ht="18.75" x14ac:dyDescent="0.3">
      <c r="A209" s="725"/>
      <c r="AV209" s="777"/>
    </row>
    <row r="210" spans="1:48" ht="18.75" x14ac:dyDescent="0.3">
      <c r="A210" s="725"/>
      <c r="AV210" s="777"/>
    </row>
    <row r="211" spans="1:48" ht="18.75" x14ac:dyDescent="0.3">
      <c r="A211" s="725"/>
      <c r="AV211" s="777"/>
    </row>
    <row r="212" spans="1:48" ht="18.75" x14ac:dyDescent="0.3">
      <c r="A212" s="725"/>
    </row>
    <row r="213" spans="1:48" ht="18.75" x14ac:dyDescent="0.3">
      <c r="A213" s="725"/>
    </row>
    <row r="214" spans="1:48" ht="18.75" x14ac:dyDescent="0.3">
      <c r="A214" s="725"/>
    </row>
    <row r="215" spans="1:48" ht="18.75" x14ac:dyDescent="0.3">
      <c r="A215" s="725"/>
    </row>
    <row r="216" spans="1:48" ht="18.75" x14ac:dyDescent="0.3">
      <c r="A216" s="725"/>
    </row>
    <row r="217" spans="1:48" ht="18.75" x14ac:dyDescent="0.3">
      <c r="A217" s="725"/>
    </row>
    <row r="218" spans="1:48" ht="18.75" x14ac:dyDescent="0.3">
      <c r="A218" s="725"/>
    </row>
    <row r="219" spans="1:48" ht="18.75" x14ac:dyDescent="0.3">
      <c r="A219" s="725"/>
    </row>
    <row r="220" spans="1:48" ht="18.75" x14ac:dyDescent="0.3">
      <c r="A220" s="725"/>
    </row>
    <row r="221" spans="1:48" ht="18.75" x14ac:dyDescent="0.3">
      <c r="A221" s="725"/>
    </row>
  </sheetData>
  <mergeCells count="27">
    <mergeCell ref="AO6:AQ6"/>
    <mergeCell ref="AR6:AT6"/>
    <mergeCell ref="B6:D6"/>
    <mergeCell ref="E6:G6"/>
    <mergeCell ref="H6:J6"/>
    <mergeCell ref="K6:M6"/>
    <mergeCell ref="N6:P6"/>
    <mergeCell ref="T6:V6"/>
    <mergeCell ref="Q7:S7"/>
    <mergeCell ref="Z6:AB6"/>
    <mergeCell ref="AF6:AH6"/>
    <mergeCell ref="AI6:AK6"/>
    <mergeCell ref="AL6:AN6"/>
    <mergeCell ref="AL7:AN7"/>
    <mergeCell ref="B7:D7"/>
    <mergeCell ref="E7:G7"/>
    <mergeCell ref="H7:J7"/>
    <mergeCell ref="K7:M7"/>
    <mergeCell ref="N7:P7"/>
    <mergeCell ref="AO7:AQ7"/>
    <mergeCell ref="AR7:AT7"/>
    <mergeCell ref="T7:V7"/>
    <mergeCell ref="W7:Y7"/>
    <mergeCell ref="Z7:AB7"/>
    <mergeCell ref="AC7:AE7"/>
    <mergeCell ref="AF7:AH7"/>
    <mergeCell ref="AI7:AK7"/>
  </mergeCells>
  <conditionalFormatting sqref="B68:C68 E68:F68 H68:I68 K68:L68 N68:O68 Q68:R68 T68:U68 Z68:AA68 AC68:AD68 AF68:AG68 AI68:AJ68 AL68:AM68 AO68:AP68 AR68:AS68 W68:X68">
    <cfRule type="expression" dxfId="60" priority="13">
      <formula>B$117="56≠48+49+50+51+52+53+55"</formula>
    </cfRule>
    <cfRule type="expression" dxfId="59" priority="14">
      <formula>B$118="56≠57+58"</formula>
    </cfRule>
  </conditionalFormatting>
  <conditionalFormatting sqref="B80:C80 E80:F80 H80:I80 K80:L80 N80:O80 Q80:R80 T80:U80 Z80:AA80 AC80:AD80 AF80:AG80 AI80:AJ80 AL80:AM80 AO80:AP80 AR80:AS80 W80:X80">
    <cfRule type="expression" dxfId="58" priority="11">
      <formula>$B$117="56≠48+49+50+51+52+53+55"</formula>
    </cfRule>
    <cfRule type="expression" dxfId="57" priority="12">
      <formula>B$118="56≠57+58"</formula>
    </cfRule>
  </conditionalFormatting>
  <conditionalFormatting sqref="B92:C92 E92:F92 H92:I92 K92:L92 N92:O92 Q92:R92 T92:U92 W92:X92 Z92:AA92 AC92:AD92 AF92:AG92 AI92:AJ92 AL92:AM92 AO92:AP92 AR92:AS92">
    <cfRule type="expression" dxfId="56" priority="9">
      <formula>$B$117="56≠48+49+50+51+52+53+55"</formula>
    </cfRule>
    <cfRule type="expression" dxfId="55" priority="10">
      <formula>B$118="56≠57+58"</formula>
    </cfRule>
  </conditionalFormatting>
  <conditionalFormatting sqref="B116:C116 E116:F116 H116:I116 K116:L116 N116:O116 Q116:R116 T116:U116 Z116:AA116 AC116:AD116 AF116:AG116 AI116:AJ116 AL116:AM116 AO116:AP116 AR116:AS116 W116:X116">
    <cfRule type="expression" dxfId="54" priority="5">
      <formula>$B$117="56≠48+49+50+51+52+53+55"</formula>
    </cfRule>
    <cfRule type="expression" dxfId="53" priority="6">
      <formula>B$118="56≠57+58"</formula>
    </cfRule>
  </conditionalFormatting>
  <conditionalFormatting sqref="B130:C130 E130:F130 H130:I130 K130:L130 N130:O130 Q130:R130 T130:U130 W130:X130 Z130:AA130 AC130:AD130 AF130:AG130 AI130:AJ130 AL130:AM130 AO130:AP130 AR130:AS130">
    <cfRule type="expression" dxfId="52" priority="3">
      <formula>$B$117="56≠48+49+50+51+52+53+55"</formula>
    </cfRule>
    <cfRule type="expression" dxfId="51" priority="4">
      <formula>B$118="56≠57+58"</formula>
    </cfRule>
  </conditionalFormatting>
  <conditionalFormatting sqref="B142:C142 E142:F142 H142:I142 K142:L142 N142:O142 Q142:R142 T142:U142 W142:X142 Z142:AA142 AC142:AD142 AF142:AG142 AI142:AJ142 AL142:AM142 AO142:AP142 AR142:AS142">
    <cfRule type="expression" dxfId="50" priority="1">
      <formula>$B$117="56≠48+49+50+51+52+53+55"</formula>
    </cfRule>
    <cfRule type="expression" dxfId="49" priority="2">
      <formula>B$118="56≠57+58"</formula>
    </cfRule>
  </conditionalFormatting>
  <conditionalFormatting sqref="B20:C20 E20:F20 H20:I20 K20:L20 N20:O20 Q20:R20 T20:U20 Z20:AA20 AC20:AD20 AF20:AG20 AI20:AJ20 AL20:AM20 AO20:AP20 AR20:AS20 W20:X20">
    <cfRule type="expression" dxfId="48" priority="420">
      <formula>#REF!="20≠21+22"</formula>
    </cfRule>
  </conditionalFormatting>
  <conditionalFormatting sqref="B32:C32 E32:F32 H32:I32 K32:L32 N32:O32 Q32:R32 T32:U32 Z32:AA32 AC32:AD32 AF32:AG32 AI32:AJ32 AL32:AM32 AO32:AP32 AR32:AS32 W32:X32">
    <cfRule type="expression" dxfId="47" priority="435">
      <formula>#REF!="32≠24+25+26+27+28+29+31"</formula>
    </cfRule>
    <cfRule type="expression" dxfId="46" priority="436">
      <formula>#REF!="32≠33+34"</formula>
    </cfRule>
  </conditionalFormatting>
  <conditionalFormatting sqref="B44:C44 E44:F44 H44:I44 K44:L44 N44:O44 Q44:R44 T44:U44 Z44:AA44 AC44:AD44 AF44:AG44 AI44:AJ44 AL44:AM44 AO44:AP44 AR44:AS44 W44:X44">
    <cfRule type="expression" dxfId="45" priority="465">
      <formula>#REF!="44≠36+37+38+39+40+41+43"</formula>
    </cfRule>
    <cfRule type="expression" dxfId="44" priority="466">
      <formula>#REF!="44≠45+46"</formula>
    </cfRule>
  </conditionalFormatting>
  <conditionalFormatting sqref="B56:C56 E56:F56 H56:I56 K56:L56 N56:O56 Q56:R56 T56:U56 Z56:AA56 AC56:AD56 AF56:AG56 AI56:AJ56 AL56:AM56 W56:X56 AO56:AP56 AR56:AS56">
    <cfRule type="expression" dxfId="43" priority="495">
      <formula>#REF!="56≠48+49+50+51+52+53+55"</formula>
    </cfRule>
    <cfRule type="expression" dxfId="42" priority="496">
      <formula>#REF!="56≠57+58"</formula>
    </cfRule>
  </conditionalFormatting>
  <conditionalFormatting sqref="B104:C104 E104:F104 H104:I104 K104:L104 N104:O104 Q104:R104 T104:U104 W104:X104 Z104:AA104 AC104:AD104 AF104:AG104 AI104:AJ104 AL104:AM104 AO104:AP104 AR104:AS104">
    <cfRule type="expression" dxfId="41" priority="525">
      <formula>#REF!="104≠96+97+98+99+100+101+103"</formula>
    </cfRule>
    <cfRule type="expression" dxfId="40" priority="526">
      <formula>#REF!="104≠105+106"</formula>
    </cfRule>
  </conditionalFormatting>
  <conditionalFormatting sqref="B20:C20 E20:F20 H20:I20 K20:L20 N20:O20 Q20:R20 T20:U20 Z20:AA20 AC20:AD20 AF20:AG20 AI20:AJ20 AL20:AM20 AO20:AP20 AR20:AS20 W20:X20">
    <cfRule type="expression" dxfId="39" priority="555">
      <formula>#REF!="20≠12+13+14+15+16+17+19"</formula>
    </cfRule>
  </conditionalFormatting>
  <hyperlinks>
    <hyperlink ref="B1" location="Innhold!A1" display="Tilbake"/>
  </hyperlinks>
  <printOptions headings="1"/>
  <pageMargins left="0.78740157480314965" right="0.78740157480314965" top="1.5748031496062993" bottom="0.98425196850393704" header="0.51181102362204722" footer="0.51181102362204722"/>
  <pageSetup paperSize="9" scale="40" fitToWidth="5" orientation="portrait" r:id="rId1"/>
  <headerFooter alignWithMargins="0"/>
  <rowBreaks count="1" manualBreakCount="1">
    <brk id="119" max="39" man="1"/>
  </rowBreaks>
  <colBreaks count="4" manualBreakCount="4">
    <brk id="10" min="1" max="108" man="1"/>
    <brk id="19" min="1" max="108" man="1"/>
    <brk id="28" min="1" max="108" man="1"/>
    <brk id="37" min="1" max="108"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8"/>
  <dimension ref="A1:AX131"/>
  <sheetViews>
    <sheetView showGridLines="0" zoomScale="60" zoomScaleNormal="60" workbookViewId="0">
      <pane xSplit="1" ySplit="9" topLeftCell="B10" activePane="bottomRight" state="frozen"/>
      <selection activeCell="AU39" sqref="AU39"/>
      <selection pane="topRight" activeCell="AU39" sqref="AU39"/>
      <selection pane="bottomLeft" activeCell="AU39" sqref="AU39"/>
      <selection pane="bottomRight" activeCell="A5" sqref="A5"/>
    </sheetView>
  </sheetViews>
  <sheetFormatPr baseColWidth="10" defaultColWidth="12.5703125" defaultRowHeight="15.75" x14ac:dyDescent="0.25"/>
  <cols>
    <col min="1" max="1" width="55.5703125" style="726" customWidth="1"/>
    <col min="2" max="46" width="11.7109375" style="726" customWidth="1"/>
    <col min="47" max="16384" width="12.5703125" style="726"/>
  </cols>
  <sheetData>
    <row r="1" spans="1:50" ht="20.25" customHeight="1" x14ac:dyDescent="0.3">
      <c r="A1" s="652" t="s">
        <v>189</v>
      </c>
      <c r="B1" s="495" t="s">
        <v>55</v>
      </c>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c r="AO1" s="725"/>
      <c r="AP1" s="725"/>
      <c r="AQ1" s="725"/>
      <c r="AR1" s="725"/>
      <c r="AS1" s="725"/>
      <c r="AT1" s="725"/>
      <c r="AU1" s="725"/>
      <c r="AV1" s="725"/>
      <c r="AW1" s="725"/>
      <c r="AX1" s="725"/>
    </row>
    <row r="2" spans="1:50" ht="20.100000000000001" customHeight="1" x14ac:dyDescent="0.3">
      <c r="A2" s="727" t="s">
        <v>283</v>
      </c>
      <c r="B2" s="725"/>
      <c r="C2" s="725"/>
      <c r="D2" s="725"/>
      <c r="E2" s="725"/>
      <c r="F2" s="725"/>
      <c r="G2" s="725"/>
      <c r="H2" s="725"/>
      <c r="I2" s="725"/>
      <c r="J2" s="725"/>
      <c r="K2" s="725"/>
      <c r="L2" s="725"/>
      <c r="M2" s="725"/>
      <c r="N2" s="725"/>
      <c r="O2" s="725"/>
      <c r="P2" s="725"/>
      <c r="Q2" s="725"/>
      <c r="R2" s="725"/>
      <c r="S2" s="725"/>
      <c r="T2" s="725"/>
      <c r="U2" s="725"/>
      <c r="V2" s="725"/>
      <c r="W2" s="725"/>
      <c r="X2" s="725"/>
      <c r="Y2" s="725"/>
      <c r="Z2" s="725"/>
      <c r="AA2" s="725"/>
      <c r="AB2" s="725"/>
      <c r="AC2" s="725"/>
      <c r="AD2" s="725"/>
      <c r="AE2" s="725"/>
      <c r="AF2" s="725"/>
      <c r="AG2" s="725"/>
      <c r="AH2" s="725"/>
      <c r="AI2" s="725"/>
      <c r="AJ2" s="725"/>
      <c r="AK2" s="725"/>
      <c r="AL2" s="725"/>
      <c r="AM2" s="725"/>
      <c r="AN2" s="725"/>
      <c r="AO2" s="725"/>
      <c r="AP2" s="725"/>
      <c r="AQ2" s="725"/>
      <c r="AR2" s="725"/>
      <c r="AS2" s="725"/>
      <c r="AT2" s="725"/>
      <c r="AU2" s="725"/>
      <c r="AV2" s="725"/>
      <c r="AW2" s="725"/>
      <c r="AX2" s="725"/>
    </row>
    <row r="3" spans="1:50" ht="20.100000000000001" customHeight="1" x14ac:dyDescent="0.3">
      <c r="A3" s="728" t="s">
        <v>455</v>
      </c>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5"/>
      <c r="AQ3" s="725"/>
      <c r="AR3" s="725"/>
      <c r="AS3" s="725"/>
      <c r="AT3" s="725"/>
      <c r="AU3" s="725"/>
      <c r="AV3" s="725"/>
      <c r="AW3" s="725"/>
      <c r="AX3" s="725"/>
    </row>
    <row r="4" spans="1:50" ht="20.100000000000001" customHeight="1" x14ac:dyDescent="0.3">
      <c r="A4" s="778" t="s">
        <v>456</v>
      </c>
      <c r="B4" s="730"/>
      <c r="C4" s="725"/>
      <c r="D4" s="725"/>
      <c r="E4" s="725"/>
      <c r="F4" s="725"/>
      <c r="G4" s="725"/>
      <c r="H4" s="725"/>
      <c r="I4" s="725"/>
      <c r="J4" s="725"/>
      <c r="K4" s="725"/>
      <c r="L4" s="725"/>
      <c r="M4" s="725"/>
      <c r="N4" s="730"/>
      <c r="O4" s="730"/>
      <c r="P4" s="730"/>
      <c r="Q4" s="730"/>
      <c r="R4" s="730"/>
      <c r="S4" s="730"/>
      <c r="T4" s="730"/>
      <c r="U4" s="730"/>
      <c r="V4" s="730"/>
      <c r="W4" s="730"/>
      <c r="X4" s="730"/>
      <c r="Y4" s="730"/>
      <c r="Z4" s="730"/>
      <c r="AA4" s="730"/>
      <c r="AB4" s="730"/>
      <c r="AC4" s="730"/>
      <c r="AD4" s="730"/>
      <c r="AE4" s="730"/>
      <c r="AF4" s="730"/>
      <c r="AG4" s="730"/>
      <c r="AH4" s="730"/>
      <c r="AI4" s="730"/>
      <c r="AJ4" s="730"/>
      <c r="AK4" s="730"/>
      <c r="AL4" s="730"/>
      <c r="AM4" s="730"/>
      <c r="AN4" s="730"/>
      <c r="AO4" s="730"/>
      <c r="AP4" s="730"/>
      <c r="AQ4" s="730"/>
      <c r="AR4" s="725"/>
      <c r="AS4" s="725"/>
      <c r="AT4" s="725"/>
      <c r="AU4" s="730"/>
      <c r="AV4" s="725"/>
      <c r="AW4" s="725"/>
      <c r="AX4" s="725"/>
    </row>
    <row r="5" spans="1:50" ht="18.75" customHeight="1" x14ac:dyDescent="0.3">
      <c r="A5" s="779" t="s">
        <v>414</v>
      </c>
      <c r="B5" s="732"/>
      <c r="C5" s="732"/>
      <c r="D5" s="733"/>
      <c r="E5" s="734"/>
      <c r="F5" s="732"/>
      <c r="G5" s="733"/>
      <c r="H5" s="734"/>
      <c r="I5" s="732"/>
      <c r="J5" s="733"/>
      <c r="K5" s="734"/>
      <c r="L5" s="732"/>
      <c r="M5" s="733"/>
      <c r="N5" s="734"/>
      <c r="O5" s="732"/>
      <c r="P5" s="733"/>
      <c r="Q5" s="734"/>
      <c r="R5" s="732"/>
      <c r="S5" s="733"/>
      <c r="T5" s="734"/>
      <c r="U5" s="732"/>
      <c r="V5" s="733"/>
      <c r="W5" s="734"/>
      <c r="X5" s="732"/>
      <c r="Y5" s="733"/>
      <c r="Z5" s="734"/>
      <c r="AA5" s="732"/>
      <c r="AB5" s="733"/>
      <c r="AC5" s="734"/>
      <c r="AD5" s="732"/>
      <c r="AE5" s="733"/>
      <c r="AF5" s="734"/>
      <c r="AG5" s="732"/>
      <c r="AH5" s="733"/>
      <c r="AI5" s="734"/>
      <c r="AJ5" s="732"/>
      <c r="AK5" s="733"/>
      <c r="AL5" s="734"/>
      <c r="AM5" s="732"/>
      <c r="AN5" s="733"/>
      <c r="AO5" s="734"/>
      <c r="AP5" s="732"/>
      <c r="AQ5" s="733"/>
      <c r="AR5" s="734"/>
      <c r="AS5" s="732"/>
      <c r="AT5" s="733"/>
      <c r="AU5" s="730"/>
      <c r="AV5" s="730"/>
      <c r="AW5" s="725"/>
      <c r="AX5" s="725"/>
    </row>
    <row r="6" spans="1:50" ht="18.75" customHeight="1" x14ac:dyDescent="0.3">
      <c r="A6" s="735" t="s">
        <v>114</v>
      </c>
      <c r="B6" s="988" t="s">
        <v>192</v>
      </c>
      <c r="C6" s="989"/>
      <c r="D6" s="990"/>
      <c r="E6" s="988" t="s">
        <v>193</v>
      </c>
      <c r="F6" s="989"/>
      <c r="G6" s="990"/>
      <c r="H6" s="988" t="s">
        <v>194</v>
      </c>
      <c r="I6" s="989"/>
      <c r="J6" s="990"/>
      <c r="K6" s="988" t="s">
        <v>195</v>
      </c>
      <c r="L6" s="989"/>
      <c r="M6" s="990"/>
      <c r="N6" s="988" t="s">
        <v>196</v>
      </c>
      <c r="O6" s="989"/>
      <c r="P6" s="990"/>
      <c r="Q6" s="663" t="s">
        <v>196</v>
      </c>
      <c r="R6" s="664"/>
      <c r="S6" s="665"/>
      <c r="T6" s="988" t="s">
        <v>67</v>
      </c>
      <c r="U6" s="989"/>
      <c r="V6" s="990"/>
      <c r="W6" s="663"/>
      <c r="X6" s="664"/>
      <c r="Y6" s="665"/>
      <c r="Z6" s="988" t="s">
        <v>197</v>
      </c>
      <c r="AA6" s="989"/>
      <c r="AB6" s="990"/>
      <c r="AC6" s="663"/>
      <c r="AD6" s="664"/>
      <c r="AE6" s="665"/>
      <c r="AF6" s="988" t="s">
        <v>79</v>
      </c>
      <c r="AG6" s="989"/>
      <c r="AH6" s="990"/>
      <c r="AI6" s="988"/>
      <c r="AJ6" s="989"/>
      <c r="AK6" s="990"/>
      <c r="AL6" s="988" t="s">
        <v>80</v>
      </c>
      <c r="AM6" s="989"/>
      <c r="AN6" s="990"/>
      <c r="AO6" s="991" t="s">
        <v>2</v>
      </c>
      <c r="AP6" s="992"/>
      <c r="AQ6" s="993"/>
      <c r="AR6" s="988" t="s">
        <v>2</v>
      </c>
      <c r="AS6" s="989"/>
      <c r="AT6" s="990"/>
      <c r="AU6" s="730"/>
      <c r="AV6" s="730"/>
      <c r="AW6" s="725"/>
      <c r="AX6" s="725"/>
    </row>
    <row r="7" spans="1:50" ht="18.75" customHeight="1" x14ac:dyDescent="0.3">
      <c r="A7" s="736"/>
      <c r="B7" s="985" t="s">
        <v>198</v>
      </c>
      <c r="C7" s="986"/>
      <c r="D7" s="987"/>
      <c r="E7" s="985" t="s">
        <v>199</v>
      </c>
      <c r="F7" s="986"/>
      <c r="G7" s="987"/>
      <c r="H7" s="985" t="s">
        <v>199</v>
      </c>
      <c r="I7" s="986"/>
      <c r="J7" s="987"/>
      <c r="K7" s="985" t="s">
        <v>200</v>
      </c>
      <c r="L7" s="986"/>
      <c r="M7" s="987"/>
      <c r="N7" s="985" t="s">
        <v>100</v>
      </c>
      <c r="O7" s="986"/>
      <c r="P7" s="987"/>
      <c r="Q7" s="985" t="s">
        <v>67</v>
      </c>
      <c r="R7" s="986"/>
      <c r="S7" s="987"/>
      <c r="T7" s="985" t="s">
        <v>201</v>
      </c>
      <c r="U7" s="986"/>
      <c r="V7" s="987"/>
      <c r="W7" s="985" t="s">
        <v>72</v>
      </c>
      <c r="X7" s="986"/>
      <c r="Y7" s="987"/>
      <c r="Z7" s="985" t="s">
        <v>198</v>
      </c>
      <c r="AA7" s="986"/>
      <c r="AB7" s="987"/>
      <c r="AC7" s="985" t="s">
        <v>78</v>
      </c>
      <c r="AD7" s="986"/>
      <c r="AE7" s="987"/>
      <c r="AF7" s="985" t="s">
        <v>202</v>
      </c>
      <c r="AG7" s="986"/>
      <c r="AH7" s="987"/>
      <c r="AI7" s="985" t="s">
        <v>74</v>
      </c>
      <c r="AJ7" s="986"/>
      <c r="AK7" s="987"/>
      <c r="AL7" s="985" t="s">
        <v>199</v>
      </c>
      <c r="AM7" s="986"/>
      <c r="AN7" s="987"/>
      <c r="AO7" s="979" t="s">
        <v>333</v>
      </c>
      <c r="AP7" s="980"/>
      <c r="AQ7" s="981"/>
      <c r="AR7" s="982" t="s">
        <v>334</v>
      </c>
      <c r="AS7" s="983"/>
      <c r="AT7" s="984"/>
      <c r="AU7" s="730"/>
      <c r="AV7" s="730"/>
      <c r="AW7" s="725"/>
      <c r="AX7" s="725"/>
    </row>
    <row r="8" spans="1:50" ht="18.75" customHeight="1" x14ac:dyDescent="0.3">
      <c r="A8" s="736"/>
      <c r="B8" s="667"/>
      <c r="C8" s="667"/>
      <c r="D8" s="668" t="s">
        <v>89</v>
      </c>
      <c r="E8" s="667"/>
      <c r="F8" s="667"/>
      <c r="G8" s="668" t="s">
        <v>89</v>
      </c>
      <c r="H8" s="667"/>
      <c r="I8" s="667"/>
      <c r="J8" s="668" t="s">
        <v>89</v>
      </c>
      <c r="K8" s="667"/>
      <c r="L8" s="667"/>
      <c r="M8" s="668" t="s">
        <v>89</v>
      </c>
      <c r="N8" s="667"/>
      <c r="O8" s="667"/>
      <c r="P8" s="668" t="s">
        <v>89</v>
      </c>
      <c r="Q8" s="667"/>
      <c r="R8" s="667"/>
      <c r="S8" s="668" t="s">
        <v>89</v>
      </c>
      <c r="T8" s="667"/>
      <c r="U8" s="667"/>
      <c r="V8" s="668" t="s">
        <v>89</v>
      </c>
      <c r="W8" s="667"/>
      <c r="X8" s="667"/>
      <c r="Y8" s="668" t="s">
        <v>89</v>
      </c>
      <c r="Z8" s="667"/>
      <c r="AA8" s="667"/>
      <c r="AB8" s="668" t="s">
        <v>89</v>
      </c>
      <c r="AC8" s="667"/>
      <c r="AD8" s="667"/>
      <c r="AE8" s="668" t="s">
        <v>89</v>
      </c>
      <c r="AF8" s="667"/>
      <c r="AG8" s="667"/>
      <c r="AH8" s="668" t="s">
        <v>89</v>
      </c>
      <c r="AI8" s="667"/>
      <c r="AJ8" s="667"/>
      <c r="AK8" s="668" t="s">
        <v>89</v>
      </c>
      <c r="AL8" s="667"/>
      <c r="AM8" s="667"/>
      <c r="AN8" s="668" t="s">
        <v>89</v>
      </c>
      <c r="AO8" s="667"/>
      <c r="AP8" s="667"/>
      <c r="AQ8" s="668" t="s">
        <v>89</v>
      </c>
      <c r="AR8" s="667"/>
      <c r="AS8" s="667"/>
      <c r="AT8" s="668" t="s">
        <v>89</v>
      </c>
      <c r="AU8" s="730"/>
      <c r="AV8" s="730"/>
      <c r="AW8" s="725"/>
      <c r="AX8" s="725"/>
    </row>
    <row r="9" spans="1:50" ht="18.75" customHeight="1" x14ac:dyDescent="0.3">
      <c r="A9" s="737" t="s">
        <v>335</v>
      </c>
      <c r="B9" s="670">
        <v>2016</v>
      </c>
      <c r="C9" s="670">
        <v>2017</v>
      </c>
      <c r="D9" s="671" t="s">
        <v>91</v>
      </c>
      <c r="E9" s="780">
        <v>2016</v>
      </c>
      <c r="F9" s="670">
        <v>2017</v>
      </c>
      <c r="G9" s="671" t="s">
        <v>91</v>
      </c>
      <c r="H9" s="670">
        <v>2016</v>
      </c>
      <c r="I9" s="670">
        <v>2017</v>
      </c>
      <c r="J9" s="671" t="s">
        <v>91</v>
      </c>
      <c r="K9" s="670">
        <v>2016</v>
      </c>
      <c r="L9" s="670">
        <v>2017</v>
      </c>
      <c r="M9" s="671" t="s">
        <v>91</v>
      </c>
      <c r="N9" s="670">
        <v>2016</v>
      </c>
      <c r="O9" s="670">
        <v>2017</v>
      </c>
      <c r="P9" s="671" t="s">
        <v>91</v>
      </c>
      <c r="Q9" s="670">
        <v>2016</v>
      </c>
      <c r="R9" s="670">
        <v>2017</v>
      </c>
      <c r="S9" s="671" t="s">
        <v>91</v>
      </c>
      <c r="T9" s="670">
        <v>2016</v>
      </c>
      <c r="U9" s="670">
        <v>2017</v>
      </c>
      <c r="V9" s="671" t="s">
        <v>91</v>
      </c>
      <c r="W9" s="670">
        <v>2016</v>
      </c>
      <c r="X9" s="670">
        <v>2017</v>
      </c>
      <c r="Y9" s="671" t="s">
        <v>91</v>
      </c>
      <c r="Z9" s="670">
        <v>2016</v>
      </c>
      <c r="AA9" s="670">
        <v>2017</v>
      </c>
      <c r="AB9" s="671" t="s">
        <v>91</v>
      </c>
      <c r="AC9" s="670">
        <v>2016</v>
      </c>
      <c r="AD9" s="670">
        <v>2017</v>
      </c>
      <c r="AE9" s="671" t="s">
        <v>91</v>
      </c>
      <c r="AF9" s="670">
        <v>2016</v>
      </c>
      <c r="AG9" s="670">
        <v>2017</v>
      </c>
      <c r="AH9" s="671" t="s">
        <v>91</v>
      </c>
      <c r="AI9" s="670">
        <v>2016</v>
      </c>
      <c r="AJ9" s="670">
        <v>2017</v>
      </c>
      <c r="AK9" s="671" t="s">
        <v>91</v>
      </c>
      <c r="AL9" s="670">
        <v>2016</v>
      </c>
      <c r="AM9" s="670">
        <v>2017</v>
      </c>
      <c r="AN9" s="671" t="s">
        <v>91</v>
      </c>
      <c r="AO9" s="670">
        <v>2016</v>
      </c>
      <c r="AP9" s="670">
        <v>2017</v>
      </c>
      <c r="AQ9" s="671" t="s">
        <v>91</v>
      </c>
      <c r="AR9" s="670">
        <v>2016</v>
      </c>
      <c r="AS9" s="670">
        <v>2017</v>
      </c>
      <c r="AT9" s="671" t="s">
        <v>91</v>
      </c>
      <c r="AU9" s="730"/>
      <c r="AV9" s="730"/>
      <c r="AW9" s="725"/>
      <c r="AX9" s="725"/>
    </row>
    <row r="10" spans="1:50" ht="18.75" customHeight="1" x14ac:dyDescent="0.3">
      <c r="A10" s="738"/>
      <c r="B10" s="743"/>
      <c r="C10" s="747"/>
      <c r="D10" s="740"/>
      <c r="E10" s="741"/>
      <c r="F10" s="747"/>
      <c r="G10" s="742"/>
      <c r="H10" s="743"/>
      <c r="I10" s="747"/>
      <c r="J10" s="744"/>
      <c r="K10" s="743"/>
      <c r="L10" s="747"/>
      <c r="M10" s="740"/>
      <c r="N10" s="743"/>
      <c r="O10" s="747"/>
      <c r="P10" s="742"/>
      <c r="Q10" s="741"/>
      <c r="R10" s="747"/>
      <c r="S10" s="742"/>
      <c r="T10" s="741"/>
      <c r="U10" s="747"/>
      <c r="V10" s="742"/>
      <c r="W10" s="741"/>
      <c r="X10" s="747"/>
      <c r="Y10" s="742"/>
      <c r="Z10" s="741"/>
      <c r="AA10" s="747"/>
      <c r="AB10" s="742"/>
      <c r="AC10" s="741"/>
      <c r="AD10" s="747"/>
      <c r="AE10" s="742"/>
      <c r="AF10" s="741"/>
      <c r="AG10" s="747"/>
      <c r="AH10" s="742"/>
      <c r="AI10" s="741"/>
      <c r="AJ10" s="747"/>
      <c r="AK10" s="742"/>
      <c r="AL10" s="741"/>
      <c r="AM10" s="747"/>
      <c r="AN10" s="742"/>
      <c r="AO10" s="740"/>
      <c r="AP10" s="740"/>
      <c r="AQ10" s="742"/>
      <c r="AR10" s="747"/>
      <c r="AS10" s="747"/>
      <c r="AT10" s="742"/>
      <c r="AU10" s="730"/>
      <c r="AV10" s="730"/>
      <c r="AW10" s="725"/>
      <c r="AX10" s="725"/>
    </row>
    <row r="11" spans="1:50" ht="18.75" customHeight="1" x14ac:dyDescent="0.3">
      <c r="A11" s="781" t="s">
        <v>457</v>
      </c>
      <c r="B11" s="782"/>
      <c r="C11" s="783"/>
      <c r="D11" s="784"/>
      <c r="E11" s="782"/>
      <c r="F11" s="783"/>
      <c r="G11" s="785"/>
      <c r="H11" s="782"/>
      <c r="I11" s="783"/>
      <c r="J11" s="785"/>
      <c r="K11" s="782"/>
      <c r="L11" s="783"/>
      <c r="M11" s="784"/>
      <c r="N11" s="782"/>
      <c r="O11" s="783"/>
      <c r="P11" s="785"/>
      <c r="Q11" s="782"/>
      <c r="R11" s="783"/>
      <c r="S11" s="785"/>
      <c r="T11" s="782"/>
      <c r="U11" s="783"/>
      <c r="V11" s="785"/>
      <c r="W11" s="786"/>
      <c r="X11" s="783"/>
      <c r="Y11" s="785"/>
      <c r="Z11" s="782"/>
      <c r="AA11" s="783"/>
      <c r="AB11" s="785"/>
      <c r="AC11" s="782"/>
      <c r="AD11" s="783"/>
      <c r="AE11" s="785"/>
      <c r="AF11" s="782"/>
      <c r="AG11" s="783"/>
      <c r="AH11" s="785"/>
      <c r="AI11" s="782"/>
      <c r="AJ11" s="783"/>
      <c r="AK11" s="785"/>
      <c r="AL11" s="782"/>
      <c r="AM11" s="783"/>
      <c r="AN11" s="785"/>
      <c r="AO11" s="784"/>
      <c r="AP11" s="784"/>
      <c r="AQ11" s="785"/>
      <c r="AR11" s="783"/>
      <c r="AS11" s="783"/>
      <c r="AT11" s="785"/>
      <c r="AU11" s="730"/>
      <c r="AV11" s="730"/>
      <c r="AW11" s="725"/>
      <c r="AX11" s="725"/>
    </row>
    <row r="12" spans="1:50" s="752" customFormat="1" ht="18.75" customHeight="1" x14ac:dyDescent="0.3">
      <c r="A12" s="688" t="s">
        <v>424</v>
      </c>
      <c r="B12" s="449"/>
      <c r="C12" s="700"/>
      <c r="D12" s="750"/>
      <c r="E12" s="449">
        <v>11.18</v>
      </c>
      <c r="F12" s="700">
        <v>14.11</v>
      </c>
      <c r="G12" s="751">
        <f>IF(E12=0, "    ---- ", IF(ABS(ROUND(100/E12*F12-100,1))&lt;999,ROUND(100/E12*F12-100,1),IF(ROUND(100/E12*F12-100,1)&gt;999,999,-999)))</f>
        <v>26.2</v>
      </c>
      <c r="H12" s="449">
        <v>3.274</v>
      </c>
      <c r="I12" s="700">
        <v>5.0359999999999996</v>
      </c>
      <c r="J12" s="751">
        <f t="shared" ref="J12:J34" si="0">IF(H12=0, "    ---- ", IF(ABS(ROUND(100/H12*I12-100,1))&lt;999,ROUND(100/H12*I12-100,1),IF(ROUND(100/H12*I12-100,1)&gt;999,999,-999)))</f>
        <v>53.8</v>
      </c>
      <c r="K12" s="449"/>
      <c r="L12" s="700"/>
      <c r="M12" s="750"/>
      <c r="N12" s="449"/>
      <c r="O12" s="700">
        <v>0.63400000000000001</v>
      </c>
      <c r="P12" s="751" t="str">
        <f t="shared" ref="P12:P22" si="1">IF(N12=0, "    ---- ", IF(ABS(ROUND(100/N12*O12-100,1))&lt;999,ROUND(100/N12*O12-100,1),IF(ROUND(100/N12*O12-100,1)&gt;999,999,-999)))</f>
        <v xml:space="preserve">    ---- </v>
      </c>
      <c r="Q12" s="449"/>
      <c r="R12" s="700"/>
      <c r="S12" s="751"/>
      <c r="T12" s="449"/>
      <c r="U12" s="700"/>
      <c r="V12" s="751"/>
      <c r="W12" s="694"/>
      <c r="X12" s="700"/>
      <c r="Y12" s="751"/>
      <c r="Z12" s="449"/>
      <c r="AA12" s="700"/>
      <c r="AB12" s="751"/>
      <c r="AC12" s="449"/>
      <c r="AD12" s="700"/>
      <c r="AE12" s="751"/>
      <c r="AF12" s="449"/>
      <c r="AG12" s="700"/>
      <c r="AH12" s="751"/>
      <c r="AI12" s="449">
        <v>36.779000000000003</v>
      </c>
      <c r="AJ12" s="700">
        <v>66.361999999999995</v>
      </c>
      <c r="AK12" s="751">
        <f t="shared" ref="AK12:AK34" si="2">IF(AI12=0, "    ---- ", IF(ABS(ROUND(100/AI12*AJ12-100,1))&lt;999,ROUND(100/AI12*AJ12-100,1),IF(ROUND(100/AI12*AJ12-100,1)&gt;999,999,-999)))</f>
        <v>80.400000000000006</v>
      </c>
      <c r="AL12" s="449">
        <v>47</v>
      </c>
      <c r="AM12" s="700">
        <v>75.02</v>
      </c>
      <c r="AN12" s="751">
        <f>IF(AL12=0, "    ---- ", IF(ABS(ROUND(100/AL12*AM12-100,1))&lt;999,ROUND(100/AL12*AM12-100,1),IF(ROUND(100/AL12*AM12-100,1)&gt;999,999,-999)))</f>
        <v>59.6</v>
      </c>
      <c r="AO12" s="750">
        <f t="shared" ref="AO12:AP22" si="3">B12+E12+H12+K12+Q12+T12+W12+Z12+AF12+AI12+AL12</f>
        <v>98.233000000000004</v>
      </c>
      <c r="AP12" s="750">
        <f t="shared" si="3"/>
        <v>160.52799999999999</v>
      </c>
      <c r="AQ12" s="751">
        <f t="shared" ref="AQ12:AQ22" si="4">IF(AO12=0, "    ---- ", IF(ABS(ROUND(100/AO12*AP12-100,1))&lt;999,ROUND(100/AO12*AP12-100,1),IF(ROUND(100/AO12*AP12-100,1)&gt;999,999,-999)))</f>
        <v>63.4</v>
      </c>
      <c r="AR12" s="700">
        <f t="shared" ref="AR12:AS22" si="5">+B12+E12+H12+K12+N12+Q12+T12+W12+Z12+AC12+AF12+AI12+AL12</f>
        <v>98.233000000000004</v>
      </c>
      <c r="AS12" s="700">
        <f t="shared" si="5"/>
        <v>161.16199999999998</v>
      </c>
      <c r="AT12" s="751">
        <f t="shared" ref="AT12:AT22" si="6">IF(AR12=0, "    ---- ", IF(ABS(ROUND(100/AR12*AS12-100,1))&lt;999,ROUND(100/AR12*AS12-100,1),IF(ROUND(100/AR12*AS12-100,1)&gt;999,999,-999)))</f>
        <v>64.099999999999994</v>
      </c>
      <c r="AU12" s="730"/>
      <c r="AV12" s="730"/>
      <c r="AW12" s="725"/>
      <c r="AX12" s="725"/>
    </row>
    <row r="13" spans="1:50" s="752" customFormat="1" ht="18.75" customHeight="1" x14ac:dyDescent="0.3">
      <c r="A13" s="688" t="s">
        <v>425</v>
      </c>
      <c r="B13" s="449"/>
      <c r="C13" s="700"/>
      <c r="D13" s="750"/>
      <c r="E13" s="449"/>
      <c r="F13" s="700"/>
      <c r="G13" s="751"/>
      <c r="H13" s="449"/>
      <c r="I13" s="700"/>
      <c r="J13" s="751"/>
      <c r="K13" s="449"/>
      <c r="L13" s="700"/>
      <c r="M13" s="750"/>
      <c r="N13" s="449"/>
      <c r="O13" s="700"/>
      <c r="P13" s="751"/>
      <c r="Q13" s="449"/>
      <c r="R13" s="700"/>
      <c r="S13" s="751"/>
      <c r="T13" s="449"/>
      <c r="U13" s="700"/>
      <c r="V13" s="751"/>
      <c r="W13" s="694"/>
      <c r="X13" s="700"/>
      <c r="Y13" s="751"/>
      <c r="Z13" s="449"/>
      <c r="AA13" s="700"/>
      <c r="AB13" s="751"/>
      <c r="AC13" s="449"/>
      <c r="AD13" s="700"/>
      <c r="AE13" s="751"/>
      <c r="AF13" s="449"/>
      <c r="AG13" s="700"/>
      <c r="AH13" s="751"/>
      <c r="AI13" s="449"/>
      <c r="AJ13" s="700"/>
      <c r="AK13" s="751"/>
      <c r="AL13" s="449"/>
      <c r="AM13" s="700"/>
      <c r="AN13" s="751"/>
      <c r="AO13" s="750">
        <f t="shared" si="3"/>
        <v>0</v>
      </c>
      <c r="AP13" s="750">
        <f t="shared" si="3"/>
        <v>0</v>
      </c>
      <c r="AQ13" s="751" t="str">
        <f t="shared" si="4"/>
        <v xml:space="preserve">    ---- </v>
      </c>
      <c r="AR13" s="700">
        <f t="shared" si="5"/>
        <v>0</v>
      </c>
      <c r="AS13" s="700">
        <f t="shared" si="5"/>
        <v>0</v>
      </c>
      <c r="AT13" s="751" t="str">
        <f t="shared" si="6"/>
        <v xml:space="preserve">    ---- </v>
      </c>
      <c r="AU13" s="730"/>
      <c r="AV13" s="730"/>
      <c r="AW13" s="725"/>
      <c r="AX13" s="725"/>
    </row>
    <row r="14" spans="1:50" s="752" customFormat="1" ht="18.75" customHeight="1" x14ac:dyDescent="0.3">
      <c r="A14" s="688" t="s">
        <v>426</v>
      </c>
      <c r="B14" s="449">
        <v>-0.189</v>
      </c>
      <c r="C14" s="700"/>
      <c r="D14" s="750">
        <f>IF(B14=0, "    ---- ", IF(ABS(ROUND(100/B14*C14-100,1))&lt;999,ROUND(100/B14*C14-100,1),IF(ROUND(100/B14*C14-100,1)&gt;999,999,-999)))</f>
        <v>-100</v>
      </c>
      <c r="E14" s="449">
        <v>-3.7</v>
      </c>
      <c r="F14" s="700">
        <v>6.74</v>
      </c>
      <c r="G14" s="751">
        <f>IF(E14=0, "    ---- ", IF(ABS(ROUND(100/E14*F14-100,1))&lt;999,ROUND(100/E14*F14-100,1),IF(ROUND(100/E14*F14-100,1)&gt;999,999,-999)))</f>
        <v>-282.2</v>
      </c>
      <c r="H14" s="449">
        <v>-9.6489999999999991</v>
      </c>
      <c r="I14" s="700">
        <v>-17.844999999999999</v>
      </c>
      <c r="J14" s="751">
        <f t="shared" si="0"/>
        <v>84.9</v>
      </c>
      <c r="K14" s="449"/>
      <c r="L14" s="700"/>
      <c r="M14" s="750"/>
      <c r="N14" s="449">
        <v>-4</v>
      </c>
      <c r="O14" s="700">
        <v>-2.3559999999999999</v>
      </c>
      <c r="P14" s="751">
        <f t="shared" si="1"/>
        <v>-41.1</v>
      </c>
      <c r="Q14" s="449">
        <v>-2.4863762896799999</v>
      </c>
      <c r="R14" s="700">
        <v>-0.42084351126688035</v>
      </c>
      <c r="S14" s="751">
        <f t="shared" ref="S14:S22" si="7">IF(Q14=0, "    ---- ", IF(ABS(ROUND(100/Q14*R14-100,1))&lt;999,ROUND(100/Q14*R14-100,1),IF(ROUND(100/Q14*R14-100,1)&gt;999,999,-999)))</f>
        <v>-83.1</v>
      </c>
      <c r="T14" s="449"/>
      <c r="U14" s="700"/>
      <c r="V14" s="751"/>
      <c r="W14" s="694"/>
      <c r="X14" s="700"/>
      <c r="Y14" s="751"/>
      <c r="Z14" s="449"/>
      <c r="AA14" s="700"/>
      <c r="AB14" s="751"/>
      <c r="AC14" s="449"/>
      <c r="AD14" s="700"/>
      <c r="AE14" s="751"/>
      <c r="AF14" s="449"/>
      <c r="AG14" s="700"/>
      <c r="AH14" s="751"/>
      <c r="AI14" s="449">
        <v>5.9989999999999997</v>
      </c>
      <c r="AJ14" s="700">
        <v>15.792</v>
      </c>
      <c r="AK14" s="751">
        <f t="shared" si="2"/>
        <v>163.19999999999999</v>
      </c>
      <c r="AL14" s="449">
        <v>10</v>
      </c>
      <c r="AM14" s="700">
        <v>-18.36</v>
      </c>
      <c r="AN14" s="751">
        <f>IF(AL14=0, "    ---- ", IF(ABS(ROUND(100/AL14*AM14-100,1))&lt;999,ROUND(100/AL14*AM14-100,1),IF(ROUND(100/AL14*AM14-100,1)&gt;999,999,-999)))</f>
        <v>-283.60000000000002</v>
      </c>
      <c r="AO14" s="750">
        <f t="shared" si="3"/>
        <v>-2.5376289680000497E-2</v>
      </c>
      <c r="AP14" s="750">
        <f t="shared" si="3"/>
        <v>-14.093843511266879</v>
      </c>
      <c r="AQ14" s="751">
        <f t="shared" si="4"/>
        <v>999</v>
      </c>
      <c r="AR14" s="700">
        <f t="shared" si="5"/>
        <v>-4.0253762896800005</v>
      </c>
      <c r="AS14" s="700">
        <f t="shared" si="5"/>
        <v>-16.449843511266877</v>
      </c>
      <c r="AT14" s="751">
        <f t="shared" si="6"/>
        <v>308.7</v>
      </c>
      <c r="AU14" s="730"/>
      <c r="AV14" s="730"/>
      <c r="AW14" s="725"/>
      <c r="AX14" s="725"/>
    </row>
    <row r="15" spans="1:50" s="752" customFormat="1" ht="18.75" customHeight="1" x14ac:dyDescent="0.3">
      <c r="A15" s="688" t="s">
        <v>427</v>
      </c>
      <c r="B15" s="449"/>
      <c r="C15" s="700"/>
      <c r="D15" s="750"/>
      <c r="E15" s="449"/>
      <c r="F15" s="700"/>
      <c r="G15" s="751"/>
      <c r="H15" s="449"/>
      <c r="I15" s="700"/>
      <c r="J15" s="751"/>
      <c r="K15" s="449"/>
      <c r="L15" s="700"/>
      <c r="M15" s="750"/>
      <c r="N15" s="449"/>
      <c r="O15" s="700"/>
      <c r="P15" s="751"/>
      <c r="Q15" s="449"/>
      <c r="R15" s="700"/>
      <c r="S15" s="751"/>
      <c r="T15" s="449"/>
      <c r="U15" s="700"/>
      <c r="V15" s="751"/>
      <c r="W15" s="694"/>
      <c r="X15" s="700"/>
      <c r="Y15" s="751"/>
      <c r="Z15" s="449"/>
      <c r="AA15" s="700"/>
      <c r="AB15" s="751"/>
      <c r="AC15" s="449"/>
      <c r="AD15" s="700"/>
      <c r="AE15" s="751"/>
      <c r="AF15" s="449"/>
      <c r="AG15" s="700"/>
      <c r="AH15" s="751"/>
      <c r="AI15" s="449"/>
      <c r="AJ15" s="700"/>
      <c r="AK15" s="751"/>
      <c r="AL15" s="449"/>
      <c r="AM15" s="700"/>
      <c r="AN15" s="751"/>
      <c r="AO15" s="750">
        <f t="shared" si="3"/>
        <v>0</v>
      </c>
      <c r="AP15" s="750">
        <f t="shared" si="3"/>
        <v>0</v>
      </c>
      <c r="AQ15" s="751" t="str">
        <f t="shared" si="4"/>
        <v xml:space="preserve">    ---- </v>
      </c>
      <c r="AR15" s="700">
        <f t="shared" si="5"/>
        <v>0</v>
      </c>
      <c r="AS15" s="700">
        <f t="shared" si="5"/>
        <v>0</v>
      </c>
      <c r="AT15" s="751" t="str">
        <f t="shared" si="6"/>
        <v xml:space="preserve">    ---- </v>
      </c>
      <c r="AU15" s="730"/>
      <c r="AV15" s="730"/>
      <c r="AW15" s="725"/>
      <c r="AX15" s="725"/>
    </row>
    <row r="16" spans="1:50" s="752" customFormat="1" ht="18.75" customHeight="1" x14ac:dyDescent="0.3">
      <c r="A16" s="688" t="s">
        <v>428</v>
      </c>
      <c r="B16" s="449"/>
      <c r="C16" s="700"/>
      <c r="D16" s="750"/>
      <c r="E16" s="449"/>
      <c r="F16" s="700"/>
      <c r="G16" s="751"/>
      <c r="H16" s="449"/>
      <c r="I16" s="700"/>
      <c r="J16" s="751"/>
      <c r="K16" s="449"/>
      <c r="L16" s="700"/>
      <c r="M16" s="750"/>
      <c r="N16" s="449"/>
      <c r="O16" s="700"/>
      <c r="P16" s="751"/>
      <c r="Q16" s="449"/>
      <c r="R16" s="700"/>
      <c r="S16" s="751"/>
      <c r="T16" s="449"/>
      <c r="U16" s="700"/>
      <c r="V16" s="751"/>
      <c r="W16" s="694"/>
      <c r="X16" s="700"/>
      <c r="Y16" s="751"/>
      <c r="Z16" s="449"/>
      <c r="AA16" s="700"/>
      <c r="AB16" s="751"/>
      <c r="AC16" s="449"/>
      <c r="AD16" s="700"/>
      <c r="AE16" s="751"/>
      <c r="AF16" s="449"/>
      <c r="AG16" s="700"/>
      <c r="AH16" s="751"/>
      <c r="AI16" s="449"/>
      <c r="AJ16" s="700"/>
      <c r="AK16" s="751"/>
      <c r="AL16" s="449"/>
      <c r="AM16" s="700"/>
      <c r="AN16" s="751"/>
      <c r="AO16" s="750">
        <f t="shared" si="3"/>
        <v>0</v>
      </c>
      <c r="AP16" s="750">
        <f t="shared" si="3"/>
        <v>0</v>
      </c>
      <c r="AQ16" s="751" t="str">
        <f t="shared" si="4"/>
        <v xml:space="preserve">    ---- </v>
      </c>
      <c r="AR16" s="700">
        <f t="shared" si="5"/>
        <v>0</v>
      </c>
      <c r="AS16" s="700">
        <f t="shared" si="5"/>
        <v>0</v>
      </c>
      <c r="AT16" s="751" t="str">
        <f t="shared" si="6"/>
        <v xml:space="preserve">    ---- </v>
      </c>
      <c r="AU16" s="730"/>
      <c r="AV16" s="730"/>
      <c r="AW16" s="725"/>
      <c r="AX16" s="725"/>
    </row>
    <row r="17" spans="1:50" s="752" customFormat="1" ht="18.75" customHeight="1" x14ac:dyDescent="0.3">
      <c r="A17" s="688" t="s">
        <v>429</v>
      </c>
      <c r="B17" s="449">
        <v>2.7520000000000002</v>
      </c>
      <c r="C17" s="700">
        <v>2.7520000000000002</v>
      </c>
      <c r="D17" s="750">
        <f>IF(B17=0, "    ---- ", IF(ABS(ROUND(100/B17*C17-100,1))&lt;999,ROUND(100/B17*C17-100,1),IF(ROUND(100/B17*C17-100,1)&gt;999,999,-999)))</f>
        <v>0</v>
      </c>
      <c r="E17" s="449">
        <v>28.972000000000001</v>
      </c>
      <c r="F17" s="700">
        <v>51.11</v>
      </c>
      <c r="G17" s="751">
        <f>IF(E17=0, "    ---- ", IF(ABS(ROUND(100/E17*F17-100,1))&lt;999,ROUND(100/E17*F17-100,1),IF(ROUND(100/E17*F17-100,1)&gt;999,999,-999)))</f>
        <v>76.400000000000006</v>
      </c>
      <c r="H17" s="449">
        <v>2.125</v>
      </c>
      <c r="I17" s="700">
        <v>4.1000000000000002E-2</v>
      </c>
      <c r="J17" s="751">
        <f t="shared" si="0"/>
        <v>-98.1</v>
      </c>
      <c r="K17" s="449"/>
      <c r="L17" s="700"/>
      <c r="M17" s="750"/>
      <c r="N17" s="449">
        <v>-11</v>
      </c>
      <c r="O17" s="700">
        <v>5.78</v>
      </c>
      <c r="P17" s="751">
        <f t="shared" si="1"/>
        <v>-152.5</v>
      </c>
      <c r="Q17" s="449">
        <v>-5.3687354061076853</v>
      </c>
      <c r="R17" s="700">
        <v>-2.0600488872006721</v>
      </c>
      <c r="S17" s="751">
        <f t="shared" si="7"/>
        <v>-61.6</v>
      </c>
      <c r="T17" s="449"/>
      <c r="U17" s="700"/>
      <c r="V17" s="751"/>
      <c r="W17" s="694"/>
      <c r="X17" s="700"/>
      <c r="Y17" s="751"/>
      <c r="Z17" s="449"/>
      <c r="AA17" s="700"/>
      <c r="AB17" s="751"/>
      <c r="AC17" s="449"/>
      <c r="AD17" s="700"/>
      <c r="AE17" s="751"/>
      <c r="AF17" s="449"/>
      <c r="AG17" s="700"/>
      <c r="AH17" s="751"/>
      <c r="AI17" s="449">
        <v>58.646999999999998</v>
      </c>
      <c r="AJ17" s="700">
        <v>60.146999999999998</v>
      </c>
      <c r="AK17" s="751">
        <f t="shared" si="2"/>
        <v>2.6</v>
      </c>
      <c r="AL17" s="449">
        <v>-3</v>
      </c>
      <c r="AM17" s="700">
        <v>84.76</v>
      </c>
      <c r="AN17" s="751">
        <f>IF(AL17=0, "    ---- ", IF(ABS(ROUND(100/AL17*AM17-100,1))&lt;999,ROUND(100/AL17*AM17-100,1),IF(ROUND(100/AL17*AM17-100,1)&gt;999,999,-999)))</f>
        <v>-999</v>
      </c>
      <c r="AO17" s="750">
        <f t="shared" si="3"/>
        <v>84.12726459389232</v>
      </c>
      <c r="AP17" s="750">
        <f t="shared" si="3"/>
        <v>196.74995111279935</v>
      </c>
      <c r="AQ17" s="751">
        <f t="shared" si="4"/>
        <v>133.9</v>
      </c>
      <c r="AR17" s="700">
        <f t="shared" si="5"/>
        <v>73.12726459389232</v>
      </c>
      <c r="AS17" s="700">
        <f t="shared" si="5"/>
        <v>202.52995111279932</v>
      </c>
      <c r="AT17" s="751">
        <f t="shared" si="6"/>
        <v>177</v>
      </c>
      <c r="AU17" s="730"/>
      <c r="AV17" s="730"/>
      <c r="AW17" s="725"/>
      <c r="AX17" s="725"/>
    </row>
    <row r="18" spans="1:50" s="752" customFormat="1" ht="18.75" customHeight="1" x14ac:dyDescent="0.3">
      <c r="A18" s="688" t="s">
        <v>430</v>
      </c>
      <c r="B18" s="449"/>
      <c r="C18" s="700"/>
      <c r="D18" s="750"/>
      <c r="E18" s="449"/>
      <c r="F18" s="700"/>
      <c r="G18" s="751"/>
      <c r="H18" s="449"/>
      <c r="I18" s="700"/>
      <c r="J18" s="751"/>
      <c r="K18" s="449"/>
      <c r="L18" s="700"/>
      <c r="M18" s="750"/>
      <c r="N18" s="449"/>
      <c r="O18" s="700"/>
      <c r="P18" s="751"/>
      <c r="Q18" s="449"/>
      <c r="R18" s="700"/>
      <c r="S18" s="751"/>
      <c r="T18" s="449"/>
      <c r="U18" s="700"/>
      <c r="V18" s="751"/>
      <c r="W18" s="694"/>
      <c r="X18" s="700"/>
      <c r="Y18" s="751"/>
      <c r="Z18" s="449"/>
      <c r="AA18" s="700"/>
      <c r="AB18" s="751"/>
      <c r="AC18" s="449"/>
      <c r="AD18" s="700"/>
      <c r="AE18" s="751"/>
      <c r="AF18" s="449"/>
      <c r="AG18" s="700"/>
      <c r="AH18" s="751"/>
      <c r="AI18" s="449"/>
      <c r="AJ18" s="700"/>
      <c r="AK18" s="751"/>
      <c r="AL18" s="449"/>
      <c r="AM18" s="700"/>
      <c r="AN18" s="751"/>
      <c r="AO18" s="750">
        <f t="shared" si="3"/>
        <v>0</v>
      </c>
      <c r="AP18" s="750">
        <f t="shared" si="3"/>
        <v>0</v>
      </c>
      <c r="AQ18" s="751" t="str">
        <f t="shared" si="4"/>
        <v xml:space="preserve">    ---- </v>
      </c>
      <c r="AR18" s="700">
        <f t="shared" si="5"/>
        <v>0</v>
      </c>
      <c r="AS18" s="700">
        <f t="shared" si="5"/>
        <v>0</v>
      </c>
      <c r="AT18" s="751" t="str">
        <f t="shared" si="6"/>
        <v xml:space="preserve">    ---- </v>
      </c>
      <c r="AU18" s="730"/>
      <c r="AV18" s="730"/>
      <c r="AW18" s="725"/>
      <c r="AX18" s="725"/>
    </row>
    <row r="19" spans="1:50" s="752" customFormat="1" ht="18.75" customHeight="1" x14ac:dyDescent="0.3">
      <c r="A19" s="688" t="s">
        <v>431</v>
      </c>
      <c r="B19" s="449"/>
      <c r="C19" s="700"/>
      <c r="D19" s="750"/>
      <c r="E19" s="449"/>
      <c r="F19" s="700"/>
      <c r="G19" s="751"/>
      <c r="H19" s="449">
        <v>2.1999999999999999E-2</v>
      </c>
      <c r="I19" s="700"/>
      <c r="J19" s="751">
        <f t="shared" si="0"/>
        <v>-100</v>
      </c>
      <c r="K19" s="449"/>
      <c r="L19" s="700"/>
      <c r="M19" s="750"/>
      <c r="N19" s="449"/>
      <c r="O19" s="700"/>
      <c r="P19" s="751"/>
      <c r="Q19" s="449"/>
      <c r="R19" s="700"/>
      <c r="S19" s="751"/>
      <c r="T19" s="449"/>
      <c r="U19" s="700"/>
      <c r="V19" s="751"/>
      <c r="W19" s="694"/>
      <c r="X19" s="700"/>
      <c r="Y19" s="751"/>
      <c r="Z19" s="449"/>
      <c r="AA19" s="700"/>
      <c r="AB19" s="751"/>
      <c r="AC19" s="449"/>
      <c r="AD19" s="700"/>
      <c r="AE19" s="751"/>
      <c r="AF19" s="449"/>
      <c r="AG19" s="700"/>
      <c r="AH19" s="751"/>
      <c r="AI19" s="449"/>
      <c r="AJ19" s="700"/>
      <c r="AK19" s="751"/>
      <c r="AL19" s="449"/>
      <c r="AM19" s="700"/>
      <c r="AN19" s="751"/>
      <c r="AO19" s="750">
        <f t="shared" si="3"/>
        <v>2.1999999999999999E-2</v>
      </c>
      <c r="AP19" s="750">
        <f t="shared" si="3"/>
        <v>0</v>
      </c>
      <c r="AQ19" s="751">
        <f t="shared" si="4"/>
        <v>-100</v>
      </c>
      <c r="AR19" s="700">
        <f t="shared" si="5"/>
        <v>2.1999999999999999E-2</v>
      </c>
      <c r="AS19" s="700">
        <f t="shared" si="5"/>
        <v>0</v>
      </c>
      <c r="AT19" s="751">
        <f t="shared" si="6"/>
        <v>-100</v>
      </c>
      <c r="AU19" s="730"/>
      <c r="AV19" s="730"/>
      <c r="AW19" s="725"/>
      <c r="AX19" s="725"/>
    </row>
    <row r="20" spans="1:50" s="755" customFormat="1" ht="18.75" customHeight="1" x14ac:dyDescent="0.3">
      <c r="A20" s="679" t="s">
        <v>432</v>
      </c>
      <c r="B20" s="680">
        <v>2.5630000000000002</v>
      </c>
      <c r="C20" s="702">
        <f>SUM(C12:C17)+C19</f>
        <v>2.7520000000000002</v>
      </c>
      <c r="D20" s="748">
        <f>IF(B20=0, "    ---- ", IF(ABS(ROUND(100/B20*C20-100,1))&lt;999,ROUND(100/B20*C20-100,1),IF(ROUND(100/B20*C20-100,1)&gt;999,999,-999)))</f>
        <v>7.4</v>
      </c>
      <c r="E20" s="680">
        <v>36.451999999999998</v>
      </c>
      <c r="F20" s="702">
        <f>SUM(F12:F17)+F19</f>
        <v>71.960000000000008</v>
      </c>
      <c r="G20" s="749">
        <f>IF(E20=0, "    ---- ", IF(ABS(ROUND(100/E20*F20-100,1))&lt;999,ROUND(100/E20*F20-100,1),IF(ROUND(100/E20*F20-100,1)&gt;999,999,-999)))</f>
        <v>97.4</v>
      </c>
      <c r="H20" s="680">
        <v>-4.2279999999999989</v>
      </c>
      <c r="I20" s="702">
        <f>SUM(I12:I17)+I19</f>
        <v>-12.767999999999999</v>
      </c>
      <c r="J20" s="749">
        <f t="shared" si="0"/>
        <v>202</v>
      </c>
      <c r="K20" s="680"/>
      <c r="L20" s="702"/>
      <c r="M20" s="748"/>
      <c r="N20" s="702">
        <f>SUM(N12:N17)+N19</f>
        <v>-15</v>
      </c>
      <c r="O20" s="702">
        <f>SUM(O12:O17)+O19</f>
        <v>4.0579999999999998</v>
      </c>
      <c r="P20" s="749">
        <f t="shared" si="1"/>
        <v>-127.1</v>
      </c>
      <c r="Q20" s="680">
        <v>-7.8551116957876852</v>
      </c>
      <c r="R20" s="702">
        <f>SUM(R12:R17)+R19</f>
        <v>-2.4808923984675526</v>
      </c>
      <c r="S20" s="749">
        <f t="shared" si="7"/>
        <v>-68.400000000000006</v>
      </c>
      <c r="T20" s="680"/>
      <c r="U20" s="702"/>
      <c r="V20" s="749"/>
      <c r="W20" s="685"/>
      <c r="X20" s="702"/>
      <c r="Y20" s="749"/>
      <c r="Z20" s="680"/>
      <c r="AA20" s="702"/>
      <c r="AB20" s="749"/>
      <c r="AC20" s="680"/>
      <c r="AD20" s="702"/>
      <c r="AE20" s="749"/>
      <c r="AF20" s="680"/>
      <c r="AG20" s="702"/>
      <c r="AH20" s="749"/>
      <c r="AI20" s="680">
        <v>101.42500000000001</v>
      </c>
      <c r="AJ20" s="702">
        <f>SUM(AJ12:AJ17)+AJ19</f>
        <v>142.30099999999999</v>
      </c>
      <c r="AK20" s="749">
        <f t="shared" si="2"/>
        <v>40.299999999999997</v>
      </c>
      <c r="AL20" s="680">
        <v>54</v>
      </c>
      <c r="AM20" s="702">
        <f>SUM(AM12:AM17)+AM19</f>
        <v>141.42000000000002</v>
      </c>
      <c r="AN20" s="749">
        <f>IF(AL20=0, "    ---- ", IF(ABS(ROUND(100/AL20*AM20-100,1))&lt;999,ROUND(100/AL20*AM20-100,1),IF(ROUND(100/AL20*AM20-100,1)&gt;999,999,-999)))</f>
        <v>161.9</v>
      </c>
      <c r="AO20" s="748">
        <f t="shared" si="3"/>
        <v>182.35688830421233</v>
      </c>
      <c r="AP20" s="748">
        <f t="shared" si="3"/>
        <v>343.18410760153245</v>
      </c>
      <c r="AQ20" s="749">
        <f t="shared" si="4"/>
        <v>88.2</v>
      </c>
      <c r="AR20" s="702">
        <f t="shared" si="5"/>
        <v>167.35688830421233</v>
      </c>
      <c r="AS20" s="702">
        <f t="shared" si="5"/>
        <v>347.24210760153244</v>
      </c>
      <c r="AT20" s="749">
        <f t="shared" si="6"/>
        <v>107.5</v>
      </c>
      <c r="AU20" s="728"/>
      <c r="AV20" s="728"/>
      <c r="AW20" s="754"/>
      <c r="AX20" s="754"/>
    </row>
    <row r="21" spans="1:50" s="752" customFormat="1" ht="18.75" customHeight="1" x14ac:dyDescent="0.3">
      <c r="A21" s="688" t="s">
        <v>433</v>
      </c>
      <c r="B21" s="449"/>
      <c r="C21" s="700"/>
      <c r="D21" s="750"/>
      <c r="E21" s="449">
        <v>1.929</v>
      </c>
      <c r="F21" s="700">
        <v>2.8</v>
      </c>
      <c r="G21" s="751">
        <f>IF(E21=0, "    ---- ", IF(ABS(ROUND(100/E21*F21-100,1))&lt;999,ROUND(100/E21*F21-100,1),IF(ROUND(100/E21*F21-100,1)&gt;999,999,-999)))</f>
        <v>45.2</v>
      </c>
      <c r="H21" s="449"/>
      <c r="I21" s="700"/>
      <c r="J21" s="751"/>
      <c r="K21" s="449"/>
      <c r="L21" s="700"/>
      <c r="M21" s="750"/>
      <c r="N21" s="449"/>
      <c r="O21" s="700"/>
      <c r="P21" s="751"/>
      <c r="Q21" s="449"/>
      <c r="R21" s="700"/>
      <c r="S21" s="751"/>
      <c r="T21" s="449"/>
      <c r="U21" s="700"/>
      <c r="V21" s="751"/>
      <c r="W21" s="694"/>
      <c r="X21" s="700"/>
      <c r="Y21" s="751"/>
      <c r="Z21" s="449"/>
      <c r="AA21" s="700"/>
      <c r="AB21" s="751"/>
      <c r="AC21" s="449"/>
      <c r="AD21" s="700"/>
      <c r="AE21" s="751"/>
      <c r="AF21" s="449"/>
      <c r="AG21" s="700"/>
      <c r="AH21" s="751"/>
      <c r="AI21" s="449">
        <v>23.446000000000002</v>
      </c>
      <c r="AJ21" s="700">
        <v>32.83</v>
      </c>
      <c r="AK21" s="751">
        <f t="shared" si="2"/>
        <v>40</v>
      </c>
      <c r="AL21" s="449"/>
      <c r="AM21" s="700"/>
      <c r="AN21" s="751"/>
      <c r="AO21" s="750">
        <f t="shared" si="3"/>
        <v>25.375</v>
      </c>
      <c r="AP21" s="750">
        <f t="shared" si="3"/>
        <v>35.629999999999995</v>
      </c>
      <c r="AQ21" s="751">
        <f t="shared" si="4"/>
        <v>40.4</v>
      </c>
      <c r="AR21" s="700">
        <f t="shared" si="5"/>
        <v>25.375</v>
      </c>
      <c r="AS21" s="700">
        <f t="shared" si="5"/>
        <v>35.629999999999995</v>
      </c>
      <c r="AT21" s="751">
        <f t="shared" si="6"/>
        <v>40.4</v>
      </c>
      <c r="AU21" s="730"/>
      <c r="AV21" s="730"/>
      <c r="AW21" s="725"/>
      <c r="AX21" s="725"/>
    </row>
    <row r="22" spans="1:50" s="752" customFormat="1" ht="18.75" customHeight="1" x14ac:dyDescent="0.3">
      <c r="A22" s="688" t="s">
        <v>434</v>
      </c>
      <c r="B22" s="449">
        <v>2.5630000000000002</v>
      </c>
      <c r="C22" s="700">
        <v>2.61</v>
      </c>
      <c r="D22" s="750">
        <f>IF(B22=0, "    ---- ", IF(ABS(ROUND(100/B22*C22-100,1))&lt;999,ROUND(100/B22*C22-100,1),IF(ROUND(100/B22*C22-100,1)&gt;999,999,-999)))</f>
        <v>1.8</v>
      </c>
      <c r="E22" s="449">
        <v>34.526000000000003</v>
      </c>
      <c r="F22" s="700">
        <v>69.16</v>
      </c>
      <c r="G22" s="751">
        <f>IF(E22=0, "    ---- ", IF(ABS(ROUND(100/E22*F22-100,1))&lt;999,ROUND(100/E22*F22-100,1),IF(ROUND(100/E22*F22-100,1)&gt;999,999,-999)))</f>
        <v>100.3</v>
      </c>
      <c r="H22" s="449">
        <v>-4.2720000000000002</v>
      </c>
      <c r="I22" s="700">
        <v>-12.767999999999999</v>
      </c>
      <c r="J22" s="751">
        <f t="shared" si="0"/>
        <v>198.9</v>
      </c>
      <c r="K22" s="449"/>
      <c r="L22" s="700"/>
      <c r="M22" s="750"/>
      <c r="N22" s="449">
        <v>-15</v>
      </c>
      <c r="O22" s="700">
        <v>4.0579999999999998</v>
      </c>
      <c r="P22" s="751">
        <f t="shared" si="1"/>
        <v>-127.1</v>
      </c>
      <c r="Q22" s="449">
        <v>-7.8551116957876852</v>
      </c>
      <c r="R22" s="700">
        <v>-2.4808923984675526</v>
      </c>
      <c r="S22" s="751">
        <f t="shared" si="7"/>
        <v>-68.400000000000006</v>
      </c>
      <c r="T22" s="449"/>
      <c r="U22" s="700"/>
      <c r="V22" s="751"/>
      <c r="W22" s="694"/>
      <c r="X22" s="700"/>
      <c r="Y22" s="751"/>
      <c r="Z22" s="449"/>
      <c r="AA22" s="700"/>
      <c r="AB22" s="751"/>
      <c r="AC22" s="449"/>
      <c r="AD22" s="700"/>
      <c r="AE22" s="751"/>
      <c r="AF22" s="449"/>
      <c r="AG22" s="700"/>
      <c r="AH22" s="751"/>
      <c r="AI22" s="449">
        <v>77.978999999999999</v>
      </c>
      <c r="AJ22" s="700">
        <v>109.471</v>
      </c>
      <c r="AK22" s="751">
        <f t="shared" si="2"/>
        <v>40.4</v>
      </c>
      <c r="AL22" s="449">
        <v>54</v>
      </c>
      <c r="AM22" s="700">
        <v>141.41</v>
      </c>
      <c r="AN22" s="751">
        <f>IF(AL22=0, "    ---- ", IF(ABS(ROUND(100/AL22*AM22-100,1))&lt;999,ROUND(100/AL22*AM22-100,1),IF(ROUND(100/AL22*AM22-100,1)&gt;999,999,-999)))</f>
        <v>161.9</v>
      </c>
      <c r="AO22" s="750">
        <f t="shared" si="3"/>
        <v>156.94088830421231</v>
      </c>
      <c r="AP22" s="750">
        <f t="shared" si="3"/>
        <v>307.40210760153241</v>
      </c>
      <c r="AQ22" s="751">
        <f t="shared" si="4"/>
        <v>95.9</v>
      </c>
      <c r="AR22" s="700">
        <f t="shared" si="5"/>
        <v>141.94088830421231</v>
      </c>
      <c r="AS22" s="700">
        <f t="shared" si="5"/>
        <v>311.4601076015324</v>
      </c>
      <c r="AT22" s="751">
        <f t="shared" si="6"/>
        <v>119.4</v>
      </c>
      <c r="AU22" s="730"/>
      <c r="AV22" s="730"/>
      <c r="AW22" s="725"/>
      <c r="AX22" s="725"/>
    </row>
    <row r="23" spans="1:50" s="752" customFormat="1" ht="18.75" customHeight="1" x14ac:dyDescent="0.3">
      <c r="A23" s="679" t="s">
        <v>458</v>
      </c>
      <c r="B23" s="757"/>
      <c r="C23" s="748"/>
      <c r="D23" s="750"/>
      <c r="E23" s="757"/>
      <c r="F23" s="748"/>
      <c r="G23" s="751"/>
      <c r="H23" s="757"/>
      <c r="I23" s="748"/>
      <c r="J23" s="751"/>
      <c r="K23" s="757"/>
      <c r="L23" s="748"/>
      <c r="M23" s="750"/>
      <c r="N23" s="757"/>
      <c r="O23" s="748"/>
      <c r="P23" s="751"/>
      <c r="Q23" s="757"/>
      <c r="R23" s="748"/>
      <c r="S23" s="751"/>
      <c r="T23" s="757"/>
      <c r="U23" s="748"/>
      <c r="V23" s="751"/>
      <c r="W23" s="685"/>
      <c r="X23" s="748"/>
      <c r="Y23" s="751"/>
      <c r="Z23" s="757"/>
      <c r="AA23" s="748"/>
      <c r="AB23" s="751"/>
      <c r="AC23" s="757"/>
      <c r="AD23" s="748"/>
      <c r="AE23" s="751"/>
      <c r="AF23" s="757"/>
      <c r="AG23" s="748"/>
      <c r="AH23" s="751"/>
      <c r="AI23" s="757"/>
      <c r="AJ23" s="748"/>
      <c r="AK23" s="751"/>
      <c r="AL23" s="757"/>
      <c r="AM23" s="748"/>
      <c r="AN23" s="751"/>
      <c r="AO23" s="750"/>
      <c r="AP23" s="750"/>
      <c r="AQ23" s="751"/>
      <c r="AR23" s="750"/>
      <c r="AS23" s="750"/>
      <c r="AT23" s="751"/>
      <c r="AU23" s="730"/>
      <c r="AV23" s="730"/>
      <c r="AW23" s="725"/>
      <c r="AX23" s="725"/>
    </row>
    <row r="24" spans="1:50" s="752" customFormat="1" ht="18.75" customHeight="1" x14ac:dyDescent="0.3">
      <c r="A24" s="688" t="s">
        <v>424</v>
      </c>
      <c r="B24" s="756"/>
      <c r="C24" s="750"/>
      <c r="D24" s="750"/>
      <c r="E24" s="756">
        <v>-8.6370000000000005</v>
      </c>
      <c r="F24" s="750">
        <v>-0.24</v>
      </c>
      <c r="G24" s="751">
        <f>IF(E24=0, "    ---- ", IF(ABS(ROUND(100/E24*F24-100,1))&lt;999,ROUND(100/E24*F24-100,1),IF(ROUND(100/E24*F24-100,1)&gt;999,999,-999)))</f>
        <v>-97.2</v>
      </c>
      <c r="H24" s="756">
        <v>4.2080000000000002</v>
      </c>
      <c r="I24" s="750">
        <v>4.4710000000000001</v>
      </c>
      <c r="J24" s="751">
        <f t="shared" si="0"/>
        <v>6.3</v>
      </c>
      <c r="K24" s="756"/>
      <c r="L24" s="750"/>
      <c r="M24" s="751"/>
      <c r="N24" s="756"/>
      <c r="O24" s="750"/>
      <c r="P24" s="751"/>
      <c r="Q24" s="756"/>
      <c r="R24" s="750"/>
      <c r="S24" s="751"/>
      <c r="T24" s="756"/>
      <c r="U24" s="750"/>
      <c r="V24" s="751"/>
      <c r="W24" s="694">
        <v>6.1387147369999999</v>
      </c>
      <c r="X24" s="750">
        <v>7.3443072934763149</v>
      </c>
      <c r="Y24" s="751">
        <f t="shared" ref="Y24:Y34" si="8">IF(W24=0, "    ---- ", IF(ABS(ROUND(100/W24*X24-100,1))&lt;999,ROUND(100/W24*X24-100,1),IF(ROUND(100/W24*X24-100,1)&gt;999,999,-999)))</f>
        <v>19.600000000000001</v>
      </c>
      <c r="Z24" s="756"/>
      <c r="AA24" s="750"/>
      <c r="AB24" s="751"/>
      <c r="AC24" s="756"/>
      <c r="AD24" s="750"/>
      <c r="AE24" s="751"/>
      <c r="AF24" s="756"/>
      <c r="AG24" s="750"/>
      <c r="AH24" s="751"/>
      <c r="AI24" s="756">
        <v>6.577</v>
      </c>
      <c r="AJ24" s="750">
        <v>12.455</v>
      </c>
      <c r="AK24" s="751">
        <f t="shared" si="2"/>
        <v>89.4</v>
      </c>
      <c r="AL24" s="756">
        <v>18</v>
      </c>
      <c r="AM24" s="750">
        <v>15</v>
      </c>
      <c r="AN24" s="751">
        <f>IF(AL24=0, "    ---- ", IF(ABS(ROUND(100/AL24*AM24-100,1))&lt;999,ROUND(100/AL24*AM24-100,1),IF(ROUND(100/AL24*AM24-100,1)&gt;999,999,-999)))</f>
        <v>-16.7</v>
      </c>
      <c r="AO24" s="750">
        <f t="shared" ref="AO24:AP34" si="9">B24+E24+H24+K24+Q24+T24+W24+Z24+AF24+AI24+AL24</f>
        <v>26.286714737</v>
      </c>
      <c r="AP24" s="750">
        <f t="shared" si="9"/>
        <v>39.030307293476312</v>
      </c>
      <c r="AQ24" s="751">
        <f>IF(AO24=0, "    ---- ", IF(ABS(ROUND(100/AO24*AP24-100,1))&lt;999,ROUND(100/AO24*AP24-100,1),IF(ROUND(100/AO24*AP24-100,1)&gt;999,999,-999)))</f>
        <v>48.5</v>
      </c>
      <c r="AR24" s="750">
        <f t="shared" ref="AR24:AS34" si="10">+B24+E24+H24+K24+N24+Q24+T24+W24+Z24+AC24+AF24+AI24+AL24</f>
        <v>26.286714737</v>
      </c>
      <c r="AS24" s="750">
        <f t="shared" si="10"/>
        <v>39.030307293476312</v>
      </c>
      <c r="AT24" s="751">
        <f>IF(AR24=0, "    ---- ", IF(ABS(ROUND(100/AR24*AS24-100,1))&lt;999,ROUND(100/AR24*AS24-100,1),IF(ROUND(100/AR24*AS24-100,1)&gt;999,999,-999)))</f>
        <v>48.5</v>
      </c>
      <c r="AU24" s="730"/>
      <c r="AV24" s="730"/>
      <c r="AW24" s="725"/>
      <c r="AX24" s="725"/>
    </row>
    <row r="25" spans="1:50" s="752" customFormat="1" ht="18.75" customHeight="1" x14ac:dyDescent="0.3">
      <c r="A25" s="688" t="s">
        <v>425</v>
      </c>
      <c r="B25" s="756"/>
      <c r="C25" s="750"/>
      <c r="D25" s="750"/>
      <c r="E25" s="756"/>
      <c r="F25" s="750"/>
      <c r="G25" s="751"/>
      <c r="H25" s="756"/>
      <c r="I25" s="750"/>
      <c r="J25" s="751"/>
      <c r="K25" s="756"/>
      <c r="L25" s="750"/>
      <c r="M25" s="750"/>
      <c r="N25" s="756"/>
      <c r="O25" s="750"/>
      <c r="P25" s="751"/>
      <c r="Q25" s="756"/>
      <c r="R25" s="750"/>
      <c r="S25" s="751"/>
      <c r="T25" s="756"/>
      <c r="U25" s="750"/>
      <c r="V25" s="751"/>
      <c r="W25" s="694"/>
      <c r="X25" s="750"/>
      <c r="Y25" s="751"/>
      <c r="Z25" s="756"/>
      <c r="AA25" s="750"/>
      <c r="AB25" s="751"/>
      <c r="AC25" s="756"/>
      <c r="AD25" s="750"/>
      <c r="AE25" s="751"/>
      <c r="AF25" s="756"/>
      <c r="AG25" s="750"/>
      <c r="AH25" s="751"/>
      <c r="AI25" s="756"/>
      <c r="AJ25" s="750"/>
      <c r="AK25" s="751"/>
      <c r="AL25" s="756"/>
      <c r="AM25" s="750"/>
      <c r="AN25" s="751"/>
      <c r="AO25" s="750">
        <f t="shared" si="9"/>
        <v>0</v>
      </c>
      <c r="AP25" s="750">
        <f t="shared" si="9"/>
        <v>0</v>
      </c>
      <c r="AQ25" s="751" t="str">
        <f t="shared" ref="AQ25:AQ34" si="11">IF(AO25=0, "    ---- ", IF(ABS(ROUND(100/AO25*AP25-100,1))&lt;999,ROUND(100/AO25*AP25-100,1),IF(ROUND(100/AO25*AP25-100,1)&gt;999,999,-999)))</f>
        <v xml:space="preserve">    ---- </v>
      </c>
      <c r="AR25" s="750">
        <f t="shared" si="10"/>
        <v>0</v>
      </c>
      <c r="AS25" s="750">
        <f t="shared" si="10"/>
        <v>0</v>
      </c>
      <c r="AT25" s="751" t="str">
        <f t="shared" ref="AT25:AT34" si="12">IF(AR25=0, "    ---- ", IF(ABS(ROUND(100/AR25*AS25-100,1))&lt;999,ROUND(100/AR25*AS25-100,1),IF(ROUND(100/AR25*AS25-100,1)&gt;999,999,-999)))</f>
        <v xml:space="preserve">    ---- </v>
      </c>
      <c r="AU25" s="730"/>
      <c r="AV25" s="730"/>
      <c r="AW25" s="725"/>
      <c r="AX25" s="725"/>
    </row>
    <row r="26" spans="1:50" s="752" customFormat="1" ht="18.75" customHeight="1" x14ac:dyDescent="0.3">
      <c r="A26" s="688" t="s">
        <v>426</v>
      </c>
      <c r="B26" s="756">
        <v>-6.0739999999999998</v>
      </c>
      <c r="C26" s="750">
        <v>-4.2629999999999999</v>
      </c>
      <c r="D26" s="750">
        <f>IF(B26=0, "    ---- ", IF(ABS(ROUND(100/B26*C26-100,1))&lt;999,ROUND(100/B26*C26-100,1),IF(ROUND(100/B26*C26-100,1)&gt;999,999,-999)))</f>
        <v>-29.8</v>
      </c>
      <c r="E26" s="756">
        <v>-34.718000000000004</v>
      </c>
      <c r="F26" s="750">
        <v>-16.38</v>
      </c>
      <c r="G26" s="751">
        <f>IF(E26=0, "    ---- ", IF(ABS(ROUND(100/E26*F26-100,1))&lt;999,ROUND(100/E26*F26-100,1),IF(ROUND(100/E26*F26-100,1)&gt;999,999,-999)))</f>
        <v>-52.8</v>
      </c>
      <c r="H26" s="756">
        <v>0.14599999999999999</v>
      </c>
      <c r="I26" s="750">
        <v>-0.44900000000000001</v>
      </c>
      <c r="J26" s="751">
        <f t="shared" si="0"/>
        <v>-407.5</v>
      </c>
      <c r="K26" s="756"/>
      <c r="L26" s="750"/>
      <c r="M26" s="750"/>
      <c r="N26" s="756"/>
      <c r="O26" s="750"/>
      <c r="P26" s="751"/>
      <c r="Q26" s="756"/>
      <c r="R26" s="750"/>
      <c r="S26" s="751"/>
      <c r="T26" s="756"/>
      <c r="U26" s="750"/>
      <c r="V26" s="751"/>
      <c r="W26" s="694">
        <v>7.0430081739999997</v>
      </c>
      <c r="X26" s="750">
        <v>11.46485404139392</v>
      </c>
      <c r="Y26" s="751">
        <f t="shared" si="8"/>
        <v>62.8</v>
      </c>
      <c r="Z26" s="756"/>
      <c r="AA26" s="750"/>
      <c r="AB26" s="751"/>
      <c r="AC26" s="756"/>
      <c r="AD26" s="750"/>
      <c r="AE26" s="751"/>
      <c r="AF26" s="756"/>
      <c r="AG26" s="750"/>
      <c r="AH26" s="751"/>
      <c r="AI26" s="756">
        <v>19.183</v>
      </c>
      <c r="AJ26" s="750">
        <v>-11.534000000000001</v>
      </c>
      <c r="AK26" s="751">
        <f t="shared" si="2"/>
        <v>-160.1</v>
      </c>
      <c r="AL26" s="756">
        <v>-10</v>
      </c>
      <c r="AM26" s="750">
        <v>-34</v>
      </c>
      <c r="AN26" s="751">
        <f>IF(AL26=0, "    ---- ", IF(ABS(ROUND(100/AL26*AM26-100,1))&lt;999,ROUND(100/AL26*AM26-100,1),IF(ROUND(100/AL26*AM26-100,1)&gt;999,999,-999)))</f>
        <v>240</v>
      </c>
      <c r="AO26" s="750">
        <f t="shared" si="9"/>
        <v>-24.419991826</v>
      </c>
      <c r="AP26" s="750">
        <f t="shared" si="9"/>
        <v>-55.161145958606085</v>
      </c>
      <c r="AQ26" s="751">
        <f t="shared" si="11"/>
        <v>125.9</v>
      </c>
      <c r="AR26" s="750">
        <f t="shared" si="10"/>
        <v>-24.419991826</v>
      </c>
      <c r="AS26" s="750">
        <f t="shared" si="10"/>
        <v>-55.161145958606085</v>
      </c>
      <c r="AT26" s="751">
        <f t="shared" si="12"/>
        <v>125.9</v>
      </c>
      <c r="AU26" s="730"/>
      <c r="AV26" s="730"/>
      <c r="AW26" s="725"/>
      <c r="AX26" s="725"/>
    </row>
    <row r="27" spans="1:50" s="752" customFormat="1" ht="18.75" customHeight="1" x14ac:dyDescent="0.3">
      <c r="A27" s="688" t="s">
        <v>427</v>
      </c>
      <c r="B27" s="756"/>
      <c r="C27" s="750"/>
      <c r="D27" s="750"/>
      <c r="E27" s="756"/>
      <c r="F27" s="750"/>
      <c r="G27" s="751"/>
      <c r="H27" s="756"/>
      <c r="I27" s="750"/>
      <c r="J27" s="751"/>
      <c r="K27" s="756"/>
      <c r="L27" s="750"/>
      <c r="M27" s="750"/>
      <c r="N27" s="756"/>
      <c r="O27" s="750"/>
      <c r="P27" s="751"/>
      <c r="Q27" s="756"/>
      <c r="R27" s="750"/>
      <c r="S27" s="751"/>
      <c r="T27" s="756"/>
      <c r="U27" s="750"/>
      <c r="V27" s="751"/>
      <c r="W27" s="694"/>
      <c r="X27" s="750"/>
      <c r="Y27" s="751"/>
      <c r="Z27" s="756"/>
      <c r="AA27" s="750"/>
      <c r="AB27" s="751"/>
      <c r="AC27" s="756"/>
      <c r="AD27" s="750"/>
      <c r="AE27" s="751"/>
      <c r="AF27" s="756"/>
      <c r="AG27" s="750"/>
      <c r="AH27" s="751"/>
      <c r="AI27" s="756"/>
      <c r="AJ27" s="750"/>
      <c r="AK27" s="751"/>
      <c r="AL27" s="756"/>
      <c r="AM27" s="750"/>
      <c r="AN27" s="751"/>
      <c r="AO27" s="750">
        <f t="shared" si="9"/>
        <v>0</v>
      </c>
      <c r="AP27" s="750">
        <f t="shared" si="9"/>
        <v>0</v>
      </c>
      <c r="AQ27" s="751" t="str">
        <f t="shared" si="11"/>
        <v xml:space="preserve">    ---- </v>
      </c>
      <c r="AR27" s="700">
        <f t="shared" si="10"/>
        <v>0</v>
      </c>
      <c r="AS27" s="700">
        <f t="shared" si="10"/>
        <v>0</v>
      </c>
      <c r="AT27" s="751" t="str">
        <f t="shared" si="12"/>
        <v xml:space="preserve">    ---- </v>
      </c>
      <c r="AU27" s="730"/>
      <c r="AV27" s="730"/>
      <c r="AW27" s="725"/>
      <c r="AX27" s="725"/>
    </row>
    <row r="28" spans="1:50" s="752" customFormat="1" ht="18.75" customHeight="1" x14ac:dyDescent="0.3">
      <c r="A28" s="688" t="s">
        <v>428</v>
      </c>
      <c r="B28" s="756"/>
      <c r="C28" s="750"/>
      <c r="D28" s="750"/>
      <c r="E28" s="756"/>
      <c r="F28" s="750"/>
      <c r="G28" s="751"/>
      <c r="H28" s="756"/>
      <c r="I28" s="750"/>
      <c r="J28" s="751"/>
      <c r="K28" s="756"/>
      <c r="L28" s="750"/>
      <c r="M28" s="750"/>
      <c r="N28" s="756"/>
      <c r="O28" s="750"/>
      <c r="P28" s="751"/>
      <c r="Q28" s="756"/>
      <c r="R28" s="750"/>
      <c r="S28" s="751"/>
      <c r="T28" s="756"/>
      <c r="U28" s="750"/>
      <c r="V28" s="751"/>
      <c r="W28" s="694"/>
      <c r="X28" s="750"/>
      <c r="Y28" s="751"/>
      <c r="Z28" s="756"/>
      <c r="AA28" s="750"/>
      <c r="AB28" s="751"/>
      <c r="AC28" s="756"/>
      <c r="AD28" s="750"/>
      <c r="AE28" s="751"/>
      <c r="AF28" s="756"/>
      <c r="AG28" s="750"/>
      <c r="AH28" s="751"/>
      <c r="AI28" s="756"/>
      <c r="AJ28" s="750"/>
      <c r="AK28" s="751"/>
      <c r="AL28" s="756"/>
      <c r="AM28" s="750"/>
      <c r="AN28" s="751"/>
      <c r="AO28" s="750">
        <f t="shared" si="9"/>
        <v>0</v>
      </c>
      <c r="AP28" s="750">
        <f t="shared" si="9"/>
        <v>0</v>
      </c>
      <c r="AQ28" s="751" t="str">
        <f t="shared" si="11"/>
        <v xml:space="preserve">    ---- </v>
      </c>
      <c r="AR28" s="750">
        <f t="shared" si="10"/>
        <v>0</v>
      </c>
      <c r="AS28" s="750">
        <f t="shared" si="10"/>
        <v>0</v>
      </c>
      <c r="AT28" s="751" t="str">
        <f t="shared" si="12"/>
        <v xml:space="preserve">    ---- </v>
      </c>
      <c r="AU28" s="730"/>
      <c r="AV28" s="730"/>
      <c r="AW28" s="725"/>
      <c r="AX28" s="725"/>
    </row>
    <row r="29" spans="1:50" s="752" customFormat="1" ht="18.75" customHeight="1" x14ac:dyDescent="0.3">
      <c r="A29" s="688" t="s">
        <v>429</v>
      </c>
      <c r="B29" s="756">
        <v>12.699</v>
      </c>
      <c r="C29" s="750">
        <v>9.702</v>
      </c>
      <c r="D29" s="750">
        <f>IF(B29=0, "    ---- ", IF(ABS(ROUND(100/B29*C29-100,1))&lt;999,ROUND(100/B29*C29-100,1),IF(ROUND(100/B29*C29-100,1)&gt;999,999,-999)))</f>
        <v>-23.6</v>
      </c>
      <c r="E29" s="756">
        <v>89.103999999999999</v>
      </c>
      <c r="F29" s="750">
        <v>62.72</v>
      </c>
      <c r="G29" s="751">
        <f>IF(E29=0, "    ---- ", IF(ABS(ROUND(100/E29*F29-100,1))&lt;999,ROUND(100/E29*F29-100,1),IF(ROUND(100/E29*F29-100,1)&gt;999,999,-999)))</f>
        <v>-29.6</v>
      </c>
      <c r="H29" s="756">
        <v>10.632</v>
      </c>
      <c r="I29" s="750">
        <v>8.8789999999999996</v>
      </c>
      <c r="J29" s="751">
        <f t="shared" si="0"/>
        <v>-16.5</v>
      </c>
      <c r="K29" s="756"/>
      <c r="L29" s="750"/>
      <c r="M29" s="751"/>
      <c r="N29" s="756"/>
      <c r="O29" s="750"/>
      <c r="P29" s="751"/>
      <c r="Q29" s="756"/>
      <c r="R29" s="750"/>
      <c r="S29" s="751"/>
      <c r="T29" s="756"/>
      <c r="U29" s="750"/>
      <c r="V29" s="751"/>
      <c r="W29" s="694">
        <v>26.491257605000001</v>
      </c>
      <c r="X29" s="750">
        <v>35.114853957129924</v>
      </c>
      <c r="Y29" s="751">
        <f t="shared" si="8"/>
        <v>32.6</v>
      </c>
      <c r="Z29" s="756"/>
      <c r="AA29" s="750"/>
      <c r="AB29" s="751"/>
      <c r="AC29" s="756"/>
      <c r="AD29" s="750"/>
      <c r="AE29" s="751"/>
      <c r="AF29" s="756"/>
      <c r="AG29" s="750"/>
      <c r="AH29" s="751"/>
      <c r="AI29" s="756">
        <v>37.470999999999997</v>
      </c>
      <c r="AJ29" s="750">
        <v>47.445999999999998</v>
      </c>
      <c r="AK29" s="751">
        <f t="shared" si="2"/>
        <v>26.6</v>
      </c>
      <c r="AL29" s="756">
        <v>83</v>
      </c>
      <c r="AM29" s="750">
        <v>124</v>
      </c>
      <c r="AN29" s="751">
        <f>IF(AL29=0, "    ---- ", IF(ABS(ROUND(100/AL29*AM29-100,1))&lt;999,ROUND(100/AL29*AM29-100,1),IF(ROUND(100/AL29*AM29-100,1)&gt;999,999,-999)))</f>
        <v>49.4</v>
      </c>
      <c r="AO29" s="750">
        <f t="shared" si="9"/>
        <v>259.39725760499999</v>
      </c>
      <c r="AP29" s="750">
        <f t="shared" si="9"/>
        <v>287.86185395712994</v>
      </c>
      <c r="AQ29" s="751">
        <f t="shared" si="11"/>
        <v>11</v>
      </c>
      <c r="AR29" s="750">
        <f t="shared" si="10"/>
        <v>259.39725760499999</v>
      </c>
      <c r="AS29" s="750">
        <f t="shared" si="10"/>
        <v>287.86185395712994</v>
      </c>
      <c r="AT29" s="751">
        <f t="shared" si="12"/>
        <v>11</v>
      </c>
      <c r="AU29" s="730"/>
      <c r="AV29" s="730"/>
      <c r="AW29" s="725"/>
      <c r="AX29" s="725"/>
    </row>
    <row r="30" spans="1:50" s="752" customFormat="1" ht="18.75" customHeight="1" x14ac:dyDescent="0.3">
      <c r="A30" s="688" t="s">
        <v>430</v>
      </c>
      <c r="B30" s="756"/>
      <c r="C30" s="750"/>
      <c r="D30" s="750"/>
      <c r="E30" s="756"/>
      <c r="F30" s="750"/>
      <c r="G30" s="751"/>
      <c r="H30" s="756"/>
      <c r="I30" s="750"/>
      <c r="J30" s="751"/>
      <c r="K30" s="756"/>
      <c r="L30" s="750"/>
      <c r="M30" s="750"/>
      <c r="N30" s="756"/>
      <c r="O30" s="750"/>
      <c r="P30" s="751"/>
      <c r="Q30" s="756"/>
      <c r="R30" s="750"/>
      <c r="S30" s="751"/>
      <c r="T30" s="756"/>
      <c r="U30" s="750"/>
      <c r="V30" s="751"/>
      <c r="W30" s="694"/>
      <c r="X30" s="750"/>
      <c r="Y30" s="751"/>
      <c r="Z30" s="756"/>
      <c r="AA30" s="750"/>
      <c r="AB30" s="751"/>
      <c r="AC30" s="756"/>
      <c r="AD30" s="750"/>
      <c r="AE30" s="751"/>
      <c r="AF30" s="756"/>
      <c r="AG30" s="750"/>
      <c r="AH30" s="751"/>
      <c r="AI30" s="756"/>
      <c r="AJ30" s="750"/>
      <c r="AK30" s="751"/>
      <c r="AL30" s="756"/>
      <c r="AM30" s="750"/>
      <c r="AN30" s="751"/>
      <c r="AO30" s="750">
        <f t="shared" si="9"/>
        <v>0</v>
      </c>
      <c r="AP30" s="750">
        <f t="shared" si="9"/>
        <v>0</v>
      </c>
      <c r="AQ30" s="751" t="str">
        <f t="shared" si="11"/>
        <v xml:space="preserve">    ---- </v>
      </c>
      <c r="AR30" s="750">
        <f t="shared" si="10"/>
        <v>0</v>
      </c>
      <c r="AS30" s="750">
        <f t="shared" si="10"/>
        <v>0</v>
      </c>
      <c r="AT30" s="751" t="str">
        <f t="shared" si="12"/>
        <v xml:space="preserve">    ---- </v>
      </c>
      <c r="AU30" s="730"/>
      <c r="AV30" s="730"/>
      <c r="AW30" s="725"/>
      <c r="AX30" s="725"/>
    </row>
    <row r="31" spans="1:50" s="752" customFormat="1" ht="18.75" customHeight="1" x14ac:dyDescent="0.3">
      <c r="A31" s="688" t="s">
        <v>431</v>
      </c>
      <c r="B31" s="756"/>
      <c r="C31" s="750"/>
      <c r="D31" s="750"/>
      <c r="E31" s="756"/>
      <c r="F31" s="750"/>
      <c r="G31" s="751"/>
      <c r="H31" s="756">
        <v>-2.8000000000000001E-2</v>
      </c>
      <c r="I31" s="750"/>
      <c r="J31" s="751">
        <f t="shared" si="0"/>
        <v>-100</v>
      </c>
      <c r="K31" s="756"/>
      <c r="L31" s="750"/>
      <c r="M31" s="750"/>
      <c r="N31" s="756"/>
      <c r="O31" s="750"/>
      <c r="P31" s="751"/>
      <c r="Q31" s="756"/>
      <c r="R31" s="750"/>
      <c r="S31" s="751"/>
      <c r="T31" s="756"/>
      <c r="U31" s="750"/>
      <c r="V31" s="751"/>
      <c r="W31" s="694"/>
      <c r="X31" s="750"/>
      <c r="Y31" s="751"/>
      <c r="Z31" s="756"/>
      <c r="AA31" s="750"/>
      <c r="AB31" s="751"/>
      <c r="AC31" s="756"/>
      <c r="AD31" s="750"/>
      <c r="AE31" s="751"/>
      <c r="AF31" s="756"/>
      <c r="AG31" s="750"/>
      <c r="AH31" s="751"/>
      <c r="AI31" s="756"/>
      <c r="AJ31" s="750"/>
      <c r="AK31" s="751"/>
      <c r="AL31" s="756"/>
      <c r="AM31" s="750"/>
      <c r="AN31" s="751"/>
      <c r="AO31" s="750">
        <f t="shared" si="9"/>
        <v>-2.8000000000000001E-2</v>
      </c>
      <c r="AP31" s="750">
        <f t="shared" si="9"/>
        <v>0</v>
      </c>
      <c r="AQ31" s="751">
        <f t="shared" si="11"/>
        <v>-100</v>
      </c>
      <c r="AR31" s="700">
        <f t="shared" si="10"/>
        <v>-2.8000000000000001E-2</v>
      </c>
      <c r="AS31" s="700">
        <f t="shared" si="10"/>
        <v>0</v>
      </c>
      <c r="AT31" s="751">
        <f t="shared" si="12"/>
        <v>-100</v>
      </c>
      <c r="AU31" s="730"/>
      <c r="AV31" s="730"/>
      <c r="AW31" s="725"/>
      <c r="AX31" s="725"/>
    </row>
    <row r="32" spans="1:50" s="755" customFormat="1" ht="18.75" customHeight="1" x14ac:dyDescent="0.3">
      <c r="A32" s="679" t="s">
        <v>432</v>
      </c>
      <c r="B32" s="680">
        <v>6.625</v>
      </c>
      <c r="C32" s="748">
        <f>SUM(C24:C29)+C31</f>
        <v>5.4390000000000001</v>
      </c>
      <c r="D32" s="748">
        <f>IF(B32=0, "    ---- ", IF(ABS(ROUND(100/B32*C32-100,1))&lt;999,ROUND(100/B32*C32-100,1),IF(ROUND(100/B32*C32-100,1)&gt;999,999,-999)))</f>
        <v>-17.899999999999999</v>
      </c>
      <c r="E32" s="757">
        <v>45.749000000000002</v>
      </c>
      <c r="F32" s="748">
        <f>SUM(F24:F29)+F31</f>
        <v>46.1</v>
      </c>
      <c r="G32" s="749">
        <f>IF(E32=0, "    ---- ", IF(ABS(ROUND(100/E32*F32-100,1))&lt;999,ROUND(100/E32*F32-100,1),IF(ROUND(100/E32*F32-100,1)&gt;999,999,-999)))</f>
        <v>0.8</v>
      </c>
      <c r="H32" s="757">
        <v>14.958</v>
      </c>
      <c r="I32" s="748">
        <f>SUM(I24:I29)+I31</f>
        <v>12.901</v>
      </c>
      <c r="J32" s="749">
        <f t="shared" si="0"/>
        <v>-13.8</v>
      </c>
      <c r="K32" s="757"/>
      <c r="L32" s="748"/>
      <c r="M32" s="748"/>
      <c r="N32" s="757"/>
      <c r="O32" s="748"/>
      <c r="P32" s="749"/>
      <c r="Q32" s="757"/>
      <c r="R32" s="748"/>
      <c r="S32" s="749"/>
      <c r="T32" s="757"/>
      <c r="U32" s="748"/>
      <c r="V32" s="749"/>
      <c r="W32" s="685">
        <v>39.672980516000003</v>
      </c>
      <c r="X32" s="748">
        <f>SUM(X24:X29)+X31</f>
        <v>53.924015292000163</v>
      </c>
      <c r="Y32" s="749">
        <f t="shared" si="8"/>
        <v>35.9</v>
      </c>
      <c r="Z32" s="757"/>
      <c r="AA32" s="748"/>
      <c r="AB32" s="749"/>
      <c r="AC32" s="757"/>
      <c r="AD32" s="748"/>
      <c r="AE32" s="749"/>
      <c r="AF32" s="757"/>
      <c r="AG32" s="748"/>
      <c r="AH32" s="749"/>
      <c r="AI32" s="757">
        <v>63.230999999999995</v>
      </c>
      <c r="AJ32" s="748">
        <f>SUM(AJ24:AJ29)+AJ31</f>
        <v>48.366999999999997</v>
      </c>
      <c r="AK32" s="749">
        <f t="shared" si="2"/>
        <v>-23.5</v>
      </c>
      <c r="AL32" s="757">
        <v>91</v>
      </c>
      <c r="AM32" s="748">
        <f>SUM(AM24:AM29)+AM31</f>
        <v>105</v>
      </c>
      <c r="AN32" s="749">
        <f>IF(AL32=0, "    ---- ", IF(ABS(ROUND(100/AL32*AM32-100,1))&lt;999,ROUND(100/AL32*AM32-100,1),IF(ROUND(100/AL32*AM32-100,1)&gt;999,999,-999)))</f>
        <v>15.4</v>
      </c>
      <c r="AO32" s="748">
        <f t="shared" si="9"/>
        <v>261.23598051600004</v>
      </c>
      <c r="AP32" s="748">
        <f t="shared" si="9"/>
        <v>271.73101529200017</v>
      </c>
      <c r="AQ32" s="749">
        <f t="shared" si="11"/>
        <v>4</v>
      </c>
      <c r="AR32" s="748">
        <f t="shared" si="10"/>
        <v>261.23598051600004</v>
      </c>
      <c r="AS32" s="748">
        <f t="shared" si="10"/>
        <v>271.73101529200017</v>
      </c>
      <c r="AT32" s="749">
        <f t="shared" si="12"/>
        <v>4</v>
      </c>
      <c r="AU32" s="728"/>
      <c r="AV32" s="728"/>
      <c r="AW32" s="754"/>
      <c r="AX32" s="754"/>
    </row>
    <row r="33" spans="1:50" s="752" customFormat="1" ht="18.75" customHeight="1" x14ac:dyDescent="0.3">
      <c r="A33" s="688" t="s">
        <v>433</v>
      </c>
      <c r="B33" s="756"/>
      <c r="C33" s="750"/>
      <c r="D33" s="750"/>
      <c r="E33" s="756"/>
      <c r="F33" s="750"/>
      <c r="G33" s="751"/>
      <c r="H33" s="756"/>
      <c r="I33" s="750"/>
      <c r="J33" s="751"/>
      <c r="K33" s="756"/>
      <c r="L33" s="750"/>
      <c r="M33" s="750"/>
      <c r="N33" s="756"/>
      <c r="O33" s="750"/>
      <c r="P33" s="751"/>
      <c r="Q33" s="756"/>
      <c r="R33" s="750"/>
      <c r="S33" s="751"/>
      <c r="T33" s="756"/>
      <c r="U33" s="750"/>
      <c r="V33" s="751"/>
      <c r="W33" s="694"/>
      <c r="X33" s="750"/>
      <c r="Y33" s="751"/>
      <c r="Z33" s="756"/>
      <c r="AA33" s="750"/>
      <c r="AB33" s="751"/>
      <c r="AC33" s="756"/>
      <c r="AD33" s="750"/>
      <c r="AE33" s="751"/>
      <c r="AF33" s="756"/>
      <c r="AG33" s="750"/>
      <c r="AH33" s="751"/>
      <c r="AI33" s="756"/>
      <c r="AJ33" s="750"/>
      <c r="AK33" s="751"/>
      <c r="AL33" s="756"/>
      <c r="AM33" s="750"/>
      <c r="AN33" s="751"/>
      <c r="AO33" s="750">
        <f t="shared" si="9"/>
        <v>0</v>
      </c>
      <c r="AP33" s="750">
        <f t="shared" si="9"/>
        <v>0</v>
      </c>
      <c r="AQ33" s="751" t="str">
        <f t="shared" si="11"/>
        <v xml:space="preserve">    ---- </v>
      </c>
      <c r="AR33" s="750">
        <f t="shared" si="10"/>
        <v>0</v>
      </c>
      <c r="AS33" s="750">
        <f t="shared" si="10"/>
        <v>0</v>
      </c>
      <c r="AT33" s="751" t="str">
        <f t="shared" si="12"/>
        <v xml:space="preserve">    ---- </v>
      </c>
      <c r="AU33" s="730"/>
      <c r="AV33" s="730"/>
      <c r="AW33" s="725"/>
      <c r="AX33" s="725"/>
    </row>
    <row r="34" spans="1:50" s="752" customFormat="1" ht="18.75" customHeight="1" x14ac:dyDescent="0.3">
      <c r="A34" s="688" t="s">
        <v>434</v>
      </c>
      <c r="B34" s="756">
        <v>6.625</v>
      </c>
      <c r="C34" s="750">
        <v>5.4390000000000001</v>
      </c>
      <c r="D34" s="750">
        <f>IF(B34=0, "    ---- ", IF(ABS(ROUND(100/B34*C34-100,1))&lt;999,ROUND(100/B34*C34-100,1),IF(ROUND(100/B34*C34-100,1)&gt;999,999,-999)))</f>
        <v>-17.899999999999999</v>
      </c>
      <c r="E34" s="756">
        <v>45.749000000000002</v>
      </c>
      <c r="F34" s="750">
        <v>46.11</v>
      </c>
      <c r="G34" s="751">
        <f>IF(E34=0, "    ---- ", IF(ABS(ROUND(100/E34*F34-100,1))&lt;999,ROUND(100/E34*F34-100,1),IF(ROUND(100/E34*F34-100,1)&gt;999,999,-999)))</f>
        <v>0.8</v>
      </c>
      <c r="H34" s="756">
        <v>14.958</v>
      </c>
      <c r="I34" s="750">
        <v>12.901</v>
      </c>
      <c r="J34" s="751">
        <f t="shared" si="0"/>
        <v>-13.8</v>
      </c>
      <c r="K34" s="756"/>
      <c r="L34" s="750"/>
      <c r="M34" s="750"/>
      <c r="N34" s="756"/>
      <c r="O34" s="750"/>
      <c r="P34" s="751"/>
      <c r="Q34" s="756"/>
      <c r="R34" s="750"/>
      <c r="S34" s="751"/>
      <c r="T34" s="756"/>
      <c r="U34" s="750"/>
      <c r="V34" s="751"/>
      <c r="W34" s="694">
        <v>39.672980516000003</v>
      </c>
      <c r="X34" s="750">
        <v>53.924015292000199</v>
      </c>
      <c r="Y34" s="751">
        <f t="shared" si="8"/>
        <v>35.9</v>
      </c>
      <c r="Z34" s="756"/>
      <c r="AA34" s="750"/>
      <c r="AB34" s="751"/>
      <c r="AC34" s="756"/>
      <c r="AD34" s="750"/>
      <c r="AE34" s="751"/>
      <c r="AF34" s="756"/>
      <c r="AG34" s="750"/>
      <c r="AH34" s="751"/>
      <c r="AI34" s="756">
        <v>63.231000000000002</v>
      </c>
      <c r="AJ34" s="750">
        <v>48.366999999999997</v>
      </c>
      <c r="AK34" s="751">
        <f t="shared" si="2"/>
        <v>-23.5</v>
      </c>
      <c r="AL34" s="756">
        <v>91</v>
      </c>
      <c r="AM34" s="750">
        <v>105</v>
      </c>
      <c r="AN34" s="751">
        <f>IF(AL34=0, "    ---- ", IF(ABS(ROUND(100/AL34*AM34-100,1))&lt;999,ROUND(100/AL34*AM34-100,1),IF(ROUND(100/AL34*AM34-100,1)&gt;999,999,-999)))</f>
        <v>15.4</v>
      </c>
      <c r="AO34" s="750">
        <f t="shared" si="9"/>
        <v>261.23598051600004</v>
      </c>
      <c r="AP34" s="750">
        <f t="shared" si="9"/>
        <v>271.74101529200016</v>
      </c>
      <c r="AQ34" s="751">
        <f t="shared" si="11"/>
        <v>4</v>
      </c>
      <c r="AR34" s="750">
        <f t="shared" si="10"/>
        <v>261.23598051600004</v>
      </c>
      <c r="AS34" s="750">
        <f t="shared" si="10"/>
        <v>271.74101529200016</v>
      </c>
      <c r="AT34" s="751">
        <f t="shared" si="12"/>
        <v>4</v>
      </c>
      <c r="AU34" s="730"/>
      <c r="AV34" s="730"/>
      <c r="AW34" s="725"/>
      <c r="AX34" s="725"/>
    </row>
    <row r="35" spans="1:50" s="752" customFormat="1" ht="18.75" customHeight="1" x14ac:dyDescent="0.3">
      <c r="A35" s="706"/>
      <c r="B35" s="766"/>
      <c r="C35" s="767"/>
      <c r="D35" s="767"/>
      <c r="E35" s="766"/>
      <c r="F35" s="767"/>
      <c r="G35" s="768"/>
      <c r="H35" s="766"/>
      <c r="I35" s="767"/>
      <c r="J35" s="768"/>
      <c r="K35" s="766"/>
      <c r="L35" s="767"/>
      <c r="M35" s="767"/>
      <c r="N35" s="766"/>
      <c r="O35" s="767"/>
      <c r="P35" s="768"/>
      <c r="Q35" s="766"/>
      <c r="R35" s="767"/>
      <c r="S35" s="768"/>
      <c r="T35" s="766"/>
      <c r="U35" s="767"/>
      <c r="V35" s="768"/>
      <c r="W35" s="787"/>
      <c r="X35" s="767"/>
      <c r="Y35" s="768"/>
      <c r="Z35" s="766"/>
      <c r="AA35" s="767"/>
      <c r="AB35" s="768"/>
      <c r="AC35" s="766"/>
      <c r="AD35" s="767"/>
      <c r="AE35" s="768"/>
      <c r="AF35" s="766"/>
      <c r="AG35" s="767"/>
      <c r="AH35" s="768"/>
      <c r="AI35" s="766"/>
      <c r="AJ35" s="767"/>
      <c r="AK35" s="768"/>
      <c r="AL35" s="766"/>
      <c r="AM35" s="767"/>
      <c r="AN35" s="768"/>
      <c r="AO35" s="767"/>
      <c r="AP35" s="767"/>
      <c r="AQ35" s="768"/>
      <c r="AR35" s="767"/>
      <c r="AS35" s="767"/>
      <c r="AT35" s="768"/>
      <c r="AU35" s="730"/>
      <c r="AV35" s="730"/>
      <c r="AW35" s="725"/>
      <c r="AX35" s="725"/>
    </row>
    <row r="36" spans="1:50" s="752" customFormat="1" ht="18.75" customHeight="1" x14ac:dyDescent="0.3">
      <c r="A36" s="713"/>
      <c r="B36" s="756"/>
      <c r="C36" s="750"/>
      <c r="D36" s="750"/>
      <c r="E36" s="756"/>
      <c r="F36" s="750"/>
      <c r="G36" s="751"/>
      <c r="H36" s="756"/>
      <c r="I36" s="750"/>
      <c r="J36" s="751"/>
      <c r="K36" s="756"/>
      <c r="L36" s="750"/>
      <c r="M36" s="750"/>
      <c r="N36" s="756"/>
      <c r="O36" s="750"/>
      <c r="P36" s="751"/>
      <c r="Q36" s="756"/>
      <c r="R36" s="750"/>
      <c r="S36" s="751"/>
      <c r="T36" s="756"/>
      <c r="U36" s="750"/>
      <c r="V36" s="751"/>
      <c r="W36" s="694"/>
      <c r="X36" s="750"/>
      <c r="Y36" s="751"/>
      <c r="Z36" s="756"/>
      <c r="AA36" s="750"/>
      <c r="AB36" s="751"/>
      <c r="AC36" s="756"/>
      <c r="AD36" s="750"/>
      <c r="AE36" s="751"/>
      <c r="AF36" s="756"/>
      <c r="AG36" s="750"/>
      <c r="AH36" s="751"/>
      <c r="AI36" s="756"/>
      <c r="AJ36" s="750"/>
      <c r="AK36" s="751"/>
      <c r="AL36" s="756"/>
      <c r="AM36" s="750"/>
      <c r="AN36" s="751"/>
      <c r="AO36" s="750"/>
      <c r="AP36" s="750"/>
      <c r="AQ36" s="751"/>
      <c r="AR36" s="750"/>
      <c r="AS36" s="750"/>
      <c r="AT36" s="751"/>
      <c r="AU36" s="730"/>
      <c r="AV36" s="730"/>
      <c r="AW36" s="725"/>
      <c r="AX36" s="725"/>
    </row>
    <row r="37" spans="1:50" s="752" customFormat="1" ht="18.75" customHeight="1" x14ac:dyDescent="0.3">
      <c r="A37" s="679" t="s">
        <v>459</v>
      </c>
      <c r="B37" s="756"/>
      <c r="C37" s="750"/>
      <c r="D37" s="750"/>
      <c r="E37" s="756"/>
      <c r="F37" s="750"/>
      <c r="G37" s="751"/>
      <c r="H37" s="756"/>
      <c r="I37" s="750"/>
      <c r="J37" s="751"/>
      <c r="K37" s="756"/>
      <c r="L37" s="750"/>
      <c r="M37" s="750"/>
      <c r="N37" s="756"/>
      <c r="O37" s="750"/>
      <c r="P37" s="751"/>
      <c r="Q37" s="756"/>
      <c r="R37" s="750"/>
      <c r="S37" s="751"/>
      <c r="T37" s="756"/>
      <c r="U37" s="750"/>
      <c r="V37" s="751"/>
      <c r="W37" s="756"/>
      <c r="X37" s="750"/>
      <c r="Y37" s="751"/>
      <c r="Z37" s="756"/>
      <c r="AA37" s="750"/>
      <c r="AB37" s="751"/>
      <c r="AC37" s="756"/>
      <c r="AD37" s="750"/>
      <c r="AE37" s="751"/>
      <c r="AF37" s="756"/>
      <c r="AG37" s="750"/>
      <c r="AH37" s="751"/>
      <c r="AI37" s="756"/>
      <c r="AJ37" s="750"/>
      <c r="AK37" s="751"/>
      <c r="AL37" s="756"/>
      <c r="AM37" s="750"/>
      <c r="AN37" s="751"/>
      <c r="AO37" s="750"/>
      <c r="AP37" s="750"/>
      <c r="AQ37" s="751"/>
      <c r="AR37" s="750"/>
      <c r="AS37" s="750"/>
      <c r="AT37" s="751"/>
      <c r="AU37" s="730"/>
      <c r="AV37" s="730"/>
      <c r="AW37" s="725"/>
      <c r="AX37" s="725"/>
    </row>
    <row r="38" spans="1:50" s="752" customFormat="1" ht="18.75" customHeight="1" x14ac:dyDescent="0.3">
      <c r="A38" s="688" t="s">
        <v>424</v>
      </c>
      <c r="B38" s="756">
        <f>'Tabell 5.1'!B12+'Tabell 5.1'!B24+'Tabell 5.1'!B36+'Tabell 5.1'!B48+'Tabell 5.1'!B62+'Tabell 5.1'!B74+'Tabell 5.1'!B86+'Tabell 5.1'!B98+'Tabell 5.2'!B12+'Tabell 5.2'!B24+'Tabell 5.2'!B36+'Tabell 5.2'!B48+'Tabell 5.2'!B84+'Tabell 5.2'!B96+'Tabell 5.2'!B122+'Tabell 5.2'!B134+B12+B24+'Tabell 5.2'!B60+'Tabell 5.2'!B72+'Tabell 5.2'!B108</f>
        <v>-7.3999999999999996E-2</v>
      </c>
      <c r="C38" s="750">
        <f>'Tabell 5.1'!C12+'Tabell 5.1'!C24+'Tabell 5.1'!C36+'Tabell 5.1'!C48+'Tabell 5.1'!C62+'Tabell 5.1'!C74+'Tabell 5.1'!C86+'Tabell 5.1'!C98+'Tabell 5.2'!C12+'Tabell 5.2'!C24+'Tabell 5.2'!C36+'Tabell 5.2'!C48+'Tabell 5.2'!C84+'Tabell 5.2'!C96+'Tabell 5.2'!C122+'Tabell 5.2'!C134+C12+C24+'Tabell 5.2'!C60+'Tabell 5.2'!C72+'Tabell 5.2'!C108</f>
        <v>0</v>
      </c>
      <c r="D38" s="750">
        <f t="shared" ref="D38:D48" si="13">IF(B38=0, "    ---- ", IF(ABS(ROUND(100/B38*C38-100,1))&lt;999,ROUND(100/B38*C38-100,1),IF(ROUND(100/B38*C38-100,1)&gt;999,999,-999)))</f>
        <v>-100</v>
      </c>
      <c r="E38" s="756">
        <f>'Tabell 5.1'!E12+'Tabell 5.1'!E24+'Tabell 5.1'!E36+'Tabell 5.1'!E48+'Tabell 5.1'!E62+'Tabell 5.1'!E74+'Tabell 5.1'!E86+'Tabell 5.1'!E98+'Tabell 5.2'!E12+'Tabell 5.2'!E24+'Tabell 5.2'!E36+'Tabell 5.2'!E48+'Tabell 5.2'!E84+'Tabell 5.2'!E96+'Tabell 5.2'!E122+'Tabell 5.2'!E134+E12+E24+'Tabell 5.2'!E60+'Tabell 5.2'!E72+'Tabell 5.2'!E108</f>
        <v>6327.9520000000002</v>
      </c>
      <c r="F38" s="750">
        <f>'Tabell 5.1'!F12+'Tabell 5.1'!F24+'Tabell 5.1'!F36+'Tabell 5.1'!F48+'Tabell 5.1'!F62+'Tabell 5.1'!F74+'Tabell 5.1'!F86+'Tabell 5.1'!F98+'Tabell 5.2'!F12+'Tabell 5.2'!F24+'Tabell 5.2'!F36+'Tabell 5.2'!F48+'Tabell 5.2'!F84+'Tabell 5.2'!F96+'Tabell 5.2'!F122+'Tabell 5.2'!F134+F12+F24+'Tabell 5.2'!F60+'Tabell 5.2'!F72+'Tabell 5.2'!F108</f>
        <v>9822.9429999999993</v>
      </c>
      <c r="G38" s="750">
        <f t="shared" ref="G38:G48" si="14">IF(E38=0, "    ---- ", IF(ABS(ROUND(100/E38*F38-100,1))&lt;999,ROUND(100/E38*F38-100,1),IF(ROUND(100/E38*F38-100,1)&gt;999,999,-999)))</f>
        <v>55.2</v>
      </c>
      <c r="H38" s="756">
        <f>'Tabell 5.1'!H12+'Tabell 5.1'!H24+'Tabell 5.1'!H36+'Tabell 5.1'!H48+'Tabell 5.1'!H62+'Tabell 5.1'!H74+'Tabell 5.1'!H86+'Tabell 5.1'!H98+'Tabell 5.2'!H12+'Tabell 5.2'!H24+'Tabell 5.2'!H36+'Tabell 5.2'!H48+'Tabell 5.2'!H84+'Tabell 5.2'!H96+'Tabell 5.2'!H122+'Tabell 5.2'!H134+H12+H24+'Tabell 5.2'!H60+'Tabell 5.2'!H72+'Tabell 5.2'!H108</f>
        <v>37.402000000000001</v>
      </c>
      <c r="I38" s="750">
        <f>'Tabell 5.1'!I12+'Tabell 5.1'!I24+'Tabell 5.1'!I36+'Tabell 5.1'!I48+'Tabell 5.1'!I62+'Tabell 5.1'!I74+'Tabell 5.1'!I86+'Tabell 5.1'!I98+'Tabell 5.2'!I12+'Tabell 5.2'!I24+'Tabell 5.2'!I36+'Tabell 5.2'!I48+'Tabell 5.2'!I84+'Tabell 5.2'!I96+'Tabell 5.2'!I122+'Tabell 5.2'!I134+I12+I24+'Tabell 5.2'!I60+'Tabell 5.2'!I72+'Tabell 5.2'!I108</f>
        <v>41.513000000000005</v>
      </c>
      <c r="J38" s="750">
        <f t="shared" ref="J38:J48" si="15">IF(H38=0, "    ---- ", IF(ABS(ROUND(100/H38*I38-100,1))&lt;999,ROUND(100/H38*I38-100,1),IF(ROUND(100/H38*I38-100,1)&gt;999,999,-999)))</f>
        <v>11</v>
      </c>
      <c r="K38" s="756">
        <f>'Tabell 5.1'!K12+'Tabell 5.1'!K24+'Tabell 5.1'!K36+'Tabell 5.1'!K48+'Tabell 5.1'!K62+'Tabell 5.1'!K74+'Tabell 5.1'!K86+'Tabell 5.1'!K98+'Tabell 5.2'!K12+'Tabell 5.2'!K24+'Tabell 5.2'!K36+'Tabell 5.2'!K48+'Tabell 5.2'!K84+'Tabell 5.2'!K96+'Tabell 5.2'!K122+'Tabell 5.2'!K134+K12+K24+'Tabell 5.2'!K60+'Tabell 5.2'!K72+'Tabell 5.2'!K108</f>
        <v>53.402999999999999</v>
      </c>
      <c r="L38" s="750">
        <f>'Tabell 5.1'!L12+'Tabell 5.1'!L24+'Tabell 5.1'!L36+'Tabell 5.1'!L48+'Tabell 5.1'!L62+'Tabell 5.1'!L74+'Tabell 5.1'!L86+'Tabell 5.1'!L98+'Tabell 5.2'!L12+'Tabell 5.2'!L24+'Tabell 5.2'!L36+'Tabell 5.2'!L48+'Tabell 5.2'!L84+'Tabell 5.2'!L96+'Tabell 5.2'!L122+'Tabell 5.2'!L134+L12+L24+'Tabell 5.2'!L60+'Tabell 5.2'!L72+'Tabell 5.2'!L108</f>
        <v>50.798000000000002</v>
      </c>
      <c r="M38" s="750">
        <f t="shared" ref="M38:M48" si="16">IF(K38=0, "    ---- ", IF(ABS(ROUND(100/K38*L38-100,1))&lt;999,ROUND(100/K38*L38-100,1),IF(ROUND(100/K38*L38-100,1)&gt;999,999,-999)))</f>
        <v>-4.9000000000000004</v>
      </c>
      <c r="N38" s="756">
        <f>'Tabell 5.1'!N12+'Tabell 5.1'!N24+'Tabell 5.1'!N36+'Tabell 5.1'!N48+'Tabell 5.1'!N62+'Tabell 5.1'!N74+'Tabell 5.1'!N86+'Tabell 5.1'!N98+'Tabell 5.2'!N12+'Tabell 5.2'!N24+'Tabell 5.2'!N36+'Tabell 5.2'!N48+'Tabell 5.2'!N84+'Tabell 5.2'!N96+'Tabell 5.2'!N122+'Tabell 5.2'!N134+N12+N24+'Tabell 5.2'!N60+'Tabell 5.2'!N72+'Tabell 5.2'!N108</f>
        <v>0</v>
      </c>
      <c r="O38" s="750">
        <f>'Tabell 5.1'!O12+'Tabell 5.1'!O24+'Tabell 5.1'!O36+'Tabell 5.1'!O48+'Tabell 5.1'!O62+'Tabell 5.1'!O74+'Tabell 5.1'!O86+'Tabell 5.1'!O98+'Tabell 5.2'!O12+'Tabell 5.2'!O24+'Tabell 5.2'!O36+'Tabell 5.2'!O48+'Tabell 5.2'!O84+'Tabell 5.2'!O96+'Tabell 5.2'!O122+'Tabell 5.2'!O134+O12+O24+'Tabell 5.2'!O60+'Tabell 5.2'!O72+'Tabell 5.2'!O108</f>
        <v>1.633</v>
      </c>
      <c r="P38" s="750" t="str">
        <f t="shared" ref="P38:P48" si="17">IF(N38=0, "    ---- ", IF(ABS(ROUND(100/N38*O38-100,1))&lt;999,ROUND(100/N38*O38-100,1),IF(ROUND(100/N38*O38-100,1)&gt;999,999,-999)))</f>
        <v xml:space="preserve">    ---- </v>
      </c>
      <c r="Q38" s="756">
        <f>'Tabell 5.1'!Q12+'Tabell 5.1'!Q24+'Tabell 5.1'!Q36+'Tabell 5.1'!Q48+'Tabell 5.1'!Q62+'Tabell 5.1'!Q74+'Tabell 5.1'!Q86+'Tabell 5.1'!Q98+'Tabell 5.2'!Q12+'Tabell 5.2'!Q24+'Tabell 5.2'!Q36+'Tabell 5.2'!Q48+'Tabell 5.2'!Q84+'Tabell 5.2'!Q96+'Tabell 5.2'!Q122+'Tabell 5.2'!Q134+Q12+Q24+'Tabell 5.2'!Q60+'Tabell 5.2'!Q72+'Tabell 5.2'!Q108</f>
        <v>8096.238021009799</v>
      </c>
      <c r="R38" s="750">
        <f>'Tabell 5.1'!R12+'Tabell 5.1'!R24+'Tabell 5.1'!R36+'Tabell 5.1'!R48+'Tabell 5.1'!R62+'Tabell 5.1'!R74+'Tabell 5.1'!R86+'Tabell 5.1'!R98+'Tabell 5.2'!R12+'Tabell 5.2'!R24+'Tabell 5.2'!R36+'Tabell 5.2'!R48+'Tabell 5.2'!R84+'Tabell 5.2'!R96+'Tabell 5.2'!R122+'Tabell 5.2'!R134+R12+R24+'Tabell 5.2'!R60+'Tabell 5.2'!R72+'Tabell 5.2'!R108</f>
        <v>6782.1546506987133</v>
      </c>
      <c r="S38" s="750">
        <f t="shared" ref="S38:S48" si="18">IF(Q38=0, "    ---- ", IF(ABS(ROUND(100/Q38*R38-100,1))&lt;999,ROUND(100/Q38*R38-100,1),IF(ROUND(100/Q38*R38-100,1)&gt;999,999,-999)))</f>
        <v>-16.2</v>
      </c>
      <c r="T38" s="756">
        <f>'Tabell 5.1'!T12+'Tabell 5.1'!T24+'Tabell 5.1'!T36+'Tabell 5.1'!T48+'Tabell 5.1'!T62+'Tabell 5.1'!T74+'Tabell 5.1'!T86+'Tabell 5.1'!T98+'Tabell 5.2'!T12+'Tabell 5.2'!T24+'Tabell 5.2'!T36+'Tabell 5.2'!T48+'Tabell 5.2'!T84+'Tabell 5.2'!T96+'Tabell 5.2'!T122+'Tabell 5.2'!T134+T12+T24+'Tabell 5.2'!T60+'Tabell 5.2'!T72+'Tabell 5.2'!T108</f>
        <v>31</v>
      </c>
      <c r="U38" s="750">
        <f>'Tabell 5.1'!U12+'Tabell 5.1'!U24+'Tabell 5.1'!U36+'Tabell 5.1'!U48+'Tabell 5.1'!U62+'Tabell 5.1'!U74+'Tabell 5.1'!U86+'Tabell 5.1'!U98+'Tabell 5.2'!U12+'Tabell 5.2'!U24+'Tabell 5.2'!U36+'Tabell 5.2'!U48+'Tabell 5.2'!U84+'Tabell 5.2'!U96+'Tabell 5.2'!U122+'Tabell 5.2'!U134+U12+U24+'Tabell 5.2'!U60+'Tabell 5.2'!U72+'Tabell 5.2'!U108</f>
        <v>78</v>
      </c>
      <c r="V38" s="750">
        <f t="shared" ref="V38:V48" si="19">IF(T38=0, "    ---- ", IF(ABS(ROUND(100/T38*U38-100,1))&lt;999,ROUND(100/T38*U38-100,1),IF(ROUND(100/T38*U38-100,1)&gt;999,999,-999)))</f>
        <v>151.6</v>
      </c>
      <c r="W38" s="750">
        <f>'Tabell 5.1'!W12+'Tabell 5.1'!W24+'Tabell 5.1'!W36+'Tabell 5.1'!W48+'Tabell 5.1'!W62+'Tabell 5.1'!W74+'Tabell 5.1'!W86+'Tabell 5.1'!W98+'Tabell 5.2'!W12+'Tabell 5.2'!W24+'Tabell 5.2'!W36+'Tabell 5.2'!W48+'Tabell 5.2'!W84+'Tabell 5.2'!W96+'Tabell 5.2'!W122+'Tabell 5.2'!W134+W12+W24+'Tabell 5.2'!W60+'Tabell 5.2'!W72+'Tabell 5.2'!W108</f>
        <v>530.21778561799999</v>
      </c>
      <c r="X38" s="750">
        <f>'Tabell 5.1'!X12+'Tabell 5.1'!X24+'Tabell 5.1'!X36+'Tabell 5.1'!X48+'Tabell 5.1'!X62+'Tabell 5.1'!X74+'Tabell 5.1'!X86+'Tabell 5.1'!X98+'Tabell 5.2'!X12+'Tabell 5.2'!X24+'Tabell 5.2'!X36+'Tabell 5.2'!X48+'Tabell 5.2'!X84+'Tabell 5.2'!X96+'Tabell 5.2'!X122+'Tabell 5.2'!X134+X12+X24+'Tabell 5.2'!X60+'Tabell 5.2'!X72+'Tabell 5.2'!X108</f>
        <v>617.01525562061602</v>
      </c>
      <c r="Y38" s="750">
        <f t="shared" ref="Y38:Y48" si="20">IF(W38=0, "    ---- ", IF(ABS(ROUND(100/W38*X38-100,1))&lt;999,ROUND(100/W38*X38-100,1),IF(ROUND(100/W38*X38-100,1)&gt;999,999,-999)))</f>
        <v>16.399999999999999</v>
      </c>
      <c r="Z38" s="756">
        <f>'Tabell 5.1'!Z12+'Tabell 5.1'!Z24+'Tabell 5.1'!Z36+'Tabell 5.1'!Z48+'Tabell 5.1'!Z62+'Tabell 5.1'!Z74+'Tabell 5.1'!Z86+'Tabell 5.1'!Z98+'Tabell 5.2'!Z12+'Tabell 5.2'!Z24+'Tabell 5.2'!Z36+'Tabell 5.2'!Z48+'Tabell 5.2'!Z84+'Tabell 5.2'!Z96+'Tabell 5.2'!Z122+'Tabell 5.2'!Z134+Z12+Z24+'Tabell 5.2'!Z60+'Tabell 5.2'!Z72+'Tabell 5.2'!Z108</f>
        <v>2463</v>
      </c>
      <c r="AA38" s="750">
        <f>'Tabell 5.1'!AA12+'Tabell 5.1'!AA24+'Tabell 5.1'!AA36+'Tabell 5.1'!AA48+'Tabell 5.1'!AA62+'Tabell 5.1'!AA74+'Tabell 5.1'!AA86+'Tabell 5.1'!AA98+'Tabell 5.2'!AA12+'Tabell 5.2'!AA24+'Tabell 5.2'!AA36+'Tabell 5.2'!AA48+'Tabell 5.2'!AA84+'Tabell 5.2'!AA96+'Tabell 5.2'!AA122+'Tabell 5.2'!AA134+AA12+AA24+'Tabell 5.2'!AA60+'Tabell 5.2'!AA72+'Tabell 5.2'!AA108</f>
        <v>3976</v>
      </c>
      <c r="AB38" s="750">
        <f t="shared" ref="AB38:AB48" si="21">IF(Z38=0, "    ---- ", IF(ABS(ROUND(100/Z38*AA38-100,1))&lt;999,ROUND(100/Z38*AA38-100,1),IF(ROUND(100/Z38*AA38-100,1)&gt;999,999,-999)))</f>
        <v>61.4</v>
      </c>
      <c r="AC38" s="756">
        <f>'Tabell 5.1'!AC12+'Tabell 5.1'!AC24+'Tabell 5.1'!AC36+'Tabell 5.1'!AC48+'Tabell 5.1'!AC62+'Tabell 5.1'!AC74+'Tabell 5.1'!AC86+'Tabell 5.1'!AC98+'Tabell 5.2'!AC12+'Tabell 5.2'!AC24+'Tabell 5.2'!AC36+'Tabell 5.2'!AC48+'Tabell 5.2'!AC84+'Tabell 5.2'!AC96+'Tabell 5.2'!AC122+'Tabell 5.2'!AC134+AC12+AC24+'Tabell 5.2'!AC60+'Tabell 5.2'!AC72+'Tabell 5.2'!AC108</f>
        <v>0</v>
      </c>
      <c r="AD38" s="750">
        <f>'Tabell 5.1'!AD12+'Tabell 5.1'!AD24+'Tabell 5.1'!AD36+'Tabell 5.1'!AD48+'Tabell 5.1'!AD62+'Tabell 5.1'!AD74+'Tabell 5.1'!AD86+'Tabell 5.1'!AD98+'Tabell 5.2'!AD12+'Tabell 5.2'!AD24+'Tabell 5.2'!AD36+'Tabell 5.2'!AD48+'Tabell 5.2'!AD84+'Tabell 5.2'!AD96+'Tabell 5.2'!AD122+'Tabell 5.2'!AD134+AD12+AD24+'Tabell 5.2'!AD60+'Tabell 5.2'!AD72+'Tabell 5.2'!AD108</f>
        <v>0</v>
      </c>
      <c r="AE38" s="750" t="str">
        <f t="shared" ref="AE38:AE48" si="22">IF(AC38=0, "    ---- ", IF(ABS(ROUND(100/AC38*AD38-100,1))&lt;999,ROUND(100/AC38*AD38-100,1),IF(ROUND(100/AC38*AD38-100,1)&gt;999,999,-999)))</f>
        <v xml:space="preserve">    ---- </v>
      </c>
      <c r="AF38" s="756"/>
      <c r="AG38" s="750"/>
      <c r="AH38" s="750"/>
      <c r="AI38" s="756">
        <f>'Tabell 5.1'!AI12+'Tabell 5.1'!AI24+'Tabell 5.1'!AI36+'Tabell 5.1'!AI48+'Tabell 5.1'!AI62+'Tabell 5.1'!AI74+'Tabell 5.1'!AI86+'Tabell 5.1'!AI98+'Tabell 5.2'!AI12+'Tabell 5.2'!AI24+'Tabell 5.2'!AI36+'Tabell 5.2'!AI48+'Tabell 5.2'!AI84+'Tabell 5.2'!AI96+'Tabell 5.2'!AI122+'Tabell 5.2'!AI134+AI12+AI24+'Tabell 5.2'!AI60+'Tabell 5.2'!AI72+'Tabell 5.2'!AI108</f>
        <v>286.35399999999998</v>
      </c>
      <c r="AJ38" s="750">
        <f>'Tabell 5.1'!AJ12+'Tabell 5.1'!AJ24+'Tabell 5.1'!AJ36+'Tabell 5.1'!AJ48+'Tabell 5.1'!AJ62+'Tabell 5.1'!AJ74+'Tabell 5.1'!AJ86+'Tabell 5.1'!AJ98+'Tabell 5.2'!AJ12+'Tabell 5.2'!AJ24+'Tabell 5.2'!AJ36+'Tabell 5.2'!AJ48+'Tabell 5.2'!AJ84+'Tabell 5.2'!AJ96+'Tabell 5.2'!AJ122+'Tabell 5.2'!AJ134+AJ12+AJ24+'Tabell 5.2'!AJ60+'Tabell 5.2'!AJ72+'Tabell 5.2'!AJ108</f>
        <v>751.21600000000001</v>
      </c>
      <c r="AK38" s="750">
        <f t="shared" ref="AK38:AK48" si="23">IF(AI38=0, "    ---- ", IF(ABS(ROUND(100/AI38*AJ38-100,1))&lt;999,ROUND(100/AI38*AJ38-100,1),IF(ROUND(100/AI38*AJ38-100,1)&gt;999,999,-999)))</f>
        <v>162.30000000000001</v>
      </c>
      <c r="AL38" s="756">
        <f>'Tabell 5.1'!AL12+'Tabell 5.1'!AL24+'Tabell 5.1'!AL36+'Tabell 5.1'!AL48+'Tabell 5.1'!AL62+'Tabell 5.1'!AL74+'Tabell 5.1'!AL86+'Tabell 5.1'!AL98+'Tabell 5.2'!AL12+'Tabell 5.2'!AL24+'Tabell 5.2'!AL36+'Tabell 5.2'!AL48+'Tabell 5.2'!AL84+'Tabell 5.2'!AL96+'Tabell 5.2'!AL122+'Tabell 5.2'!AL134+AL12+AL24+'Tabell 5.2'!AL60+'Tabell 5.2'!AL72+'Tabell 5.2'!AL108</f>
        <v>4353.7</v>
      </c>
      <c r="AM38" s="750">
        <f>'Tabell 5.1'!AM12+'Tabell 5.1'!AM24+'Tabell 5.1'!AM36+'Tabell 5.1'!AM48+'Tabell 5.1'!AM62+'Tabell 5.1'!AM74+'Tabell 5.1'!AM86+'Tabell 5.1'!AM98+'Tabell 5.2'!AM12+'Tabell 5.2'!AM24+'Tabell 5.2'!AM36+'Tabell 5.2'!AM48+'Tabell 5.2'!AM84+'Tabell 5.2'!AM96+'Tabell 5.2'!AM122+'Tabell 5.2'!AM134+AM12+AM24+'Tabell 5.2'!AM60+'Tabell 5.2'!AM72+'Tabell 5.2'!AM108</f>
        <v>2759.7199999999993</v>
      </c>
      <c r="AN38" s="750">
        <f t="shared" ref="AN38:AN48" si="24">IF(AL38=0, "    ---- ", IF(ABS(ROUND(100/AL38*AM38-100,1))&lt;999,ROUND(100/AL38*AM38-100,1),IF(ROUND(100/AL38*AM38-100,1)&gt;999,999,-999)))</f>
        <v>-36.6</v>
      </c>
      <c r="AO38" s="750">
        <f>'Tabell 5.1'!AO12+'Tabell 5.1'!AO24+'Tabell 5.1'!AO36+'Tabell 5.1'!AO48+'Tabell 5.1'!AO62+'Tabell 5.1'!AO74+'Tabell 5.1'!AO86+'Tabell 5.1'!AO98+'Tabell 5.2'!AO12+'Tabell 5.2'!AO24+'Tabell 5.2'!AO36+'Tabell 5.2'!AO48+'Tabell 5.2'!AO84+'Tabell 5.2'!AO96+'Tabell 5.2'!AO122+'Tabell 5.2'!AO134+AO12+AO24+'Tabell 5.2'!AO60+'Tabell 5.2'!AO72+'Tabell 5.2'!AO108</f>
        <v>22179.192806627805</v>
      </c>
      <c r="AP38" s="750">
        <f>'Tabell 5.1'!AP12+'Tabell 5.1'!AP24+'Tabell 5.1'!AP36+'Tabell 5.1'!AP48+'Tabell 5.1'!AP62+'Tabell 5.1'!AP74+'Tabell 5.1'!AP86+'Tabell 5.1'!AP98+'Tabell 5.2'!AP12+'Tabell 5.2'!AP24+'Tabell 5.2'!AP36+'Tabell 5.2'!AP48+'Tabell 5.2'!AP84+'Tabell 5.2'!AP96+'Tabell 5.2'!AP122+'Tabell 5.2'!AP134+AP12+AP24+'Tabell 5.2'!AP60+'Tabell 5.2'!AP72+'Tabell 5.2'!AP108</f>
        <v>24879.359906319332</v>
      </c>
      <c r="AQ38" s="750">
        <f t="shared" ref="AQ38:AQ48" si="25">IF(AO38=0, "    ---- ", IF(ABS(ROUND(100/AO38*AP38-100,1))&lt;999,ROUND(100/AO38*AP38-100,1),IF(ROUND(100/AO38*AP38-100,1)&gt;999,999,-999)))</f>
        <v>12.2</v>
      </c>
      <c r="AR38" s="750">
        <f>'Tabell 5.1'!AR12+'Tabell 5.1'!AR24+'Tabell 5.1'!AR36+'Tabell 5.1'!AR48+'Tabell 5.1'!AR62+'Tabell 5.1'!AR74+'Tabell 5.1'!AR86+'Tabell 5.1'!AR98+'Tabell 5.2'!AR12+'Tabell 5.2'!AR24+'Tabell 5.2'!AR36+'Tabell 5.2'!AR48+'Tabell 5.2'!AR84+'Tabell 5.2'!AR96+'Tabell 5.2'!AR122+'Tabell 5.2'!AR134+AR12+AR24+'Tabell 5.2'!AR60+'Tabell 5.2'!AR72+'Tabell 5.2'!AR108</f>
        <v>22179.192806627805</v>
      </c>
      <c r="AS38" s="750">
        <f>'Tabell 5.1'!AS12+'Tabell 5.1'!AS24+'Tabell 5.1'!AS36+'Tabell 5.1'!AS48+'Tabell 5.1'!AS62+'Tabell 5.1'!AS74+'Tabell 5.1'!AS86+'Tabell 5.1'!AS98+'Tabell 5.2'!AS12+'Tabell 5.2'!AS24+'Tabell 5.2'!AS36+'Tabell 5.2'!AS48+'Tabell 5.2'!AS84+'Tabell 5.2'!AS96+'Tabell 5.2'!AS122+'Tabell 5.2'!AS134+AS12+AS24+'Tabell 5.2'!AS60+'Tabell 5.2'!AS72+'Tabell 5.2'!AS108</f>
        <v>24880.99290631933</v>
      </c>
      <c r="AT38" s="751">
        <f t="shared" ref="AT38:AT48" si="26">IF(AR38=0, "    ---- ", IF(ABS(ROUND(100/AR38*AS38-100,1))&lt;999,ROUND(100/AR38*AS38-100,1),IF(ROUND(100/AR38*AS38-100,1)&gt;999,999,-999)))</f>
        <v>12.2</v>
      </c>
      <c r="AU38" s="788"/>
      <c r="AV38" s="730"/>
      <c r="AW38" s="725"/>
      <c r="AX38" s="725"/>
    </row>
    <row r="39" spans="1:50" s="752" customFormat="1" ht="18.75" customHeight="1" x14ac:dyDescent="0.3">
      <c r="A39" s="688" t="s">
        <v>425</v>
      </c>
      <c r="B39" s="756">
        <f>'Tabell 5.1'!B13+'Tabell 5.1'!B25+'Tabell 5.1'!B37+'Tabell 5.1'!B49+'Tabell 5.1'!B63+'Tabell 5.1'!B75+'Tabell 5.1'!B87+'Tabell 5.1'!B99+'Tabell 5.2'!B13+'Tabell 5.2'!B25+'Tabell 5.2'!B37+'Tabell 5.2'!B49+'Tabell 5.2'!B85+'Tabell 5.2'!B97+'Tabell 5.2'!B123+'Tabell 5.2'!B135+B13+B25+'Tabell 5.2'!B61+'Tabell 5.2'!B73+'Tabell 5.2'!B109</f>
        <v>0</v>
      </c>
      <c r="C39" s="750">
        <f>'Tabell 5.1'!C13+'Tabell 5.1'!C25+'Tabell 5.1'!C37+'Tabell 5.1'!C49+'Tabell 5.1'!C63+'Tabell 5.1'!C75+'Tabell 5.1'!C87+'Tabell 5.1'!C99+'Tabell 5.2'!C13+'Tabell 5.2'!C25+'Tabell 5.2'!C37+'Tabell 5.2'!C49+'Tabell 5.2'!C85+'Tabell 5.2'!C97+'Tabell 5.2'!C123+'Tabell 5.2'!C135+C13+C25+'Tabell 5.2'!C61+'Tabell 5.2'!C73+'Tabell 5.2'!C109</f>
        <v>0</v>
      </c>
      <c r="D39" s="750" t="str">
        <f t="shared" si="13"/>
        <v xml:space="preserve">    ---- </v>
      </c>
      <c r="E39" s="756">
        <f>'Tabell 5.1'!E13+'Tabell 5.1'!E25+'Tabell 5.1'!E37+'Tabell 5.1'!E49+'Tabell 5.1'!E63+'Tabell 5.1'!E75+'Tabell 5.1'!E87+'Tabell 5.1'!E99+'Tabell 5.2'!E13+'Tabell 5.2'!E25+'Tabell 5.2'!E37+'Tabell 5.2'!E49+'Tabell 5.2'!E85+'Tabell 5.2'!E97+'Tabell 5.2'!E123+'Tabell 5.2'!E135+E13+E25+'Tabell 5.2'!E61+'Tabell 5.2'!E73+'Tabell 5.2'!E109</f>
        <v>-1008.8340000000001</v>
      </c>
      <c r="F39" s="750">
        <f>'Tabell 5.1'!F13+'Tabell 5.1'!F25+'Tabell 5.1'!F37+'Tabell 5.1'!F49+'Tabell 5.1'!F63+'Tabell 5.1'!F75+'Tabell 5.1'!F87+'Tabell 5.1'!F99+'Tabell 5.2'!F13+'Tabell 5.2'!F25+'Tabell 5.2'!F37+'Tabell 5.2'!F49+'Tabell 5.2'!F85+'Tabell 5.2'!F97+'Tabell 5.2'!F123+'Tabell 5.2'!F135+F13+F25+'Tabell 5.2'!F61+'Tabell 5.2'!F73+'Tabell 5.2'!F109</f>
        <v>-1028.3399999999999</v>
      </c>
      <c r="G39" s="750">
        <f t="shared" si="14"/>
        <v>1.9</v>
      </c>
      <c r="H39" s="756">
        <f>'Tabell 5.1'!H13+'Tabell 5.1'!H25+'Tabell 5.1'!H37+'Tabell 5.1'!H49+'Tabell 5.1'!H63+'Tabell 5.1'!H75+'Tabell 5.1'!H87+'Tabell 5.1'!H99+'Tabell 5.2'!H13+'Tabell 5.2'!H25+'Tabell 5.2'!H37+'Tabell 5.2'!H49+'Tabell 5.2'!H85+'Tabell 5.2'!H97+'Tabell 5.2'!H123+'Tabell 5.2'!H135+H13+H25+'Tabell 5.2'!H61+'Tabell 5.2'!H73+'Tabell 5.2'!H109</f>
        <v>0</v>
      </c>
      <c r="I39" s="750">
        <f>'Tabell 5.1'!I13+'Tabell 5.1'!I25+'Tabell 5.1'!I37+'Tabell 5.1'!I49+'Tabell 5.1'!I63+'Tabell 5.1'!I75+'Tabell 5.1'!I87+'Tabell 5.1'!I99+'Tabell 5.2'!I13+'Tabell 5.2'!I25+'Tabell 5.2'!I37+'Tabell 5.2'!I49+'Tabell 5.2'!I85+'Tabell 5.2'!I97+'Tabell 5.2'!I123+'Tabell 5.2'!I135+I13+I25+'Tabell 5.2'!I61+'Tabell 5.2'!I73+'Tabell 5.2'!I109</f>
        <v>0</v>
      </c>
      <c r="J39" s="750" t="str">
        <f t="shared" si="15"/>
        <v xml:space="preserve">    ---- </v>
      </c>
      <c r="K39" s="756">
        <f>'Tabell 5.1'!K13+'Tabell 5.1'!K25+'Tabell 5.1'!K37+'Tabell 5.1'!K49+'Tabell 5.1'!K63+'Tabell 5.1'!K75+'Tabell 5.1'!K87+'Tabell 5.1'!K99+'Tabell 5.2'!K13+'Tabell 5.2'!K25+'Tabell 5.2'!K37+'Tabell 5.2'!K49+'Tabell 5.2'!K85+'Tabell 5.2'!K97+'Tabell 5.2'!K123+'Tabell 5.2'!K135+K13+K25+'Tabell 5.2'!K61+'Tabell 5.2'!K73+'Tabell 5.2'!K109</f>
        <v>0</v>
      </c>
      <c r="L39" s="750">
        <f>'Tabell 5.1'!L13+'Tabell 5.1'!L25+'Tabell 5.1'!L37+'Tabell 5.1'!L49+'Tabell 5.1'!L63+'Tabell 5.1'!L75+'Tabell 5.1'!L87+'Tabell 5.1'!L99+'Tabell 5.2'!L13+'Tabell 5.2'!L25+'Tabell 5.2'!L37+'Tabell 5.2'!L49+'Tabell 5.2'!L85+'Tabell 5.2'!L97+'Tabell 5.2'!L123+'Tabell 5.2'!L135+L13+L25+'Tabell 5.2'!L61+'Tabell 5.2'!L73+'Tabell 5.2'!L109</f>
        <v>0</v>
      </c>
      <c r="M39" s="750" t="str">
        <f t="shared" si="16"/>
        <v xml:space="preserve">    ---- </v>
      </c>
      <c r="N39" s="756">
        <f>'Tabell 5.1'!N13+'Tabell 5.1'!N25+'Tabell 5.1'!N37+'Tabell 5.1'!N49+'Tabell 5.1'!N63+'Tabell 5.1'!N75+'Tabell 5.1'!N87+'Tabell 5.1'!N99+'Tabell 5.2'!N13+'Tabell 5.2'!N25+'Tabell 5.2'!N37+'Tabell 5.2'!N49+'Tabell 5.2'!N85+'Tabell 5.2'!N97+'Tabell 5.2'!N123+'Tabell 5.2'!N135+N13+N25+'Tabell 5.2'!N61+'Tabell 5.2'!N73+'Tabell 5.2'!N109</f>
        <v>0</v>
      </c>
      <c r="O39" s="750">
        <f>'Tabell 5.1'!O13+'Tabell 5.1'!O25+'Tabell 5.1'!O37+'Tabell 5.1'!O49+'Tabell 5.1'!O63+'Tabell 5.1'!O75+'Tabell 5.1'!O87+'Tabell 5.1'!O99+'Tabell 5.2'!O13+'Tabell 5.2'!O25+'Tabell 5.2'!O37+'Tabell 5.2'!O49+'Tabell 5.2'!O85+'Tabell 5.2'!O97+'Tabell 5.2'!O123+'Tabell 5.2'!O135+O13+O25+'Tabell 5.2'!O61+'Tabell 5.2'!O73+'Tabell 5.2'!O109</f>
        <v>0</v>
      </c>
      <c r="P39" s="750" t="str">
        <f t="shared" si="17"/>
        <v xml:space="preserve">    ---- </v>
      </c>
      <c r="Q39" s="756">
        <f>'Tabell 5.1'!Q13+'Tabell 5.1'!Q25+'Tabell 5.1'!Q37+'Tabell 5.1'!Q49+'Tabell 5.1'!Q63+'Tabell 5.1'!Q75+'Tabell 5.1'!Q87+'Tabell 5.1'!Q99+'Tabell 5.2'!Q13+'Tabell 5.2'!Q25+'Tabell 5.2'!Q37+'Tabell 5.2'!Q49+'Tabell 5.2'!Q85+'Tabell 5.2'!Q97+'Tabell 5.2'!Q123+'Tabell 5.2'!Q135+Q13+Q25+'Tabell 5.2'!Q61+'Tabell 5.2'!Q73+'Tabell 5.2'!Q109</f>
        <v>4.3610600421062298</v>
      </c>
      <c r="R39" s="750">
        <f>'Tabell 5.1'!R13+'Tabell 5.1'!R25+'Tabell 5.1'!R37+'Tabell 5.1'!R49+'Tabell 5.1'!R63+'Tabell 5.1'!R75+'Tabell 5.1'!R87+'Tabell 5.1'!R99+'Tabell 5.2'!R13+'Tabell 5.2'!R25+'Tabell 5.2'!R37+'Tabell 5.2'!R49+'Tabell 5.2'!R85+'Tabell 5.2'!R97+'Tabell 5.2'!R123+'Tabell 5.2'!R135+R13+R25+'Tabell 5.2'!R61+'Tabell 5.2'!R73+'Tabell 5.2'!R109</f>
        <v>-12.645726</v>
      </c>
      <c r="S39" s="750">
        <f t="shared" si="18"/>
        <v>-390</v>
      </c>
      <c r="T39" s="756">
        <f>'Tabell 5.1'!T13+'Tabell 5.1'!T25+'Tabell 5.1'!T37+'Tabell 5.1'!T49+'Tabell 5.1'!T63+'Tabell 5.1'!T75+'Tabell 5.1'!T87+'Tabell 5.1'!T99+'Tabell 5.2'!T13+'Tabell 5.2'!T25+'Tabell 5.2'!T37+'Tabell 5.2'!T49+'Tabell 5.2'!T85+'Tabell 5.2'!T97+'Tabell 5.2'!T123+'Tabell 5.2'!T135+T13+T25+'Tabell 5.2'!T61+'Tabell 5.2'!T73+'Tabell 5.2'!T109</f>
        <v>-13</v>
      </c>
      <c r="U39" s="750">
        <f>'Tabell 5.1'!U13+'Tabell 5.1'!U25+'Tabell 5.1'!U37+'Tabell 5.1'!U49+'Tabell 5.1'!U63+'Tabell 5.1'!U75+'Tabell 5.1'!U87+'Tabell 5.1'!U99+'Tabell 5.2'!U13+'Tabell 5.2'!U25+'Tabell 5.2'!U37+'Tabell 5.2'!U49+'Tabell 5.2'!U85+'Tabell 5.2'!U97+'Tabell 5.2'!U123+'Tabell 5.2'!U135+U13+U25+'Tabell 5.2'!U61+'Tabell 5.2'!U73+'Tabell 5.2'!U109</f>
        <v>-61</v>
      </c>
      <c r="V39" s="750">
        <f t="shared" si="19"/>
        <v>369.2</v>
      </c>
      <c r="W39" s="750">
        <f>'Tabell 5.1'!W13+'Tabell 5.1'!W25+'Tabell 5.1'!W37+'Tabell 5.1'!W49+'Tabell 5.1'!W63+'Tabell 5.1'!W75+'Tabell 5.1'!W87+'Tabell 5.1'!W99+'Tabell 5.2'!W13+'Tabell 5.2'!W25+'Tabell 5.2'!W37+'Tabell 5.2'!W49+'Tabell 5.2'!W85+'Tabell 5.2'!W97+'Tabell 5.2'!W123+'Tabell 5.2'!W135+W13+W25+'Tabell 5.2'!W61+'Tabell 5.2'!W73+'Tabell 5.2'!W109</f>
        <v>-209.13128879300001</v>
      </c>
      <c r="X39" s="750">
        <f>'Tabell 5.1'!X13+'Tabell 5.1'!X25+'Tabell 5.1'!X37+'Tabell 5.1'!X49+'Tabell 5.1'!X63+'Tabell 5.1'!X75+'Tabell 5.1'!X87+'Tabell 5.1'!X99+'Tabell 5.2'!X13+'Tabell 5.2'!X25+'Tabell 5.2'!X37+'Tabell 5.2'!X49+'Tabell 5.2'!X85+'Tabell 5.2'!X97+'Tabell 5.2'!X123+'Tabell 5.2'!X135+X13+X25+'Tabell 5.2'!X61+'Tabell 5.2'!X73+'Tabell 5.2'!X109</f>
        <v>-354.80609775100197</v>
      </c>
      <c r="Y39" s="750">
        <f t="shared" si="20"/>
        <v>69.7</v>
      </c>
      <c r="Z39" s="756">
        <f>'Tabell 5.1'!Z13+'Tabell 5.1'!Z25+'Tabell 5.1'!Z37+'Tabell 5.1'!Z49+'Tabell 5.1'!Z63+'Tabell 5.1'!Z75+'Tabell 5.1'!Z87+'Tabell 5.1'!Z99+'Tabell 5.2'!Z13+'Tabell 5.2'!Z25+'Tabell 5.2'!Z37+'Tabell 5.2'!Z49+'Tabell 5.2'!Z85+'Tabell 5.2'!Z97+'Tabell 5.2'!Z123+'Tabell 5.2'!Z135+Z13+Z25+'Tabell 5.2'!Z61+'Tabell 5.2'!Z73+'Tabell 5.2'!Z109</f>
        <v>-1975</v>
      </c>
      <c r="AA39" s="750">
        <f>'Tabell 5.1'!AA13+'Tabell 5.1'!AA25+'Tabell 5.1'!AA37+'Tabell 5.1'!AA49+'Tabell 5.1'!AA63+'Tabell 5.1'!AA75+'Tabell 5.1'!AA87+'Tabell 5.1'!AA99+'Tabell 5.2'!AA13+'Tabell 5.2'!AA25+'Tabell 5.2'!AA37+'Tabell 5.2'!AA49+'Tabell 5.2'!AA85+'Tabell 5.2'!AA97+'Tabell 5.2'!AA123+'Tabell 5.2'!AA135+AA13+AA25+'Tabell 5.2'!AA61+'Tabell 5.2'!AA73+'Tabell 5.2'!AA109</f>
        <v>-3033</v>
      </c>
      <c r="AB39" s="750">
        <f t="shared" si="21"/>
        <v>53.6</v>
      </c>
      <c r="AC39" s="756">
        <f>'Tabell 5.1'!AC13+'Tabell 5.1'!AC25+'Tabell 5.1'!AC37+'Tabell 5.1'!AC49+'Tabell 5.1'!AC63+'Tabell 5.1'!AC75+'Tabell 5.1'!AC87+'Tabell 5.1'!AC99+'Tabell 5.2'!AC13+'Tabell 5.2'!AC25+'Tabell 5.2'!AC37+'Tabell 5.2'!AC49+'Tabell 5.2'!AC85+'Tabell 5.2'!AC97+'Tabell 5.2'!AC123+'Tabell 5.2'!AC135+AC13+AC25+'Tabell 5.2'!AC61+'Tabell 5.2'!AC73+'Tabell 5.2'!AC109</f>
        <v>0</v>
      </c>
      <c r="AD39" s="750">
        <f>'Tabell 5.1'!AD13+'Tabell 5.1'!AD25+'Tabell 5.1'!AD37+'Tabell 5.1'!AD49+'Tabell 5.1'!AD63+'Tabell 5.1'!AD75+'Tabell 5.1'!AD87+'Tabell 5.1'!AD99+'Tabell 5.2'!AD13+'Tabell 5.2'!AD25+'Tabell 5.2'!AD37+'Tabell 5.2'!AD49+'Tabell 5.2'!AD85+'Tabell 5.2'!AD97+'Tabell 5.2'!AD123+'Tabell 5.2'!AD135+AD13+AD25+'Tabell 5.2'!AD61+'Tabell 5.2'!AD73+'Tabell 5.2'!AD109</f>
        <v>0</v>
      </c>
      <c r="AE39" s="750" t="str">
        <f t="shared" si="22"/>
        <v xml:space="preserve">    ---- </v>
      </c>
      <c r="AF39" s="756"/>
      <c r="AG39" s="750"/>
      <c r="AH39" s="750"/>
      <c r="AI39" s="756">
        <f>'Tabell 5.1'!AI13+'Tabell 5.1'!AI25+'Tabell 5.1'!AI37+'Tabell 5.1'!AI49+'Tabell 5.1'!AI63+'Tabell 5.1'!AI75+'Tabell 5.1'!AI87+'Tabell 5.1'!AI99+'Tabell 5.2'!AI13+'Tabell 5.2'!AI25+'Tabell 5.2'!AI37+'Tabell 5.2'!AI49+'Tabell 5.2'!AI85+'Tabell 5.2'!AI97+'Tabell 5.2'!AI123+'Tabell 5.2'!AI135+AI13+AI25+'Tabell 5.2'!AI61+'Tabell 5.2'!AI73+'Tabell 5.2'!AI109</f>
        <v>-82.400999999999996</v>
      </c>
      <c r="AJ39" s="750">
        <f>'Tabell 5.1'!AJ13+'Tabell 5.1'!AJ25+'Tabell 5.1'!AJ37+'Tabell 5.1'!AJ49+'Tabell 5.1'!AJ63+'Tabell 5.1'!AJ75+'Tabell 5.1'!AJ87+'Tabell 5.1'!AJ99+'Tabell 5.2'!AJ13+'Tabell 5.2'!AJ25+'Tabell 5.2'!AJ37+'Tabell 5.2'!AJ49+'Tabell 5.2'!AJ85+'Tabell 5.2'!AJ97+'Tabell 5.2'!AJ123+'Tabell 5.2'!AJ135+AJ13+AJ25+'Tabell 5.2'!AJ61+'Tabell 5.2'!AJ73+'Tabell 5.2'!AJ109</f>
        <v>-245.565</v>
      </c>
      <c r="AK39" s="750">
        <f t="shared" si="23"/>
        <v>198</v>
      </c>
      <c r="AL39" s="756">
        <f>'Tabell 5.1'!AL13+'Tabell 5.1'!AL25+'Tabell 5.1'!AL37+'Tabell 5.1'!AL49+'Tabell 5.1'!AL63+'Tabell 5.1'!AL75+'Tabell 5.1'!AL87+'Tabell 5.1'!AL99+'Tabell 5.2'!AL13+'Tabell 5.2'!AL25+'Tabell 5.2'!AL37+'Tabell 5.2'!AL49+'Tabell 5.2'!AL85+'Tabell 5.2'!AL97+'Tabell 5.2'!AL123+'Tabell 5.2'!AL135+AL13+AL25+'Tabell 5.2'!AL61+'Tabell 5.2'!AL73+'Tabell 5.2'!AL109</f>
        <v>0</v>
      </c>
      <c r="AM39" s="750">
        <f>'Tabell 5.1'!AM13+'Tabell 5.1'!AM25+'Tabell 5.1'!AM37+'Tabell 5.1'!AM49+'Tabell 5.1'!AM63+'Tabell 5.1'!AM75+'Tabell 5.1'!AM87+'Tabell 5.1'!AM99+'Tabell 5.2'!AM13+'Tabell 5.2'!AM25+'Tabell 5.2'!AM37+'Tabell 5.2'!AM49+'Tabell 5.2'!AM85+'Tabell 5.2'!AM97+'Tabell 5.2'!AM123+'Tabell 5.2'!AM135+AM13+AM25+'Tabell 5.2'!AM61+'Tabell 5.2'!AM73+'Tabell 5.2'!AM109</f>
        <v>0</v>
      </c>
      <c r="AN39" s="750" t="str">
        <f t="shared" si="24"/>
        <v xml:space="preserve">    ---- </v>
      </c>
      <c r="AO39" s="750">
        <f>'Tabell 5.1'!AO13+'Tabell 5.1'!AO25+'Tabell 5.1'!AO37+'Tabell 5.1'!AO49+'Tabell 5.1'!AO63+'Tabell 5.1'!AO75+'Tabell 5.1'!AO87+'Tabell 5.1'!AO99+'Tabell 5.2'!AO13+'Tabell 5.2'!AO25+'Tabell 5.2'!AO37+'Tabell 5.2'!AO49+'Tabell 5.2'!AO85+'Tabell 5.2'!AO97+'Tabell 5.2'!AO123+'Tabell 5.2'!AO135+AO13+AO25+'Tabell 5.2'!AO61+'Tabell 5.2'!AO73+'Tabell 5.2'!AO109</f>
        <v>-3284.0052287508938</v>
      </c>
      <c r="AP39" s="750">
        <f>'Tabell 5.1'!AP13+'Tabell 5.1'!AP25+'Tabell 5.1'!AP37+'Tabell 5.1'!AP49+'Tabell 5.1'!AP63+'Tabell 5.1'!AP75+'Tabell 5.1'!AP87+'Tabell 5.1'!AP99+'Tabell 5.2'!AP13+'Tabell 5.2'!AP25+'Tabell 5.2'!AP37+'Tabell 5.2'!AP49+'Tabell 5.2'!AP85+'Tabell 5.2'!AP97+'Tabell 5.2'!AP123+'Tabell 5.2'!AP135+AP13+AP25+'Tabell 5.2'!AP61+'Tabell 5.2'!AP73+'Tabell 5.2'!AP109</f>
        <v>-4735.3568237510017</v>
      </c>
      <c r="AQ39" s="750">
        <f t="shared" si="25"/>
        <v>44.2</v>
      </c>
      <c r="AR39" s="750">
        <f>'Tabell 5.1'!AR13+'Tabell 5.1'!AR25+'Tabell 5.1'!AR37+'Tabell 5.1'!AR49+'Tabell 5.1'!AR63+'Tabell 5.1'!AR75+'Tabell 5.1'!AR87+'Tabell 5.1'!AR99+'Tabell 5.2'!AR13+'Tabell 5.2'!AR25+'Tabell 5.2'!AR37+'Tabell 5.2'!AR49+'Tabell 5.2'!AR85+'Tabell 5.2'!AR97+'Tabell 5.2'!AR123+'Tabell 5.2'!AR135+AR13+AR25+'Tabell 5.2'!AR61+'Tabell 5.2'!AR73+'Tabell 5.2'!AR109</f>
        <v>-3284.0052287508938</v>
      </c>
      <c r="AS39" s="750">
        <f>'Tabell 5.1'!AS13+'Tabell 5.1'!AS25+'Tabell 5.1'!AS37+'Tabell 5.1'!AS49+'Tabell 5.1'!AS63+'Tabell 5.1'!AS75+'Tabell 5.1'!AS87+'Tabell 5.1'!AS99+'Tabell 5.2'!AS13+'Tabell 5.2'!AS25+'Tabell 5.2'!AS37+'Tabell 5.2'!AS49+'Tabell 5.2'!AS85+'Tabell 5.2'!AS97+'Tabell 5.2'!AS123+'Tabell 5.2'!AS135+AS13+AS25+'Tabell 5.2'!AS61+'Tabell 5.2'!AS73+'Tabell 5.2'!AS109</f>
        <v>-4735.3568237510017</v>
      </c>
      <c r="AT39" s="751">
        <f t="shared" si="26"/>
        <v>44.2</v>
      </c>
      <c r="AU39" s="788"/>
      <c r="AV39" s="730"/>
      <c r="AW39" s="725"/>
      <c r="AX39" s="725"/>
    </row>
    <row r="40" spans="1:50" s="752" customFormat="1" ht="18.75" customHeight="1" x14ac:dyDescent="0.3">
      <c r="A40" s="688" t="s">
        <v>426</v>
      </c>
      <c r="B40" s="756">
        <f>'Tabell 5.1'!B14+'Tabell 5.1'!B26+'Tabell 5.1'!B38+'Tabell 5.1'!B50+'Tabell 5.1'!B64+'Tabell 5.1'!B76+'Tabell 5.1'!B88+'Tabell 5.1'!B100+'Tabell 5.2'!B14+'Tabell 5.2'!B26+'Tabell 5.2'!B38+'Tabell 5.2'!B50+'Tabell 5.2'!B86+'Tabell 5.2'!B98+'Tabell 5.2'!B124+'Tabell 5.2'!B136+B14+B26+'Tabell 5.2'!B62+'Tabell 5.2'!B74+'Tabell 5.2'!B110</f>
        <v>-22.351999999999997</v>
      </c>
      <c r="C40" s="750">
        <f>'Tabell 5.1'!C14+'Tabell 5.1'!C26+'Tabell 5.1'!C38+'Tabell 5.1'!C50+'Tabell 5.1'!C64+'Tabell 5.1'!C76+'Tabell 5.1'!C88+'Tabell 5.1'!C100+'Tabell 5.2'!C14+'Tabell 5.2'!C26+'Tabell 5.2'!C38+'Tabell 5.2'!C50+'Tabell 5.2'!C86+'Tabell 5.2'!C98+'Tabell 5.2'!C124+'Tabell 5.2'!C136+C14+C26+'Tabell 5.2'!C62+'Tabell 5.2'!C74+'Tabell 5.2'!C110</f>
        <v>-12.766999999999999</v>
      </c>
      <c r="D40" s="750">
        <f t="shared" si="13"/>
        <v>-42.9</v>
      </c>
      <c r="E40" s="756">
        <f>'Tabell 5.1'!E14+'Tabell 5.1'!E26+'Tabell 5.1'!E38+'Tabell 5.1'!E50+'Tabell 5.1'!E64+'Tabell 5.1'!E76+'Tabell 5.1'!E88+'Tabell 5.1'!E100+'Tabell 5.2'!E14+'Tabell 5.2'!E26+'Tabell 5.2'!E38+'Tabell 5.2'!E50+'Tabell 5.2'!E86+'Tabell 5.2'!E98+'Tabell 5.2'!E124+'Tabell 5.2'!E136+E14+E26+'Tabell 5.2'!E62+'Tabell 5.2'!E74+'Tabell 5.2'!E110</f>
        <v>460.97239999999999</v>
      </c>
      <c r="F40" s="750">
        <f>'Tabell 5.1'!F14+'Tabell 5.1'!F26+'Tabell 5.1'!F38+'Tabell 5.1'!F50+'Tabell 5.1'!F64+'Tabell 5.1'!F76+'Tabell 5.1'!F88+'Tabell 5.1'!F100+'Tabell 5.2'!F14+'Tabell 5.2'!F26+'Tabell 5.2'!F38+'Tabell 5.2'!F50+'Tabell 5.2'!F86+'Tabell 5.2'!F98+'Tabell 5.2'!F124+'Tabell 5.2'!F136+F14+F26+'Tabell 5.2'!F62+'Tabell 5.2'!F74+'Tabell 5.2'!F110</f>
        <v>508.55700000000002</v>
      </c>
      <c r="G40" s="750">
        <f t="shared" si="14"/>
        <v>10.3</v>
      </c>
      <c r="H40" s="756">
        <f>'Tabell 5.1'!H14+'Tabell 5.1'!H26+'Tabell 5.1'!H38+'Tabell 5.1'!H50+'Tabell 5.1'!H64+'Tabell 5.1'!H76+'Tabell 5.1'!H88+'Tabell 5.1'!H100+'Tabell 5.2'!H14+'Tabell 5.2'!H26+'Tabell 5.2'!H38+'Tabell 5.2'!H50+'Tabell 5.2'!H86+'Tabell 5.2'!H98+'Tabell 5.2'!H124+'Tabell 5.2'!H136+H14+H26+'Tabell 5.2'!H62+'Tabell 5.2'!H74+'Tabell 5.2'!H110</f>
        <v>-33.031999999999996</v>
      </c>
      <c r="I40" s="750">
        <f>'Tabell 5.1'!I14+'Tabell 5.1'!I26+'Tabell 5.1'!I38+'Tabell 5.1'!I50+'Tabell 5.1'!I64+'Tabell 5.1'!I76+'Tabell 5.1'!I88+'Tabell 5.1'!I100+'Tabell 5.2'!I14+'Tabell 5.2'!I26+'Tabell 5.2'!I38+'Tabell 5.2'!I50+'Tabell 5.2'!I86+'Tabell 5.2'!I98+'Tabell 5.2'!I124+'Tabell 5.2'!I136+I14+I26+'Tabell 5.2'!I62+'Tabell 5.2'!I74+'Tabell 5.2'!I110</f>
        <v>-51.101999999999997</v>
      </c>
      <c r="J40" s="750">
        <f t="shared" si="15"/>
        <v>54.7</v>
      </c>
      <c r="K40" s="756">
        <f>'Tabell 5.1'!K14+'Tabell 5.1'!K26+'Tabell 5.1'!K38+'Tabell 5.1'!K50+'Tabell 5.1'!K64+'Tabell 5.1'!K76+'Tabell 5.1'!K88+'Tabell 5.1'!K100+'Tabell 5.2'!K14+'Tabell 5.2'!K26+'Tabell 5.2'!K38+'Tabell 5.2'!K50+'Tabell 5.2'!K86+'Tabell 5.2'!K98+'Tabell 5.2'!K124+'Tabell 5.2'!K136+K14+K26+'Tabell 5.2'!K62+'Tabell 5.2'!K74+'Tabell 5.2'!K110</f>
        <v>-6.7700000000000031</v>
      </c>
      <c r="L40" s="750">
        <f>'Tabell 5.1'!L14+'Tabell 5.1'!L26+'Tabell 5.1'!L38+'Tabell 5.1'!L50+'Tabell 5.1'!L64+'Tabell 5.1'!L76+'Tabell 5.1'!L88+'Tabell 5.1'!L100+'Tabell 5.2'!L14+'Tabell 5.2'!L26+'Tabell 5.2'!L38+'Tabell 5.2'!L50+'Tabell 5.2'!L86+'Tabell 5.2'!L98+'Tabell 5.2'!L124+'Tabell 5.2'!L136+L14+L26+'Tabell 5.2'!L62+'Tabell 5.2'!L74+'Tabell 5.2'!L110</f>
        <v>-31.241999999999997</v>
      </c>
      <c r="M40" s="750">
        <f t="shared" si="16"/>
        <v>361.5</v>
      </c>
      <c r="N40" s="756">
        <f>'Tabell 5.1'!N14+'Tabell 5.1'!N26+'Tabell 5.1'!N38+'Tabell 5.1'!N50+'Tabell 5.1'!N64+'Tabell 5.1'!N76+'Tabell 5.1'!N88+'Tabell 5.1'!N100+'Tabell 5.2'!N14+'Tabell 5.2'!N26+'Tabell 5.2'!N38+'Tabell 5.2'!N50+'Tabell 5.2'!N86+'Tabell 5.2'!N98+'Tabell 5.2'!N124+'Tabell 5.2'!N136+N14+N26+'Tabell 5.2'!N62+'Tabell 5.2'!N74+'Tabell 5.2'!N110</f>
        <v>5</v>
      </c>
      <c r="O40" s="750">
        <f>'Tabell 5.1'!O14+'Tabell 5.1'!O26+'Tabell 5.1'!O38+'Tabell 5.1'!O50+'Tabell 5.1'!O64+'Tabell 5.1'!O76+'Tabell 5.1'!O88+'Tabell 5.1'!O100+'Tabell 5.2'!O14+'Tabell 5.2'!O26+'Tabell 5.2'!O38+'Tabell 5.2'!O50+'Tabell 5.2'!O86+'Tabell 5.2'!O98+'Tabell 5.2'!O124+'Tabell 5.2'!O136+O14+O26+'Tabell 5.2'!O62+'Tabell 5.2'!O74+'Tabell 5.2'!O110</f>
        <v>5.3410000000000002</v>
      </c>
      <c r="P40" s="750">
        <f t="shared" si="17"/>
        <v>6.8</v>
      </c>
      <c r="Q40" s="756">
        <f>'Tabell 5.1'!Q14+'Tabell 5.1'!Q26+'Tabell 5.1'!Q38+'Tabell 5.1'!Q50+'Tabell 5.1'!Q64+'Tabell 5.1'!Q76+'Tabell 5.1'!Q88+'Tabell 5.1'!Q100+'Tabell 5.2'!Q14+'Tabell 5.2'!Q26+'Tabell 5.2'!Q38+'Tabell 5.2'!Q50+'Tabell 5.2'!Q86+'Tabell 5.2'!Q98+'Tabell 5.2'!Q124+'Tabell 5.2'!Q136+Q14+Q26+'Tabell 5.2'!Q62+'Tabell 5.2'!Q74+'Tabell 5.2'!Q110</f>
        <v>-51.141805686668356</v>
      </c>
      <c r="R40" s="750">
        <f>'Tabell 5.1'!R14+'Tabell 5.1'!R26+'Tabell 5.1'!R38+'Tabell 5.1'!R50+'Tabell 5.1'!R64+'Tabell 5.1'!R76+'Tabell 5.1'!R88+'Tabell 5.1'!R100+'Tabell 5.2'!R14+'Tabell 5.2'!R26+'Tabell 5.2'!R38+'Tabell 5.2'!R50+'Tabell 5.2'!R86+'Tabell 5.2'!R98+'Tabell 5.2'!R124+'Tabell 5.2'!R136+R14+R26+'Tabell 5.2'!R62+'Tabell 5.2'!R74+'Tabell 5.2'!R110</f>
        <v>140.56977323570149</v>
      </c>
      <c r="S40" s="750">
        <f t="shared" si="18"/>
        <v>-374.9</v>
      </c>
      <c r="T40" s="756">
        <f>'Tabell 5.1'!T14+'Tabell 5.1'!T26+'Tabell 5.1'!T38+'Tabell 5.1'!T50+'Tabell 5.1'!T64+'Tabell 5.1'!T76+'Tabell 5.1'!T88+'Tabell 5.1'!T100+'Tabell 5.2'!T14+'Tabell 5.2'!T26+'Tabell 5.2'!T38+'Tabell 5.2'!T50+'Tabell 5.2'!T86+'Tabell 5.2'!T98+'Tabell 5.2'!T124+'Tabell 5.2'!T136+T14+T26+'Tabell 5.2'!T62+'Tabell 5.2'!T74+'Tabell 5.2'!T110</f>
        <v>-32</v>
      </c>
      <c r="U40" s="750">
        <f>'Tabell 5.1'!U14+'Tabell 5.1'!U26+'Tabell 5.1'!U38+'Tabell 5.1'!U50+'Tabell 5.1'!U64+'Tabell 5.1'!U76+'Tabell 5.1'!U88+'Tabell 5.1'!U100+'Tabell 5.2'!U14+'Tabell 5.2'!U26+'Tabell 5.2'!U38+'Tabell 5.2'!U50+'Tabell 5.2'!U86+'Tabell 5.2'!U98+'Tabell 5.2'!U124+'Tabell 5.2'!U136+U14+U26+'Tabell 5.2'!U62+'Tabell 5.2'!U74+'Tabell 5.2'!U110</f>
        <v>-39</v>
      </c>
      <c r="V40" s="750">
        <f t="shared" si="19"/>
        <v>21.9</v>
      </c>
      <c r="W40" s="750">
        <f>'Tabell 5.1'!W14+'Tabell 5.1'!W26+'Tabell 5.1'!W38+'Tabell 5.1'!W50+'Tabell 5.1'!W64+'Tabell 5.1'!W76+'Tabell 5.1'!W88+'Tabell 5.1'!W100+'Tabell 5.2'!W14+'Tabell 5.2'!W26+'Tabell 5.2'!W38+'Tabell 5.2'!W50+'Tabell 5.2'!W86+'Tabell 5.2'!W98+'Tabell 5.2'!W124+'Tabell 5.2'!W136+W14+W26+'Tabell 5.2'!W62+'Tabell 5.2'!W74+'Tabell 5.2'!W110</f>
        <v>224.82276915199998</v>
      </c>
      <c r="X40" s="750">
        <f>'Tabell 5.1'!X14+'Tabell 5.1'!X26+'Tabell 5.1'!X38+'Tabell 5.1'!X50+'Tabell 5.1'!X64+'Tabell 5.1'!X76+'Tabell 5.1'!X88+'Tabell 5.1'!X100+'Tabell 5.2'!X14+'Tabell 5.2'!X26+'Tabell 5.2'!X38+'Tabell 5.2'!X50+'Tabell 5.2'!X86+'Tabell 5.2'!X98+'Tabell 5.2'!X124+'Tabell 5.2'!X136+X14+X26+'Tabell 5.2'!X62+'Tabell 5.2'!X74+'Tabell 5.2'!X110</f>
        <v>304.43918011361586</v>
      </c>
      <c r="Y40" s="750">
        <f t="shared" si="20"/>
        <v>35.4</v>
      </c>
      <c r="Z40" s="756">
        <f>'Tabell 5.1'!Z14+'Tabell 5.1'!Z26+'Tabell 5.1'!Z38+'Tabell 5.1'!Z50+'Tabell 5.1'!Z64+'Tabell 5.1'!Z76+'Tabell 5.1'!Z88+'Tabell 5.1'!Z100+'Tabell 5.2'!Z14+'Tabell 5.2'!Z26+'Tabell 5.2'!Z38+'Tabell 5.2'!Z50+'Tabell 5.2'!Z86+'Tabell 5.2'!Z98+'Tabell 5.2'!Z124+'Tabell 5.2'!Z136+Z14+Z26+'Tabell 5.2'!Z62+'Tabell 5.2'!Z74+'Tabell 5.2'!Z110</f>
        <v>16</v>
      </c>
      <c r="AA40" s="750">
        <f>'Tabell 5.1'!AA14+'Tabell 5.1'!AA26+'Tabell 5.1'!AA38+'Tabell 5.1'!AA50+'Tabell 5.1'!AA64+'Tabell 5.1'!AA76+'Tabell 5.1'!AA88+'Tabell 5.1'!AA100+'Tabell 5.2'!AA14+'Tabell 5.2'!AA26+'Tabell 5.2'!AA38+'Tabell 5.2'!AA50+'Tabell 5.2'!AA86+'Tabell 5.2'!AA98+'Tabell 5.2'!AA124+'Tabell 5.2'!AA136+AA14+AA26+'Tabell 5.2'!AA62+'Tabell 5.2'!AA74+'Tabell 5.2'!AA110</f>
        <v>39</v>
      </c>
      <c r="AB40" s="750">
        <f t="shared" si="21"/>
        <v>143.80000000000001</v>
      </c>
      <c r="AC40" s="756">
        <f>'Tabell 5.1'!AC14+'Tabell 5.1'!AC26+'Tabell 5.1'!AC38+'Tabell 5.1'!AC50+'Tabell 5.1'!AC64+'Tabell 5.1'!AC76+'Tabell 5.1'!AC88+'Tabell 5.1'!AC100+'Tabell 5.2'!AC14+'Tabell 5.2'!AC26+'Tabell 5.2'!AC38+'Tabell 5.2'!AC50+'Tabell 5.2'!AC86+'Tabell 5.2'!AC98+'Tabell 5.2'!AC124+'Tabell 5.2'!AC136+AC14+AC26+'Tabell 5.2'!AC62+'Tabell 5.2'!AC74+'Tabell 5.2'!AC110</f>
        <v>9</v>
      </c>
      <c r="AD40" s="750">
        <f>'Tabell 5.1'!AD14+'Tabell 5.1'!AD26+'Tabell 5.1'!AD38+'Tabell 5.1'!AD50+'Tabell 5.1'!AD64+'Tabell 5.1'!AD76+'Tabell 5.1'!AD88+'Tabell 5.1'!AD100+'Tabell 5.2'!AD14+'Tabell 5.2'!AD26+'Tabell 5.2'!AD38+'Tabell 5.2'!AD50+'Tabell 5.2'!AD86+'Tabell 5.2'!AD98+'Tabell 5.2'!AD124+'Tabell 5.2'!AD136+AD14+AD26+'Tabell 5.2'!AD62+'Tabell 5.2'!AD74+'Tabell 5.2'!AD110</f>
        <v>12.686</v>
      </c>
      <c r="AE40" s="750">
        <f t="shared" si="22"/>
        <v>41</v>
      </c>
      <c r="AF40" s="756"/>
      <c r="AG40" s="750"/>
      <c r="AH40" s="750"/>
      <c r="AI40" s="756">
        <f>'Tabell 5.1'!AI14+'Tabell 5.1'!AI26+'Tabell 5.1'!AI38+'Tabell 5.1'!AI50+'Tabell 5.1'!AI64+'Tabell 5.1'!AI76+'Tabell 5.1'!AI88+'Tabell 5.1'!AI100+'Tabell 5.2'!AI14+'Tabell 5.2'!AI26+'Tabell 5.2'!AI38+'Tabell 5.2'!AI50+'Tabell 5.2'!AI86+'Tabell 5.2'!AI98+'Tabell 5.2'!AI124+'Tabell 5.2'!AI136+AI14+AI26+'Tabell 5.2'!AI62+'Tabell 5.2'!AI74+'Tabell 5.2'!AI110</f>
        <v>-71.313000000000002</v>
      </c>
      <c r="AJ40" s="750">
        <f>'Tabell 5.1'!AJ14+'Tabell 5.1'!AJ26+'Tabell 5.1'!AJ38+'Tabell 5.1'!AJ50+'Tabell 5.1'!AJ64+'Tabell 5.1'!AJ76+'Tabell 5.1'!AJ88+'Tabell 5.1'!AJ100+'Tabell 5.2'!AJ14+'Tabell 5.2'!AJ26+'Tabell 5.2'!AJ38+'Tabell 5.2'!AJ50+'Tabell 5.2'!AJ86+'Tabell 5.2'!AJ98+'Tabell 5.2'!AJ124+'Tabell 5.2'!AJ136+AJ14+AJ26+'Tabell 5.2'!AJ62+'Tabell 5.2'!AJ74+'Tabell 5.2'!AJ110</f>
        <v>5.4559999999999995</v>
      </c>
      <c r="AK40" s="750">
        <f t="shared" si="23"/>
        <v>-107.7</v>
      </c>
      <c r="AL40" s="756">
        <f>'Tabell 5.1'!AL14+'Tabell 5.1'!AL26+'Tabell 5.1'!AL38+'Tabell 5.1'!AL50+'Tabell 5.1'!AL64+'Tabell 5.1'!AL76+'Tabell 5.1'!AL88+'Tabell 5.1'!AL100+'Tabell 5.2'!AL14+'Tabell 5.2'!AL26+'Tabell 5.2'!AL38+'Tabell 5.2'!AL50+'Tabell 5.2'!AL86+'Tabell 5.2'!AL98+'Tabell 5.2'!AL124+'Tabell 5.2'!AL136+AL14+AL26+'Tabell 5.2'!AL62+'Tabell 5.2'!AL74+'Tabell 5.2'!AL110</f>
        <v>186.20000000000002</v>
      </c>
      <c r="AM40" s="750">
        <f>'Tabell 5.1'!AM14+'Tabell 5.1'!AM26+'Tabell 5.1'!AM38+'Tabell 5.1'!AM50+'Tabell 5.1'!AM64+'Tabell 5.1'!AM76+'Tabell 5.1'!AM88+'Tabell 5.1'!AM100+'Tabell 5.2'!AM14+'Tabell 5.2'!AM26+'Tabell 5.2'!AM38+'Tabell 5.2'!AM50+'Tabell 5.2'!AM86+'Tabell 5.2'!AM98+'Tabell 5.2'!AM124+'Tabell 5.2'!AM136+AM14+AM26+'Tabell 5.2'!AM62+'Tabell 5.2'!AM74+'Tabell 5.2'!AM110</f>
        <v>221.2</v>
      </c>
      <c r="AN40" s="750">
        <f t="shared" si="24"/>
        <v>18.8</v>
      </c>
      <c r="AO40" s="750">
        <f>'Tabell 5.1'!AO14+'Tabell 5.1'!AO26+'Tabell 5.1'!AO38+'Tabell 5.1'!AO50+'Tabell 5.1'!AO64+'Tabell 5.1'!AO76+'Tabell 5.1'!AO88+'Tabell 5.1'!AO100+'Tabell 5.2'!AO14+'Tabell 5.2'!AO26+'Tabell 5.2'!AO38+'Tabell 5.2'!AO50+'Tabell 5.2'!AO86+'Tabell 5.2'!AO98+'Tabell 5.2'!AO124+'Tabell 5.2'!AO136+AO14+AO26+'Tabell 5.2'!AO62+'Tabell 5.2'!AO74+'Tabell 5.2'!AO110</f>
        <v>671.38636346533167</v>
      </c>
      <c r="AP40" s="750">
        <f>'Tabell 5.1'!AP14+'Tabell 5.1'!AP26+'Tabell 5.1'!AP38+'Tabell 5.1'!AP50+'Tabell 5.1'!AP64+'Tabell 5.1'!AP76+'Tabell 5.1'!AP88+'Tabell 5.1'!AP100+'Tabell 5.2'!AP14+'Tabell 5.2'!AP26+'Tabell 5.2'!AP38+'Tabell 5.2'!AP50+'Tabell 5.2'!AP86+'Tabell 5.2'!AP98+'Tabell 5.2'!AP124+'Tabell 5.2'!AP136+AP14+AP26+'Tabell 5.2'!AP62+'Tabell 5.2'!AP74+'Tabell 5.2'!AP110</f>
        <v>1085.1109533493172</v>
      </c>
      <c r="AQ40" s="750">
        <f t="shared" si="25"/>
        <v>61.6</v>
      </c>
      <c r="AR40" s="750">
        <f>'Tabell 5.1'!AR14+'Tabell 5.1'!AR26+'Tabell 5.1'!AR38+'Tabell 5.1'!AR50+'Tabell 5.1'!AR64+'Tabell 5.1'!AR76+'Tabell 5.1'!AR88+'Tabell 5.1'!AR100+'Tabell 5.2'!AR14+'Tabell 5.2'!AR26+'Tabell 5.2'!AR38+'Tabell 5.2'!AR50+'Tabell 5.2'!AR86+'Tabell 5.2'!AR98+'Tabell 5.2'!AR124+'Tabell 5.2'!AR136+AR14+AR26+'Tabell 5.2'!AR62+'Tabell 5.2'!AR74+'Tabell 5.2'!AR110</f>
        <v>685.38636346533167</v>
      </c>
      <c r="AS40" s="750">
        <f>'Tabell 5.1'!AS14+'Tabell 5.1'!AS26+'Tabell 5.1'!AS38+'Tabell 5.1'!AS50+'Tabell 5.1'!AS64+'Tabell 5.1'!AS76+'Tabell 5.1'!AS88+'Tabell 5.1'!AS100+'Tabell 5.2'!AS14+'Tabell 5.2'!AS26+'Tabell 5.2'!AS38+'Tabell 5.2'!AS50+'Tabell 5.2'!AS86+'Tabell 5.2'!AS98+'Tabell 5.2'!AS124+'Tabell 5.2'!AS136+AS14+AS26+'Tabell 5.2'!AS62+'Tabell 5.2'!AS74+'Tabell 5.2'!AS110</f>
        <v>1103.1379533493173</v>
      </c>
      <c r="AT40" s="751">
        <f t="shared" si="26"/>
        <v>61</v>
      </c>
      <c r="AU40" s="788"/>
      <c r="AV40" s="730"/>
      <c r="AW40" s="725"/>
      <c r="AX40" s="725"/>
    </row>
    <row r="41" spans="1:50" s="752" customFormat="1" ht="18.75" customHeight="1" x14ac:dyDescent="0.3">
      <c r="A41" s="688" t="s">
        <v>427</v>
      </c>
      <c r="B41" s="756">
        <f>'Tabell 5.1'!B15+'Tabell 5.1'!B27+'Tabell 5.1'!B39+'Tabell 5.1'!B51+'Tabell 5.1'!B65+'Tabell 5.1'!B77+'Tabell 5.1'!B89+'Tabell 5.1'!B101+'Tabell 5.2'!B15+'Tabell 5.2'!B27+'Tabell 5.2'!B39+'Tabell 5.2'!B51+'Tabell 5.2'!B87+'Tabell 5.2'!B99+'Tabell 5.2'!B125+'Tabell 5.2'!B137+B15+B27+'Tabell 5.2'!B63+'Tabell 5.2'!B75+'Tabell 5.2'!B111</f>
        <v>0</v>
      </c>
      <c r="C41" s="750">
        <f>'Tabell 5.1'!C15+'Tabell 5.1'!C27+'Tabell 5.1'!C39+'Tabell 5.1'!C51+'Tabell 5.1'!C65+'Tabell 5.1'!C77+'Tabell 5.1'!C89+'Tabell 5.1'!C101+'Tabell 5.2'!C15+'Tabell 5.2'!C27+'Tabell 5.2'!C39+'Tabell 5.2'!C51+'Tabell 5.2'!C87+'Tabell 5.2'!C99+'Tabell 5.2'!C125+'Tabell 5.2'!C137+C15+C27+'Tabell 5.2'!C63+'Tabell 5.2'!C75+'Tabell 5.2'!C111</f>
        <v>0</v>
      </c>
      <c r="D41" s="750" t="str">
        <f t="shared" si="13"/>
        <v xml:space="preserve">    ---- </v>
      </c>
      <c r="E41" s="756">
        <f>'Tabell 5.1'!E15+'Tabell 5.1'!E27+'Tabell 5.1'!E39+'Tabell 5.1'!E51+'Tabell 5.1'!E65+'Tabell 5.1'!E77+'Tabell 5.1'!E89+'Tabell 5.1'!E101+'Tabell 5.2'!E15+'Tabell 5.2'!E27+'Tabell 5.2'!E39+'Tabell 5.2'!E51+'Tabell 5.2'!E87+'Tabell 5.2'!E99+'Tabell 5.2'!E125+'Tabell 5.2'!E137+E15+E27+'Tabell 5.2'!E63+'Tabell 5.2'!E75+'Tabell 5.2'!E111</f>
        <v>55.479100000000003</v>
      </c>
      <c r="F41" s="750">
        <f>'Tabell 5.1'!F15+'Tabell 5.1'!F27+'Tabell 5.1'!F39+'Tabell 5.1'!F51+'Tabell 5.1'!F65+'Tabell 5.1'!F77+'Tabell 5.1'!F89+'Tabell 5.1'!F101+'Tabell 5.2'!F15+'Tabell 5.2'!F27+'Tabell 5.2'!F39+'Tabell 5.2'!F51+'Tabell 5.2'!F87+'Tabell 5.2'!F99+'Tabell 5.2'!F125+'Tabell 5.2'!F137+F15+F27+'Tabell 5.2'!F63+'Tabell 5.2'!F75+'Tabell 5.2'!F111</f>
        <v>30.56</v>
      </c>
      <c r="G41" s="750">
        <f t="shared" si="14"/>
        <v>-44.9</v>
      </c>
      <c r="H41" s="756">
        <f>'Tabell 5.1'!H15+'Tabell 5.1'!H27+'Tabell 5.1'!H39+'Tabell 5.1'!H51+'Tabell 5.1'!H65+'Tabell 5.1'!H77+'Tabell 5.1'!H89+'Tabell 5.1'!H101+'Tabell 5.2'!H15+'Tabell 5.2'!H27+'Tabell 5.2'!H39+'Tabell 5.2'!H51+'Tabell 5.2'!H87+'Tabell 5.2'!H99+'Tabell 5.2'!H125+'Tabell 5.2'!H137+H15+H27+'Tabell 5.2'!H63+'Tabell 5.2'!H75+'Tabell 5.2'!H111</f>
        <v>0</v>
      </c>
      <c r="I41" s="750">
        <f>'Tabell 5.1'!I15+'Tabell 5.1'!I27+'Tabell 5.1'!I39+'Tabell 5.1'!I51+'Tabell 5.1'!I65+'Tabell 5.1'!I77+'Tabell 5.1'!I89+'Tabell 5.1'!I101+'Tabell 5.2'!I15+'Tabell 5.2'!I27+'Tabell 5.2'!I39+'Tabell 5.2'!I51+'Tabell 5.2'!I87+'Tabell 5.2'!I99+'Tabell 5.2'!I125+'Tabell 5.2'!I137+I15+I27+'Tabell 5.2'!I63+'Tabell 5.2'!I75+'Tabell 5.2'!I111</f>
        <v>0</v>
      </c>
      <c r="J41" s="750" t="str">
        <f t="shared" si="15"/>
        <v xml:space="preserve">    ---- </v>
      </c>
      <c r="K41" s="756">
        <f>'Tabell 5.1'!K15+'Tabell 5.1'!K27+'Tabell 5.1'!K39+'Tabell 5.1'!K51+'Tabell 5.1'!K65+'Tabell 5.1'!K77+'Tabell 5.1'!K89+'Tabell 5.1'!K101+'Tabell 5.2'!K15+'Tabell 5.2'!K27+'Tabell 5.2'!K39+'Tabell 5.2'!K51+'Tabell 5.2'!K87+'Tabell 5.2'!K99+'Tabell 5.2'!K125+'Tabell 5.2'!K137+K15+K27+'Tabell 5.2'!K63+'Tabell 5.2'!K75+'Tabell 5.2'!K111</f>
        <v>0</v>
      </c>
      <c r="L41" s="750">
        <f>'Tabell 5.1'!L15+'Tabell 5.1'!L27+'Tabell 5.1'!L39+'Tabell 5.1'!L51+'Tabell 5.1'!L65+'Tabell 5.1'!L77+'Tabell 5.1'!L89+'Tabell 5.1'!L101+'Tabell 5.2'!L15+'Tabell 5.2'!L27+'Tabell 5.2'!L39+'Tabell 5.2'!L51+'Tabell 5.2'!L87+'Tabell 5.2'!L99+'Tabell 5.2'!L125+'Tabell 5.2'!L137+L15+L27+'Tabell 5.2'!L63+'Tabell 5.2'!L75+'Tabell 5.2'!L111</f>
        <v>0</v>
      </c>
      <c r="M41" s="750" t="str">
        <f t="shared" si="16"/>
        <v xml:space="preserve">    ---- </v>
      </c>
      <c r="N41" s="756">
        <f>'Tabell 5.1'!N15+'Tabell 5.1'!N27+'Tabell 5.1'!N39+'Tabell 5.1'!N51+'Tabell 5.1'!N65+'Tabell 5.1'!N77+'Tabell 5.1'!N89+'Tabell 5.1'!N101+'Tabell 5.2'!N15+'Tabell 5.2'!N27+'Tabell 5.2'!N39+'Tabell 5.2'!N51+'Tabell 5.2'!N87+'Tabell 5.2'!N99+'Tabell 5.2'!N125+'Tabell 5.2'!N137+N15+N27+'Tabell 5.2'!N63+'Tabell 5.2'!N75+'Tabell 5.2'!N111</f>
        <v>0</v>
      </c>
      <c r="O41" s="750">
        <f>'Tabell 5.1'!O15+'Tabell 5.1'!O27+'Tabell 5.1'!O39+'Tabell 5.1'!O51+'Tabell 5.1'!O65+'Tabell 5.1'!O77+'Tabell 5.1'!O89+'Tabell 5.1'!O101+'Tabell 5.2'!O15+'Tabell 5.2'!O27+'Tabell 5.2'!O39+'Tabell 5.2'!O51+'Tabell 5.2'!O87+'Tabell 5.2'!O99+'Tabell 5.2'!O125+'Tabell 5.2'!O137+O15+O27+'Tabell 5.2'!O63+'Tabell 5.2'!O75+'Tabell 5.2'!O111</f>
        <v>0</v>
      </c>
      <c r="P41" s="750" t="str">
        <f t="shared" si="17"/>
        <v xml:space="preserve">    ---- </v>
      </c>
      <c r="Q41" s="756">
        <f>'Tabell 5.1'!Q15+'Tabell 5.1'!Q27+'Tabell 5.1'!Q39+'Tabell 5.1'!Q51+'Tabell 5.1'!Q65+'Tabell 5.1'!Q77+'Tabell 5.1'!Q89+'Tabell 5.1'!Q101+'Tabell 5.2'!Q15+'Tabell 5.2'!Q27+'Tabell 5.2'!Q39+'Tabell 5.2'!Q51+'Tabell 5.2'!Q87+'Tabell 5.2'!Q99+'Tabell 5.2'!Q125+'Tabell 5.2'!Q137+Q15+Q27+'Tabell 5.2'!Q63+'Tabell 5.2'!Q75+'Tabell 5.2'!Q111</f>
        <v>0</v>
      </c>
      <c r="R41" s="750">
        <f>'Tabell 5.1'!R15+'Tabell 5.1'!R27+'Tabell 5.1'!R39+'Tabell 5.1'!R51+'Tabell 5.1'!R65+'Tabell 5.1'!R77+'Tabell 5.1'!R89+'Tabell 5.1'!R101+'Tabell 5.2'!R15+'Tabell 5.2'!R27+'Tabell 5.2'!R39+'Tabell 5.2'!R51+'Tabell 5.2'!R87+'Tabell 5.2'!R99+'Tabell 5.2'!R125+'Tabell 5.2'!R137+R15+R27+'Tabell 5.2'!R63+'Tabell 5.2'!R75+'Tabell 5.2'!R111</f>
        <v>0</v>
      </c>
      <c r="S41" s="750" t="str">
        <f t="shared" si="18"/>
        <v xml:space="preserve">    ---- </v>
      </c>
      <c r="T41" s="756">
        <f>'Tabell 5.1'!T15+'Tabell 5.1'!T27+'Tabell 5.1'!T39+'Tabell 5.1'!T51+'Tabell 5.1'!T65+'Tabell 5.1'!T77+'Tabell 5.1'!T89+'Tabell 5.1'!T101+'Tabell 5.2'!T15+'Tabell 5.2'!T27+'Tabell 5.2'!T39+'Tabell 5.2'!T51+'Tabell 5.2'!T87+'Tabell 5.2'!T99+'Tabell 5.2'!T125+'Tabell 5.2'!T137+T15+T27+'Tabell 5.2'!T63+'Tabell 5.2'!T75+'Tabell 5.2'!T111</f>
        <v>3</v>
      </c>
      <c r="U41" s="750">
        <f>'Tabell 5.1'!U15+'Tabell 5.1'!U27+'Tabell 5.1'!U39+'Tabell 5.1'!U51+'Tabell 5.1'!U65+'Tabell 5.1'!U77+'Tabell 5.1'!U89+'Tabell 5.1'!U101+'Tabell 5.2'!U15+'Tabell 5.2'!U27+'Tabell 5.2'!U39+'Tabell 5.2'!U51+'Tabell 5.2'!U87+'Tabell 5.2'!U99+'Tabell 5.2'!U125+'Tabell 5.2'!U137+U15+U27+'Tabell 5.2'!U63+'Tabell 5.2'!U75+'Tabell 5.2'!U111</f>
        <v>3</v>
      </c>
      <c r="V41" s="750">
        <f t="shared" si="19"/>
        <v>0</v>
      </c>
      <c r="W41" s="750">
        <f>'Tabell 5.1'!W15+'Tabell 5.1'!W27+'Tabell 5.1'!W39+'Tabell 5.1'!W51+'Tabell 5.1'!W65+'Tabell 5.1'!W77+'Tabell 5.1'!W89+'Tabell 5.1'!W101+'Tabell 5.2'!W15+'Tabell 5.2'!W27+'Tabell 5.2'!W39+'Tabell 5.2'!W51+'Tabell 5.2'!W87+'Tabell 5.2'!W99+'Tabell 5.2'!W125+'Tabell 5.2'!W137+W15+W27+'Tabell 5.2'!W63+'Tabell 5.2'!W75+'Tabell 5.2'!W111</f>
        <v>4.1174720999999996</v>
      </c>
      <c r="X41" s="750">
        <f>'Tabell 5.1'!X15+'Tabell 5.1'!X27+'Tabell 5.1'!X39+'Tabell 5.1'!X51+'Tabell 5.1'!X65+'Tabell 5.1'!X77+'Tabell 5.1'!X89+'Tabell 5.1'!X101+'Tabell 5.2'!X15+'Tabell 5.2'!X27+'Tabell 5.2'!X39+'Tabell 5.2'!X51+'Tabell 5.2'!X87+'Tabell 5.2'!X99+'Tabell 5.2'!X125+'Tabell 5.2'!X137+X15+X27+'Tabell 5.2'!X63+'Tabell 5.2'!X75+'Tabell 5.2'!X111</f>
        <v>1.1754993</v>
      </c>
      <c r="Y41" s="750">
        <f t="shared" si="20"/>
        <v>-71.5</v>
      </c>
      <c r="Z41" s="756">
        <f>'Tabell 5.1'!Z15+'Tabell 5.1'!Z27+'Tabell 5.1'!Z39+'Tabell 5.1'!Z51+'Tabell 5.1'!Z65+'Tabell 5.1'!Z77+'Tabell 5.1'!Z89+'Tabell 5.1'!Z101+'Tabell 5.2'!Z15+'Tabell 5.2'!Z27+'Tabell 5.2'!Z39+'Tabell 5.2'!Z51+'Tabell 5.2'!Z87+'Tabell 5.2'!Z99+'Tabell 5.2'!Z125+'Tabell 5.2'!Z137+Z15+Z27+'Tabell 5.2'!Z63+'Tabell 5.2'!Z75+'Tabell 5.2'!Z111</f>
        <v>0</v>
      </c>
      <c r="AA41" s="750">
        <f>'Tabell 5.1'!AA15+'Tabell 5.1'!AA27+'Tabell 5.1'!AA39+'Tabell 5.1'!AA51+'Tabell 5.1'!AA65+'Tabell 5.1'!AA77+'Tabell 5.1'!AA89+'Tabell 5.1'!AA101+'Tabell 5.2'!AA15+'Tabell 5.2'!AA27+'Tabell 5.2'!AA39+'Tabell 5.2'!AA51+'Tabell 5.2'!AA87+'Tabell 5.2'!AA99+'Tabell 5.2'!AA125+'Tabell 5.2'!AA137+AA15+AA27+'Tabell 5.2'!AA63+'Tabell 5.2'!AA75+'Tabell 5.2'!AA111</f>
        <v>0</v>
      </c>
      <c r="AB41" s="750" t="str">
        <f t="shared" si="21"/>
        <v xml:space="preserve">    ---- </v>
      </c>
      <c r="AC41" s="756">
        <f>'Tabell 5.1'!AC15+'Tabell 5.1'!AC27+'Tabell 5.1'!AC39+'Tabell 5.1'!AC51+'Tabell 5.1'!AC65+'Tabell 5.1'!AC77+'Tabell 5.1'!AC89+'Tabell 5.1'!AC101+'Tabell 5.2'!AC15+'Tabell 5.2'!AC27+'Tabell 5.2'!AC39+'Tabell 5.2'!AC51+'Tabell 5.2'!AC87+'Tabell 5.2'!AC99+'Tabell 5.2'!AC125+'Tabell 5.2'!AC137+AC15+AC27+'Tabell 5.2'!AC63+'Tabell 5.2'!AC75+'Tabell 5.2'!AC111</f>
        <v>0</v>
      </c>
      <c r="AD41" s="750">
        <f>'Tabell 5.1'!AD15+'Tabell 5.1'!AD27+'Tabell 5.1'!AD39+'Tabell 5.1'!AD51+'Tabell 5.1'!AD65+'Tabell 5.1'!AD77+'Tabell 5.1'!AD89+'Tabell 5.1'!AD101+'Tabell 5.2'!AD15+'Tabell 5.2'!AD27+'Tabell 5.2'!AD39+'Tabell 5.2'!AD51+'Tabell 5.2'!AD87+'Tabell 5.2'!AD99+'Tabell 5.2'!AD125+'Tabell 5.2'!AD137+AD15+AD27+'Tabell 5.2'!AD63+'Tabell 5.2'!AD75+'Tabell 5.2'!AD111</f>
        <v>0</v>
      </c>
      <c r="AE41" s="750" t="str">
        <f t="shared" si="22"/>
        <v xml:space="preserve">    ---- </v>
      </c>
      <c r="AF41" s="756"/>
      <c r="AG41" s="750"/>
      <c r="AH41" s="750"/>
      <c r="AI41" s="756">
        <f>'Tabell 5.1'!AI15+'Tabell 5.1'!AI27+'Tabell 5.1'!AI39+'Tabell 5.1'!AI51+'Tabell 5.1'!AI65+'Tabell 5.1'!AI77+'Tabell 5.1'!AI89+'Tabell 5.1'!AI101+'Tabell 5.2'!AI15+'Tabell 5.2'!AI27+'Tabell 5.2'!AI39+'Tabell 5.2'!AI51+'Tabell 5.2'!AI87+'Tabell 5.2'!AI99+'Tabell 5.2'!AI125+'Tabell 5.2'!AI137+AI15+AI27+'Tabell 5.2'!AI63+'Tabell 5.2'!AI75+'Tabell 5.2'!AI111</f>
        <v>0</v>
      </c>
      <c r="AJ41" s="750">
        <f>'Tabell 5.1'!AJ15+'Tabell 5.1'!AJ27+'Tabell 5.1'!AJ39+'Tabell 5.1'!AJ51+'Tabell 5.1'!AJ65+'Tabell 5.1'!AJ77+'Tabell 5.1'!AJ89+'Tabell 5.1'!AJ101+'Tabell 5.2'!AJ15+'Tabell 5.2'!AJ27+'Tabell 5.2'!AJ39+'Tabell 5.2'!AJ51+'Tabell 5.2'!AJ87+'Tabell 5.2'!AJ99+'Tabell 5.2'!AJ125+'Tabell 5.2'!AJ137+AJ15+AJ27+'Tabell 5.2'!AJ63+'Tabell 5.2'!AJ75+'Tabell 5.2'!AJ111</f>
        <v>0</v>
      </c>
      <c r="AK41" s="750" t="str">
        <f t="shared" si="23"/>
        <v xml:space="preserve">    ---- </v>
      </c>
      <c r="AL41" s="756">
        <f>'Tabell 5.1'!AL15+'Tabell 5.1'!AL27+'Tabell 5.1'!AL39+'Tabell 5.1'!AL51+'Tabell 5.1'!AL65+'Tabell 5.1'!AL77+'Tabell 5.1'!AL89+'Tabell 5.1'!AL101+'Tabell 5.2'!AL15+'Tabell 5.2'!AL27+'Tabell 5.2'!AL39+'Tabell 5.2'!AL51+'Tabell 5.2'!AL87+'Tabell 5.2'!AL99+'Tabell 5.2'!AL125+'Tabell 5.2'!AL137+AL15+AL27+'Tabell 5.2'!AL63+'Tabell 5.2'!AL75+'Tabell 5.2'!AL111</f>
        <v>106.5</v>
      </c>
      <c r="AM41" s="750">
        <f>'Tabell 5.1'!AM15+'Tabell 5.1'!AM27+'Tabell 5.1'!AM39+'Tabell 5.1'!AM51+'Tabell 5.1'!AM65+'Tabell 5.1'!AM77+'Tabell 5.1'!AM89+'Tabell 5.1'!AM101+'Tabell 5.2'!AM15+'Tabell 5.2'!AM27+'Tabell 5.2'!AM39+'Tabell 5.2'!AM51+'Tabell 5.2'!AM87+'Tabell 5.2'!AM99+'Tabell 5.2'!AM125+'Tabell 5.2'!AM137+AM15+AM27+'Tabell 5.2'!AM63+'Tabell 5.2'!AM75+'Tabell 5.2'!AM111</f>
        <v>281.81</v>
      </c>
      <c r="AN41" s="750">
        <f t="shared" si="24"/>
        <v>164.6</v>
      </c>
      <c r="AO41" s="750">
        <f>'Tabell 5.1'!AO15+'Tabell 5.1'!AO27+'Tabell 5.1'!AO39+'Tabell 5.1'!AO51+'Tabell 5.1'!AO65+'Tabell 5.1'!AO77+'Tabell 5.1'!AO89+'Tabell 5.1'!AO101+'Tabell 5.2'!AO15+'Tabell 5.2'!AO27+'Tabell 5.2'!AO39+'Tabell 5.2'!AO51+'Tabell 5.2'!AO87+'Tabell 5.2'!AO99+'Tabell 5.2'!AO125+'Tabell 5.2'!AO137+AO15+AO27+'Tabell 5.2'!AO63+'Tabell 5.2'!AO75+'Tabell 5.2'!AO111</f>
        <v>297.59858091500001</v>
      </c>
      <c r="AP41" s="750">
        <f>'Tabell 5.1'!AP15+'Tabell 5.1'!AP27+'Tabell 5.1'!AP39+'Tabell 5.1'!AP51+'Tabell 5.1'!AP65+'Tabell 5.1'!AP77+'Tabell 5.1'!AP89+'Tabell 5.1'!AP101+'Tabell 5.2'!AP15+'Tabell 5.2'!AP27+'Tabell 5.2'!AP39+'Tabell 5.2'!AP51+'Tabell 5.2'!AP87+'Tabell 5.2'!AP99+'Tabell 5.2'!AP125+'Tabell 5.2'!AP137+AP15+AP27+'Tabell 5.2'!AP63+'Tabell 5.2'!AP75+'Tabell 5.2'!AP111</f>
        <v>316.54549929999996</v>
      </c>
      <c r="AQ41" s="750">
        <f t="shared" si="25"/>
        <v>6.4</v>
      </c>
      <c r="AR41" s="750">
        <f>'Tabell 5.1'!AR15+'Tabell 5.1'!AR27+'Tabell 5.1'!AR39+'Tabell 5.1'!AR51+'Tabell 5.1'!AR65+'Tabell 5.1'!AR77+'Tabell 5.1'!AR89+'Tabell 5.1'!AR101+'Tabell 5.2'!AR15+'Tabell 5.2'!AR27+'Tabell 5.2'!AR39+'Tabell 5.2'!AR51+'Tabell 5.2'!AR87+'Tabell 5.2'!AR99+'Tabell 5.2'!AR125+'Tabell 5.2'!AR137+AR15+AR27+'Tabell 5.2'!AR63+'Tabell 5.2'!AR75+'Tabell 5.2'!AR111</f>
        <v>297.59858091500001</v>
      </c>
      <c r="AS41" s="750">
        <f>'Tabell 5.1'!AS15+'Tabell 5.1'!AS27+'Tabell 5.1'!AS39+'Tabell 5.1'!AS51+'Tabell 5.1'!AS65+'Tabell 5.1'!AS77+'Tabell 5.1'!AS89+'Tabell 5.1'!AS101+'Tabell 5.2'!AS15+'Tabell 5.2'!AS27+'Tabell 5.2'!AS39+'Tabell 5.2'!AS51+'Tabell 5.2'!AS87+'Tabell 5.2'!AS99+'Tabell 5.2'!AS125+'Tabell 5.2'!AS137+AS15+AS27+'Tabell 5.2'!AS63+'Tabell 5.2'!AS75+'Tabell 5.2'!AS111</f>
        <v>316.54549929999996</v>
      </c>
      <c r="AT41" s="751">
        <f t="shared" si="26"/>
        <v>6.4</v>
      </c>
      <c r="AU41" s="788"/>
      <c r="AV41" s="730"/>
      <c r="AW41" s="725"/>
      <c r="AX41" s="725"/>
    </row>
    <row r="42" spans="1:50" s="752" customFormat="1" ht="18.75" customHeight="1" x14ac:dyDescent="0.3">
      <c r="A42" s="688" t="s">
        <v>428</v>
      </c>
      <c r="B42" s="756">
        <f>'Tabell 5.1'!B16+'Tabell 5.1'!B28+'Tabell 5.1'!B40+'Tabell 5.1'!B52+'Tabell 5.1'!B66+'Tabell 5.1'!B78+'Tabell 5.1'!B90+'Tabell 5.1'!B102+'Tabell 5.2'!B16+'Tabell 5.2'!B28+'Tabell 5.2'!B40+'Tabell 5.2'!B52+'Tabell 5.2'!B88+'Tabell 5.2'!B100+'Tabell 5.2'!B126+'Tabell 5.2'!B138+B16+B28+'Tabell 5.2'!B64+'Tabell 5.2'!B76+'Tabell 5.2'!B112</f>
        <v>0.85799999999999998</v>
      </c>
      <c r="C42" s="750">
        <f>'Tabell 5.1'!C16+'Tabell 5.1'!C28+'Tabell 5.1'!C40+'Tabell 5.1'!C52+'Tabell 5.1'!C66+'Tabell 5.1'!C78+'Tabell 5.1'!C90+'Tabell 5.1'!C102+'Tabell 5.2'!C16+'Tabell 5.2'!C28+'Tabell 5.2'!C40+'Tabell 5.2'!C52+'Tabell 5.2'!C88+'Tabell 5.2'!C100+'Tabell 5.2'!C126+'Tabell 5.2'!C138+C16+C28+'Tabell 5.2'!C64+'Tabell 5.2'!C76+'Tabell 5.2'!C112</f>
        <v>1.0820000000000001</v>
      </c>
      <c r="D42" s="750">
        <f t="shared" si="13"/>
        <v>26.1</v>
      </c>
      <c r="E42" s="756">
        <f>'Tabell 5.1'!E16+'Tabell 5.1'!E28+'Tabell 5.1'!E40+'Tabell 5.1'!E52+'Tabell 5.1'!E66+'Tabell 5.1'!E78+'Tabell 5.1'!E90+'Tabell 5.1'!E102+'Tabell 5.2'!E16+'Tabell 5.2'!E28+'Tabell 5.2'!E40+'Tabell 5.2'!E52+'Tabell 5.2'!E88+'Tabell 5.2'!E100+'Tabell 5.2'!E126+'Tabell 5.2'!E138+E16+E28+'Tabell 5.2'!E64+'Tabell 5.2'!E76+'Tabell 5.2'!E112</f>
        <v>359.11199999999997</v>
      </c>
      <c r="F42" s="750">
        <f>'Tabell 5.1'!F16+'Tabell 5.1'!F28+'Tabell 5.1'!F40+'Tabell 5.1'!F52+'Tabell 5.1'!F66+'Tabell 5.1'!F78+'Tabell 5.1'!F90+'Tabell 5.1'!F102+'Tabell 5.2'!F16+'Tabell 5.2'!F28+'Tabell 5.2'!F40+'Tabell 5.2'!F52+'Tabell 5.2'!F88+'Tabell 5.2'!F100+'Tabell 5.2'!F126+'Tabell 5.2'!F138+F16+F28+'Tabell 5.2'!F64+'Tabell 5.2'!F76+'Tabell 5.2'!F112</f>
        <v>206.82999999999998</v>
      </c>
      <c r="G42" s="750">
        <f t="shared" si="14"/>
        <v>-42.4</v>
      </c>
      <c r="H42" s="756">
        <f>'Tabell 5.1'!H16+'Tabell 5.1'!H28+'Tabell 5.1'!H40+'Tabell 5.1'!H52+'Tabell 5.1'!H66+'Tabell 5.1'!H78+'Tabell 5.1'!H90+'Tabell 5.1'!H102+'Tabell 5.2'!H16+'Tabell 5.2'!H28+'Tabell 5.2'!H40+'Tabell 5.2'!H52+'Tabell 5.2'!H88+'Tabell 5.2'!H100+'Tabell 5.2'!H126+'Tabell 5.2'!H138+H16+H28+'Tabell 5.2'!H64+'Tabell 5.2'!H76+'Tabell 5.2'!H112</f>
        <v>0</v>
      </c>
      <c r="I42" s="750">
        <f>'Tabell 5.1'!I16+'Tabell 5.1'!I28+'Tabell 5.1'!I40+'Tabell 5.1'!I52+'Tabell 5.1'!I66+'Tabell 5.1'!I78+'Tabell 5.1'!I90+'Tabell 5.1'!I102+'Tabell 5.2'!I16+'Tabell 5.2'!I28+'Tabell 5.2'!I40+'Tabell 5.2'!I52+'Tabell 5.2'!I88+'Tabell 5.2'!I100+'Tabell 5.2'!I126+'Tabell 5.2'!I138+I16+I28+'Tabell 5.2'!I64+'Tabell 5.2'!I76+'Tabell 5.2'!I112</f>
        <v>0</v>
      </c>
      <c r="J42" s="750" t="str">
        <f t="shared" si="15"/>
        <v xml:space="preserve">    ---- </v>
      </c>
      <c r="K42" s="756">
        <f>'Tabell 5.1'!K16+'Tabell 5.1'!K28+'Tabell 5.1'!K40+'Tabell 5.1'!K52+'Tabell 5.1'!K66+'Tabell 5.1'!K78+'Tabell 5.1'!K90+'Tabell 5.1'!K102+'Tabell 5.2'!K16+'Tabell 5.2'!K28+'Tabell 5.2'!K40+'Tabell 5.2'!K52+'Tabell 5.2'!K88+'Tabell 5.2'!K100+'Tabell 5.2'!K126+'Tabell 5.2'!K138+K16+K28+'Tabell 5.2'!K64+'Tabell 5.2'!K76+'Tabell 5.2'!K112</f>
        <v>0</v>
      </c>
      <c r="L42" s="750">
        <f>'Tabell 5.1'!L16+'Tabell 5.1'!L28+'Tabell 5.1'!L40+'Tabell 5.1'!L52+'Tabell 5.1'!L66+'Tabell 5.1'!L78+'Tabell 5.1'!L90+'Tabell 5.1'!L102+'Tabell 5.2'!L16+'Tabell 5.2'!L28+'Tabell 5.2'!L40+'Tabell 5.2'!L52+'Tabell 5.2'!L88+'Tabell 5.2'!L100+'Tabell 5.2'!L126+'Tabell 5.2'!L138+L16+L28+'Tabell 5.2'!L64+'Tabell 5.2'!L76+'Tabell 5.2'!L112</f>
        <v>0</v>
      </c>
      <c r="M42" s="750" t="str">
        <f t="shared" si="16"/>
        <v xml:space="preserve">    ---- </v>
      </c>
      <c r="N42" s="756">
        <f>'Tabell 5.1'!N16+'Tabell 5.1'!N28+'Tabell 5.1'!N40+'Tabell 5.1'!N52+'Tabell 5.1'!N66+'Tabell 5.1'!N78+'Tabell 5.1'!N90+'Tabell 5.1'!N102+'Tabell 5.2'!N16+'Tabell 5.2'!N28+'Tabell 5.2'!N40+'Tabell 5.2'!N52+'Tabell 5.2'!N88+'Tabell 5.2'!N100+'Tabell 5.2'!N126+'Tabell 5.2'!N138+N16+N28+'Tabell 5.2'!N64+'Tabell 5.2'!N76+'Tabell 5.2'!N112</f>
        <v>0</v>
      </c>
      <c r="O42" s="750">
        <f>'Tabell 5.1'!O16+'Tabell 5.1'!O28+'Tabell 5.1'!O40+'Tabell 5.1'!O52+'Tabell 5.1'!O66+'Tabell 5.1'!O78+'Tabell 5.1'!O90+'Tabell 5.1'!O102+'Tabell 5.2'!O16+'Tabell 5.2'!O28+'Tabell 5.2'!O40+'Tabell 5.2'!O52+'Tabell 5.2'!O88+'Tabell 5.2'!O100+'Tabell 5.2'!O126+'Tabell 5.2'!O138+O16+O28+'Tabell 5.2'!O64+'Tabell 5.2'!O76+'Tabell 5.2'!O112</f>
        <v>0</v>
      </c>
      <c r="P42" s="750" t="str">
        <f t="shared" si="17"/>
        <v xml:space="preserve">    ---- </v>
      </c>
      <c r="Q42" s="756">
        <f>'Tabell 5.1'!Q16+'Tabell 5.1'!Q28+'Tabell 5.1'!Q40+'Tabell 5.1'!Q52+'Tabell 5.1'!Q66+'Tabell 5.1'!Q78+'Tabell 5.1'!Q90+'Tabell 5.1'!Q102+'Tabell 5.2'!Q16+'Tabell 5.2'!Q28+'Tabell 5.2'!Q40+'Tabell 5.2'!Q52+'Tabell 5.2'!Q88+'Tabell 5.2'!Q100+'Tabell 5.2'!Q126+'Tabell 5.2'!Q138+Q16+Q28+'Tabell 5.2'!Q64+'Tabell 5.2'!Q76+'Tabell 5.2'!Q112</f>
        <v>690.16552899999999</v>
      </c>
      <c r="R42" s="750">
        <f>'Tabell 5.1'!R16+'Tabell 5.1'!R28+'Tabell 5.1'!R40+'Tabell 5.1'!R52+'Tabell 5.1'!R66+'Tabell 5.1'!R78+'Tabell 5.1'!R90+'Tabell 5.1'!R102+'Tabell 5.2'!R16+'Tabell 5.2'!R28+'Tabell 5.2'!R40+'Tabell 5.2'!R52+'Tabell 5.2'!R88+'Tabell 5.2'!R100+'Tabell 5.2'!R126+'Tabell 5.2'!R138+R16+R28+'Tabell 5.2'!R64+'Tabell 5.2'!R76+'Tabell 5.2'!R112</f>
        <v>710.54850600000009</v>
      </c>
      <c r="S42" s="750">
        <f t="shared" si="18"/>
        <v>3</v>
      </c>
      <c r="T42" s="756">
        <f>'Tabell 5.1'!T16+'Tabell 5.1'!T28+'Tabell 5.1'!T40+'Tabell 5.1'!T52+'Tabell 5.1'!T66+'Tabell 5.1'!T78+'Tabell 5.1'!T90+'Tabell 5.1'!T102+'Tabell 5.2'!T16+'Tabell 5.2'!T28+'Tabell 5.2'!T40+'Tabell 5.2'!T52+'Tabell 5.2'!T88+'Tabell 5.2'!T100+'Tabell 5.2'!T126+'Tabell 5.2'!T138+T16+T28+'Tabell 5.2'!T64+'Tabell 5.2'!T76+'Tabell 5.2'!T112</f>
        <v>4</v>
      </c>
      <c r="U42" s="750">
        <f>'Tabell 5.1'!U16+'Tabell 5.1'!U28+'Tabell 5.1'!U40+'Tabell 5.1'!U52+'Tabell 5.1'!U66+'Tabell 5.1'!U78+'Tabell 5.1'!U90+'Tabell 5.1'!U102+'Tabell 5.2'!U16+'Tabell 5.2'!U28+'Tabell 5.2'!U40+'Tabell 5.2'!U52+'Tabell 5.2'!U88+'Tabell 5.2'!U100+'Tabell 5.2'!U126+'Tabell 5.2'!U138+U16+U28+'Tabell 5.2'!U64+'Tabell 5.2'!U76+'Tabell 5.2'!U112</f>
        <v>2</v>
      </c>
      <c r="V42" s="750">
        <f t="shared" si="19"/>
        <v>-50</v>
      </c>
      <c r="W42" s="750">
        <f>'Tabell 5.1'!W16+'Tabell 5.1'!W28+'Tabell 5.1'!W40+'Tabell 5.1'!W52+'Tabell 5.1'!W66+'Tabell 5.1'!W78+'Tabell 5.1'!W90+'Tabell 5.1'!W102+'Tabell 5.2'!W16+'Tabell 5.2'!W28+'Tabell 5.2'!W40+'Tabell 5.2'!W52+'Tabell 5.2'!W88+'Tabell 5.2'!W100+'Tabell 5.2'!W126+'Tabell 5.2'!W138+W16+W28+'Tabell 5.2'!W64+'Tabell 5.2'!W76+'Tabell 5.2'!W112</f>
        <v>135.87338648299999</v>
      </c>
      <c r="X42" s="750">
        <f>'Tabell 5.1'!X16+'Tabell 5.1'!X28+'Tabell 5.1'!X40+'Tabell 5.1'!X52+'Tabell 5.1'!X66+'Tabell 5.1'!X78+'Tabell 5.1'!X90+'Tabell 5.1'!X102+'Tabell 5.2'!X16+'Tabell 5.2'!X28+'Tabell 5.2'!X40+'Tabell 5.2'!X52+'Tabell 5.2'!X88+'Tabell 5.2'!X100+'Tabell 5.2'!X126+'Tabell 5.2'!X138+X16+X28+'Tabell 5.2'!X64+'Tabell 5.2'!X76+'Tabell 5.2'!X112</f>
        <v>106.77247326666667</v>
      </c>
      <c r="Y42" s="750">
        <f t="shared" si="20"/>
        <v>-21.4</v>
      </c>
      <c r="Z42" s="756">
        <f>'Tabell 5.1'!Z16+'Tabell 5.1'!Z28+'Tabell 5.1'!Z40+'Tabell 5.1'!Z52+'Tabell 5.1'!Z66+'Tabell 5.1'!Z78+'Tabell 5.1'!Z90+'Tabell 5.1'!Z102+'Tabell 5.2'!Z16+'Tabell 5.2'!Z28+'Tabell 5.2'!Z40+'Tabell 5.2'!Z52+'Tabell 5.2'!Z88+'Tabell 5.2'!Z100+'Tabell 5.2'!Z126+'Tabell 5.2'!Z138+Z16+Z28+'Tabell 5.2'!Z64+'Tabell 5.2'!Z76+'Tabell 5.2'!Z112</f>
        <v>267</v>
      </c>
      <c r="AA42" s="750">
        <f>'Tabell 5.1'!AA16+'Tabell 5.1'!AA28+'Tabell 5.1'!AA40+'Tabell 5.1'!AA52+'Tabell 5.1'!AA66+'Tabell 5.1'!AA78+'Tabell 5.1'!AA90+'Tabell 5.1'!AA102+'Tabell 5.2'!AA16+'Tabell 5.2'!AA28+'Tabell 5.2'!AA40+'Tabell 5.2'!AA52+'Tabell 5.2'!AA88+'Tabell 5.2'!AA100+'Tabell 5.2'!AA126+'Tabell 5.2'!AA138+AA16+AA28+'Tabell 5.2'!AA64+'Tabell 5.2'!AA76+'Tabell 5.2'!AA112</f>
        <v>306</v>
      </c>
      <c r="AB42" s="750">
        <f t="shared" si="21"/>
        <v>14.6</v>
      </c>
      <c r="AC42" s="756">
        <f>'Tabell 5.1'!AC16+'Tabell 5.1'!AC28+'Tabell 5.1'!AC40+'Tabell 5.1'!AC52+'Tabell 5.1'!AC66+'Tabell 5.1'!AC78+'Tabell 5.1'!AC90+'Tabell 5.1'!AC102+'Tabell 5.2'!AC16+'Tabell 5.2'!AC28+'Tabell 5.2'!AC40+'Tabell 5.2'!AC52+'Tabell 5.2'!AC88+'Tabell 5.2'!AC100+'Tabell 5.2'!AC126+'Tabell 5.2'!AC138+AC16+AC28+'Tabell 5.2'!AC64+'Tabell 5.2'!AC76+'Tabell 5.2'!AC112</f>
        <v>0</v>
      </c>
      <c r="AD42" s="750">
        <f>'Tabell 5.1'!AD16+'Tabell 5.1'!AD28+'Tabell 5.1'!AD40+'Tabell 5.1'!AD52+'Tabell 5.1'!AD66+'Tabell 5.1'!AD78+'Tabell 5.1'!AD90+'Tabell 5.1'!AD102+'Tabell 5.2'!AD16+'Tabell 5.2'!AD28+'Tabell 5.2'!AD40+'Tabell 5.2'!AD52+'Tabell 5.2'!AD88+'Tabell 5.2'!AD100+'Tabell 5.2'!AD126+'Tabell 5.2'!AD138+AD16+AD28+'Tabell 5.2'!AD64+'Tabell 5.2'!AD76+'Tabell 5.2'!AD112</f>
        <v>0</v>
      </c>
      <c r="AE42" s="750" t="str">
        <f t="shared" si="22"/>
        <v xml:space="preserve">    ---- </v>
      </c>
      <c r="AF42" s="756"/>
      <c r="AG42" s="750"/>
      <c r="AH42" s="750"/>
      <c r="AI42" s="756">
        <f>'Tabell 5.1'!AI16+'Tabell 5.1'!AI28+'Tabell 5.1'!AI40+'Tabell 5.1'!AI52+'Tabell 5.1'!AI66+'Tabell 5.1'!AI78+'Tabell 5.1'!AI90+'Tabell 5.1'!AI102+'Tabell 5.2'!AI16+'Tabell 5.2'!AI28+'Tabell 5.2'!AI40+'Tabell 5.2'!AI52+'Tabell 5.2'!AI88+'Tabell 5.2'!AI100+'Tabell 5.2'!AI126+'Tabell 5.2'!AI138+AI16+AI28+'Tabell 5.2'!AI64+'Tabell 5.2'!AI76+'Tabell 5.2'!AI112</f>
        <v>36.824000000000005</v>
      </c>
      <c r="AJ42" s="750">
        <f>'Tabell 5.1'!AJ16+'Tabell 5.1'!AJ28+'Tabell 5.1'!AJ40+'Tabell 5.1'!AJ52+'Tabell 5.1'!AJ66+'Tabell 5.1'!AJ78+'Tabell 5.1'!AJ90+'Tabell 5.1'!AJ102+'Tabell 5.2'!AJ16+'Tabell 5.2'!AJ28+'Tabell 5.2'!AJ40+'Tabell 5.2'!AJ52+'Tabell 5.2'!AJ88+'Tabell 5.2'!AJ100+'Tabell 5.2'!AJ126+'Tabell 5.2'!AJ138+AJ16+AJ28+'Tabell 5.2'!AJ64+'Tabell 5.2'!AJ76+'Tabell 5.2'!AJ112</f>
        <v>22.575000000000003</v>
      </c>
      <c r="AK42" s="750">
        <f t="shared" si="23"/>
        <v>-38.700000000000003</v>
      </c>
      <c r="AL42" s="756">
        <f>'Tabell 5.1'!AL16+'Tabell 5.1'!AL28+'Tabell 5.1'!AL40+'Tabell 5.1'!AL52+'Tabell 5.1'!AL66+'Tabell 5.1'!AL78+'Tabell 5.1'!AL90+'Tabell 5.1'!AL102+'Tabell 5.2'!AL16+'Tabell 5.2'!AL28+'Tabell 5.2'!AL40+'Tabell 5.2'!AL52+'Tabell 5.2'!AL88+'Tabell 5.2'!AL100+'Tabell 5.2'!AL126+'Tabell 5.2'!AL138+AL16+AL28+'Tabell 5.2'!AL64+'Tabell 5.2'!AL76+'Tabell 5.2'!AL112</f>
        <v>341.5</v>
      </c>
      <c r="AM42" s="750">
        <f>'Tabell 5.1'!AM16+'Tabell 5.1'!AM28+'Tabell 5.1'!AM40+'Tabell 5.1'!AM52+'Tabell 5.1'!AM66+'Tabell 5.1'!AM78+'Tabell 5.1'!AM90+'Tabell 5.1'!AM102+'Tabell 5.2'!AM16+'Tabell 5.2'!AM28+'Tabell 5.2'!AM40+'Tabell 5.2'!AM52+'Tabell 5.2'!AM88+'Tabell 5.2'!AM100+'Tabell 5.2'!AM126+'Tabell 5.2'!AM138+AM16+AM28+'Tabell 5.2'!AM64+'Tabell 5.2'!AM76+'Tabell 5.2'!AM112</f>
        <v>62.87</v>
      </c>
      <c r="AN42" s="750">
        <f t="shared" si="24"/>
        <v>-81.599999999999994</v>
      </c>
      <c r="AO42" s="750">
        <f>'Tabell 5.1'!AO16+'Tabell 5.1'!AO28+'Tabell 5.1'!AO40+'Tabell 5.1'!AO52+'Tabell 5.1'!AO66+'Tabell 5.1'!AO78+'Tabell 5.1'!AO90+'Tabell 5.1'!AO102+'Tabell 5.2'!AO16+'Tabell 5.2'!AO28+'Tabell 5.2'!AO40+'Tabell 5.2'!AO52+'Tabell 5.2'!AO88+'Tabell 5.2'!AO100+'Tabell 5.2'!AO126+'Tabell 5.2'!AO138+AO16+AO28+'Tabell 5.2'!AO64+'Tabell 5.2'!AO76+'Tabell 5.2'!AO112</f>
        <v>1835.3329154829999</v>
      </c>
      <c r="AP42" s="750">
        <f>'Tabell 5.1'!AP16+'Tabell 5.1'!AP28+'Tabell 5.1'!AP40+'Tabell 5.1'!AP52+'Tabell 5.1'!AP66+'Tabell 5.1'!AP78+'Tabell 5.1'!AP90+'Tabell 5.1'!AP102+'Tabell 5.2'!AP16+'Tabell 5.2'!AP28+'Tabell 5.2'!AP40+'Tabell 5.2'!AP52+'Tabell 5.2'!AP88+'Tabell 5.2'!AP100+'Tabell 5.2'!AP126+'Tabell 5.2'!AP138+AP16+AP28+'Tabell 5.2'!AP64+'Tabell 5.2'!AP76+'Tabell 5.2'!AP112</f>
        <v>1418.6779792666666</v>
      </c>
      <c r="AQ42" s="750">
        <f t="shared" si="25"/>
        <v>-22.7</v>
      </c>
      <c r="AR42" s="750">
        <f>'Tabell 5.1'!AR16+'Tabell 5.1'!AR28+'Tabell 5.1'!AR40+'Tabell 5.1'!AR52+'Tabell 5.1'!AR66+'Tabell 5.1'!AR78+'Tabell 5.1'!AR90+'Tabell 5.1'!AR102+'Tabell 5.2'!AR16+'Tabell 5.2'!AR28+'Tabell 5.2'!AR40+'Tabell 5.2'!AR52+'Tabell 5.2'!AR88+'Tabell 5.2'!AR100+'Tabell 5.2'!AR126+'Tabell 5.2'!AR138+AR16+AR28+'Tabell 5.2'!AR64+'Tabell 5.2'!AR76+'Tabell 5.2'!AR112</f>
        <v>1835.3329154829999</v>
      </c>
      <c r="AS42" s="750">
        <f>'Tabell 5.1'!AS16+'Tabell 5.1'!AS28+'Tabell 5.1'!AS40+'Tabell 5.1'!AS52+'Tabell 5.1'!AS66+'Tabell 5.1'!AS78+'Tabell 5.1'!AS90+'Tabell 5.1'!AS102+'Tabell 5.2'!AS16+'Tabell 5.2'!AS28+'Tabell 5.2'!AS40+'Tabell 5.2'!AS52+'Tabell 5.2'!AS88+'Tabell 5.2'!AS100+'Tabell 5.2'!AS126+'Tabell 5.2'!AS138+AS16+AS28+'Tabell 5.2'!AS64+'Tabell 5.2'!AS76+'Tabell 5.2'!AS112</f>
        <v>1418.6779792666666</v>
      </c>
      <c r="AT42" s="751">
        <f t="shared" si="26"/>
        <v>-22.7</v>
      </c>
      <c r="AU42" s="788"/>
      <c r="AV42" s="730"/>
      <c r="AW42" s="725"/>
      <c r="AX42" s="725"/>
    </row>
    <row r="43" spans="1:50" s="752" customFormat="1" ht="18.75" customHeight="1" x14ac:dyDescent="0.3">
      <c r="A43" s="688" t="s">
        <v>429</v>
      </c>
      <c r="B43" s="756">
        <f>'Tabell 5.1'!B17+'Tabell 5.1'!B29+'Tabell 5.1'!B41+'Tabell 5.1'!B53+'Tabell 5.1'!B67+'Tabell 5.1'!B79+'Tabell 5.1'!B91+'Tabell 5.1'!B103+'Tabell 5.2'!B17+'Tabell 5.2'!B29+'Tabell 5.2'!B41+'Tabell 5.2'!B53+'Tabell 5.2'!B89+'Tabell 5.2'!B101+'Tabell 5.2'!B127+'Tabell 5.2'!B139+B17+B29+'Tabell 5.2'!B65+'Tabell 5.2'!B77+'Tabell 5.2'!B113</f>
        <v>142.011</v>
      </c>
      <c r="C43" s="750">
        <f>'Tabell 5.1'!C17+'Tabell 5.1'!C29+'Tabell 5.1'!C41+'Tabell 5.1'!C53+'Tabell 5.1'!C67+'Tabell 5.1'!C79+'Tabell 5.1'!C91+'Tabell 5.1'!C103+'Tabell 5.2'!C17+'Tabell 5.2'!C29+'Tabell 5.2'!C41+'Tabell 5.2'!C53+'Tabell 5.2'!C89+'Tabell 5.2'!C101+'Tabell 5.2'!C127+'Tabell 5.2'!C139+C17+C29+'Tabell 5.2'!C65+'Tabell 5.2'!C77+'Tabell 5.2'!C113</f>
        <v>133.41300000000001</v>
      </c>
      <c r="D43" s="750">
        <f t="shared" si="13"/>
        <v>-6.1</v>
      </c>
      <c r="E43" s="756">
        <f>'Tabell 5.1'!E17+'Tabell 5.1'!E29+'Tabell 5.1'!E41+'Tabell 5.1'!E53+'Tabell 5.1'!E67+'Tabell 5.1'!E79+'Tabell 5.1'!E91+'Tabell 5.1'!E103+'Tabell 5.2'!E17+'Tabell 5.2'!E29+'Tabell 5.2'!E41+'Tabell 5.2'!E53+'Tabell 5.2'!E89+'Tabell 5.2'!E101+'Tabell 5.2'!E127+'Tabell 5.2'!E139+E17+E29+'Tabell 5.2'!E65+'Tabell 5.2'!E77+'Tabell 5.2'!E113</f>
        <v>735.77359999999999</v>
      </c>
      <c r="F43" s="750">
        <f>'Tabell 5.1'!F17+'Tabell 5.1'!F29+'Tabell 5.1'!F41+'Tabell 5.1'!F53+'Tabell 5.1'!F67+'Tabell 5.1'!F79+'Tabell 5.1'!F91+'Tabell 5.1'!F103+'Tabell 5.2'!F17+'Tabell 5.2'!F29+'Tabell 5.2'!F41+'Tabell 5.2'!F53+'Tabell 5.2'!F89+'Tabell 5.2'!F101+'Tabell 5.2'!F127+'Tabell 5.2'!F139+F17+F29+'Tabell 5.2'!F65+'Tabell 5.2'!F77+'Tabell 5.2'!F113</f>
        <v>484.74299999999994</v>
      </c>
      <c r="G43" s="750">
        <f t="shared" si="14"/>
        <v>-34.1</v>
      </c>
      <c r="H43" s="756">
        <f>'Tabell 5.1'!H17+'Tabell 5.1'!H29+'Tabell 5.1'!H41+'Tabell 5.1'!H53+'Tabell 5.1'!H67+'Tabell 5.1'!H79+'Tabell 5.1'!H91+'Tabell 5.1'!H103+'Tabell 5.2'!H17+'Tabell 5.2'!H29+'Tabell 5.2'!H41+'Tabell 5.2'!H53+'Tabell 5.2'!H89+'Tabell 5.2'!H101+'Tabell 5.2'!H127+'Tabell 5.2'!H139+H17+H29+'Tabell 5.2'!H65+'Tabell 5.2'!H77+'Tabell 5.2'!H113</f>
        <v>115.599</v>
      </c>
      <c r="I43" s="750">
        <f>'Tabell 5.1'!I17+'Tabell 5.1'!I29+'Tabell 5.1'!I41+'Tabell 5.1'!I53+'Tabell 5.1'!I67+'Tabell 5.1'!I79+'Tabell 5.1'!I91+'Tabell 5.1'!I103+'Tabell 5.2'!I17+'Tabell 5.2'!I29+'Tabell 5.2'!I41+'Tabell 5.2'!I53+'Tabell 5.2'!I89+'Tabell 5.2'!I101+'Tabell 5.2'!I127+'Tabell 5.2'!I139+I17+I29+'Tabell 5.2'!I65+'Tabell 5.2'!I77+'Tabell 5.2'!I113</f>
        <v>126.65600000000001</v>
      </c>
      <c r="J43" s="750">
        <f t="shared" si="15"/>
        <v>9.6</v>
      </c>
      <c r="K43" s="756">
        <f>'Tabell 5.1'!K17+'Tabell 5.1'!K29+'Tabell 5.1'!K41+'Tabell 5.1'!K53+'Tabell 5.1'!K67+'Tabell 5.1'!K79+'Tabell 5.1'!K91+'Tabell 5.1'!K103+'Tabell 5.2'!K17+'Tabell 5.2'!K29+'Tabell 5.2'!K41+'Tabell 5.2'!K53+'Tabell 5.2'!K89+'Tabell 5.2'!K101+'Tabell 5.2'!K127+'Tabell 5.2'!K139+K17+K29+'Tabell 5.2'!K65+'Tabell 5.2'!K77+'Tabell 5.2'!K113</f>
        <v>16.59</v>
      </c>
      <c r="L43" s="750">
        <f>'Tabell 5.1'!L17+'Tabell 5.1'!L29+'Tabell 5.1'!L41+'Tabell 5.1'!L53+'Tabell 5.1'!L67+'Tabell 5.1'!L79+'Tabell 5.1'!L91+'Tabell 5.1'!L103+'Tabell 5.2'!L17+'Tabell 5.2'!L29+'Tabell 5.2'!L41+'Tabell 5.2'!L53+'Tabell 5.2'!L89+'Tabell 5.2'!L101+'Tabell 5.2'!L127+'Tabell 5.2'!L139+L17+L29+'Tabell 5.2'!L65+'Tabell 5.2'!L77+'Tabell 5.2'!L113</f>
        <v>-27.469000000000001</v>
      </c>
      <c r="M43" s="750">
        <f t="shared" si="16"/>
        <v>-265.60000000000002</v>
      </c>
      <c r="N43" s="756">
        <f>'Tabell 5.1'!N17+'Tabell 5.1'!N29+'Tabell 5.1'!N41+'Tabell 5.1'!N53+'Tabell 5.1'!N67+'Tabell 5.1'!N79+'Tabell 5.1'!N91+'Tabell 5.1'!N103+'Tabell 5.2'!N17+'Tabell 5.2'!N29+'Tabell 5.2'!N41+'Tabell 5.2'!N53+'Tabell 5.2'!N89+'Tabell 5.2'!N101+'Tabell 5.2'!N127+'Tabell 5.2'!N139+N17+N29+'Tabell 5.2'!N65+'Tabell 5.2'!N77+'Tabell 5.2'!N113</f>
        <v>-1</v>
      </c>
      <c r="O43" s="750">
        <f>'Tabell 5.1'!O17+'Tabell 5.1'!O29+'Tabell 5.1'!O41+'Tabell 5.1'!O53+'Tabell 5.1'!O67+'Tabell 5.1'!O79+'Tabell 5.1'!O91+'Tabell 5.1'!O103+'Tabell 5.2'!O17+'Tabell 5.2'!O29+'Tabell 5.2'!O41+'Tabell 5.2'!O53+'Tabell 5.2'!O89+'Tabell 5.2'!O101+'Tabell 5.2'!O127+'Tabell 5.2'!O139+O17+O29+'Tabell 5.2'!O65+'Tabell 5.2'!O77+'Tabell 5.2'!O113</f>
        <v>19.786999999999999</v>
      </c>
      <c r="P43" s="750">
        <f t="shared" si="17"/>
        <v>-999</v>
      </c>
      <c r="Q43" s="756">
        <f>'Tabell 5.1'!Q17+'Tabell 5.1'!Q29+'Tabell 5.1'!Q41+'Tabell 5.1'!Q53+'Tabell 5.1'!Q67+'Tabell 5.1'!Q79+'Tabell 5.1'!Q91+'Tabell 5.1'!Q103+'Tabell 5.2'!Q17+'Tabell 5.2'!Q29+'Tabell 5.2'!Q41+'Tabell 5.2'!Q53+'Tabell 5.2'!Q89+'Tabell 5.2'!Q101+'Tabell 5.2'!Q127+'Tabell 5.2'!Q139+Q17+Q29+'Tabell 5.2'!Q65+'Tabell 5.2'!Q77+'Tabell 5.2'!Q113</f>
        <v>782.90496559389237</v>
      </c>
      <c r="R43" s="750">
        <f>'Tabell 5.1'!R17+'Tabell 5.1'!R29+'Tabell 5.1'!R41+'Tabell 5.1'!R53+'Tabell 5.1'!R67+'Tabell 5.1'!R79+'Tabell 5.1'!R91+'Tabell 5.1'!R103+'Tabell 5.2'!R17+'Tabell 5.2'!R29+'Tabell 5.2'!R41+'Tabell 5.2'!R53+'Tabell 5.2'!R89+'Tabell 5.2'!R101+'Tabell 5.2'!R127+'Tabell 5.2'!R139+R17+R29+'Tabell 5.2'!R65+'Tabell 5.2'!R77+'Tabell 5.2'!R113</f>
        <v>896.7885152580651</v>
      </c>
      <c r="S43" s="750">
        <f t="shared" si="18"/>
        <v>14.5</v>
      </c>
      <c r="T43" s="756">
        <f>'Tabell 5.1'!T17+'Tabell 5.1'!T29+'Tabell 5.1'!T41+'Tabell 5.1'!T53+'Tabell 5.1'!T67+'Tabell 5.1'!T79+'Tabell 5.1'!T91+'Tabell 5.1'!T103+'Tabell 5.2'!T17+'Tabell 5.2'!T29+'Tabell 5.2'!T41+'Tabell 5.2'!T53+'Tabell 5.2'!T89+'Tabell 5.2'!T101+'Tabell 5.2'!T127+'Tabell 5.2'!T139+T17+T29+'Tabell 5.2'!T65+'Tabell 5.2'!T77+'Tabell 5.2'!T113</f>
        <v>6</v>
      </c>
      <c r="U43" s="750">
        <f>'Tabell 5.1'!U17+'Tabell 5.1'!U29+'Tabell 5.1'!U41+'Tabell 5.1'!U53+'Tabell 5.1'!U67+'Tabell 5.1'!U79+'Tabell 5.1'!U91+'Tabell 5.1'!U103+'Tabell 5.2'!U17+'Tabell 5.2'!U29+'Tabell 5.2'!U41+'Tabell 5.2'!U53+'Tabell 5.2'!U89+'Tabell 5.2'!U101+'Tabell 5.2'!U127+'Tabell 5.2'!U139+U17+U29+'Tabell 5.2'!U65+'Tabell 5.2'!U77+'Tabell 5.2'!U113</f>
        <v>-1</v>
      </c>
      <c r="V43" s="750">
        <f t="shared" si="19"/>
        <v>-116.7</v>
      </c>
      <c r="W43" s="750">
        <f>'Tabell 5.1'!W17+'Tabell 5.1'!W29+'Tabell 5.1'!W41+'Tabell 5.1'!W53+'Tabell 5.1'!W67+'Tabell 5.1'!W79+'Tabell 5.1'!W91+'Tabell 5.1'!W103+'Tabell 5.2'!W17+'Tabell 5.2'!W29+'Tabell 5.2'!W41+'Tabell 5.2'!W53+'Tabell 5.2'!W89+'Tabell 5.2'!W101+'Tabell 5.2'!W127+'Tabell 5.2'!W139+W17+W29+'Tabell 5.2'!W65+'Tabell 5.2'!W77+'Tabell 5.2'!W113</f>
        <v>183.12135627699996</v>
      </c>
      <c r="X43" s="750">
        <f>'Tabell 5.1'!X17+'Tabell 5.1'!X29+'Tabell 5.1'!X41+'Tabell 5.1'!X53+'Tabell 5.1'!X67+'Tabell 5.1'!X79+'Tabell 5.1'!X91+'Tabell 5.1'!X103+'Tabell 5.2'!X17+'Tabell 5.2'!X29+'Tabell 5.2'!X41+'Tabell 5.2'!X53+'Tabell 5.2'!X89+'Tabell 5.2'!X101+'Tabell 5.2'!X127+'Tabell 5.2'!X139+X17+X29+'Tabell 5.2'!X65+'Tabell 5.2'!X77+'Tabell 5.2'!X113</f>
        <v>274.91252291840863</v>
      </c>
      <c r="Y43" s="750">
        <f t="shared" si="20"/>
        <v>50.1</v>
      </c>
      <c r="Z43" s="756">
        <f>'Tabell 5.1'!Z17+'Tabell 5.1'!Z29+'Tabell 5.1'!Z41+'Tabell 5.1'!Z53+'Tabell 5.1'!Z67+'Tabell 5.1'!Z79+'Tabell 5.1'!Z91+'Tabell 5.1'!Z103+'Tabell 5.2'!Z17+'Tabell 5.2'!Z29+'Tabell 5.2'!Z41+'Tabell 5.2'!Z53+'Tabell 5.2'!Z89+'Tabell 5.2'!Z101+'Tabell 5.2'!Z127+'Tabell 5.2'!Z139+Z17+Z29+'Tabell 5.2'!Z65+'Tabell 5.2'!Z77+'Tabell 5.2'!Z113</f>
        <v>303</v>
      </c>
      <c r="AA43" s="750">
        <f>'Tabell 5.1'!AA17+'Tabell 5.1'!AA29+'Tabell 5.1'!AA41+'Tabell 5.1'!AA53+'Tabell 5.1'!AA67+'Tabell 5.1'!AA79+'Tabell 5.1'!AA91+'Tabell 5.1'!AA103+'Tabell 5.2'!AA17+'Tabell 5.2'!AA29+'Tabell 5.2'!AA41+'Tabell 5.2'!AA53+'Tabell 5.2'!AA89+'Tabell 5.2'!AA101+'Tabell 5.2'!AA127+'Tabell 5.2'!AA139+AA17+AA29+'Tabell 5.2'!AA65+'Tabell 5.2'!AA77+'Tabell 5.2'!AA113</f>
        <v>358</v>
      </c>
      <c r="AB43" s="750">
        <f t="shared" si="21"/>
        <v>18.2</v>
      </c>
      <c r="AC43" s="756">
        <f>'Tabell 5.1'!AC17+'Tabell 5.1'!AC29+'Tabell 5.1'!AC41+'Tabell 5.1'!AC53+'Tabell 5.1'!AC67+'Tabell 5.1'!AC79+'Tabell 5.1'!AC91+'Tabell 5.1'!AC103+'Tabell 5.2'!AC17+'Tabell 5.2'!AC29+'Tabell 5.2'!AC41+'Tabell 5.2'!AC53+'Tabell 5.2'!AC89+'Tabell 5.2'!AC101+'Tabell 5.2'!AC127+'Tabell 5.2'!AC139+AC17+AC29+'Tabell 5.2'!AC65+'Tabell 5.2'!AC77+'Tabell 5.2'!AC113</f>
        <v>0</v>
      </c>
      <c r="AD43" s="750">
        <f>'Tabell 5.1'!AD17+'Tabell 5.1'!AD29+'Tabell 5.1'!AD41+'Tabell 5.1'!AD53+'Tabell 5.1'!AD67+'Tabell 5.1'!AD79+'Tabell 5.1'!AD91+'Tabell 5.1'!AD103+'Tabell 5.2'!AD17+'Tabell 5.2'!AD29+'Tabell 5.2'!AD41+'Tabell 5.2'!AD53+'Tabell 5.2'!AD89+'Tabell 5.2'!AD101+'Tabell 5.2'!AD127+'Tabell 5.2'!AD139+AD17+AD29+'Tabell 5.2'!AD65+'Tabell 5.2'!AD77+'Tabell 5.2'!AD113</f>
        <v>0</v>
      </c>
      <c r="AE43" s="750" t="str">
        <f t="shared" si="22"/>
        <v xml:space="preserve">    ---- </v>
      </c>
      <c r="AF43" s="756"/>
      <c r="AG43" s="750"/>
      <c r="AH43" s="750"/>
      <c r="AI43" s="756">
        <f>'Tabell 5.1'!AI17+'Tabell 5.1'!AI29+'Tabell 5.1'!AI41+'Tabell 5.1'!AI53+'Tabell 5.1'!AI67+'Tabell 5.1'!AI79+'Tabell 5.1'!AI91+'Tabell 5.1'!AI103+'Tabell 5.2'!AI17+'Tabell 5.2'!AI29+'Tabell 5.2'!AI41+'Tabell 5.2'!AI53+'Tabell 5.2'!AI89+'Tabell 5.2'!AI101+'Tabell 5.2'!AI127+'Tabell 5.2'!AI139+AI17+AI29+'Tabell 5.2'!AI65+'Tabell 5.2'!AI77+'Tabell 5.2'!AI113</f>
        <v>371.851</v>
      </c>
      <c r="AJ43" s="750">
        <f>'Tabell 5.1'!AJ17+'Tabell 5.1'!AJ29+'Tabell 5.1'!AJ41+'Tabell 5.1'!AJ53+'Tabell 5.1'!AJ67+'Tabell 5.1'!AJ79+'Tabell 5.1'!AJ91+'Tabell 5.1'!AJ103+'Tabell 5.2'!AJ17+'Tabell 5.2'!AJ29+'Tabell 5.2'!AJ41+'Tabell 5.2'!AJ53+'Tabell 5.2'!AJ89+'Tabell 5.2'!AJ101+'Tabell 5.2'!AJ127+'Tabell 5.2'!AJ139+AJ17+AJ29+'Tabell 5.2'!AJ65+'Tabell 5.2'!AJ77+'Tabell 5.2'!AJ113</f>
        <v>334.24100000000004</v>
      </c>
      <c r="AK43" s="750">
        <f t="shared" si="23"/>
        <v>-10.1</v>
      </c>
      <c r="AL43" s="756">
        <f>'Tabell 5.1'!AL17+'Tabell 5.1'!AL29+'Tabell 5.1'!AL41+'Tabell 5.1'!AL53+'Tabell 5.1'!AL67+'Tabell 5.1'!AL79+'Tabell 5.1'!AL91+'Tabell 5.1'!AL103+'Tabell 5.2'!AL17+'Tabell 5.2'!AL29+'Tabell 5.2'!AL41+'Tabell 5.2'!AL53+'Tabell 5.2'!AL89+'Tabell 5.2'!AL101+'Tabell 5.2'!AL127+'Tabell 5.2'!AL139+AL17+AL29+'Tabell 5.2'!AL65+'Tabell 5.2'!AL77+'Tabell 5.2'!AL113</f>
        <v>386.1</v>
      </c>
      <c r="AM43" s="750">
        <f>'Tabell 5.1'!AM17+'Tabell 5.1'!AM29+'Tabell 5.1'!AM41+'Tabell 5.1'!AM53+'Tabell 5.1'!AM67+'Tabell 5.1'!AM79+'Tabell 5.1'!AM91+'Tabell 5.1'!AM103+'Tabell 5.2'!AM17+'Tabell 5.2'!AM29+'Tabell 5.2'!AM41+'Tabell 5.2'!AM53+'Tabell 5.2'!AM89+'Tabell 5.2'!AM101+'Tabell 5.2'!AM127+'Tabell 5.2'!AM139+AM17+AM29+'Tabell 5.2'!AM65+'Tabell 5.2'!AM77+'Tabell 5.2'!AM113</f>
        <v>603.51</v>
      </c>
      <c r="AN43" s="750">
        <f t="shared" si="24"/>
        <v>56.3</v>
      </c>
      <c r="AO43" s="750">
        <f>'Tabell 5.1'!AO17+'Tabell 5.1'!AO29+'Tabell 5.1'!AO41+'Tabell 5.1'!AO53+'Tabell 5.1'!AO67+'Tabell 5.1'!AO79+'Tabell 5.1'!AO91+'Tabell 5.1'!AO103+'Tabell 5.2'!AO17+'Tabell 5.2'!AO29+'Tabell 5.2'!AO41+'Tabell 5.2'!AO53+'Tabell 5.2'!AO89+'Tabell 5.2'!AO101+'Tabell 5.2'!AO127+'Tabell 5.2'!AO139+AO17+AO29+'Tabell 5.2'!AO65+'Tabell 5.2'!AO77+'Tabell 5.2'!AO113</f>
        <v>3042.9509218708922</v>
      </c>
      <c r="AP43" s="750">
        <f>'Tabell 5.1'!AP17+'Tabell 5.1'!AP29+'Tabell 5.1'!AP41+'Tabell 5.1'!AP53+'Tabell 5.1'!AP67+'Tabell 5.1'!AP79+'Tabell 5.1'!AP91+'Tabell 5.1'!AP103+'Tabell 5.2'!AP17+'Tabell 5.2'!AP29+'Tabell 5.2'!AP41+'Tabell 5.2'!AP53+'Tabell 5.2'!AP89+'Tabell 5.2'!AP101+'Tabell 5.2'!AP127+'Tabell 5.2'!AP139+AP17+AP29+'Tabell 5.2'!AP65+'Tabell 5.2'!AP77+'Tabell 5.2'!AP113</f>
        <v>3183.7950381764736</v>
      </c>
      <c r="AQ43" s="750">
        <f t="shared" si="25"/>
        <v>4.5999999999999996</v>
      </c>
      <c r="AR43" s="750">
        <f>'Tabell 5.1'!AR17+'Tabell 5.1'!AR29+'Tabell 5.1'!AR41+'Tabell 5.1'!AR53+'Tabell 5.1'!AR67+'Tabell 5.1'!AR79+'Tabell 5.1'!AR91+'Tabell 5.1'!AR103+'Tabell 5.2'!AR17+'Tabell 5.2'!AR29+'Tabell 5.2'!AR41+'Tabell 5.2'!AR53+'Tabell 5.2'!AR89+'Tabell 5.2'!AR101+'Tabell 5.2'!AR127+'Tabell 5.2'!AR139+AR17+AR29+'Tabell 5.2'!AR65+'Tabell 5.2'!AR77+'Tabell 5.2'!AR113</f>
        <v>3041.9509218708922</v>
      </c>
      <c r="AS43" s="750">
        <f>'Tabell 5.1'!AS17+'Tabell 5.1'!AS29+'Tabell 5.1'!AS41+'Tabell 5.1'!AS53+'Tabell 5.1'!AS67+'Tabell 5.1'!AS79+'Tabell 5.1'!AS91+'Tabell 5.1'!AS103+'Tabell 5.2'!AS17+'Tabell 5.2'!AS29+'Tabell 5.2'!AS41+'Tabell 5.2'!AS53+'Tabell 5.2'!AS89+'Tabell 5.2'!AS101+'Tabell 5.2'!AS127+'Tabell 5.2'!AS139+AS17+AS29+'Tabell 5.2'!AS65+'Tabell 5.2'!AS77+'Tabell 5.2'!AS113</f>
        <v>3203.5820381764738</v>
      </c>
      <c r="AT43" s="751">
        <f t="shared" si="26"/>
        <v>5.3</v>
      </c>
      <c r="AU43" s="788"/>
      <c r="AV43" s="730"/>
      <c r="AW43" s="725"/>
      <c r="AX43" s="725"/>
    </row>
    <row r="44" spans="1:50" s="752" customFormat="1" ht="18.75" customHeight="1" x14ac:dyDescent="0.3">
      <c r="A44" s="688" t="s">
        <v>430</v>
      </c>
      <c r="B44" s="756">
        <f>'Tabell 5.1'!B18+'Tabell 5.1'!B30+'Tabell 5.1'!B42+'Tabell 5.1'!B54+'Tabell 5.1'!B68+'Tabell 5.1'!B80+'Tabell 5.1'!B92+'Tabell 5.1'!B104+'Tabell 5.2'!B18+'Tabell 5.2'!B30+'Tabell 5.2'!B42+'Tabell 5.2'!B54+'Tabell 5.2'!B90+'Tabell 5.2'!B102+'Tabell 5.2'!B128+'Tabell 5.2'!B140+B18+B30+'Tabell 5.2'!B66+'Tabell 5.2'!B78+'Tabell 5.2'!B114</f>
        <v>0</v>
      </c>
      <c r="C44" s="750">
        <f>'Tabell 5.1'!C18+'Tabell 5.1'!C30+'Tabell 5.1'!C42+'Tabell 5.1'!C54+'Tabell 5.1'!C68+'Tabell 5.1'!C80+'Tabell 5.1'!C92+'Tabell 5.1'!C104+'Tabell 5.2'!C18+'Tabell 5.2'!C30+'Tabell 5.2'!C42+'Tabell 5.2'!C54+'Tabell 5.2'!C90+'Tabell 5.2'!C102+'Tabell 5.2'!C128+'Tabell 5.2'!C140+C18+C30+'Tabell 5.2'!C66+'Tabell 5.2'!C78+'Tabell 5.2'!C114</f>
        <v>0</v>
      </c>
      <c r="D44" s="750" t="str">
        <f t="shared" si="13"/>
        <v xml:space="preserve">    ---- </v>
      </c>
      <c r="E44" s="756">
        <f>'Tabell 5.1'!E18+'Tabell 5.1'!E30+'Tabell 5.1'!E42+'Tabell 5.1'!E54+'Tabell 5.1'!E68+'Tabell 5.1'!E80+'Tabell 5.1'!E92+'Tabell 5.1'!E104+'Tabell 5.2'!E18+'Tabell 5.2'!E30+'Tabell 5.2'!E42+'Tabell 5.2'!E54+'Tabell 5.2'!E90+'Tabell 5.2'!E102+'Tabell 5.2'!E128+'Tabell 5.2'!E140+E18+E30+'Tabell 5.2'!E66+'Tabell 5.2'!E78+'Tabell 5.2'!E114</f>
        <v>0</v>
      </c>
      <c r="F44" s="750">
        <f>'Tabell 5.1'!F18+'Tabell 5.1'!F30+'Tabell 5.1'!F42+'Tabell 5.1'!F54+'Tabell 5.1'!F68+'Tabell 5.1'!F80+'Tabell 5.1'!F92+'Tabell 5.1'!F104+'Tabell 5.2'!F18+'Tabell 5.2'!F30+'Tabell 5.2'!F42+'Tabell 5.2'!F54+'Tabell 5.2'!F90+'Tabell 5.2'!F102+'Tabell 5.2'!F128+'Tabell 5.2'!F140+F18+F30+'Tabell 5.2'!F66+'Tabell 5.2'!F78+'Tabell 5.2'!F114</f>
        <v>0</v>
      </c>
      <c r="G44" s="750" t="str">
        <f t="shared" si="14"/>
        <v xml:space="preserve">    ---- </v>
      </c>
      <c r="H44" s="756">
        <f>'Tabell 5.1'!H18+'Tabell 5.1'!H30+'Tabell 5.1'!H42+'Tabell 5.1'!H54+'Tabell 5.1'!H68+'Tabell 5.1'!H80+'Tabell 5.1'!H92+'Tabell 5.1'!H104+'Tabell 5.2'!H18+'Tabell 5.2'!H30+'Tabell 5.2'!H42+'Tabell 5.2'!H54+'Tabell 5.2'!H90+'Tabell 5.2'!H102+'Tabell 5.2'!H128+'Tabell 5.2'!H140+H18+H30+'Tabell 5.2'!H66+'Tabell 5.2'!H78+'Tabell 5.2'!H114</f>
        <v>0</v>
      </c>
      <c r="I44" s="750">
        <f>'Tabell 5.1'!I18+'Tabell 5.1'!I30+'Tabell 5.1'!I42+'Tabell 5.1'!I54+'Tabell 5.1'!I68+'Tabell 5.1'!I80+'Tabell 5.1'!I92+'Tabell 5.1'!I104+'Tabell 5.2'!I18+'Tabell 5.2'!I30+'Tabell 5.2'!I42+'Tabell 5.2'!I54+'Tabell 5.2'!I90+'Tabell 5.2'!I102+'Tabell 5.2'!I128+'Tabell 5.2'!I140+I18+I30+'Tabell 5.2'!I66+'Tabell 5.2'!I78+'Tabell 5.2'!I114</f>
        <v>0</v>
      </c>
      <c r="J44" s="750" t="str">
        <f t="shared" si="15"/>
        <v xml:space="preserve">    ---- </v>
      </c>
      <c r="K44" s="756">
        <f>'Tabell 5.1'!K18+'Tabell 5.1'!K30+'Tabell 5.1'!K42+'Tabell 5.1'!K54+'Tabell 5.1'!K68+'Tabell 5.1'!K80+'Tabell 5.1'!K92+'Tabell 5.1'!K104+'Tabell 5.2'!K18+'Tabell 5.2'!K30+'Tabell 5.2'!K42+'Tabell 5.2'!K54+'Tabell 5.2'!K90+'Tabell 5.2'!K102+'Tabell 5.2'!K128+'Tabell 5.2'!K140+K18+K30+'Tabell 5.2'!K66+'Tabell 5.2'!K78+'Tabell 5.2'!K114</f>
        <v>0</v>
      </c>
      <c r="L44" s="750">
        <f>'Tabell 5.1'!L18+'Tabell 5.1'!L30+'Tabell 5.1'!L42+'Tabell 5.1'!L54+'Tabell 5.1'!L68+'Tabell 5.1'!L80+'Tabell 5.1'!L92+'Tabell 5.1'!L104+'Tabell 5.2'!L18+'Tabell 5.2'!L30+'Tabell 5.2'!L42+'Tabell 5.2'!L54+'Tabell 5.2'!L90+'Tabell 5.2'!L102+'Tabell 5.2'!L128+'Tabell 5.2'!L140+L18+L30+'Tabell 5.2'!L66+'Tabell 5.2'!L78+'Tabell 5.2'!L114</f>
        <v>0</v>
      </c>
      <c r="M44" s="750" t="str">
        <f t="shared" si="16"/>
        <v xml:space="preserve">    ---- </v>
      </c>
      <c r="N44" s="756">
        <f>'Tabell 5.1'!N18+'Tabell 5.1'!N30+'Tabell 5.1'!N42+'Tabell 5.1'!N54+'Tabell 5.1'!N68+'Tabell 5.1'!N80+'Tabell 5.1'!N92+'Tabell 5.1'!N104+'Tabell 5.2'!N18+'Tabell 5.2'!N30+'Tabell 5.2'!N42+'Tabell 5.2'!N54+'Tabell 5.2'!N90+'Tabell 5.2'!N102+'Tabell 5.2'!N128+'Tabell 5.2'!N140+N18+N30+'Tabell 5.2'!N66+'Tabell 5.2'!N78+'Tabell 5.2'!N114</f>
        <v>0</v>
      </c>
      <c r="O44" s="750">
        <f>'Tabell 5.1'!O18+'Tabell 5.1'!O30+'Tabell 5.1'!O42+'Tabell 5.1'!O54+'Tabell 5.1'!O68+'Tabell 5.1'!O80+'Tabell 5.1'!O92+'Tabell 5.1'!O104+'Tabell 5.2'!O18+'Tabell 5.2'!O30+'Tabell 5.2'!O42+'Tabell 5.2'!O54+'Tabell 5.2'!O90+'Tabell 5.2'!O102+'Tabell 5.2'!O128+'Tabell 5.2'!O140+O18+O30+'Tabell 5.2'!O66+'Tabell 5.2'!O78+'Tabell 5.2'!O114</f>
        <v>0</v>
      </c>
      <c r="P44" s="750" t="str">
        <f t="shared" si="17"/>
        <v xml:space="preserve">    ---- </v>
      </c>
      <c r="Q44" s="756">
        <f>'Tabell 5.1'!Q18+'Tabell 5.1'!Q30+'Tabell 5.1'!Q42+'Tabell 5.1'!Q54+'Tabell 5.1'!Q68+'Tabell 5.1'!Q80+'Tabell 5.1'!Q92+'Tabell 5.1'!Q104+'Tabell 5.2'!Q18+'Tabell 5.2'!Q30+'Tabell 5.2'!Q42+'Tabell 5.2'!Q54+'Tabell 5.2'!Q90+'Tabell 5.2'!Q102+'Tabell 5.2'!Q128+'Tabell 5.2'!Q140+Q18+Q30+'Tabell 5.2'!Q66+'Tabell 5.2'!Q78+'Tabell 5.2'!Q114</f>
        <v>394.13685099999998</v>
      </c>
      <c r="R44" s="750">
        <f>'Tabell 5.1'!R18+'Tabell 5.1'!R30+'Tabell 5.1'!R42+'Tabell 5.1'!R54+'Tabell 5.1'!R68+'Tabell 5.1'!R80+'Tabell 5.1'!R92+'Tabell 5.1'!R104+'Tabell 5.2'!R18+'Tabell 5.2'!R30+'Tabell 5.2'!R42+'Tabell 5.2'!R54+'Tabell 5.2'!R90+'Tabell 5.2'!R102+'Tabell 5.2'!R128+'Tabell 5.2'!R140+R18+R30+'Tabell 5.2'!R66+'Tabell 5.2'!R78+'Tabell 5.2'!R114</f>
        <v>520.62116400000002</v>
      </c>
      <c r="S44" s="750">
        <f t="shared" si="18"/>
        <v>32.1</v>
      </c>
      <c r="T44" s="756">
        <f>'Tabell 5.1'!T18+'Tabell 5.1'!T30+'Tabell 5.1'!T42+'Tabell 5.1'!T54+'Tabell 5.1'!T68+'Tabell 5.1'!T80+'Tabell 5.1'!T92+'Tabell 5.1'!T104+'Tabell 5.2'!T18+'Tabell 5.2'!T30+'Tabell 5.2'!T42+'Tabell 5.2'!T54+'Tabell 5.2'!T90+'Tabell 5.2'!T102+'Tabell 5.2'!T128+'Tabell 5.2'!T140+T18+T30+'Tabell 5.2'!T66+'Tabell 5.2'!T78+'Tabell 5.2'!T114</f>
        <v>0</v>
      </c>
      <c r="U44" s="750">
        <f>'Tabell 5.1'!U18+'Tabell 5.1'!U30+'Tabell 5.1'!U42+'Tabell 5.1'!U54+'Tabell 5.1'!U68+'Tabell 5.1'!U80+'Tabell 5.1'!U92+'Tabell 5.1'!U104+'Tabell 5.2'!U18+'Tabell 5.2'!U30+'Tabell 5.2'!U42+'Tabell 5.2'!U54+'Tabell 5.2'!U90+'Tabell 5.2'!U102+'Tabell 5.2'!U128+'Tabell 5.2'!U140+U18+U30+'Tabell 5.2'!U66+'Tabell 5.2'!U78+'Tabell 5.2'!U114</f>
        <v>2</v>
      </c>
      <c r="V44" s="750" t="str">
        <f t="shared" si="19"/>
        <v xml:space="preserve">    ---- </v>
      </c>
      <c r="W44" s="750">
        <f>'Tabell 5.1'!W18+'Tabell 5.1'!W30+'Tabell 5.1'!W42+'Tabell 5.1'!W54+'Tabell 5.1'!W68+'Tabell 5.1'!W80+'Tabell 5.1'!W92+'Tabell 5.1'!W104+'Tabell 5.2'!W18+'Tabell 5.2'!W30+'Tabell 5.2'!W42+'Tabell 5.2'!W54+'Tabell 5.2'!W90+'Tabell 5.2'!W102+'Tabell 5.2'!W128+'Tabell 5.2'!W140+W18+W30+'Tabell 5.2'!W66+'Tabell 5.2'!W78+'Tabell 5.2'!W114</f>
        <v>94</v>
      </c>
      <c r="X44" s="750">
        <f>'Tabell 5.1'!X18+'Tabell 5.1'!X30+'Tabell 5.1'!X42+'Tabell 5.1'!X54+'Tabell 5.1'!X68+'Tabell 5.1'!X80+'Tabell 5.1'!X92+'Tabell 5.1'!X104+'Tabell 5.2'!X18+'Tabell 5.2'!X30+'Tabell 5.2'!X42+'Tabell 5.2'!X54+'Tabell 5.2'!X90+'Tabell 5.2'!X102+'Tabell 5.2'!X128+'Tabell 5.2'!X140+X18+X30+'Tabell 5.2'!X66+'Tabell 5.2'!X78+'Tabell 5.2'!X114</f>
        <v>103.27705467592259</v>
      </c>
      <c r="Y44" s="750">
        <f t="shared" si="20"/>
        <v>9.9</v>
      </c>
      <c r="Z44" s="756">
        <f>'Tabell 5.1'!Z18+'Tabell 5.1'!Z30+'Tabell 5.1'!Z42+'Tabell 5.1'!Z54+'Tabell 5.1'!Z68+'Tabell 5.1'!Z80+'Tabell 5.1'!Z92+'Tabell 5.1'!Z104+'Tabell 5.2'!Z18+'Tabell 5.2'!Z30+'Tabell 5.2'!Z42+'Tabell 5.2'!Z54+'Tabell 5.2'!Z90+'Tabell 5.2'!Z102+'Tabell 5.2'!Z128+'Tabell 5.2'!Z140+Z18+Z30+'Tabell 5.2'!Z66+'Tabell 5.2'!Z78+'Tabell 5.2'!Z114</f>
        <v>-151</v>
      </c>
      <c r="AA44" s="750">
        <f>'Tabell 5.1'!AA18+'Tabell 5.1'!AA30+'Tabell 5.1'!AA42+'Tabell 5.1'!AA54+'Tabell 5.1'!AA68+'Tabell 5.1'!AA80+'Tabell 5.1'!AA92+'Tabell 5.1'!AA104+'Tabell 5.2'!AA18+'Tabell 5.2'!AA30+'Tabell 5.2'!AA42+'Tabell 5.2'!AA54+'Tabell 5.2'!AA90+'Tabell 5.2'!AA102+'Tabell 5.2'!AA128+'Tabell 5.2'!AA140+AA18+AA30+'Tabell 5.2'!AA66+'Tabell 5.2'!AA78+'Tabell 5.2'!AA114</f>
        <v>-179</v>
      </c>
      <c r="AB44" s="750">
        <f t="shared" si="21"/>
        <v>18.5</v>
      </c>
      <c r="AC44" s="756">
        <f>'Tabell 5.1'!AC18+'Tabell 5.1'!AC30+'Tabell 5.1'!AC42+'Tabell 5.1'!AC54+'Tabell 5.1'!AC68+'Tabell 5.1'!AC80+'Tabell 5.1'!AC92+'Tabell 5.1'!AC104+'Tabell 5.2'!AC18+'Tabell 5.2'!AC30+'Tabell 5.2'!AC42+'Tabell 5.2'!AC54+'Tabell 5.2'!AC90+'Tabell 5.2'!AC102+'Tabell 5.2'!AC128+'Tabell 5.2'!AC140+AC18+AC30+'Tabell 5.2'!AC66+'Tabell 5.2'!AC78+'Tabell 5.2'!AC114</f>
        <v>0</v>
      </c>
      <c r="AD44" s="750">
        <f>'Tabell 5.1'!AD18+'Tabell 5.1'!AD30+'Tabell 5.1'!AD42+'Tabell 5.1'!AD54+'Tabell 5.1'!AD68+'Tabell 5.1'!AD80+'Tabell 5.1'!AD92+'Tabell 5.1'!AD104+'Tabell 5.2'!AD18+'Tabell 5.2'!AD30+'Tabell 5.2'!AD42+'Tabell 5.2'!AD54+'Tabell 5.2'!AD90+'Tabell 5.2'!AD102+'Tabell 5.2'!AD128+'Tabell 5.2'!AD140+AD18+AD30+'Tabell 5.2'!AD66+'Tabell 5.2'!AD78+'Tabell 5.2'!AD114</f>
        <v>0</v>
      </c>
      <c r="AE44" s="750" t="str">
        <f t="shared" si="22"/>
        <v xml:space="preserve">    ---- </v>
      </c>
      <c r="AF44" s="756"/>
      <c r="AG44" s="750"/>
      <c r="AH44" s="750"/>
      <c r="AI44" s="756">
        <f>'Tabell 5.1'!AI18+'Tabell 5.1'!AI30+'Tabell 5.1'!AI42+'Tabell 5.1'!AI54+'Tabell 5.1'!AI68+'Tabell 5.1'!AI80+'Tabell 5.1'!AI92+'Tabell 5.1'!AI104+'Tabell 5.2'!AI18+'Tabell 5.2'!AI30+'Tabell 5.2'!AI42+'Tabell 5.2'!AI54+'Tabell 5.2'!AI90+'Tabell 5.2'!AI102+'Tabell 5.2'!AI128+'Tabell 5.2'!AI140+AI18+AI30+'Tabell 5.2'!AI66+'Tabell 5.2'!AI78+'Tabell 5.2'!AI114</f>
        <v>0</v>
      </c>
      <c r="AJ44" s="750">
        <f>'Tabell 5.1'!AJ18+'Tabell 5.1'!AJ30+'Tabell 5.1'!AJ42+'Tabell 5.1'!AJ54+'Tabell 5.1'!AJ68+'Tabell 5.1'!AJ80+'Tabell 5.1'!AJ92+'Tabell 5.1'!AJ104+'Tabell 5.2'!AJ18+'Tabell 5.2'!AJ30+'Tabell 5.2'!AJ42+'Tabell 5.2'!AJ54+'Tabell 5.2'!AJ90+'Tabell 5.2'!AJ102+'Tabell 5.2'!AJ128+'Tabell 5.2'!AJ140+AJ18+AJ30+'Tabell 5.2'!AJ66+'Tabell 5.2'!AJ78+'Tabell 5.2'!AJ114</f>
        <v>0</v>
      </c>
      <c r="AK44" s="750" t="str">
        <f t="shared" si="23"/>
        <v xml:space="preserve">    ---- </v>
      </c>
      <c r="AL44" s="756">
        <f>'Tabell 5.1'!AL18+'Tabell 5.1'!AL30+'Tabell 5.1'!AL42+'Tabell 5.1'!AL54+'Tabell 5.1'!AL68+'Tabell 5.1'!AL80+'Tabell 5.1'!AL92+'Tabell 5.1'!AL104+'Tabell 5.2'!AL18+'Tabell 5.2'!AL30+'Tabell 5.2'!AL42+'Tabell 5.2'!AL54+'Tabell 5.2'!AL90+'Tabell 5.2'!AL102+'Tabell 5.2'!AL128+'Tabell 5.2'!AL140+AL18+AL30+'Tabell 5.2'!AL66+'Tabell 5.2'!AL78+'Tabell 5.2'!AL114</f>
        <v>0</v>
      </c>
      <c r="AM44" s="750">
        <f>'Tabell 5.1'!AM18+'Tabell 5.1'!AM30+'Tabell 5.1'!AM42+'Tabell 5.1'!AM54+'Tabell 5.1'!AM68+'Tabell 5.1'!AM80+'Tabell 5.1'!AM92+'Tabell 5.1'!AM104+'Tabell 5.2'!AM18+'Tabell 5.2'!AM30+'Tabell 5.2'!AM42+'Tabell 5.2'!AM54+'Tabell 5.2'!AM90+'Tabell 5.2'!AM102+'Tabell 5.2'!AM128+'Tabell 5.2'!AM140+AM18+AM30+'Tabell 5.2'!AM66+'Tabell 5.2'!AM78+'Tabell 5.2'!AM114</f>
        <v>0</v>
      </c>
      <c r="AN44" s="750" t="str">
        <f t="shared" si="24"/>
        <v xml:space="preserve">    ---- </v>
      </c>
      <c r="AO44" s="750">
        <f>'Tabell 5.1'!AO18+'Tabell 5.1'!AO30+'Tabell 5.1'!AO42+'Tabell 5.1'!AO54+'Tabell 5.1'!AO68+'Tabell 5.1'!AO80+'Tabell 5.1'!AO92+'Tabell 5.1'!AO104+'Tabell 5.2'!AO18+'Tabell 5.2'!AO30+'Tabell 5.2'!AO42+'Tabell 5.2'!AO54+'Tabell 5.2'!AO90+'Tabell 5.2'!AO102+'Tabell 5.2'!AO128+'Tabell 5.2'!AO140+AO18+AO30+'Tabell 5.2'!AO66+'Tabell 5.2'!AO78+'Tabell 5.2'!AO114</f>
        <v>336.504548</v>
      </c>
      <c r="AP44" s="750">
        <f>'Tabell 5.1'!AP18+'Tabell 5.1'!AP30+'Tabell 5.1'!AP42+'Tabell 5.1'!AP54+'Tabell 5.1'!AP68+'Tabell 5.1'!AP80+'Tabell 5.1'!AP92+'Tabell 5.1'!AP104+'Tabell 5.2'!AP18+'Tabell 5.2'!AP30+'Tabell 5.2'!AP42+'Tabell 5.2'!AP54+'Tabell 5.2'!AP90+'Tabell 5.2'!AP102+'Tabell 5.2'!AP128+'Tabell 5.2'!AP140+AP18+AP30+'Tabell 5.2'!AP66+'Tabell 5.2'!AP78+'Tabell 5.2'!AP114</f>
        <v>446.89821858009964</v>
      </c>
      <c r="AQ44" s="750">
        <f t="shared" si="25"/>
        <v>32.799999999999997</v>
      </c>
      <c r="AR44" s="750">
        <f>'Tabell 5.1'!AR18+'Tabell 5.1'!AR30+'Tabell 5.1'!AR42+'Tabell 5.1'!AR54+'Tabell 5.1'!AR68+'Tabell 5.1'!AR80+'Tabell 5.1'!AR92+'Tabell 5.1'!AR104+'Tabell 5.2'!AR18+'Tabell 5.2'!AR30+'Tabell 5.2'!AR42+'Tabell 5.2'!AR54+'Tabell 5.2'!AR90+'Tabell 5.2'!AR102+'Tabell 5.2'!AR128+'Tabell 5.2'!AR140+AR18+AR30+'Tabell 5.2'!AR66+'Tabell 5.2'!AR78+'Tabell 5.2'!AR114</f>
        <v>336.504548</v>
      </c>
      <c r="AS44" s="750">
        <f>'Tabell 5.1'!AS18+'Tabell 5.1'!AS30+'Tabell 5.1'!AS42+'Tabell 5.1'!AS54+'Tabell 5.1'!AS68+'Tabell 5.1'!AS80+'Tabell 5.1'!AS92+'Tabell 5.1'!AS104+'Tabell 5.2'!AS18+'Tabell 5.2'!AS30+'Tabell 5.2'!AS42+'Tabell 5.2'!AS54+'Tabell 5.2'!AS90+'Tabell 5.2'!AS102+'Tabell 5.2'!AS128+'Tabell 5.2'!AS140+AS18+AS30+'Tabell 5.2'!AS66+'Tabell 5.2'!AS78+'Tabell 5.2'!AS114</f>
        <v>446.89821858009964</v>
      </c>
      <c r="AT44" s="751">
        <f t="shared" si="26"/>
        <v>32.799999999999997</v>
      </c>
      <c r="AU44" s="788"/>
      <c r="AV44" s="730"/>
      <c r="AW44" s="725"/>
      <c r="AX44" s="725"/>
    </row>
    <row r="45" spans="1:50" s="752" customFormat="1" ht="18.75" customHeight="1" x14ac:dyDescent="0.3">
      <c r="A45" s="688" t="s">
        <v>431</v>
      </c>
      <c r="B45" s="756">
        <f>'Tabell 5.1'!B19+'Tabell 5.1'!B31+'Tabell 5.1'!B43+'Tabell 5.1'!B55+'Tabell 5.1'!B69+'Tabell 5.1'!B81+'Tabell 5.1'!B93+'Tabell 5.1'!B105+'Tabell 5.2'!B19+'Tabell 5.2'!B31+'Tabell 5.2'!B43+'Tabell 5.2'!B55+'Tabell 5.2'!B91+'Tabell 5.2'!B103+'Tabell 5.2'!B129+'Tabell 5.2'!B141+B19+B31+'Tabell 5.2'!B67+'Tabell 5.2'!B79+'Tabell 5.2'!B115</f>
        <v>0</v>
      </c>
      <c r="C45" s="750">
        <f>'Tabell 5.1'!C19+'Tabell 5.1'!C31+'Tabell 5.1'!C43+'Tabell 5.1'!C55+'Tabell 5.1'!C69+'Tabell 5.1'!C81+'Tabell 5.1'!C93+'Tabell 5.1'!C105+'Tabell 5.2'!C19+'Tabell 5.2'!C31+'Tabell 5.2'!C43+'Tabell 5.2'!C55+'Tabell 5.2'!C91+'Tabell 5.2'!C103+'Tabell 5.2'!C129+'Tabell 5.2'!C141+C19+C31+'Tabell 5.2'!C67+'Tabell 5.2'!C79+'Tabell 5.2'!C115</f>
        <v>0</v>
      </c>
      <c r="D45" s="750" t="str">
        <f t="shared" si="13"/>
        <v xml:space="preserve">    ---- </v>
      </c>
      <c r="E45" s="756">
        <f>'Tabell 5.1'!E19+'Tabell 5.1'!E31+'Tabell 5.1'!E43+'Tabell 5.1'!E55+'Tabell 5.1'!E69+'Tabell 5.1'!E81+'Tabell 5.1'!E93+'Tabell 5.1'!E105+'Tabell 5.2'!E19+'Tabell 5.2'!E31+'Tabell 5.2'!E43+'Tabell 5.2'!E55+'Tabell 5.2'!E91+'Tabell 5.2'!E103+'Tabell 5.2'!E129+'Tabell 5.2'!E141+E19+E31+'Tabell 5.2'!E67+'Tabell 5.2'!E79+'Tabell 5.2'!E115</f>
        <v>0</v>
      </c>
      <c r="F45" s="750">
        <f>'Tabell 5.1'!F19+'Tabell 5.1'!F31+'Tabell 5.1'!F43+'Tabell 5.1'!F55+'Tabell 5.1'!F69+'Tabell 5.1'!F81+'Tabell 5.1'!F93+'Tabell 5.1'!F105+'Tabell 5.2'!F19+'Tabell 5.2'!F31+'Tabell 5.2'!F43+'Tabell 5.2'!F55+'Tabell 5.2'!F91+'Tabell 5.2'!F103+'Tabell 5.2'!F129+'Tabell 5.2'!F141+F19+F31+'Tabell 5.2'!F67+'Tabell 5.2'!F79+'Tabell 5.2'!F115</f>
        <v>0</v>
      </c>
      <c r="G45" s="750" t="str">
        <f t="shared" si="14"/>
        <v xml:space="preserve">    ---- </v>
      </c>
      <c r="H45" s="756">
        <f>'Tabell 5.1'!H19+'Tabell 5.1'!H31+'Tabell 5.1'!H43+'Tabell 5.1'!H55+'Tabell 5.1'!H69+'Tabell 5.1'!H81+'Tabell 5.1'!H93+'Tabell 5.1'!H105+'Tabell 5.2'!H19+'Tabell 5.2'!H31+'Tabell 5.2'!H43+'Tabell 5.2'!H55+'Tabell 5.2'!H91+'Tabell 5.2'!H103+'Tabell 5.2'!H129+'Tabell 5.2'!H141+H19+H31+'Tabell 5.2'!H67+'Tabell 5.2'!H79+'Tabell 5.2'!H115</f>
        <v>-0.13699999999999998</v>
      </c>
      <c r="I45" s="750">
        <f>'Tabell 5.1'!I19+'Tabell 5.1'!I31+'Tabell 5.1'!I43+'Tabell 5.1'!I55+'Tabell 5.1'!I69+'Tabell 5.1'!I81+'Tabell 5.1'!I93+'Tabell 5.1'!I105+'Tabell 5.2'!I19+'Tabell 5.2'!I31+'Tabell 5.2'!I43+'Tabell 5.2'!I55+'Tabell 5.2'!I91+'Tabell 5.2'!I103+'Tabell 5.2'!I129+'Tabell 5.2'!I141+I19+I31+'Tabell 5.2'!I67+'Tabell 5.2'!I79+'Tabell 5.2'!I115</f>
        <v>0</v>
      </c>
      <c r="J45" s="750">
        <f t="shared" si="15"/>
        <v>-100</v>
      </c>
      <c r="K45" s="756">
        <f>'Tabell 5.1'!K19+'Tabell 5.1'!K31+'Tabell 5.1'!K43+'Tabell 5.1'!K55+'Tabell 5.1'!K69+'Tabell 5.1'!K81+'Tabell 5.1'!K93+'Tabell 5.1'!K105+'Tabell 5.2'!K19+'Tabell 5.2'!K31+'Tabell 5.2'!K43+'Tabell 5.2'!K55+'Tabell 5.2'!K91+'Tabell 5.2'!K103+'Tabell 5.2'!K129+'Tabell 5.2'!K141+K19+K31+'Tabell 5.2'!K67+'Tabell 5.2'!K79+'Tabell 5.2'!K115</f>
        <v>0</v>
      </c>
      <c r="L45" s="750">
        <f>'Tabell 5.1'!L19+'Tabell 5.1'!L31+'Tabell 5.1'!L43+'Tabell 5.1'!L55+'Tabell 5.1'!L69+'Tabell 5.1'!L81+'Tabell 5.1'!L93+'Tabell 5.1'!L105+'Tabell 5.2'!L19+'Tabell 5.2'!L31+'Tabell 5.2'!L43+'Tabell 5.2'!L55+'Tabell 5.2'!L91+'Tabell 5.2'!L103+'Tabell 5.2'!L129+'Tabell 5.2'!L141+L19+L31+'Tabell 5.2'!L67+'Tabell 5.2'!L79+'Tabell 5.2'!L115</f>
        <v>130.84700000000001</v>
      </c>
      <c r="M45" s="750" t="str">
        <f t="shared" si="16"/>
        <v xml:space="preserve">    ---- </v>
      </c>
      <c r="N45" s="756">
        <f>'Tabell 5.1'!N19+'Tabell 5.1'!N31+'Tabell 5.1'!N43+'Tabell 5.1'!N55+'Tabell 5.1'!N69+'Tabell 5.1'!N81+'Tabell 5.1'!N93+'Tabell 5.1'!N105+'Tabell 5.2'!N19+'Tabell 5.2'!N31+'Tabell 5.2'!N43+'Tabell 5.2'!N55+'Tabell 5.2'!N91+'Tabell 5.2'!N103+'Tabell 5.2'!N129+'Tabell 5.2'!N141+N19+N31+'Tabell 5.2'!N67+'Tabell 5.2'!N79+'Tabell 5.2'!N115</f>
        <v>0</v>
      </c>
      <c r="O45" s="750">
        <f>'Tabell 5.1'!O19+'Tabell 5.1'!O31+'Tabell 5.1'!O43+'Tabell 5.1'!O55+'Tabell 5.1'!O69+'Tabell 5.1'!O81+'Tabell 5.1'!O93+'Tabell 5.1'!O105+'Tabell 5.2'!O19+'Tabell 5.2'!O31+'Tabell 5.2'!O43+'Tabell 5.2'!O55+'Tabell 5.2'!O91+'Tabell 5.2'!O103+'Tabell 5.2'!O129+'Tabell 5.2'!O141+O19+O31+'Tabell 5.2'!O67+'Tabell 5.2'!O79+'Tabell 5.2'!O115</f>
        <v>0</v>
      </c>
      <c r="P45" s="750" t="str">
        <f t="shared" si="17"/>
        <v xml:space="preserve">    ---- </v>
      </c>
      <c r="Q45" s="756">
        <f>'Tabell 5.1'!Q19+'Tabell 5.1'!Q31+'Tabell 5.1'!Q43+'Tabell 5.1'!Q55+'Tabell 5.1'!Q69+'Tabell 5.1'!Q81+'Tabell 5.1'!Q93+'Tabell 5.1'!Q105+'Tabell 5.2'!Q19+'Tabell 5.2'!Q31+'Tabell 5.2'!Q43+'Tabell 5.2'!Q55+'Tabell 5.2'!Q91+'Tabell 5.2'!Q103+'Tabell 5.2'!Q129+'Tabell 5.2'!Q141+Q19+Q31+'Tabell 5.2'!Q67+'Tabell 5.2'!Q79+'Tabell 5.2'!Q115</f>
        <v>0</v>
      </c>
      <c r="R45" s="750">
        <f>'Tabell 5.1'!R19+'Tabell 5.1'!R31+'Tabell 5.1'!R43+'Tabell 5.1'!R55+'Tabell 5.1'!R69+'Tabell 5.1'!R81+'Tabell 5.1'!R93+'Tabell 5.1'!R105+'Tabell 5.2'!R19+'Tabell 5.2'!R31+'Tabell 5.2'!R43+'Tabell 5.2'!R55+'Tabell 5.2'!R91+'Tabell 5.2'!R103+'Tabell 5.2'!R129+'Tabell 5.2'!R141+R19+R31+'Tabell 5.2'!R67+'Tabell 5.2'!R79+'Tabell 5.2'!R115</f>
        <v>0</v>
      </c>
      <c r="S45" s="750" t="str">
        <f t="shared" si="18"/>
        <v xml:space="preserve">    ---- </v>
      </c>
      <c r="T45" s="756">
        <f>'Tabell 5.1'!T19+'Tabell 5.1'!T31+'Tabell 5.1'!T43+'Tabell 5.1'!T55+'Tabell 5.1'!T69+'Tabell 5.1'!T81+'Tabell 5.1'!T93+'Tabell 5.1'!T105+'Tabell 5.2'!T19+'Tabell 5.2'!T31+'Tabell 5.2'!T43+'Tabell 5.2'!T55+'Tabell 5.2'!T91+'Tabell 5.2'!T103+'Tabell 5.2'!T129+'Tabell 5.2'!T141+T19+T31+'Tabell 5.2'!T67+'Tabell 5.2'!T79+'Tabell 5.2'!T115</f>
        <v>-18</v>
      </c>
      <c r="U45" s="750">
        <f>'Tabell 5.1'!U19+'Tabell 5.1'!U31+'Tabell 5.1'!U43+'Tabell 5.1'!U55+'Tabell 5.1'!U69+'Tabell 5.1'!U81+'Tabell 5.1'!U93+'Tabell 5.1'!U105+'Tabell 5.2'!U19+'Tabell 5.2'!U31+'Tabell 5.2'!U43+'Tabell 5.2'!U55+'Tabell 5.2'!U91+'Tabell 5.2'!U103+'Tabell 5.2'!U129+'Tabell 5.2'!U141+U19+U31+'Tabell 5.2'!U67+'Tabell 5.2'!U79+'Tabell 5.2'!U115</f>
        <v>9</v>
      </c>
      <c r="V45" s="750">
        <f t="shared" si="19"/>
        <v>-150</v>
      </c>
      <c r="W45" s="756">
        <f>'Tabell 5.1'!W19+'Tabell 5.1'!W31+'Tabell 5.1'!W43+'Tabell 5.1'!W55+'Tabell 5.1'!W69+'Tabell 5.1'!W81+'Tabell 5.1'!W93+'Tabell 5.1'!W105+'Tabell 5.2'!W19+'Tabell 5.2'!W31+'Tabell 5.2'!W54+'Tabell 5.2'!W55+'Tabell 5.2'!W91+'Tabell 5.2'!W103+'Tabell 5.2'!W129+'Tabell 5.2'!W141+W19+W31+'Tabell 5.2'!W67+'Tabell 5.2'!W79+'Tabell 5.2'!W115</f>
        <v>-342.88951700000001</v>
      </c>
      <c r="X45" s="750">
        <f>'Tabell 5.1'!X19+'Tabell 5.1'!X31+'Tabell 5.1'!X43+'Tabell 5.1'!X55+'Tabell 5.1'!X69+'Tabell 5.1'!X81+'Tabell 5.1'!X93+'Tabell 5.1'!X105+'Tabell 5.2'!X19+'Tabell 5.2'!X31+'Tabell 5.2'!X43+'Tabell 5.2'!X55+'Tabell 5.2'!X91+'Tabell 5.2'!X103+'Tabell 5.2'!X129+'Tabell 5.2'!X141+X19+X31+'Tabell 5.2'!X67+'Tabell 5.2'!X79+'Tabell 5.2'!X115</f>
        <v>-238.19681299999999</v>
      </c>
      <c r="Y45" s="750">
        <f t="shared" si="20"/>
        <v>-30.5</v>
      </c>
      <c r="Z45" s="756">
        <f>'Tabell 5.1'!Z19+'Tabell 5.1'!Z31+'Tabell 5.1'!Z43+'Tabell 5.1'!Z55+'Tabell 5.1'!Z69+'Tabell 5.1'!Z81+'Tabell 5.1'!Z93+'Tabell 5.1'!Z105+'Tabell 5.2'!Z19+'Tabell 5.2'!Z31+'Tabell 5.2'!Z43+'Tabell 5.2'!Z55+'Tabell 5.2'!Z91+'Tabell 5.2'!Z103+'Tabell 5.2'!Z129+'Tabell 5.2'!Z141+Z19+Z31+'Tabell 5.2'!Z67+'Tabell 5.2'!Z79+'Tabell 5.2'!Z115</f>
        <v>0</v>
      </c>
      <c r="AA45" s="750">
        <f>'Tabell 5.1'!AA19+'Tabell 5.1'!AA31+'Tabell 5.1'!AA43+'Tabell 5.1'!AA55+'Tabell 5.1'!AA69+'Tabell 5.1'!AA81+'Tabell 5.1'!AA93+'Tabell 5.1'!AA105+'Tabell 5.2'!AA19+'Tabell 5.2'!AA31+'Tabell 5.2'!AA43+'Tabell 5.2'!AA55+'Tabell 5.2'!AA91+'Tabell 5.2'!AA103+'Tabell 5.2'!AA129+'Tabell 5.2'!AA141+AA19+AA31+'Tabell 5.2'!AA67+'Tabell 5.2'!AA79+'Tabell 5.2'!AA115</f>
        <v>0</v>
      </c>
      <c r="AB45" s="750" t="str">
        <f t="shared" si="21"/>
        <v xml:space="preserve">    ---- </v>
      </c>
      <c r="AC45" s="756">
        <f>'Tabell 5.1'!AC19+'Tabell 5.1'!AC31+'Tabell 5.1'!AC43+'Tabell 5.1'!AC55+'Tabell 5.1'!AC69+'Tabell 5.1'!AC81+'Tabell 5.1'!AC93+'Tabell 5.1'!AC105+'Tabell 5.2'!AC19+'Tabell 5.2'!AC31+'Tabell 5.2'!AC43+'Tabell 5.2'!AC55+'Tabell 5.2'!AC91+'Tabell 5.2'!AC103+'Tabell 5.2'!AC129+'Tabell 5.2'!AC141+AC19+AC31+'Tabell 5.2'!AC67+'Tabell 5.2'!AC79+'Tabell 5.2'!AC115</f>
        <v>0</v>
      </c>
      <c r="AD45" s="750">
        <f>'Tabell 5.1'!AD19+'Tabell 5.1'!AD31+'Tabell 5.1'!AD43+'Tabell 5.1'!AD55+'Tabell 5.1'!AD69+'Tabell 5.1'!AD81+'Tabell 5.1'!AD93+'Tabell 5.1'!AD105+'Tabell 5.2'!AD19+'Tabell 5.2'!AD31+'Tabell 5.2'!AD43+'Tabell 5.2'!AD55+'Tabell 5.2'!AD91+'Tabell 5.2'!AD103+'Tabell 5.2'!AD129+'Tabell 5.2'!AD141+AD19+AD31+'Tabell 5.2'!AD67+'Tabell 5.2'!AD79+'Tabell 5.2'!AD115</f>
        <v>0</v>
      </c>
      <c r="AE45" s="750" t="str">
        <f t="shared" si="22"/>
        <v xml:space="preserve">    ---- </v>
      </c>
      <c r="AF45" s="756"/>
      <c r="AG45" s="750"/>
      <c r="AH45" s="750"/>
      <c r="AI45" s="756">
        <f>'Tabell 5.1'!AI19+'Tabell 5.1'!AI31+'Tabell 5.1'!AI43+'Tabell 5.1'!AI55+'Tabell 5.1'!AI69+'Tabell 5.1'!AI81+'Tabell 5.1'!AI93+'Tabell 5.1'!AI105+'Tabell 5.2'!AI19+'Tabell 5.2'!AI31+'Tabell 5.2'!AI43+'Tabell 5.2'!AI55+'Tabell 5.2'!AI91+'Tabell 5.2'!AI103+'Tabell 5.2'!AI129+'Tabell 5.2'!AI141+AI19+AI31+'Tabell 5.2'!AI67+'Tabell 5.2'!AI79+'Tabell 5.2'!AI115</f>
        <v>-127.05799999999999</v>
      </c>
      <c r="AJ45" s="750">
        <f>'Tabell 5.1'!AJ19+'Tabell 5.1'!AJ31+'Tabell 5.1'!AJ43+'Tabell 5.1'!AJ55+'Tabell 5.1'!AJ69+'Tabell 5.1'!AJ81+'Tabell 5.1'!AJ93+'Tabell 5.1'!AJ105+'Tabell 5.2'!AJ19+'Tabell 5.2'!AJ31+'Tabell 5.2'!AJ43+'Tabell 5.2'!AJ55+'Tabell 5.2'!AJ91+'Tabell 5.2'!AJ103+'Tabell 5.2'!AJ129+'Tabell 5.2'!AJ141+AJ19+AJ31+'Tabell 5.2'!AJ67+'Tabell 5.2'!AJ79+'Tabell 5.2'!AJ115</f>
        <v>0</v>
      </c>
      <c r="AK45" s="750">
        <f t="shared" si="23"/>
        <v>-100</v>
      </c>
      <c r="AL45" s="756">
        <f>'Tabell 5.1'!AL19+'Tabell 5.1'!AL31+'Tabell 5.1'!AL43+'Tabell 5.1'!AL55+'Tabell 5.1'!AL69+'Tabell 5.1'!AL81+'Tabell 5.1'!AL93+'Tabell 5.1'!AL105+'Tabell 5.2'!AL19+'Tabell 5.2'!AL31+'Tabell 5.2'!AL43+'Tabell 5.2'!AL55+'Tabell 5.2'!AL91+'Tabell 5.2'!AL103+'Tabell 5.2'!AL129+'Tabell 5.2'!AL141+AL19+AL31+'Tabell 5.2'!AL67+'Tabell 5.2'!AL79+'Tabell 5.2'!AL115</f>
        <v>-67.900000000000006</v>
      </c>
      <c r="AM45" s="750">
        <f>'Tabell 5.1'!AM19+'Tabell 5.1'!AM31+'Tabell 5.1'!AM43+'Tabell 5.1'!AM55+'Tabell 5.1'!AM69+'Tabell 5.1'!AM81+'Tabell 5.1'!AM93+'Tabell 5.1'!AM105+'Tabell 5.2'!AM19+'Tabell 5.2'!AM31+'Tabell 5.2'!AM43+'Tabell 5.2'!AM55+'Tabell 5.2'!AM91+'Tabell 5.2'!AM103+'Tabell 5.2'!AM129+'Tabell 5.2'!AM141+AM19+AM31+'Tabell 5.2'!AM67+'Tabell 5.2'!AM79+'Tabell 5.2'!AM115</f>
        <v>-3.42</v>
      </c>
      <c r="AN45" s="750">
        <f t="shared" si="24"/>
        <v>-95</v>
      </c>
      <c r="AO45" s="750">
        <f>'Tabell 5.1'!AO19+'Tabell 5.1'!AO31+'Tabell 5.1'!AO43+'Tabell 5.1'!AO55+'Tabell 5.1'!AO69+'Tabell 5.1'!AO81+'Tabell 5.1'!AO93+'Tabell 5.1'!AO105+'Tabell 5.2'!AO19+'Tabell 5.2'!AO31+'Tabell 5.2'!AO43+'Tabell 5.2'!AO55+'Tabell 5.2'!AO91+'Tabell 5.2'!AO103+'Tabell 5.2'!AO129+'Tabell 5.2'!AO141+AO19+AO31+'Tabell 5.2'!AO67+'Tabell 5.2'!AO79+'Tabell 5.2'!AO115</f>
        <v>-555.98451699999998</v>
      </c>
      <c r="AP45" s="750">
        <f>'Tabell 5.1'!AP19+'Tabell 5.1'!AP31+'Tabell 5.1'!AP43+'Tabell 5.1'!AP55+'Tabell 5.1'!AP69+'Tabell 5.1'!AP81+'Tabell 5.1'!AP93+'Tabell 5.1'!AP105+'Tabell 5.2'!AP19+'Tabell 5.2'!AP31+'Tabell 5.2'!AP43+'Tabell 5.2'!AP55+'Tabell 5.2'!AP91+'Tabell 5.2'!AP103+'Tabell 5.2'!AP129+'Tabell 5.2'!AP141+AP19+AP31+'Tabell 5.2'!AP67+'Tabell 5.2'!AP79+'Tabell 5.2'!AP115</f>
        <v>-101.76981299999997</v>
      </c>
      <c r="AQ45" s="750">
        <f t="shared" si="25"/>
        <v>-81.7</v>
      </c>
      <c r="AR45" s="750">
        <f>'Tabell 5.1'!AR19+'Tabell 5.1'!AR31+'Tabell 5.1'!AR43+'Tabell 5.1'!AR55+'Tabell 5.1'!AR69+'Tabell 5.1'!AR81+'Tabell 5.1'!AR93+'Tabell 5.1'!AR105+'Tabell 5.2'!AR19+'Tabell 5.2'!AR31+'Tabell 5.2'!AR43+'Tabell 5.2'!AR55+'Tabell 5.2'!AR91+'Tabell 5.2'!AR103+'Tabell 5.2'!AR129+'Tabell 5.2'!AR141+AR19+AR31+'Tabell 5.2'!AR67+'Tabell 5.2'!AR79+'Tabell 5.2'!AR115</f>
        <v>-555.98451699999998</v>
      </c>
      <c r="AS45" s="750">
        <f>'Tabell 5.1'!AS19+'Tabell 5.1'!AS31+'Tabell 5.1'!AS43+'Tabell 5.1'!AS55+'Tabell 5.1'!AS69+'Tabell 5.1'!AS81+'Tabell 5.1'!AS93+'Tabell 5.1'!AS105+'Tabell 5.2'!AS19+'Tabell 5.2'!AS31+'Tabell 5.2'!AS43+'Tabell 5.2'!AS55+'Tabell 5.2'!AS91+'Tabell 5.2'!AS103+'Tabell 5.2'!AS129+'Tabell 5.2'!AS141+AS19+AS31+'Tabell 5.2'!AS67+'Tabell 5.2'!AS79+'Tabell 5.2'!AS115</f>
        <v>-101.76981299999997</v>
      </c>
      <c r="AT45" s="751">
        <f t="shared" si="26"/>
        <v>-81.7</v>
      </c>
      <c r="AU45" s="788"/>
      <c r="AV45" s="730"/>
      <c r="AW45" s="725"/>
      <c r="AX45" s="725"/>
    </row>
    <row r="46" spans="1:50" s="755" customFormat="1" ht="18.75" customHeight="1" x14ac:dyDescent="0.3">
      <c r="A46" s="679" t="s">
        <v>432</v>
      </c>
      <c r="B46" s="757">
        <f>'Tabell 5.1'!B20+'Tabell 5.1'!B32+'Tabell 5.1'!B44+'Tabell 5.1'!B56+'Tabell 5.1'!B70+'Tabell 5.1'!B82+'Tabell 5.1'!B94+'Tabell 5.1'!B106+'Tabell 5.2'!B20+'Tabell 5.2'!B32+'Tabell 5.2'!B44+'Tabell 5.2'!B56+'Tabell 5.2'!B92+'Tabell 5.2'!B104+'Tabell 5.2'!B130+'Tabell 5.2'!B142+B20+B32+'Tabell 5.2'!B68+'Tabell 5.2'!B80+'Tabell 5.2'!B116</f>
        <v>120.443</v>
      </c>
      <c r="C46" s="748">
        <f>'Tabell 5.1'!C20+'Tabell 5.1'!C32+'Tabell 5.1'!C44+'Tabell 5.1'!C56+'Tabell 5.1'!C70+'Tabell 5.1'!C82+'Tabell 5.1'!C94+'Tabell 5.1'!C106+'Tabell 5.2'!C20+'Tabell 5.2'!C32+'Tabell 5.2'!C44+'Tabell 5.2'!C56+'Tabell 5.2'!C92+'Tabell 5.2'!C104+'Tabell 5.2'!C130+'Tabell 5.2'!C142+C20+C32+'Tabell 5.2'!C68+'Tabell 5.2'!C80+'Tabell 5.2'!C116</f>
        <v>121.72800000000001</v>
      </c>
      <c r="D46" s="748">
        <f t="shared" si="13"/>
        <v>1.1000000000000001</v>
      </c>
      <c r="E46" s="757">
        <f>'Tabell 5.1'!E20+'Tabell 5.1'!E32+'Tabell 5.1'!E44+'Tabell 5.1'!E56+'Tabell 5.1'!E70+'Tabell 5.1'!E82+'Tabell 5.1'!E94+'Tabell 5.1'!E106+'Tabell 5.2'!E20+'Tabell 5.2'!E32+'Tabell 5.2'!E44+'Tabell 5.2'!E56+'Tabell 5.2'!E92+'Tabell 5.2'!E104+'Tabell 5.2'!E130+'Tabell 5.2'!E142+E20+E32+'Tabell 5.2'!E68+'Tabell 5.2'!E80+'Tabell 5.2'!E116</f>
        <v>6930.4551000000001</v>
      </c>
      <c r="F46" s="748">
        <f>'Tabell 5.1'!F20+'Tabell 5.1'!F32+'Tabell 5.1'!F44+'Tabell 5.1'!F56+'Tabell 5.1'!F70+'Tabell 5.1'!F82+'Tabell 5.1'!F94+'Tabell 5.1'!F106+'Tabell 5.2'!F20+'Tabell 5.2'!F32+'Tabell 5.2'!F44+'Tabell 5.2'!F56+'Tabell 5.2'!F92+'Tabell 5.2'!F104+'Tabell 5.2'!F130+'Tabell 5.2'!F142+F20+F32+'Tabell 5.2'!F68+'Tabell 5.2'!F80+'Tabell 5.2'!F116</f>
        <v>10025.293</v>
      </c>
      <c r="G46" s="748">
        <f t="shared" si="14"/>
        <v>44.7</v>
      </c>
      <c r="H46" s="757">
        <f>'Tabell 5.1'!H20+'Tabell 5.1'!H32+'Tabell 5.1'!H44+'Tabell 5.1'!H56+'Tabell 5.1'!H70+'Tabell 5.1'!H82+'Tabell 5.1'!H94+'Tabell 5.1'!H106+'Tabell 5.2'!H20+'Tabell 5.2'!H32+'Tabell 5.2'!H44+'Tabell 5.2'!H56+'Tabell 5.2'!H92+'Tabell 5.2'!H104+'Tabell 5.2'!H130+'Tabell 5.2'!H142+H20+H32+'Tabell 5.2'!H68+'Tabell 5.2'!H80+'Tabell 5.2'!H116</f>
        <v>119.83200000000002</v>
      </c>
      <c r="I46" s="748">
        <f>'Tabell 5.1'!I20+'Tabell 5.1'!I32+'Tabell 5.1'!I44+'Tabell 5.1'!I56+'Tabell 5.1'!I70+'Tabell 5.1'!I82+'Tabell 5.1'!I94+'Tabell 5.1'!I106+'Tabell 5.2'!I20+'Tabell 5.2'!I32+'Tabell 5.2'!I44+'Tabell 5.2'!I56+'Tabell 5.2'!I92+'Tabell 5.2'!I104+'Tabell 5.2'!I130+'Tabell 5.2'!I142+I20+I32+'Tabell 5.2'!I68+'Tabell 5.2'!I80+'Tabell 5.2'!I116</f>
        <v>117.06700000000001</v>
      </c>
      <c r="J46" s="748">
        <f t="shared" si="15"/>
        <v>-2.2999999999999998</v>
      </c>
      <c r="K46" s="757">
        <f>'Tabell 5.1'!K20+'Tabell 5.1'!K32+'Tabell 5.1'!K44+'Tabell 5.1'!K56+'Tabell 5.1'!K70+'Tabell 5.1'!K82+'Tabell 5.1'!K94+'Tabell 5.1'!K106+'Tabell 5.2'!K20+'Tabell 5.2'!K32+'Tabell 5.2'!K44+'Tabell 5.2'!K56+'Tabell 5.2'!K92+'Tabell 5.2'!K104+'Tabell 5.2'!K130+'Tabell 5.2'!K142+K20+K32+'Tabell 5.2'!K68+'Tabell 5.2'!K80+'Tabell 5.2'!K116</f>
        <v>63.223000000000006</v>
      </c>
      <c r="L46" s="748">
        <f>'Tabell 5.1'!L20+'Tabell 5.1'!L32+'Tabell 5.1'!L44+'Tabell 5.1'!L56+'Tabell 5.1'!L70+'Tabell 5.1'!L82+'Tabell 5.1'!L94+'Tabell 5.1'!L106+'Tabell 5.2'!L20+'Tabell 5.2'!L32+'Tabell 5.2'!L44+'Tabell 5.2'!L56+'Tabell 5.2'!L92+'Tabell 5.2'!L104+'Tabell 5.2'!L130+'Tabell 5.2'!L142+L20+L32+'Tabell 5.2'!L68+'Tabell 5.2'!L80+'Tabell 5.2'!L116</f>
        <v>122.934</v>
      </c>
      <c r="M46" s="748">
        <f t="shared" si="16"/>
        <v>94.4</v>
      </c>
      <c r="N46" s="757">
        <f>'Tabell 5.1'!N20+'Tabell 5.1'!N32+'Tabell 5.1'!N44+'Tabell 5.1'!N56+'Tabell 5.1'!N70+'Tabell 5.1'!N82+'Tabell 5.1'!N94+'Tabell 5.1'!N106+'Tabell 5.2'!N20+'Tabell 5.2'!N32+'Tabell 5.2'!N44+'Tabell 5.2'!N56+'Tabell 5.2'!N92+'Tabell 5.2'!N104+'Tabell 5.2'!N130+'Tabell 5.2'!N142+N20+N32+'Tabell 5.2'!N68+'Tabell 5.2'!N80+'Tabell 5.2'!N116</f>
        <v>4</v>
      </c>
      <c r="O46" s="748">
        <f>'Tabell 5.1'!O20+'Tabell 5.1'!O32+'Tabell 5.1'!O44+'Tabell 5.1'!O56+'Tabell 5.1'!O70+'Tabell 5.1'!O82+'Tabell 5.1'!O94+'Tabell 5.1'!O106+'Tabell 5.2'!O20+'Tabell 5.2'!O32+'Tabell 5.2'!O44+'Tabell 5.2'!O56+'Tabell 5.2'!O92+'Tabell 5.2'!O104+'Tabell 5.2'!O130+'Tabell 5.2'!O142+O20+O32+'Tabell 5.2'!O68+'Tabell 5.2'!O80+'Tabell 5.2'!O116</f>
        <v>26.760999999999999</v>
      </c>
      <c r="P46" s="748">
        <f t="shared" si="17"/>
        <v>569</v>
      </c>
      <c r="Q46" s="757">
        <f>'Tabell 5.1'!Q20+'Tabell 5.1'!Q32+'Tabell 5.1'!Q44+'Tabell 5.1'!Q56+'Tabell 5.1'!Q70+'Tabell 5.1'!Q82+'Tabell 5.1'!Q94+'Tabell 5.1'!Q106+'Tabell 5.2'!Q20+'Tabell 5.2'!Q32+'Tabell 5.2'!Q44+'Tabell 5.2'!Q56+'Tabell 5.2'!Q92+'Tabell 5.2'!Q104+'Tabell 5.2'!Q130+'Tabell 5.2'!Q142+Q20+Q32+'Tabell 5.2'!Q68+'Tabell 5.2'!Q80+'Tabell 5.2'!Q116</f>
        <v>9522.5277699591279</v>
      </c>
      <c r="R46" s="748">
        <f>'Tabell 5.1'!R20+'Tabell 5.1'!R32+'Tabell 5.1'!R44+'Tabell 5.1'!R56+'Tabell 5.1'!R70+'Tabell 5.1'!R82+'Tabell 5.1'!R94+'Tabell 5.1'!R106+'Tabell 5.2'!R20+'Tabell 5.2'!R32+'Tabell 5.2'!R44+'Tabell 5.2'!R56+'Tabell 5.2'!R92+'Tabell 5.2'!R104+'Tabell 5.2'!R130+'Tabell 5.2'!R142+R20+R32+'Tabell 5.2'!R68+'Tabell 5.2'!R80+'Tabell 5.2'!R116</f>
        <v>8517.4157191924805</v>
      </c>
      <c r="S46" s="748">
        <f t="shared" si="18"/>
        <v>-10.6</v>
      </c>
      <c r="T46" s="757">
        <f>'Tabell 5.1'!T20+'Tabell 5.1'!T32+'Tabell 5.1'!T44+'Tabell 5.1'!T56+'Tabell 5.1'!T70+'Tabell 5.1'!T82+'Tabell 5.1'!T94+'Tabell 5.1'!T106+'Tabell 5.2'!T20+'Tabell 5.2'!T32+'Tabell 5.2'!T44+'Tabell 5.2'!T56+'Tabell 5.2'!T92+'Tabell 5.2'!T104+'Tabell 5.2'!T130+'Tabell 5.2'!T142+T20+T32+'Tabell 5.2'!T68+'Tabell 5.2'!T80+'Tabell 5.2'!T116</f>
        <v>-19</v>
      </c>
      <c r="U46" s="748">
        <f>'Tabell 5.1'!U20+'Tabell 5.1'!U32+'Tabell 5.1'!U44+'Tabell 5.1'!U56+'Tabell 5.1'!U70+'Tabell 5.1'!U82+'Tabell 5.1'!U94+'Tabell 5.1'!U106+'Tabell 5.2'!U20+'Tabell 5.2'!U32+'Tabell 5.2'!U44+'Tabell 5.2'!U56+'Tabell 5.2'!U92+'Tabell 5.2'!U104+'Tabell 5.2'!U130+'Tabell 5.2'!U142+U20+U32+'Tabell 5.2'!U68+'Tabell 5.2'!U80+'Tabell 5.2'!U116</f>
        <v>-9</v>
      </c>
      <c r="V46" s="748">
        <f t="shared" si="19"/>
        <v>-52.6</v>
      </c>
      <c r="W46" s="757">
        <f>'Tabell 5.1'!W20+'Tabell 5.1'!W32+'Tabell 5.1'!W44+'Tabell 5.1'!W56+'Tabell 5.1'!W70+'Tabell 5.1'!W82+'Tabell 5.1'!W94+'Tabell 5.1'!W106+'Tabell 5.2'!W20+'Tabell 5.2'!W32+'Tabell 5.2'!W44+'Tabell 5.2'!W56+'Tabell 5.2'!W92+'Tabell 5.2'!W104+'Tabell 5.2'!W130+'Tabell 5.2'!W142+W20+W32+'Tabell 5.2'!W68+'Tabell 5.2'!W80+'Tabell 5.2'!W116</f>
        <v>526.13196383700006</v>
      </c>
      <c r="X46" s="748">
        <f>'Tabell 5.1'!X20+'Tabell 5.1'!X32+'Tabell 5.1'!X44+'Tabell 5.1'!X56+'Tabell 5.1'!X70+'Tabell 5.1'!X82+'Tabell 5.1'!X94+'Tabell 5.1'!X106+'Tabell 5.2'!X20+'Tabell 5.2'!X32+'Tabell 5.2'!X44+'Tabell 5.2'!X56+'Tabell 5.2'!X92+'Tabell 5.2'!X104+'Tabell 5.2'!X130+'Tabell 5.2'!X142+X20+X32+'Tabell 5.2'!X68+'Tabell 5.2'!X80+'Tabell 5.2'!X116</f>
        <v>711.31202046830538</v>
      </c>
      <c r="Y46" s="748">
        <f t="shared" si="20"/>
        <v>35.200000000000003</v>
      </c>
      <c r="Z46" s="757">
        <f>'Tabell 5.1'!Z20+'Tabell 5.1'!Z32+'Tabell 5.1'!Z44+'Tabell 5.1'!Z56+'Tabell 5.1'!Z70+'Tabell 5.1'!Z82+'Tabell 5.1'!Z94+'Tabell 5.1'!Z106+'Tabell 5.2'!Z20+'Tabell 5.2'!Z32+'Tabell 5.2'!Z44+'Tabell 5.2'!Z56+'Tabell 5.2'!Z92+'Tabell 5.2'!Z104+'Tabell 5.2'!Z130+'Tabell 5.2'!Z142+Z20+Z32+'Tabell 5.2'!Z68+'Tabell 5.2'!Z80+'Tabell 5.2'!Z116</f>
        <v>1074</v>
      </c>
      <c r="AA46" s="748">
        <f>'Tabell 5.1'!AA20+'Tabell 5.1'!AA32+'Tabell 5.1'!AA44+'Tabell 5.1'!AA56+'Tabell 5.1'!AA70+'Tabell 5.1'!AA82+'Tabell 5.1'!AA94+'Tabell 5.1'!AA106+'Tabell 5.2'!AA20+'Tabell 5.2'!AA32+'Tabell 5.2'!AA44+'Tabell 5.2'!AA56+'Tabell 5.2'!AA92+'Tabell 5.2'!AA104+'Tabell 5.2'!AA130+'Tabell 5.2'!AA142+AA20+AA32+'Tabell 5.2'!AA68+'Tabell 5.2'!AA80+'Tabell 5.2'!AA116</f>
        <v>1646</v>
      </c>
      <c r="AB46" s="748">
        <f t="shared" si="21"/>
        <v>53.3</v>
      </c>
      <c r="AC46" s="757">
        <f>'Tabell 5.1'!AC20+'Tabell 5.1'!AC32+'Tabell 5.1'!AC44+'Tabell 5.1'!AC56+'Tabell 5.1'!AC70+'Tabell 5.1'!AC82+'Tabell 5.1'!AC94+'Tabell 5.1'!AC106+'Tabell 5.2'!AC20+'Tabell 5.2'!AC32+'Tabell 5.2'!AC44+'Tabell 5.2'!AC56+'Tabell 5.2'!AC92+'Tabell 5.2'!AC104+'Tabell 5.2'!AC130+'Tabell 5.2'!AC142+AC20+AC32+'Tabell 5.2'!AC68+'Tabell 5.2'!AC80+'Tabell 5.2'!AC116</f>
        <v>9</v>
      </c>
      <c r="AD46" s="748">
        <f>'Tabell 5.1'!AD20+'Tabell 5.1'!AD32+'Tabell 5.1'!AD44+'Tabell 5.1'!AD56+'Tabell 5.1'!AD70+'Tabell 5.1'!AD82+'Tabell 5.1'!AD94+'Tabell 5.1'!AD106+'Tabell 5.2'!AD20+'Tabell 5.2'!AD32+'Tabell 5.2'!AD44+'Tabell 5.2'!AD56+'Tabell 5.2'!AD92+'Tabell 5.2'!AD104+'Tabell 5.2'!AD130+'Tabell 5.2'!AD142+AD20+AD32+'Tabell 5.2'!AD68+'Tabell 5.2'!AD80+'Tabell 5.2'!AD116</f>
        <v>12.686</v>
      </c>
      <c r="AE46" s="748">
        <f t="shared" si="22"/>
        <v>41</v>
      </c>
      <c r="AF46" s="757"/>
      <c r="AG46" s="748"/>
      <c r="AH46" s="748"/>
      <c r="AI46" s="757">
        <f>'Tabell 5.1'!AI20+'Tabell 5.1'!AI32+'Tabell 5.1'!AI44+'Tabell 5.1'!AI56+'Tabell 5.1'!AI70+'Tabell 5.1'!AI82+'Tabell 5.1'!AI94+'Tabell 5.1'!AI106+'Tabell 5.2'!AI20+'Tabell 5.2'!AI32+'Tabell 5.2'!AI44+'Tabell 5.2'!AI56+'Tabell 5.2'!AI92+'Tabell 5.2'!AI104+'Tabell 5.2'!AI130+'Tabell 5.2'!AI142+AI20+AI32+'Tabell 5.2'!AI68+'Tabell 5.2'!AI80+'Tabell 5.2'!AI116</f>
        <v>414.25700000000012</v>
      </c>
      <c r="AJ46" s="748">
        <f>'Tabell 5.1'!AJ20+'Tabell 5.1'!AJ32+'Tabell 5.1'!AJ44+'Tabell 5.1'!AJ56+'Tabell 5.1'!AJ70+'Tabell 5.1'!AJ82+'Tabell 5.1'!AJ94+'Tabell 5.1'!AJ106+'Tabell 5.2'!AJ20+'Tabell 5.2'!AJ32+'Tabell 5.2'!AJ44+'Tabell 5.2'!AJ56+'Tabell 5.2'!AJ92+'Tabell 5.2'!AJ104+'Tabell 5.2'!AJ130+'Tabell 5.2'!AJ142+AJ20+AJ32+'Tabell 5.2'!AJ68+'Tabell 5.2'!AJ80+'Tabell 5.2'!AJ116</f>
        <v>867.92299999999977</v>
      </c>
      <c r="AK46" s="748">
        <f t="shared" si="23"/>
        <v>109.5</v>
      </c>
      <c r="AL46" s="757">
        <f>'Tabell 5.1'!AL20+'Tabell 5.1'!AL32+'Tabell 5.1'!AL44+'Tabell 5.1'!AL56+'Tabell 5.1'!AL70+'Tabell 5.1'!AL82+'Tabell 5.1'!AL94+'Tabell 5.1'!AL106+'Tabell 5.2'!AL20+'Tabell 5.2'!AL32+'Tabell 5.2'!AL44+'Tabell 5.2'!AL56+'Tabell 5.2'!AL92+'Tabell 5.2'!AL104+'Tabell 5.2'!AL130+'Tabell 5.2'!AL142+AL20+AL32+'Tabell 5.2'!AL68+'Tabell 5.2'!AL80+'Tabell 5.2'!AL116</f>
        <v>5306.1</v>
      </c>
      <c r="AM46" s="748">
        <f>'Tabell 5.1'!AM20+'Tabell 5.1'!AM32+'Tabell 5.1'!AM44+'Tabell 5.1'!AM56+'Tabell 5.1'!AM70+'Tabell 5.1'!AM82+'Tabell 5.1'!AM94+'Tabell 5.1'!AM106+'Tabell 5.2'!AM20+'Tabell 5.2'!AM32+'Tabell 5.2'!AM44+'Tabell 5.2'!AM56+'Tabell 5.2'!AM92+'Tabell 5.2'!AM104+'Tabell 5.2'!AM130+'Tabell 5.2'!AM142+AM20+AM32+'Tabell 5.2'!AM68+'Tabell 5.2'!AM80+'Tabell 5.2'!AM116</f>
        <v>3925.6899999999996</v>
      </c>
      <c r="AN46" s="748">
        <f t="shared" si="24"/>
        <v>-26</v>
      </c>
      <c r="AO46" s="748">
        <f>'Tabell 5.1'!AO20+'Tabell 5.1'!AO32+'Tabell 5.1'!AO44+'Tabell 5.1'!AO56+'Tabell 5.1'!AO70+'Tabell 5.1'!AO82+'Tabell 5.1'!AO94+'Tabell 5.1'!AO106+'Tabell 5.2'!AO20+'Tabell 5.2'!AO32+'Tabell 5.2'!AO44+'Tabell 5.2'!AO56+'Tabell 5.2'!AO92+'Tabell 5.2'!AO104+'Tabell 5.2'!AO130+'Tabell 5.2'!AO142+AO20+AO32+'Tabell 5.2'!AO68+'Tabell 5.2'!AO80+'Tabell 5.2'!AO116</f>
        <v>24057.969833796131</v>
      </c>
      <c r="AP46" s="748">
        <f>'Tabell 5.1'!AP20+'Tabell 5.1'!AP32+'Tabell 5.1'!AP44+'Tabell 5.1'!AP56+'Tabell 5.1'!AP70+'Tabell 5.1'!AP82+'Tabell 5.1'!AP94+'Tabell 5.1'!AP106+'Tabell 5.2'!AP20+'Tabell 5.2'!AP32+'Tabell 5.2'!AP44+'Tabell 5.2'!AP56+'Tabell 5.2'!AP92+'Tabell 5.2'!AP104+'Tabell 5.2'!AP130+'Tabell 5.2'!AP142+AP20+AP32+'Tabell 5.2'!AP68+'Tabell 5.2'!AP80+'Tabell 5.2'!AP116</f>
        <v>26046.362739660788</v>
      </c>
      <c r="AQ46" s="748">
        <f t="shared" si="25"/>
        <v>8.3000000000000007</v>
      </c>
      <c r="AR46" s="748">
        <f>'Tabell 5.1'!AR20+'Tabell 5.1'!AR32+'Tabell 5.1'!AR44+'Tabell 5.1'!AR56+'Tabell 5.1'!AR70+'Tabell 5.1'!AR82+'Tabell 5.1'!AR94+'Tabell 5.1'!AR106+'Tabell 5.2'!AR20+'Tabell 5.2'!AR32+'Tabell 5.2'!AR44+'Tabell 5.2'!AR56+'Tabell 5.2'!AR92+'Tabell 5.2'!AR104+'Tabell 5.2'!AR130+'Tabell 5.2'!AR142+AR20+AR32+'Tabell 5.2'!AR68+'Tabell 5.2'!AR80+'Tabell 5.2'!AR116</f>
        <v>24070.969833796131</v>
      </c>
      <c r="AS46" s="748">
        <f>'Tabell 5.1'!AS20+'Tabell 5.1'!AS32+'Tabell 5.1'!AS44+'Tabell 5.1'!AS56+'Tabell 5.1'!AS70+'Tabell 5.1'!AS82+'Tabell 5.1'!AS94+'Tabell 5.1'!AS106+'Tabell 5.2'!AS20+'Tabell 5.2'!AS32+'Tabell 5.2'!AS44+'Tabell 5.2'!AS56+'Tabell 5.2'!AS92+'Tabell 5.2'!AS104+'Tabell 5.2'!AS130+'Tabell 5.2'!AS142+AS20+AS32+'Tabell 5.2'!AS68+'Tabell 5.2'!AS80+'Tabell 5.2'!AS116</f>
        <v>26085.809739660788</v>
      </c>
      <c r="AT46" s="749">
        <f t="shared" si="26"/>
        <v>8.4</v>
      </c>
      <c r="AU46" s="789"/>
      <c r="AV46" s="728"/>
      <c r="AW46" s="754"/>
      <c r="AX46" s="754"/>
    </row>
    <row r="47" spans="1:50" s="752" customFormat="1" ht="18.75" customHeight="1" x14ac:dyDescent="0.3">
      <c r="A47" s="688" t="s">
        <v>433</v>
      </c>
      <c r="B47" s="756">
        <f>'Tabell 5.1'!B21+'Tabell 5.1'!B33+'Tabell 5.1'!B45+'Tabell 5.1'!B57+'Tabell 5.1'!B71+'Tabell 5.1'!B83+'Tabell 5.1'!B95+'Tabell 5.1'!B107+'Tabell 5.2'!B21+'Tabell 5.2'!B33+'Tabell 5.2'!B45+'Tabell 5.2'!B57+'Tabell 5.2'!B93+'Tabell 5.2'!B105+'Tabell 5.2'!B131+'Tabell 5.2'!B143+B21+B33+'Tabell 5.2'!B69+'Tabell 5.2'!B81+'Tabell 5.2'!B117</f>
        <v>0</v>
      </c>
      <c r="C47" s="750">
        <f>'Tabell 5.1'!C21+'Tabell 5.1'!C33+'Tabell 5.1'!C45+'Tabell 5.1'!C57+'Tabell 5.1'!C71+'Tabell 5.1'!C83+'Tabell 5.1'!C95+'Tabell 5.1'!C107+'Tabell 5.2'!C21+'Tabell 5.2'!C33+'Tabell 5.2'!C45+'Tabell 5.2'!C57+'Tabell 5.2'!C93+'Tabell 5.2'!C105+'Tabell 5.2'!C131+'Tabell 5.2'!C143+C21+C33+'Tabell 5.2'!C69+'Tabell 5.2'!C81+'Tabell 5.2'!C117</f>
        <v>0</v>
      </c>
      <c r="D47" s="750" t="str">
        <f t="shared" si="13"/>
        <v xml:space="preserve">    ---- </v>
      </c>
      <c r="E47" s="756">
        <f>'Tabell 5.1'!E21+'Tabell 5.1'!E33+'Tabell 5.1'!E45+'Tabell 5.1'!E57+'Tabell 5.1'!E71+'Tabell 5.1'!E83+'Tabell 5.1'!E95+'Tabell 5.1'!E107+'Tabell 5.2'!E21+'Tabell 5.2'!E33+'Tabell 5.2'!E45+'Tabell 5.2'!E57+'Tabell 5.2'!E93+'Tabell 5.2'!E105+'Tabell 5.2'!E131+'Tabell 5.2'!E143+E21+E33+'Tabell 5.2'!E69+'Tabell 5.2'!E81+'Tabell 5.2'!E117</f>
        <v>6016.3294999999998</v>
      </c>
      <c r="F47" s="750">
        <f>'Tabell 5.1'!F21+'Tabell 5.1'!F33+'Tabell 5.1'!F45+'Tabell 5.1'!F57+'Tabell 5.1'!F71+'Tabell 5.1'!F83+'Tabell 5.1'!F95+'Tabell 5.1'!F107+'Tabell 5.2'!F21+'Tabell 5.2'!F33+'Tabell 5.2'!F45+'Tabell 5.2'!F57+'Tabell 5.2'!F93+'Tabell 5.2'!F105+'Tabell 5.2'!F131+'Tabell 5.2'!F143+F21+F33+'Tabell 5.2'!F69+'Tabell 5.2'!F81+'Tabell 5.2'!F117</f>
        <v>8881.8019999999997</v>
      </c>
      <c r="G47" s="750">
        <f t="shared" si="14"/>
        <v>47.6</v>
      </c>
      <c r="H47" s="756">
        <f>'Tabell 5.1'!H21+'Tabell 5.1'!H33+'Tabell 5.1'!H45+'Tabell 5.1'!H57+'Tabell 5.1'!H71+'Tabell 5.1'!H83+'Tabell 5.1'!H95+'Tabell 5.1'!H107+'Tabell 5.2'!H21+'Tabell 5.2'!H33+'Tabell 5.2'!H45+'Tabell 5.2'!H57+'Tabell 5.2'!H93+'Tabell 5.2'!H105+'Tabell 5.2'!H131+'Tabell 5.2'!H143+H21+H33+'Tabell 5.2'!H69+'Tabell 5.2'!H81+'Tabell 5.2'!H117</f>
        <v>0</v>
      </c>
      <c r="I47" s="750">
        <f>'Tabell 5.1'!I21+'Tabell 5.1'!I33+'Tabell 5.1'!I45+'Tabell 5.1'!I57+'Tabell 5.1'!I71+'Tabell 5.1'!I83+'Tabell 5.1'!I95+'Tabell 5.1'!I107+'Tabell 5.2'!I21+'Tabell 5.2'!I33+'Tabell 5.2'!I45+'Tabell 5.2'!I57+'Tabell 5.2'!I93+'Tabell 5.2'!I105+'Tabell 5.2'!I131+'Tabell 5.2'!I143+I21+I33+'Tabell 5.2'!I69+'Tabell 5.2'!I81+'Tabell 5.2'!I117</f>
        <v>0</v>
      </c>
      <c r="J47" s="750" t="str">
        <f t="shared" si="15"/>
        <v xml:space="preserve">    ---- </v>
      </c>
      <c r="K47" s="756">
        <f>'Tabell 5.1'!K21+'Tabell 5.1'!K33+'Tabell 5.1'!K45+'Tabell 5.1'!K57+'Tabell 5.1'!K71+'Tabell 5.1'!K83+'Tabell 5.1'!K95+'Tabell 5.1'!K107+'Tabell 5.2'!K21+'Tabell 5.2'!K33+'Tabell 5.2'!K45+'Tabell 5.2'!K57+'Tabell 5.2'!K93+'Tabell 5.2'!K105+'Tabell 5.2'!K131+'Tabell 5.2'!K143+K21+K33+'Tabell 5.2'!K69+'Tabell 5.2'!K81+'Tabell 5.2'!K117</f>
        <v>40.012999999999998</v>
      </c>
      <c r="L47" s="750">
        <f>'Tabell 5.1'!L21+'Tabell 5.1'!L33+'Tabell 5.1'!L45+'Tabell 5.1'!L57+'Tabell 5.1'!L71+'Tabell 5.1'!L83+'Tabell 5.1'!L95+'Tabell 5.1'!L107+'Tabell 5.2'!L21+'Tabell 5.2'!L33+'Tabell 5.2'!L45+'Tabell 5.2'!L57+'Tabell 5.2'!L93+'Tabell 5.2'!L105+'Tabell 5.2'!L131+'Tabell 5.2'!L143+L21+L33+'Tabell 5.2'!L69+'Tabell 5.2'!L81+'Tabell 5.2'!L117</f>
        <v>20.210999999999999</v>
      </c>
      <c r="M47" s="750">
        <f t="shared" si="16"/>
        <v>-49.5</v>
      </c>
      <c r="N47" s="756">
        <f>'Tabell 5.1'!N21+'Tabell 5.1'!N33+'Tabell 5.1'!N45+'Tabell 5.1'!N57+'Tabell 5.1'!N71+'Tabell 5.1'!N83+'Tabell 5.1'!N95+'Tabell 5.1'!N107+'Tabell 5.2'!N21+'Tabell 5.2'!N33+'Tabell 5.2'!N45+'Tabell 5.2'!N57+'Tabell 5.2'!N93+'Tabell 5.2'!N105+'Tabell 5.2'!N131+'Tabell 5.2'!N143+N21+N33+'Tabell 5.2'!N69+'Tabell 5.2'!N81+'Tabell 5.2'!N117</f>
        <v>0</v>
      </c>
      <c r="O47" s="750">
        <f>'Tabell 5.1'!O21+'Tabell 5.1'!O33+'Tabell 5.1'!O45+'Tabell 5.1'!O57+'Tabell 5.1'!O71+'Tabell 5.1'!O83+'Tabell 5.1'!O95+'Tabell 5.1'!O107+'Tabell 5.2'!O21+'Tabell 5.2'!O33+'Tabell 5.2'!O45+'Tabell 5.2'!O57+'Tabell 5.2'!O93+'Tabell 5.2'!O105+'Tabell 5.2'!O131+'Tabell 5.2'!O143+O21+O33+'Tabell 5.2'!O69+'Tabell 5.2'!O81+'Tabell 5.2'!O117</f>
        <v>0</v>
      </c>
      <c r="P47" s="750" t="str">
        <f t="shared" si="17"/>
        <v xml:space="preserve">    ---- </v>
      </c>
      <c r="Q47" s="756">
        <f>'Tabell 5.1'!Q21+'Tabell 5.1'!Q33+'Tabell 5.1'!Q45+'Tabell 5.1'!Q57+'Tabell 5.1'!Q71+'Tabell 5.1'!Q83+'Tabell 5.1'!Q95+'Tabell 5.1'!Q107+'Tabell 5.2'!Q21+'Tabell 5.2'!Q33+'Tabell 5.2'!Q45+'Tabell 5.2'!Q57+'Tabell 5.2'!Q93+'Tabell 5.2'!Q105+'Tabell 5.2'!Q131+'Tabell 5.2'!Q143+Q21+Q33+'Tabell 5.2'!Q69+'Tabell 5.2'!Q81+'Tabell 5.2'!Q117</f>
        <v>8342.936552042107</v>
      </c>
      <c r="R47" s="750">
        <f>'Tabell 5.1'!R21+'Tabell 5.1'!R33+'Tabell 5.1'!R45+'Tabell 5.1'!R57+'Tabell 5.1'!R71+'Tabell 5.1'!R83+'Tabell 5.1'!R95+'Tabell 5.1'!R107+'Tabell 5.2'!R21+'Tabell 5.2'!R33+'Tabell 5.2'!R45+'Tabell 5.2'!R57+'Tabell 5.2'!R93+'Tabell 5.2'!R105+'Tabell 5.2'!R131+'Tabell 5.2'!R143+R21+R33+'Tabell 5.2'!R69+'Tabell 5.2'!R81+'Tabell 5.2'!R117</f>
        <v>7420.8617709746895</v>
      </c>
      <c r="S47" s="750">
        <f t="shared" si="18"/>
        <v>-11.1</v>
      </c>
      <c r="T47" s="756">
        <f>'Tabell 5.1'!T21+'Tabell 5.1'!T33+'Tabell 5.1'!T45+'Tabell 5.1'!T57+'Tabell 5.1'!T71+'Tabell 5.1'!T83+'Tabell 5.1'!T95+'Tabell 5.1'!T107+'Tabell 5.2'!T21+'Tabell 5.2'!T33+'Tabell 5.2'!T45+'Tabell 5.2'!T57+'Tabell 5.2'!T93+'Tabell 5.2'!T105+'Tabell 5.2'!T131+'Tabell 5.2'!T143+T21+T33+'Tabell 5.2'!T69+'Tabell 5.2'!T81+'Tabell 5.2'!T117</f>
        <v>9</v>
      </c>
      <c r="U47" s="750">
        <f>'Tabell 5.1'!U21+'Tabell 5.1'!U33+'Tabell 5.1'!U45+'Tabell 5.1'!U57+'Tabell 5.1'!U71+'Tabell 5.1'!U83+'Tabell 5.1'!U95+'Tabell 5.1'!U107+'Tabell 5.2'!U21+'Tabell 5.2'!U33+'Tabell 5.2'!U45+'Tabell 5.2'!U57+'Tabell 5.2'!U93+'Tabell 5.2'!U105+'Tabell 5.2'!U131+'Tabell 5.2'!U143+U21+U33+'Tabell 5.2'!U69+'Tabell 5.2'!U81+'Tabell 5.2'!U117</f>
        <v>17</v>
      </c>
      <c r="V47" s="750">
        <f t="shared" si="19"/>
        <v>88.9</v>
      </c>
      <c r="W47" s="756">
        <f>'Tabell 5.1'!W21+'Tabell 5.1'!W33+'Tabell 5.1'!W45+'Tabell 5.1'!W57+'Tabell 5.1'!W71+'Tabell 5.1'!W83+'Tabell 5.1'!W95+'Tabell 5.1'!W107+'Tabell 5.2'!W21+'Tabell 5.2'!W33+'Tabell 5.2'!W45+'Tabell 5.2'!W57+'Tabell 5.2'!W93+'Tabell 5.2'!W105+'Tabell 5.2'!W131+'Tabell 5.2'!W143+W21+W33+'Tabell 5.2'!W69+'Tabell 5.2'!W81+'Tabell 5.2'!W117</f>
        <v>45.033991180000001</v>
      </c>
      <c r="X47" s="750">
        <f>'Tabell 5.1'!X21+'Tabell 5.1'!X33+'Tabell 5.1'!X45+'Tabell 5.1'!X57+'Tabell 5.1'!X71+'Tabell 5.1'!X83+'Tabell 5.1'!X95+'Tabell 5.1'!X107+'Tabell 5.2'!X21+'Tabell 5.2'!X33+'Tabell 5.2'!X45+'Tabell 5.2'!X57+'Tabell 5.2'!X93+'Tabell 5.2'!X105+'Tabell 5.2'!X131+'Tabell 5.2'!X143+X21+X33+'Tabell 5.2'!X69+'Tabell 5.2'!X81+'Tabell 5.2'!X117</f>
        <v>52.027203712205903</v>
      </c>
      <c r="Y47" s="750">
        <f t="shared" si="20"/>
        <v>15.5</v>
      </c>
      <c r="Z47" s="756">
        <f>'Tabell 5.1'!Z21+'Tabell 5.1'!Z33+'Tabell 5.1'!Z45+'Tabell 5.1'!Z57+'Tabell 5.1'!Z71+'Tabell 5.1'!Z83+'Tabell 5.1'!Z95+'Tabell 5.1'!Z107+'Tabell 5.2'!Z21+'Tabell 5.2'!Z33+'Tabell 5.2'!Z45+'Tabell 5.2'!Z57+'Tabell 5.2'!Z93+'Tabell 5.2'!Z105+'Tabell 5.2'!Z131+'Tabell 5.2'!Z143+Z21+Z33+'Tabell 5.2'!Z69+'Tabell 5.2'!Z81+'Tabell 5.2'!Z117</f>
        <v>342</v>
      </c>
      <c r="AA47" s="750">
        <f>'Tabell 5.1'!AA21+'Tabell 5.1'!AA33+'Tabell 5.1'!AA45+'Tabell 5.1'!AA57+'Tabell 5.1'!AA71+'Tabell 5.1'!AA83+'Tabell 5.1'!AA95+'Tabell 5.1'!AA107+'Tabell 5.2'!AA21+'Tabell 5.2'!AA33+'Tabell 5.2'!AA45+'Tabell 5.2'!AA57+'Tabell 5.2'!AA93+'Tabell 5.2'!AA105+'Tabell 5.2'!AA131+'Tabell 5.2'!AA143+AA21+AA33+'Tabell 5.2'!AA69+'Tabell 5.2'!AA81+'Tabell 5.2'!AA117</f>
        <v>480</v>
      </c>
      <c r="AB47" s="750">
        <f t="shared" si="21"/>
        <v>40.4</v>
      </c>
      <c r="AC47" s="756">
        <f>'Tabell 5.1'!AC21+'Tabell 5.1'!AC33+'Tabell 5.1'!AC45+'Tabell 5.1'!AC57+'Tabell 5.1'!AC71+'Tabell 5.1'!AC83+'Tabell 5.1'!AC95+'Tabell 5.1'!AC107+'Tabell 5.2'!AC21+'Tabell 5.2'!AC33+'Tabell 5.2'!AC45+'Tabell 5.2'!AC57+'Tabell 5.2'!AC93+'Tabell 5.2'!AC105+'Tabell 5.2'!AC131+'Tabell 5.2'!AC143+AC21+AC33+'Tabell 5.2'!AC69+'Tabell 5.2'!AC81+'Tabell 5.2'!AC117</f>
        <v>0</v>
      </c>
      <c r="AD47" s="750">
        <f>'Tabell 5.1'!AD21+'Tabell 5.1'!AD33+'Tabell 5.1'!AD45+'Tabell 5.1'!AD57+'Tabell 5.1'!AD71+'Tabell 5.1'!AD83+'Tabell 5.1'!AD95+'Tabell 5.1'!AD107+'Tabell 5.2'!AD21+'Tabell 5.2'!AD33+'Tabell 5.2'!AD45+'Tabell 5.2'!AD57+'Tabell 5.2'!AD93+'Tabell 5.2'!AD105+'Tabell 5.2'!AD131+'Tabell 5.2'!AD143+AD21+AD33+'Tabell 5.2'!AD69+'Tabell 5.2'!AD81+'Tabell 5.2'!AD117</f>
        <v>0</v>
      </c>
      <c r="AE47" s="750" t="str">
        <f t="shared" si="22"/>
        <v xml:space="preserve">    ---- </v>
      </c>
      <c r="AF47" s="756"/>
      <c r="AG47" s="750"/>
      <c r="AH47" s="750"/>
      <c r="AI47" s="756">
        <f>'Tabell 5.1'!AI21+'Tabell 5.1'!AI33+'Tabell 5.1'!AI45+'Tabell 5.1'!AI57+'Tabell 5.1'!AI71+'Tabell 5.1'!AI83+'Tabell 5.1'!AI95+'Tabell 5.1'!AI107+'Tabell 5.2'!AI21+'Tabell 5.2'!AI33+'Tabell 5.2'!AI45+'Tabell 5.2'!AI57+'Tabell 5.2'!AI93+'Tabell 5.2'!AI105+'Tabell 5.2'!AI131+'Tabell 5.2'!AI143+AI21+AI33+'Tabell 5.2'!AI69+'Tabell 5.2'!AI81+'Tabell 5.2'!AI117</f>
        <v>109.702</v>
      </c>
      <c r="AJ47" s="750">
        <f>'Tabell 5.1'!AJ21+'Tabell 5.1'!AJ33+'Tabell 5.1'!AJ45+'Tabell 5.1'!AJ57+'Tabell 5.1'!AJ71+'Tabell 5.1'!AJ83+'Tabell 5.1'!AJ95+'Tabell 5.1'!AJ107+'Tabell 5.2'!AJ21+'Tabell 5.2'!AJ33+'Tabell 5.2'!AJ45+'Tabell 5.2'!AJ57+'Tabell 5.2'!AJ93+'Tabell 5.2'!AJ105+'Tabell 5.2'!AJ131+'Tabell 5.2'!AJ143+AJ21+AJ33+'Tabell 5.2'!AJ69+'Tabell 5.2'!AJ81+'Tabell 5.2'!AJ117</f>
        <v>295.98700000000002</v>
      </c>
      <c r="AK47" s="750">
        <f t="shared" si="23"/>
        <v>169.8</v>
      </c>
      <c r="AL47" s="756">
        <f>'Tabell 5.1'!AL21+'Tabell 5.1'!AL33+'Tabell 5.1'!AL45+'Tabell 5.1'!AL57+'Tabell 5.1'!AL71+'Tabell 5.1'!AL83+'Tabell 5.1'!AL95+'Tabell 5.1'!AL107+'Tabell 5.2'!AL21+'Tabell 5.2'!AL33+'Tabell 5.2'!AL45+'Tabell 5.2'!AL57+'Tabell 5.2'!AL93+'Tabell 5.2'!AL105+'Tabell 5.2'!AL131+'Tabell 5.2'!AL143+AL21+AL33+'Tabell 5.2'!AL69+'Tabell 5.2'!AL81+'Tabell 5.2'!AL117</f>
        <v>4206.3</v>
      </c>
      <c r="AM47" s="750">
        <f>'Tabell 5.1'!AM21+'Tabell 5.1'!AM33+'Tabell 5.1'!AM45+'Tabell 5.1'!AM57+'Tabell 5.1'!AM71+'Tabell 5.1'!AM83+'Tabell 5.1'!AM95+'Tabell 5.1'!AM107+'Tabell 5.2'!AM21+'Tabell 5.2'!AM33+'Tabell 5.2'!AM45+'Tabell 5.2'!AM57+'Tabell 5.2'!AM93+'Tabell 5.2'!AM105+'Tabell 5.2'!AM131+'Tabell 5.2'!AM143+AM21+AM33+'Tabell 5.2'!AM69+'Tabell 5.2'!AM81+'Tabell 5.2'!AM117</f>
        <v>2769.6200000000003</v>
      </c>
      <c r="AN47" s="750">
        <f t="shared" si="24"/>
        <v>-34.200000000000003</v>
      </c>
      <c r="AO47" s="750">
        <f>'Tabell 5.1'!AO21+'Tabell 5.1'!AO33+'Tabell 5.1'!AO45+'Tabell 5.1'!AO57+'Tabell 5.1'!AO71+'Tabell 5.1'!AO83+'Tabell 5.1'!AO95+'Tabell 5.1'!AO107+'Tabell 5.2'!AO21+'Tabell 5.2'!AO33+'Tabell 5.2'!AO45+'Tabell 5.2'!AO57+'Tabell 5.2'!AO93+'Tabell 5.2'!AO105+'Tabell 5.2'!AO131+'Tabell 5.2'!AO143+AO21+AO33+'Tabell 5.2'!AO69+'Tabell 5.2'!AO81+'Tabell 5.2'!AO117</f>
        <v>19111.315043222105</v>
      </c>
      <c r="AP47" s="750">
        <f>'Tabell 5.1'!AP21+'Tabell 5.1'!AP33+'Tabell 5.1'!AP45+'Tabell 5.1'!AP57+'Tabell 5.1'!AP71+'Tabell 5.1'!AP83+'Tabell 5.1'!AP95+'Tabell 5.1'!AP107+'Tabell 5.2'!AP21+'Tabell 5.2'!AP33+'Tabell 5.2'!AP45+'Tabell 5.2'!AP57+'Tabell 5.2'!AP93+'Tabell 5.2'!AP105+'Tabell 5.2'!AP131+'Tabell 5.2'!AP143+AP21+AP33+'Tabell 5.2'!AP69+'Tabell 5.2'!AP81+'Tabell 5.2'!AP117</f>
        <v>19937.508974686898</v>
      </c>
      <c r="AQ47" s="750">
        <f t="shared" si="25"/>
        <v>4.3</v>
      </c>
      <c r="AR47" s="750">
        <f>'Tabell 5.1'!AR21+'Tabell 5.1'!AR33+'Tabell 5.1'!AR45+'Tabell 5.1'!AR57+'Tabell 5.1'!AR71+'Tabell 5.1'!AR83+'Tabell 5.1'!AR95+'Tabell 5.1'!AR107+'Tabell 5.2'!AR21+'Tabell 5.2'!AR33+'Tabell 5.2'!AR45+'Tabell 5.2'!AR57+'Tabell 5.2'!AR93+'Tabell 5.2'!AR105+'Tabell 5.2'!AR131+'Tabell 5.2'!AR143+AR21+AR33+'Tabell 5.2'!AR69+'Tabell 5.2'!AR81+'Tabell 5.2'!AR117</f>
        <v>19111.315043222105</v>
      </c>
      <c r="AS47" s="750">
        <f>'Tabell 5.1'!AS21+'Tabell 5.1'!AS33+'Tabell 5.1'!AS45+'Tabell 5.1'!AS57+'Tabell 5.1'!AS71+'Tabell 5.1'!AS83+'Tabell 5.1'!AS95+'Tabell 5.1'!AS107+'Tabell 5.2'!AS21+'Tabell 5.2'!AS33+'Tabell 5.2'!AS45+'Tabell 5.2'!AS57+'Tabell 5.2'!AS93+'Tabell 5.2'!AS105+'Tabell 5.2'!AS131+'Tabell 5.2'!AS143+AS21+AS33+'Tabell 5.2'!AS69+'Tabell 5.2'!AS81+'Tabell 5.2'!AS117</f>
        <v>19937.508974686898</v>
      </c>
      <c r="AT47" s="751">
        <f t="shared" si="26"/>
        <v>4.3</v>
      </c>
      <c r="AU47" s="788"/>
      <c r="AV47" s="730"/>
      <c r="AW47" s="725"/>
      <c r="AX47" s="725"/>
    </row>
    <row r="48" spans="1:50" s="752" customFormat="1" ht="18.75" customHeight="1" x14ac:dyDescent="0.3">
      <c r="A48" s="706" t="s">
        <v>434</v>
      </c>
      <c r="B48" s="790">
        <f>'Tabell 5.1'!B22+'Tabell 5.1'!B34+'Tabell 5.1'!B46+'Tabell 5.1'!B58+'Tabell 5.1'!B72+'Tabell 5.1'!B84+'Tabell 5.1'!B96+'Tabell 5.1'!B108+'Tabell 5.2'!B22+'Tabell 5.2'!B34+'Tabell 5.2'!B46+'Tabell 5.2'!B58+'Tabell 5.2'!B94+'Tabell 5.2'!B106+'Tabell 5.2'!B132+'Tabell 5.2'!B144+B22+B34+'Tabell 5.2'!B70+'Tabell 5.2'!B82+'Tabell 5.2'!B118</f>
        <v>120.443</v>
      </c>
      <c r="C48" s="768">
        <f>'Tabell 5.1'!C22+'Tabell 5.1'!C34+'Tabell 5.1'!C46+'Tabell 5.1'!C58+'Tabell 5.1'!C72+'Tabell 5.1'!C84+'Tabell 5.1'!C96+'Tabell 5.1'!C108+'Tabell 5.2'!C22+'Tabell 5.2'!C34+'Tabell 5.2'!C46+'Tabell 5.2'!C58+'Tabell 5.2'!C94+'Tabell 5.2'!C106+'Tabell 5.2'!C132+'Tabell 5.2'!C144+C22+C34+'Tabell 5.2'!C70+'Tabell 5.2'!C82+'Tabell 5.2'!C118</f>
        <v>121.58500000000001</v>
      </c>
      <c r="D48" s="767">
        <f t="shared" si="13"/>
        <v>0.9</v>
      </c>
      <c r="E48" s="790">
        <f>'Tabell 5.1'!E22+'Tabell 5.1'!E34+'Tabell 5.1'!E46+'Tabell 5.1'!E58+'Tabell 5.1'!E72+'Tabell 5.1'!E84+'Tabell 5.1'!E96+'Tabell 5.1'!E108+'Tabell 5.2'!E22+'Tabell 5.2'!E34+'Tabell 5.2'!E46+'Tabell 5.2'!E58+'Tabell 5.2'!E94+'Tabell 5.2'!E106+'Tabell 5.2'!E132+'Tabell 5.2'!E144+E22+E34+'Tabell 5.2'!E70+'Tabell 5.2'!E82+'Tabell 5.2'!E118</f>
        <v>915.00199999999995</v>
      </c>
      <c r="F48" s="768">
        <f>'Tabell 5.1'!F22+'Tabell 5.1'!F34+'Tabell 5.1'!F46+'Tabell 5.1'!F58+'Tabell 5.1'!F72+'Tabell 5.1'!F84+'Tabell 5.1'!F96+'Tabell 5.1'!F108+'Tabell 5.2'!F22+'Tabell 5.2'!F34+'Tabell 5.2'!F46+'Tabell 5.2'!F58+'Tabell 5.2'!F94+'Tabell 5.2'!F106+'Tabell 5.2'!F132+'Tabell 5.2'!F144+F22+F34+'Tabell 5.2'!F70+'Tabell 5.2'!F82+'Tabell 5.2'!F118</f>
        <v>1143.538</v>
      </c>
      <c r="G48" s="767">
        <f t="shared" si="14"/>
        <v>25</v>
      </c>
      <c r="H48" s="790">
        <f>'Tabell 5.1'!H22+'Tabell 5.1'!H34+'Tabell 5.1'!H46+'Tabell 5.1'!H58+'Tabell 5.1'!H72+'Tabell 5.1'!H84+'Tabell 5.1'!H96+'Tabell 5.1'!H108+'Tabell 5.2'!H22+'Tabell 5.2'!H34+'Tabell 5.2'!H46+'Tabell 5.2'!H58+'Tabell 5.2'!H94+'Tabell 5.2'!H106+'Tabell 5.2'!H132+'Tabell 5.2'!H144+H22+H34+'Tabell 5.2'!H70+'Tabell 5.2'!H82+'Tabell 5.2'!H118</f>
        <v>119.71899999999999</v>
      </c>
      <c r="I48" s="768">
        <f>'Tabell 5.1'!I22+'Tabell 5.1'!I34+'Tabell 5.1'!I46+'Tabell 5.1'!I58+'Tabell 5.1'!I72+'Tabell 5.1'!I84+'Tabell 5.1'!I96+'Tabell 5.1'!I108+'Tabell 5.2'!I22+'Tabell 5.2'!I34+'Tabell 5.2'!I46+'Tabell 5.2'!I58+'Tabell 5.2'!I94+'Tabell 5.2'!I106+'Tabell 5.2'!I132+'Tabell 5.2'!I144+I22+I34+'Tabell 5.2'!I70+'Tabell 5.2'!I82+'Tabell 5.2'!I118</f>
        <v>117.06700000000001</v>
      </c>
      <c r="J48" s="767">
        <f t="shared" si="15"/>
        <v>-2.2000000000000002</v>
      </c>
      <c r="K48" s="790">
        <f>'Tabell 5.1'!K22+'Tabell 5.1'!K34+'Tabell 5.1'!K46+'Tabell 5.1'!K58+'Tabell 5.1'!K72+'Tabell 5.1'!K84+'Tabell 5.1'!K96+'Tabell 5.1'!K108+'Tabell 5.2'!K22+'Tabell 5.2'!K34+'Tabell 5.2'!K46+'Tabell 5.2'!K58+'Tabell 5.2'!K94+'Tabell 5.2'!K106+'Tabell 5.2'!K132+'Tabell 5.2'!K144+K22+K34+'Tabell 5.2'!K70+'Tabell 5.2'!K82+'Tabell 5.2'!K118</f>
        <v>23.212000000000003</v>
      </c>
      <c r="L48" s="768">
        <f>'Tabell 5.1'!L22+'Tabell 5.1'!L34+'Tabell 5.1'!L46+'Tabell 5.1'!L58+'Tabell 5.1'!L72+'Tabell 5.1'!L84+'Tabell 5.1'!L96+'Tabell 5.1'!L108+'Tabell 5.2'!L22+'Tabell 5.2'!L34+'Tabell 5.2'!L46+'Tabell 5.2'!L58+'Tabell 5.2'!L94+'Tabell 5.2'!L106+'Tabell 5.2'!L132+'Tabell 5.2'!L144+L22+L34+'Tabell 5.2'!L70+'Tabell 5.2'!L82+'Tabell 5.2'!L118</f>
        <v>102.723</v>
      </c>
      <c r="M48" s="767">
        <f t="shared" si="16"/>
        <v>342.5</v>
      </c>
      <c r="N48" s="768">
        <f>'Tabell 5.1'!N22+'Tabell 5.1'!N34+'Tabell 5.1'!N46+'Tabell 5.1'!N58+'Tabell 5.1'!N72+'Tabell 5.1'!N84+'Tabell 5.1'!N96+'Tabell 5.1'!N108+'Tabell 5.2'!N22+'Tabell 5.2'!N34+'Tabell 5.2'!N46+'Tabell 5.2'!N58+'Tabell 5.2'!N94+'Tabell 5.2'!N106+'Tabell 5.2'!N132+'Tabell 5.2'!N144+N22+N34+'Tabell 5.2'!N70+'Tabell 5.2'!N82+'Tabell 5.2'!N118</f>
        <v>4</v>
      </c>
      <c r="O48" s="768">
        <f>'Tabell 5.1'!O22+'Tabell 5.1'!O34+'Tabell 5.1'!O46+'Tabell 5.1'!O58+'Tabell 5.1'!O72+'Tabell 5.1'!O84+'Tabell 5.1'!O96+'Tabell 5.1'!O108+'Tabell 5.2'!O22+'Tabell 5.2'!O34+'Tabell 5.2'!O46+'Tabell 5.2'!O58+'Tabell 5.2'!O94+'Tabell 5.2'!O106+'Tabell 5.2'!O132+'Tabell 5.2'!O144+O22+O34+'Tabell 5.2'!O70+'Tabell 5.2'!O82+'Tabell 5.2'!O118</f>
        <v>26.760999999999999</v>
      </c>
      <c r="P48" s="767">
        <f t="shared" si="17"/>
        <v>569</v>
      </c>
      <c r="Q48" s="790">
        <f>'Tabell 5.1'!Q22+'Tabell 5.1'!Q34+'Tabell 5.1'!Q46+'Tabell 5.1'!Q58+'Tabell 5.1'!Q72+'Tabell 5.1'!Q84+'Tabell 5.1'!Q96+'Tabell 5.1'!Q108+'Tabell 5.2'!Q22+'Tabell 5.2'!Q34+'Tabell 5.2'!Q46+'Tabell 5.2'!Q58+'Tabell 5.2'!Q94+'Tabell 5.2'!Q106+'Tabell 5.2'!Q132+'Tabell 5.2'!Q144+Q22+Q34+'Tabell 5.2'!Q70+'Tabell 5.2'!Q82+'Tabell 5.2'!Q118</f>
        <v>1179.5912179170236</v>
      </c>
      <c r="R48" s="768">
        <f>'Tabell 5.1'!R22+'Tabell 5.1'!R34+'Tabell 5.1'!R46+'Tabell 5.1'!R58+'Tabell 5.1'!R72+'Tabell 5.1'!R84+'Tabell 5.1'!R96+'Tabell 5.1'!R108+'Tabell 5.2'!R22+'Tabell 5.2'!R34+'Tabell 5.2'!R46+'Tabell 5.2'!R58+'Tabell 5.2'!R94+'Tabell 5.2'!R106+'Tabell 5.2'!R132+'Tabell 5.2'!R144+R22+R34+'Tabell 5.2'!R70+'Tabell 5.2'!R82+'Tabell 5.2'!R118</f>
        <v>1096.5539482177924</v>
      </c>
      <c r="S48" s="767">
        <f t="shared" si="18"/>
        <v>-7</v>
      </c>
      <c r="T48" s="790">
        <f>'Tabell 5.1'!T22+'Tabell 5.1'!T34+'Tabell 5.1'!T46+'Tabell 5.1'!T58+'Tabell 5.1'!T72+'Tabell 5.1'!T84+'Tabell 5.1'!T96+'Tabell 5.1'!T108+'Tabell 5.2'!T22+'Tabell 5.2'!T34+'Tabell 5.2'!T46+'Tabell 5.2'!T58+'Tabell 5.2'!T94+'Tabell 5.2'!T106+'Tabell 5.2'!T132+'Tabell 5.2'!T144+T22+T34+'Tabell 5.2'!T70+'Tabell 5.2'!T82+'Tabell 5.2'!T118</f>
        <v>-28</v>
      </c>
      <c r="U48" s="768">
        <f>'Tabell 5.1'!U22+'Tabell 5.1'!U34+'Tabell 5.1'!U46+'Tabell 5.1'!U58+'Tabell 5.1'!U72+'Tabell 5.1'!U84+'Tabell 5.1'!U96+'Tabell 5.1'!U108+'Tabell 5.2'!U22+'Tabell 5.2'!U34+'Tabell 5.2'!U46+'Tabell 5.2'!U58+'Tabell 5.2'!U94+'Tabell 5.2'!U106+'Tabell 5.2'!U132+'Tabell 5.2'!U144+U22+U34+'Tabell 5.2'!U70+'Tabell 5.2'!U82+'Tabell 5.2'!U118</f>
        <v>-26</v>
      </c>
      <c r="V48" s="767">
        <f t="shared" si="19"/>
        <v>-7.1</v>
      </c>
      <c r="W48" s="768">
        <f>'Tabell 5.1'!W22+'Tabell 5.1'!W34+'Tabell 5.1'!W46+'Tabell 5.1'!W58+'Tabell 5.1'!W72+'Tabell 5.1'!W84+'Tabell 5.1'!W96+'Tabell 5.1'!W108+'Tabell 5.2'!W22+'Tabell 5.2'!W34+'Tabell 5.2'!W46+'Tabell 5.2'!W58+'Tabell 5.2'!W94+'Tabell 5.2'!W106+'Tabell 5.2'!W132+'Tabell 5.2'!W144+W22+W34+'Tabell 5.2'!W70+'Tabell 5.2'!W82+'Tabell 5.2'!W118</f>
        <v>481.09797265700007</v>
      </c>
      <c r="X48" s="768">
        <f>'Tabell 5.1'!X22+'Tabell 5.1'!X34+'Tabell 5.1'!X46+'Tabell 5.1'!X58+'Tabell 5.1'!X72+'Tabell 5.1'!X84+'Tabell 5.1'!X96+'Tabell 5.1'!X108+'Tabell 5.2'!X22+'Tabell 5.2'!X34+'Tabell 5.2'!X46+'Tabell 5.2'!X58+'Tabell 5.2'!X94+'Tabell 5.2'!X106+'Tabell 5.2'!X132+'Tabell 5.2'!X144+X22+X34+'Tabell 5.2'!X70+'Tabell 5.2'!X82+'Tabell 5.2'!X118</f>
        <v>659.2848167560993</v>
      </c>
      <c r="Y48" s="767">
        <f t="shared" si="20"/>
        <v>37</v>
      </c>
      <c r="Z48" s="790">
        <f>'Tabell 5.1'!Z22+'Tabell 5.1'!Z34+'Tabell 5.1'!Z46+'Tabell 5.1'!Z58+'Tabell 5.1'!Z72+'Tabell 5.1'!Z84+'Tabell 5.1'!Z96+'Tabell 5.1'!Z108+'Tabell 5.2'!Z22+'Tabell 5.2'!Z34+'Tabell 5.2'!Z46+'Tabell 5.2'!Z58+'Tabell 5.2'!Z94+'Tabell 5.2'!Z106+'Tabell 5.2'!Z132+'Tabell 5.2'!Z144+Z22+Z34+'Tabell 5.2'!Z70+'Tabell 5.2'!Z82+'Tabell 5.2'!Z118</f>
        <v>732</v>
      </c>
      <c r="AA48" s="768">
        <f>'Tabell 5.1'!AA22+'Tabell 5.1'!AA34+'Tabell 5.1'!AA46+'Tabell 5.1'!AA58+'Tabell 5.1'!AA72+'Tabell 5.1'!AA84+'Tabell 5.1'!AA96+'Tabell 5.1'!AA108+'Tabell 5.2'!AA22+'Tabell 5.2'!AA34+'Tabell 5.2'!AA46+'Tabell 5.2'!AA58+'Tabell 5.2'!AA94+'Tabell 5.2'!AA106+'Tabell 5.2'!AA132+'Tabell 5.2'!AA144+AA22+AA34+'Tabell 5.2'!AA70+'Tabell 5.2'!AA82+'Tabell 5.2'!AA118</f>
        <v>1166</v>
      </c>
      <c r="AB48" s="767">
        <f t="shared" si="21"/>
        <v>59.3</v>
      </c>
      <c r="AC48" s="790">
        <f>'Tabell 5.1'!AC22+'Tabell 5.1'!AC34+'Tabell 5.1'!AC46+'Tabell 5.1'!AC58+'Tabell 5.1'!AC72+'Tabell 5.1'!AC84+'Tabell 5.1'!AC96+'Tabell 5.1'!AC108+'Tabell 5.2'!AC22+'Tabell 5.2'!AC34+'Tabell 5.2'!AC46+'Tabell 5.2'!AC58+'Tabell 5.2'!AC94+'Tabell 5.2'!AC106+'Tabell 5.2'!AC132+'Tabell 5.2'!AC144+AC22+AC34+'Tabell 5.2'!AC70+'Tabell 5.2'!AC82+'Tabell 5.2'!AC118</f>
        <v>9</v>
      </c>
      <c r="AD48" s="768">
        <f>'Tabell 5.1'!AD22+'Tabell 5.1'!AD34+'Tabell 5.1'!AD46+'Tabell 5.1'!AD58+'Tabell 5.1'!AD72+'Tabell 5.1'!AD84+'Tabell 5.1'!AD96+'Tabell 5.1'!AD108+'Tabell 5.2'!AD22+'Tabell 5.2'!AD34+'Tabell 5.2'!AD46+'Tabell 5.2'!AD58+'Tabell 5.2'!AD94+'Tabell 5.2'!AD106+'Tabell 5.2'!AD132+'Tabell 5.2'!AD144+AD22+AD34+'Tabell 5.2'!AD70+'Tabell 5.2'!AD82+'Tabell 5.2'!AD118</f>
        <v>12.686</v>
      </c>
      <c r="AE48" s="767">
        <f t="shared" si="22"/>
        <v>41</v>
      </c>
      <c r="AF48" s="790"/>
      <c r="AG48" s="768"/>
      <c r="AH48" s="767"/>
      <c r="AI48" s="790">
        <f>'Tabell 5.1'!AI22+'Tabell 5.1'!AI34+'Tabell 5.1'!AI46+'Tabell 5.1'!AI58+'Tabell 5.1'!AI72+'Tabell 5.1'!AI84+'Tabell 5.1'!AI96+'Tabell 5.1'!AI108+'Tabell 5.2'!AI22+'Tabell 5.2'!AI34+'Tabell 5.2'!AI46+'Tabell 5.2'!AI58+'Tabell 5.2'!AI94+'Tabell 5.2'!AI106+'Tabell 5.2'!AI132+'Tabell 5.2'!AI144+AI22+AI34+'Tabell 5.2'!AI70+'Tabell 5.2'!AI82+'Tabell 5.2'!AI118</f>
        <v>304.55500000000006</v>
      </c>
      <c r="AJ48" s="768">
        <f>'Tabell 5.1'!AJ22+'Tabell 5.1'!AJ34+'Tabell 5.1'!AJ46+'Tabell 5.1'!AJ58+'Tabell 5.1'!AJ72+'Tabell 5.1'!AJ84+'Tabell 5.1'!AJ96+'Tabell 5.1'!AJ108+'Tabell 5.2'!AJ22+'Tabell 5.2'!AJ34+'Tabell 5.2'!AJ46+'Tabell 5.2'!AJ58+'Tabell 5.2'!AJ94+'Tabell 5.2'!AJ106+'Tabell 5.2'!AJ132+'Tabell 5.2'!AJ144+AJ22+AJ34+'Tabell 5.2'!AJ70+'Tabell 5.2'!AJ82+'Tabell 5.2'!AJ118</f>
        <v>570.64099999999996</v>
      </c>
      <c r="AK48" s="767">
        <f t="shared" si="23"/>
        <v>87.4</v>
      </c>
      <c r="AL48" s="790">
        <f>'Tabell 5.1'!AL22+'Tabell 5.1'!AL34+'Tabell 5.1'!AL46+'Tabell 5.1'!AL58+'Tabell 5.1'!AL72+'Tabell 5.1'!AL84+'Tabell 5.1'!AL96+'Tabell 5.1'!AL108+'Tabell 5.2'!AL22+'Tabell 5.2'!AL34+'Tabell 5.2'!AL46+'Tabell 5.2'!AL58+'Tabell 5.2'!AL94+'Tabell 5.2'!AL106+'Tabell 5.2'!AL132+'Tabell 5.2'!AL144+AL22+AL34+'Tabell 5.2'!AL70+'Tabell 5.2'!AL82+'Tabell 5.2'!AL118</f>
        <v>1099.8</v>
      </c>
      <c r="AM48" s="768">
        <f>'Tabell 5.1'!AM22+'Tabell 5.1'!AM34+'Tabell 5.1'!AM46+'Tabell 5.1'!AM58+'Tabell 5.1'!AM72+'Tabell 5.1'!AM84+'Tabell 5.1'!AM96+'Tabell 5.1'!AM108+'Tabell 5.2'!AM22+'Tabell 5.2'!AM34+'Tabell 5.2'!AM46+'Tabell 5.2'!AM58+'Tabell 5.2'!AM94+'Tabell 5.2'!AM106+'Tabell 5.2'!AM132+'Tabell 5.2'!AM144+AM22+AM34+'Tabell 5.2'!AM70+'Tabell 5.2'!AM82+'Tabell 5.2'!AM118</f>
        <v>1155.4829999999999</v>
      </c>
      <c r="AN48" s="767">
        <f t="shared" si="24"/>
        <v>5.0999999999999996</v>
      </c>
      <c r="AO48" s="768">
        <f>'Tabell 5.1'!AO22+'Tabell 5.1'!AO34+'Tabell 5.1'!AO46+'Tabell 5.1'!AO58+'Tabell 5.1'!AO72+'Tabell 5.1'!AO84+'Tabell 5.1'!AO96+'Tabell 5.1'!AO108+'Tabell 5.2'!AO22+'Tabell 5.2'!AO34+'Tabell 5.2'!AO46+'Tabell 5.2'!AO58+'Tabell 5.2'!AO94+'Tabell 5.2'!AO106+'Tabell 5.2'!AO132+'Tabell 5.2'!AO144+AO22+AO34+'Tabell 5.2'!AO70+'Tabell 5.2'!AO82+'Tabell 5.2'!AO118</f>
        <v>4947.4201905740238</v>
      </c>
      <c r="AP48" s="768">
        <f>'Tabell 5.1'!AP22+'Tabell 5.1'!AP34+'Tabell 5.1'!AP46+'Tabell 5.1'!AP58+'Tabell 5.1'!AP72+'Tabell 5.1'!AP84+'Tabell 5.1'!AP96+'Tabell 5.1'!AP108+'Tabell 5.2'!AP22+'Tabell 5.2'!AP34+'Tabell 5.2'!AP46+'Tabell 5.2'!AP58+'Tabell 5.2'!AP94+'Tabell 5.2'!AP106+'Tabell 5.2'!AP132+'Tabell 5.2'!AP144+AP22+AP34+'Tabell 5.2'!AP70+'Tabell 5.2'!AP82+'Tabell 5.2'!AP118</f>
        <v>6106.8757649738918</v>
      </c>
      <c r="AQ48" s="767">
        <f t="shared" si="25"/>
        <v>23.4</v>
      </c>
      <c r="AR48" s="768">
        <f>'Tabell 5.1'!AR22+'Tabell 5.1'!AR34+'Tabell 5.1'!AR46+'Tabell 5.1'!AR58+'Tabell 5.1'!AR72+'Tabell 5.1'!AR84+'Tabell 5.1'!AR96+'Tabell 5.1'!AR108+'Tabell 5.2'!AR22+'Tabell 5.2'!AR34+'Tabell 5.2'!AR46+'Tabell 5.2'!AR58+'Tabell 5.2'!AR94+'Tabell 5.2'!AR106+'Tabell 5.2'!AR132+'Tabell 5.2'!AR144+AR22+AR34+'Tabell 5.2'!AR70+'Tabell 5.2'!AR82+'Tabell 5.2'!AR118</f>
        <v>4960.4201905740238</v>
      </c>
      <c r="AS48" s="768">
        <f>'Tabell 5.1'!AS22+'Tabell 5.1'!AS34+'Tabell 5.1'!AS46+'Tabell 5.1'!AS58+'Tabell 5.1'!AS72+'Tabell 5.1'!AS84+'Tabell 5.1'!AS96+'Tabell 5.1'!AS108+'Tabell 5.2'!AS22+'Tabell 5.2'!AS34+'Tabell 5.2'!AS46+'Tabell 5.2'!AS58+'Tabell 5.2'!AS94+'Tabell 5.2'!AS106+'Tabell 5.2'!AS132+'Tabell 5.2'!AS144+AS22+AS34+'Tabell 5.2'!AS70+'Tabell 5.2'!AS82+'Tabell 5.2'!AS118</f>
        <v>6146.322764973891</v>
      </c>
      <c r="AT48" s="768">
        <f t="shared" si="26"/>
        <v>23.9</v>
      </c>
      <c r="AU48" s="788"/>
      <c r="AV48" s="730"/>
      <c r="AW48" s="725"/>
      <c r="AX48" s="725"/>
    </row>
    <row r="49" spans="1:50" s="770" customFormat="1" ht="18.75" customHeight="1" x14ac:dyDescent="0.3">
      <c r="A49" s="725" t="s">
        <v>273</v>
      </c>
      <c r="B49" s="653"/>
      <c r="C49" s="769"/>
      <c r="D49" s="769"/>
      <c r="E49" s="769"/>
      <c r="F49" s="769"/>
      <c r="G49" s="769"/>
      <c r="H49" s="730"/>
      <c r="I49" s="725"/>
      <c r="J49" s="725"/>
      <c r="L49" s="725"/>
      <c r="M49" s="725"/>
      <c r="O49" s="725"/>
      <c r="P49" s="725"/>
      <c r="Q49" s="725"/>
      <c r="R49" s="725"/>
      <c r="S49" s="725"/>
      <c r="T49" s="725"/>
      <c r="U49" s="725"/>
      <c r="V49" s="725"/>
      <c r="W49" s="725"/>
      <c r="X49" s="725"/>
      <c r="Y49" s="725"/>
      <c r="Z49" s="725"/>
      <c r="AA49" s="725"/>
      <c r="AB49" s="725"/>
      <c r="AC49" s="725"/>
      <c r="AD49" s="725"/>
      <c r="AE49" s="725"/>
      <c r="AF49" s="725"/>
      <c r="AG49" s="725"/>
      <c r="AH49" s="725"/>
      <c r="AI49" s="725"/>
      <c r="AJ49" s="725"/>
      <c r="AK49" s="725"/>
      <c r="AL49" s="725"/>
      <c r="AM49" s="725"/>
      <c r="AN49" s="725"/>
      <c r="AO49" s="725"/>
      <c r="AP49" s="725"/>
      <c r="AQ49" s="725"/>
      <c r="AR49" s="730"/>
      <c r="AS49" s="730"/>
      <c r="AT49" s="730"/>
      <c r="AU49" s="771"/>
      <c r="AV49" s="772"/>
      <c r="AW49" s="771"/>
      <c r="AX49" s="771"/>
    </row>
    <row r="50" spans="1:50" s="770" customFormat="1" ht="18.75" x14ac:dyDescent="0.3">
      <c r="A50" s="771"/>
      <c r="B50" s="769"/>
      <c r="C50" s="769"/>
      <c r="D50" s="769"/>
      <c r="E50" s="769"/>
      <c r="F50" s="769"/>
      <c r="G50" s="769"/>
      <c r="H50" s="772"/>
      <c r="I50" s="771"/>
      <c r="J50" s="771"/>
      <c r="K50" s="771"/>
      <c r="L50" s="771"/>
      <c r="M50" s="771"/>
      <c r="N50" s="771"/>
      <c r="O50" s="771"/>
      <c r="P50" s="771"/>
      <c r="Q50" s="771"/>
      <c r="R50" s="771"/>
      <c r="S50" s="771"/>
      <c r="T50" s="771"/>
      <c r="U50" s="771"/>
      <c r="V50" s="771"/>
      <c r="W50" s="771"/>
      <c r="X50" s="771"/>
      <c r="Y50" s="771"/>
      <c r="Z50" s="771"/>
      <c r="AA50" s="771"/>
      <c r="AB50" s="771"/>
      <c r="AC50" s="771"/>
      <c r="AD50" s="771"/>
      <c r="AE50" s="771"/>
      <c r="AF50" s="771"/>
      <c r="AG50" s="771"/>
      <c r="AH50" s="771"/>
      <c r="AI50" s="771"/>
      <c r="AJ50" s="771"/>
      <c r="AK50" s="771"/>
      <c r="AL50" s="771"/>
      <c r="AM50" s="771"/>
      <c r="AN50" s="771"/>
      <c r="AO50" s="771"/>
      <c r="AP50" s="771"/>
      <c r="AQ50" s="771"/>
      <c r="AR50" s="771"/>
      <c r="AS50" s="771"/>
      <c r="AT50" s="771"/>
      <c r="AU50" s="771"/>
      <c r="AV50" s="772"/>
      <c r="AW50" s="771"/>
      <c r="AX50" s="771"/>
    </row>
    <row r="51" spans="1:50" s="770" customFormat="1" ht="18.75" x14ac:dyDescent="0.3">
      <c r="A51" s="771"/>
      <c r="B51" s="769"/>
      <c r="C51" s="769"/>
      <c r="D51" s="769"/>
      <c r="E51" s="769"/>
      <c r="F51" s="769"/>
      <c r="G51" s="769"/>
      <c r="H51" s="772"/>
      <c r="I51" s="771"/>
      <c r="J51" s="771"/>
      <c r="K51" s="771"/>
      <c r="L51" s="771"/>
      <c r="M51" s="771"/>
      <c r="N51" s="771"/>
      <c r="O51" s="771"/>
      <c r="P51" s="771"/>
      <c r="Q51" s="771"/>
      <c r="R51" s="771"/>
      <c r="S51" s="771"/>
      <c r="T51" s="771"/>
      <c r="U51" s="771"/>
      <c r="V51" s="771"/>
      <c r="W51" s="771"/>
      <c r="X51" s="771"/>
      <c r="Y51" s="771"/>
      <c r="Z51" s="771"/>
      <c r="AA51" s="771"/>
      <c r="AB51" s="771"/>
      <c r="AC51" s="771"/>
      <c r="AD51" s="771"/>
      <c r="AE51" s="771"/>
      <c r="AF51" s="771"/>
      <c r="AG51" s="771"/>
      <c r="AH51" s="771"/>
      <c r="AI51" s="771"/>
      <c r="AJ51" s="771"/>
      <c r="AK51" s="771"/>
      <c r="AL51" s="771"/>
      <c r="AM51" s="771"/>
      <c r="AN51" s="771"/>
      <c r="AO51" s="771"/>
      <c r="AP51" s="771"/>
      <c r="AQ51" s="771"/>
      <c r="AR51" s="771"/>
      <c r="AS51" s="771"/>
      <c r="AT51" s="771"/>
      <c r="AU51" s="771"/>
      <c r="AV51" s="772"/>
      <c r="AW51" s="771"/>
      <c r="AX51" s="771"/>
    </row>
    <row r="52" spans="1:50" s="770" customFormat="1" ht="18.75" x14ac:dyDescent="0.3">
      <c r="A52" s="771"/>
      <c r="B52" s="791"/>
      <c r="C52" s="769"/>
      <c r="D52" s="769"/>
      <c r="E52" s="769"/>
      <c r="F52" s="769"/>
      <c r="G52" s="769"/>
      <c r="H52" s="772"/>
      <c r="I52" s="771"/>
      <c r="J52" s="771"/>
      <c r="K52" s="771"/>
      <c r="L52" s="771"/>
      <c r="M52" s="771"/>
      <c r="N52" s="771"/>
      <c r="O52" s="771"/>
      <c r="P52" s="771"/>
      <c r="Q52" s="771"/>
      <c r="R52" s="771"/>
      <c r="S52" s="771"/>
      <c r="T52" s="771"/>
      <c r="U52" s="771"/>
      <c r="V52" s="771"/>
      <c r="W52" s="771"/>
      <c r="X52" s="771"/>
      <c r="Y52" s="771"/>
      <c r="Z52" s="771"/>
      <c r="AA52" s="771"/>
      <c r="AB52" s="771"/>
      <c r="AC52" s="771"/>
      <c r="AD52" s="771"/>
      <c r="AE52" s="771"/>
      <c r="AF52" s="771"/>
      <c r="AG52" s="771"/>
      <c r="AH52" s="771"/>
      <c r="AI52" s="771"/>
      <c r="AJ52" s="771"/>
      <c r="AK52" s="771"/>
      <c r="AL52" s="771"/>
      <c r="AM52" s="771"/>
      <c r="AN52" s="771"/>
      <c r="AO52" s="771"/>
      <c r="AP52" s="771"/>
      <c r="AQ52" s="771"/>
      <c r="AR52" s="771"/>
      <c r="AS52" s="771"/>
      <c r="AT52" s="771"/>
      <c r="AU52" s="771"/>
      <c r="AV52" s="772"/>
      <c r="AW52" s="771"/>
      <c r="AX52" s="771"/>
    </row>
    <row r="53" spans="1:50" s="770" customFormat="1" ht="18.75" x14ac:dyDescent="0.3">
      <c r="A53" s="771"/>
      <c r="B53" s="769"/>
      <c r="C53" s="769"/>
      <c r="D53" s="769"/>
      <c r="E53" s="769"/>
      <c r="F53" s="769"/>
      <c r="G53" s="769"/>
      <c r="H53" s="775"/>
      <c r="AV53" s="775"/>
    </row>
    <row r="54" spans="1:50" s="770" customFormat="1" ht="18.75" x14ac:dyDescent="0.3">
      <c r="A54" s="771"/>
      <c r="Q54" s="792"/>
      <c r="R54" s="792"/>
      <c r="AV54" s="775"/>
    </row>
    <row r="55" spans="1:50" s="770" customFormat="1" ht="18.75" x14ac:dyDescent="0.3">
      <c r="A55" s="771"/>
      <c r="Q55" s="792"/>
      <c r="R55" s="792"/>
      <c r="AV55" s="775"/>
    </row>
    <row r="56" spans="1:50" s="770" customFormat="1" ht="18.75" x14ac:dyDescent="0.3">
      <c r="A56" s="771"/>
      <c r="Q56" s="792"/>
      <c r="R56" s="792"/>
      <c r="AV56" s="775"/>
    </row>
    <row r="57" spans="1:50" ht="18.75" x14ac:dyDescent="0.3">
      <c r="A57" s="725"/>
      <c r="Q57" s="752"/>
      <c r="R57" s="752"/>
      <c r="AV57" s="777"/>
    </row>
    <row r="58" spans="1:50" ht="18.75" x14ac:dyDescent="0.3">
      <c r="A58" s="725"/>
      <c r="Q58" s="752"/>
      <c r="R58" s="752"/>
      <c r="AV58" s="777"/>
    </row>
    <row r="59" spans="1:50" ht="18.75" x14ac:dyDescent="0.3">
      <c r="A59" s="725"/>
      <c r="Q59" s="752"/>
      <c r="R59" s="752"/>
      <c r="AV59" s="777"/>
    </row>
    <row r="60" spans="1:50" ht="18.75" x14ac:dyDescent="0.3">
      <c r="A60" s="725"/>
      <c r="Q60" s="752"/>
      <c r="R60" s="752"/>
      <c r="AV60" s="777"/>
    </row>
    <row r="61" spans="1:50" ht="18.75" x14ac:dyDescent="0.3">
      <c r="A61" s="725"/>
      <c r="Q61" s="752"/>
      <c r="R61" s="752"/>
      <c r="AV61" s="777"/>
    </row>
    <row r="62" spans="1:50" ht="18.75" x14ac:dyDescent="0.3">
      <c r="A62" s="725"/>
      <c r="Q62" s="752"/>
      <c r="R62" s="752"/>
      <c r="AV62" s="777"/>
    </row>
    <row r="63" spans="1:50" ht="18.75" x14ac:dyDescent="0.3">
      <c r="A63" s="725"/>
      <c r="Q63" s="752"/>
      <c r="R63" s="752"/>
      <c r="AV63" s="777"/>
    </row>
    <row r="64" spans="1:50" ht="18.75" x14ac:dyDescent="0.3">
      <c r="A64" s="725"/>
      <c r="Q64" s="752"/>
      <c r="R64" s="752"/>
      <c r="AV64" s="777"/>
    </row>
    <row r="65" spans="1:48" ht="18.75" x14ac:dyDescent="0.3">
      <c r="A65" s="725"/>
      <c r="Q65" s="752"/>
      <c r="R65" s="752"/>
      <c r="AV65" s="777"/>
    </row>
    <row r="66" spans="1:48" ht="18.75" x14ac:dyDescent="0.3">
      <c r="A66" s="725"/>
      <c r="Q66" s="752"/>
      <c r="R66" s="752"/>
      <c r="AV66" s="777"/>
    </row>
    <row r="67" spans="1:48" ht="18.75" x14ac:dyDescent="0.3">
      <c r="A67" s="725"/>
      <c r="Q67" s="752"/>
      <c r="R67" s="752"/>
      <c r="AV67" s="777"/>
    </row>
    <row r="68" spans="1:48" ht="18.75" x14ac:dyDescent="0.3">
      <c r="A68" s="725"/>
      <c r="Q68" s="752"/>
      <c r="R68" s="752"/>
      <c r="AV68" s="777"/>
    </row>
    <row r="69" spans="1:48" ht="18.75" x14ac:dyDescent="0.3">
      <c r="A69" s="725"/>
      <c r="Q69" s="752"/>
      <c r="R69" s="752"/>
      <c r="AV69" s="777"/>
    </row>
    <row r="70" spans="1:48" ht="18.75" x14ac:dyDescent="0.3">
      <c r="A70" s="725"/>
      <c r="Q70" s="752"/>
      <c r="R70" s="752"/>
      <c r="AV70" s="777"/>
    </row>
    <row r="71" spans="1:48" ht="18.75" x14ac:dyDescent="0.3">
      <c r="A71" s="725"/>
      <c r="Q71" s="752"/>
      <c r="R71" s="752"/>
      <c r="AV71" s="777"/>
    </row>
    <row r="72" spans="1:48" ht="18.75" x14ac:dyDescent="0.3">
      <c r="A72" s="725"/>
      <c r="Q72" s="752"/>
      <c r="R72" s="752"/>
      <c r="AV72" s="777"/>
    </row>
    <row r="73" spans="1:48" ht="18.75" x14ac:dyDescent="0.3">
      <c r="A73" s="725"/>
      <c r="Q73" s="752"/>
      <c r="R73" s="752"/>
      <c r="AV73" s="777"/>
    </row>
    <row r="74" spans="1:48" ht="18.75" x14ac:dyDescent="0.3">
      <c r="A74" s="725"/>
      <c r="Q74" s="752"/>
      <c r="R74" s="752"/>
      <c r="AV74" s="777"/>
    </row>
    <row r="75" spans="1:48" ht="18.75" x14ac:dyDescent="0.3">
      <c r="A75" s="725"/>
      <c r="Q75" s="752"/>
      <c r="R75" s="752"/>
      <c r="AV75" s="777"/>
    </row>
    <row r="76" spans="1:48" ht="18.75" x14ac:dyDescent="0.3">
      <c r="A76" s="725"/>
      <c r="Q76" s="752"/>
      <c r="R76" s="752"/>
      <c r="AV76" s="777"/>
    </row>
    <row r="77" spans="1:48" ht="18.75" x14ac:dyDescent="0.3">
      <c r="A77" s="725"/>
      <c r="Q77" s="752"/>
      <c r="R77" s="752"/>
      <c r="AV77" s="777"/>
    </row>
    <row r="78" spans="1:48" ht="18.75" x14ac:dyDescent="0.3">
      <c r="A78" s="725"/>
      <c r="Q78" s="752"/>
      <c r="R78" s="752"/>
      <c r="AV78" s="777"/>
    </row>
    <row r="79" spans="1:48" ht="18.75" x14ac:dyDescent="0.3">
      <c r="A79" s="725"/>
      <c r="Q79" s="752"/>
      <c r="R79" s="752"/>
      <c r="AV79" s="777"/>
    </row>
    <row r="80" spans="1:48" ht="18.75" x14ac:dyDescent="0.3">
      <c r="A80" s="725"/>
      <c r="Q80" s="752"/>
      <c r="R80" s="752"/>
      <c r="AV80" s="777"/>
    </row>
    <row r="81" spans="1:48" ht="18.75" x14ac:dyDescent="0.3">
      <c r="A81" s="725"/>
      <c r="Q81" s="752"/>
      <c r="R81" s="752"/>
      <c r="AV81" s="777"/>
    </row>
    <row r="82" spans="1:48" ht="18.75" x14ac:dyDescent="0.3">
      <c r="A82" s="725"/>
      <c r="Q82" s="752"/>
      <c r="R82" s="752"/>
      <c r="AV82" s="777"/>
    </row>
    <row r="83" spans="1:48" ht="18.75" x14ac:dyDescent="0.3">
      <c r="A83" s="725"/>
      <c r="Q83" s="752"/>
      <c r="R83" s="752"/>
      <c r="AV83" s="777"/>
    </row>
    <row r="84" spans="1:48" ht="18.75" x14ac:dyDescent="0.3">
      <c r="A84" s="725"/>
      <c r="Q84" s="752"/>
      <c r="R84" s="752"/>
      <c r="AV84" s="777"/>
    </row>
    <row r="85" spans="1:48" ht="18.75" x14ac:dyDescent="0.3">
      <c r="A85" s="725"/>
      <c r="Q85" s="752"/>
      <c r="R85" s="752"/>
      <c r="AV85" s="777"/>
    </row>
    <row r="86" spans="1:48" ht="18.75" x14ac:dyDescent="0.3">
      <c r="A86" s="725"/>
      <c r="Q86" s="752"/>
      <c r="R86" s="752"/>
      <c r="AV86" s="777"/>
    </row>
    <row r="87" spans="1:48" ht="18.75" x14ac:dyDescent="0.3">
      <c r="A87" s="725"/>
      <c r="Q87" s="752"/>
      <c r="R87" s="752"/>
      <c r="AV87" s="777"/>
    </row>
    <row r="88" spans="1:48" ht="18.75" x14ac:dyDescent="0.3">
      <c r="A88" s="725"/>
      <c r="Q88" s="752"/>
      <c r="R88" s="752"/>
      <c r="AV88" s="777"/>
    </row>
    <row r="89" spans="1:48" ht="18.75" x14ac:dyDescent="0.3">
      <c r="A89" s="725"/>
      <c r="Q89" s="752"/>
      <c r="R89" s="752"/>
      <c r="AV89" s="777"/>
    </row>
    <row r="90" spans="1:48" ht="18.75" x14ac:dyDescent="0.3">
      <c r="A90" s="725"/>
      <c r="Q90" s="752"/>
      <c r="R90" s="752"/>
      <c r="AV90" s="777"/>
    </row>
    <row r="91" spans="1:48" ht="18.75" x14ac:dyDescent="0.3">
      <c r="A91" s="725"/>
      <c r="Q91" s="752"/>
      <c r="R91" s="752"/>
      <c r="AV91" s="777"/>
    </row>
    <row r="92" spans="1:48" ht="18.75" x14ac:dyDescent="0.3">
      <c r="A92" s="725"/>
      <c r="Q92" s="752"/>
      <c r="R92" s="752"/>
      <c r="AV92" s="777"/>
    </row>
    <row r="93" spans="1:48" ht="18.75" x14ac:dyDescent="0.3">
      <c r="A93" s="725"/>
      <c r="Q93" s="752"/>
      <c r="R93" s="752"/>
      <c r="AV93" s="777"/>
    </row>
    <row r="94" spans="1:48" ht="18.75" x14ac:dyDescent="0.3">
      <c r="A94" s="725"/>
      <c r="Q94" s="752"/>
      <c r="R94" s="752"/>
      <c r="AV94" s="777"/>
    </row>
    <row r="95" spans="1:48" ht="18.75" x14ac:dyDescent="0.3">
      <c r="A95" s="725"/>
      <c r="Q95" s="752"/>
      <c r="R95" s="752"/>
      <c r="AV95" s="777"/>
    </row>
    <row r="96" spans="1:48" ht="18.75" x14ac:dyDescent="0.3">
      <c r="A96" s="725"/>
      <c r="Q96" s="752"/>
      <c r="R96" s="752"/>
      <c r="AV96" s="777"/>
    </row>
    <row r="97" spans="1:48" ht="18.75" x14ac:dyDescent="0.3">
      <c r="A97" s="725"/>
      <c r="Q97" s="752"/>
      <c r="R97" s="752"/>
      <c r="AV97" s="777"/>
    </row>
    <row r="98" spans="1:48" ht="18.75" x14ac:dyDescent="0.3">
      <c r="A98" s="725"/>
      <c r="Q98" s="752"/>
      <c r="R98" s="752"/>
      <c r="AV98" s="777"/>
    </row>
    <row r="99" spans="1:48" ht="18.75" x14ac:dyDescent="0.3">
      <c r="A99" s="725"/>
      <c r="Q99" s="752"/>
      <c r="R99" s="752"/>
      <c r="AV99" s="777"/>
    </row>
    <row r="100" spans="1:48" ht="18.75" x14ac:dyDescent="0.3">
      <c r="A100" s="725"/>
      <c r="Q100" s="752"/>
      <c r="R100" s="752"/>
      <c r="AV100" s="777"/>
    </row>
    <row r="101" spans="1:48" ht="18.75" x14ac:dyDescent="0.3">
      <c r="A101" s="725"/>
      <c r="E101" s="726">
        <v>0</v>
      </c>
      <c r="Q101" s="752">
        <v>8021.1680385597992</v>
      </c>
      <c r="R101" s="752"/>
      <c r="AV101" s="777"/>
    </row>
    <row r="102" spans="1:48" ht="18.75" x14ac:dyDescent="0.3">
      <c r="A102" s="725"/>
      <c r="E102" s="726">
        <v>0</v>
      </c>
      <c r="Q102" s="752">
        <v>4.3610605525112156</v>
      </c>
      <c r="R102" s="752"/>
      <c r="AV102" s="777"/>
    </row>
    <row r="103" spans="1:48" ht="18.75" x14ac:dyDescent="0.3">
      <c r="A103" s="725"/>
      <c r="E103" s="726">
        <v>-10.638999999999999</v>
      </c>
      <c r="Q103" s="752">
        <v>-49.179410697877408</v>
      </c>
      <c r="R103" s="752"/>
      <c r="AV103" s="777"/>
    </row>
    <row r="104" spans="1:48" ht="18.75" x14ac:dyDescent="0.3">
      <c r="A104" s="725"/>
      <c r="E104" s="726">
        <v>0.87009999999999998</v>
      </c>
      <c r="Q104" s="752"/>
      <c r="R104" s="752"/>
      <c r="AV104" s="777"/>
    </row>
    <row r="105" spans="1:48" ht="18.75" x14ac:dyDescent="0.3">
      <c r="A105" s="725"/>
      <c r="E105" s="726">
        <v>4.2350000000000003</v>
      </c>
      <c r="Q105" s="752">
        <v>683.36542899999995</v>
      </c>
      <c r="R105" s="752"/>
      <c r="AV105" s="777"/>
    </row>
    <row r="106" spans="1:48" ht="18.75" x14ac:dyDescent="0.3">
      <c r="A106" s="725"/>
      <c r="E106" s="726">
        <v>27.494</v>
      </c>
      <c r="Q106" s="752">
        <v>784.80863243128704</v>
      </c>
      <c r="R106" s="752"/>
      <c r="AV106" s="777"/>
    </row>
    <row r="107" spans="1:48" ht="18.75" x14ac:dyDescent="0.3">
      <c r="A107" s="725"/>
      <c r="Q107" s="752">
        <v>392.40431699999999</v>
      </c>
      <c r="R107" s="752"/>
      <c r="AV107" s="777"/>
    </row>
    <row r="108" spans="1:48" ht="18.75" x14ac:dyDescent="0.3">
      <c r="A108" s="725"/>
      <c r="Q108" s="752"/>
      <c r="R108" s="752"/>
      <c r="AV108" s="777"/>
    </row>
    <row r="109" spans="1:48" ht="18.75" x14ac:dyDescent="0.3">
      <c r="A109" s="725"/>
      <c r="E109" s="726">
        <v>21.960100000000001</v>
      </c>
      <c r="Q109" s="752">
        <v>9444.5237498457191</v>
      </c>
      <c r="R109" s="752"/>
      <c r="AV109" s="777"/>
    </row>
    <row r="110" spans="1:48" ht="18.75" x14ac:dyDescent="0.3">
      <c r="A110" s="725"/>
      <c r="E110" s="726">
        <v>13.747</v>
      </c>
      <c r="Q110" s="752">
        <v>8266.1340353077503</v>
      </c>
      <c r="R110" s="752"/>
      <c r="AV110" s="777"/>
    </row>
    <row r="111" spans="1:48" ht="18.75" x14ac:dyDescent="0.3">
      <c r="A111" s="725"/>
      <c r="E111" s="726">
        <v>8.2140000000000004</v>
      </c>
      <c r="Q111" s="752">
        <v>1178.3897145379706</v>
      </c>
      <c r="R111" s="752"/>
      <c r="AV111" s="777"/>
    </row>
    <row r="112" spans="1:48" ht="18.75" x14ac:dyDescent="0.3">
      <c r="A112" s="725"/>
      <c r="Q112" s="752"/>
      <c r="R112" s="752"/>
      <c r="AV112" s="777"/>
    </row>
    <row r="113" spans="1:48" ht="18.75" x14ac:dyDescent="0.3">
      <c r="A113" s="725"/>
      <c r="Q113" s="752">
        <v>75.069982449999998</v>
      </c>
      <c r="R113" s="752"/>
      <c r="AV113" s="777"/>
    </row>
    <row r="114" spans="1:48" ht="18.75" x14ac:dyDescent="0.3">
      <c r="A114" s="725"/>
      <c r="Q114" s="752">
        <v>-5.1040498539805413E-7</v>
      </c>
      <c r="R114" s="752"/>
      <c r="AV114" s="777"/>
    </row>
    <row r="115" spans="1:48" ht="18.75" x14ac:dyDescent="0.3">
      <c r="A115" s="725"/>
      <c r="Q115" s="752">
        <v>0.52398130088905714</v>
      </c>
      <c r="R115" s="752"/>
      <c r="AV115" s="777"/>
    </row>
    <row r="116" spans="1:48" ht="18.75" x14ac:dyDescent="0.3">
      <c r="A116" s="725"/>
      <c r="Q116" s="752"/>
      <c r="R116" s="752"/>
      <c r="AV116" s="777"/>
    </row>
    <row r="117" spans="1:48" ht="18.75" x14ac:dyDescent="0.3">
      <c r="A117" s="725"/>
      <c r="Q117" s="752">
        <v>6.8000999999999996</v>
      </c>
      <c r="R117" s="752"/>
      <c r="AV117" s="777"/>
    </row>
    <row r="118" spans="1:48" ht="18.75" x14ac:dyDescent="0.3">
      <c r="A118" s="725"/>
      <c r="Q118" s="752">
        <v>3.4650685687130585</v>
      </c>
      <c r="R118" s="752"/>
      <c r="AV118" s="777"/>
    </row>
    <row r="119" spans="1:48" ht="18.75" x14ac:dyDescent="0.3">
      <c r="A119" s="725"/>
      <c r="Q119" s="752">
        <v>1.732534</v>
      </c>
      <c r="R119" s="752"/>
      <c r="AV119" s="777"/>
    </row>
    <row r="120" spans="1:48" ht="18.75" x14ac:dyDescent="0.3">
      <c r="A120" s="725"/>
      <c r="Q120" s="752"/>
      <c r="R120" s="752"/>
      <c r="AV120" s="777"/>
    </row>
    <row r="121" spans="1:48" ht="18.75" x14ac:dyDescent="0.3">
      <c r="A121" s="725"/>
      <c r="Q121" s="752">
        <v>85.859131809197137</v>
      </c>
      <c r="R121" s="752"/>
      <c r="AV121" s="777"/>
    </row>
    <row r="122" spans="1:48" ht="18.75" x14ac:dyDescent="0.3">
      <c r="A122" s="725"/>
      <c r="Q122" s="752">
        <v>76.802516734356502</v>
      </c>
      <c r="R122" s="752"/>
    </row>
    <row r="123" spans="1:48" ht="18.75" x14ac:dyDescent="0.3">
      <c r="A123" s="725"/>
      <c r="Q123" s="752">
        <v>9.0566150748406198</v>
      </c>
      <c r="R123" s="752"/>
    </row>
    <row r="124" spans="1:48" ht="18.75" x14ac:dyDescent="0.3">
      <c r="A124" s="725"/>
    </row>
    <row r="125" spans="1:48" ht="18.75" x14ac:dyDescent="0.3">
      <c r="A125" s="725"/>
    </row>
    <row r="126" spans="1:48" ht="18.75" x14ac:dyDescent="0.3">
      <c r="A126" s="725"/>
    </row>
    <row r="127" spans="1:48" ht="18.75" x14ac:dyDescent="0.3">
      <c r="A127" s="725"/>
    </row>
    <row r="128" spans="1:48" ht="18.75" x14ac:dyDescent="0.3">
      <c r="A128" s="725"/>
    </row>
    <row r="129" spans="1:1" ht="18.75" x14ac:dyDescent="0.3">
      <c r="A129" s="725"/>
    </row>
    <row r="130" spans="1:1" ht="18.75" x14ac:dyDescent="0.3">
      <c r="A130" s="725"/>
    </row>
    <row r="131" spans="1:1" ht="18.75" x14ac:dyDescent="0.3">
      <c r="A131" s="725"/>
    </row>
  </sheetData>
  <mergeCells count="27">
    <mergeCell ref="AO6:AQ6"/>
    <mergeCell ref="AR6:AT6"/>
    <mergeCell ref="B6:D6"/>
    <mergeCell ref="E6:G6"/>
    <mergeCell ref="H6:J6"/>
    <mergeCell ref="K6:M6"/>
    <mergeCell ref="N6:P6"/>
    <mergeCell ref="T6:V6"/>
    <mergeCell ref="Q7:S7"/>
    <mergeCell ref="Z6:AB6"/>
    <mergeCell ref="AF6:AH6"/>
    <mergeCell ref="AI6:AK6"/>
    <mergeCell ref="AL6:AN6"/>
    <mergeCell ref="AL7:AN7"/>
    <mergeCell ref="B7:D7"/>
    <mergeCell ref="E7:G7"/>
    <mergeCell ref="H7:J7"/>
    <mergeCell ref="K7:M7"/>
    <mergeCell ref="N7:P7"/>
    <mergeCell ref="AO7:AQ7"/>
    <mergeCell ref="AR7:AT7"/>
    <mergeCell ref="T7:V7"/>
    <mergeCell ref="W7:Y7"/>
    <mergeCell ref="Z7:AB7"/>
    <mergeCell ref="AC7:AE7"/>
    <mergeCell ref="AF7:AH7"/>
    <mergeCell ref="AI7:AK7"/>
  </mergeCells>
  <conditionalFormatting sqref="B20:C20 E20 H20 K20 Q20 T20 W20 Z20 AC20 AF20 AI20 AL20 AO20:AP20 AR20:AS20">
    <cfRule type="expression" dxfId="38" priority="556">
      <formula>#REF!="20≠12+13+14+15+16+17+19"</formula>
    </cfRule>
    <cfRule type="expression" dxfId="37" priority="557">
      <formula>#REF!="20≠21+22"</formula>
    </cfRule>
  </conditionalFormatting>
  <conditionalFormatting sqref="B32:C32 AO32:AP32 AR32:AS32 E32:F32 H32:I32 K32:L32 N32:O32 Q32:R32 T32:U32 W32:X32 Z32:AA32 AC32:AD32 AF32:AG32 AI32:AJ32 AL32:AM32">
    <cfRule type="expression" dxfId="36" priority="584">
      <formula>#REF!="32≠24+25+26+27+28+29+31"</formula>
    </cfRule>
  </conditionalFormatting>
  <conditionalFormatting sqref="B32:C32 AO32:AP32 AR32:AS32 E32:F32 H32:I32 K32:L32 N32:O32 Q32:R32 T32:U32 W32:X32 Z32:AA32 AC32:AD32 AF32:AG32 AI32:AJ32 AL32:AM32">
    <cfRule type="expression" dxfId="35" priority="599">
      <formula>#REF!="32≠33+34"</formula>
    </cfRule>
  </conditionalFormatting>
  <conditionalFormatting sqref="F20 I20 L20 N20:O20 R20 U20 X20 AA20 AD20 AG20 AJ20 AM20">
    <cfRule type="expression" dxfId="34" priority="614">
      <formula>#REF!="20≠12+13+14+15+16+17+19"</formula>
    </cfRule>
    <cfRule type="expression" dxfId="33" priority="615">
      <formula>#REF!="20≠21+22"</formula>
    </cfRule>
  </conditionalFormatting>
  <hyperlinks>
    <hyperlink ref="B1" location="Innhold!A1" display="Tilbake"/>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4"/>
  <dimension ref="A1:BK132"/>
  <sheetViews>
    <sheetView showGridLines="0" zoomScale="60" zoomScaleNormal="60" workbookViewId="0">
      <pane xSplit="1" ySplit="8" topLeftCell="B9" activePane="bottomRight" state="frozen"/>
      <selection activeCell="AU39" sqref="AU39"/>
      <selection pane="topRight" activeCell="AU39" sqref="AU39"/>
      <selection pane="bottomLeft" activeCell="AU39" sqref="AU39"/>
      <selection pane="bottomRight" activeCell="A4" sqref="A4"/>
    </sheetView>
  </sheetViews>
  <sheetFormatPr baseColWidth="10" defaultColWidth="11.42578125" defaultRowHeight="12.75" x14ac:dyDescent="0.2"/>
  <cols>
    <col min="1" max="1" width="106.7109375" style="489" customWidth="1"/>
    <col min="2" max="40" width="11.7109375" style="489" customWidth="1"/>
    <col min="41" max="41" width="15.140625" style="489" customWidth="1"/>
    <col min="42" max="42" width="13" style="489" customWidth="1"/>
    <col min="43" max="43" width="11.7109375" style="489" customWidth="1"/>
    <col min="44" max="45" width="13" style="489" customWidth="1"/>
    <col min="46" max="46" width="11.7109375" style="489" customWidth="1"/>
    <col min="47" max="16384" width="11.42578125" style="489"/>
  </cols>
  <sheetData>
    <row r="1" spans="1:63" ht="20.25" customHeight="1" x14ac:dyDescent="0.3">
      <c r="A1" s="494" t="s">
        <v>189</v>
      </c>
      <c r="B1" s="495" t="s">
        <v>55</v>
      </c>
      <c r="C1" s="496"/>
      <c r="D1" s="496"/>
      <c r="E1" s="496"/>
      <c r="F1" s="496"/>
      <c r="G1" s="496"/>
      <c r="H1" s="496"/>
      <c r="I1" s="496"/>
      <c r="J1" s="496"/>
      <c r="AU1" s="497"/>
    </row>
    <row r="2" spans="1:63" ht="20.100000000000001" customHeight="1" x14ac:dyDescent="0.3">
      <c r="A2" s="494" t="s">
        <v>190</v>
      </c>
      <c r="AU2" s="497"/>
    </row>
    <row r="3" spans="1:63" ht="20.100000000000001" customHeight="1" x14ac:dyDescent="0.3">
      <c r="A3" s="498" t="s">
        <v>191</v>
      </c>
      <c r="B3" s="499"/>
      <c r="C3" s="499"/>
      <c r="D3" s="499"/>
      <c r="E3" s="499"/>
      <c r="F3" s="499"/>
      <c r="G3" s="499"/>
      <c r="H3" s="499"/>
      <c r="I3" s="499"/>
      <c r="J3" s="499"/>
      <c r="AU3" s="500"/>
    </row>
    <row r="4" spans="1:63" ht="18.75" customHeight="1" x14ac:dyDescent="0.25">
      <c r="A4" s="501" t="s">
        <v>414</v>
      </c>
      <c r="B4" s="502"/>
      <c r="C4" s="502"/>
      <c r="D4" s="503"/>
      <c r="E4" s="502"/>
      <c r="F4" s="502"/>
      <c r="G4" s="503"/>
      <c r="H4" s="504"/>
      <c r="I4" s="502"/>
      <c r="J4" s="503"/>
      <c r="K4" s="505"/>
      <c r="L4" s="505"/>
      <c r="M4" s="505"/>
      <c r="N4" s="506"/>
      <c r="O4" s="505"/>
      <c r="P4" s="507"/>
      <c r="Q4" s="506"/>
      <c r="R4" s="505"/>
      <c r="S4" s="507"/>
      <c r="T4" s="506"/>
      <c r="U4" s="505"/>
      <c r="V4" s="507"/>
      <c r="W4" s="506"/>
      <c r="X4" s="505"/>
      <c r="Y4" s="507"/>
      <c r="Z4" s="506"/>
      <c r="AA4" s="505"/>
      <c r="AB4" s="507"/>
      <c r="AC4" s="506"/>
      <c r="AD4" s="505"/>
      <c r="AE4" s="507"/>
      <c r="AF4" s="506"/>
      <c r="AG4" s="505"/>
      <c r="AH4" s="507"/>
      <c r="AI4" s="506"/>
      <c r="AJ4" s="505"/>
      <c r="AK4" s="507"/>
      <c r="AL4" s="506"/>
      <c r="AM4" s="505"/>
      <c r="AN4" s="507"/>
      <c r="AO4" s="506"/>
      <c r="AP4" s="505"/>
      <c r="AQ4" s="507"/>
      <c r="AR4" s="506"/>
      <c r="AS4" s="505"/>
      <c r="AT4" s="507"/>
      <c r="AU4" s="508"/>
      <c r="AV4" s="509"/>
      <c r="AW4" s="509"/>
      <c r="AX4" s="509"/>
      <c r="AY4" s="509"/>
      <c r="AZ4" s="509"/>
      <c r="BA4" s="509"/>
      <c r="BB4" s="509"/>
      <c r="BC4" s="509"/>
      <c r="BD4" s="509"/>
      <c r="BE4" s="509"/>
      <c r="BF4" s="509"/>
      <c r="BG4" s="509"/>
      <c r="BH4" s="509"/>
      <c r="BI4" s="509"/>
      <c r="BJ4" s="509"/>
      <c r="BK4" s="509"/>
    </row>
    <row r="5" spans="1:63" ht="18.75" customHeight="1" x14ac:dyDescent="0.3">
      <c r="A5" s="510" t="s">
        <v>114</v>
      </c>
      <c r="B5" s="994" t="s">
        <v>192</v>
      </c>
      <c r="C5" s="995"/>
      <c r="D5" s="996"/>
      <c r="E5" s="994" t="s">
        <v>193</v>
      </c>
      <c r="F5" s="995"/>
      <c r="G5" s="996"/>
      <c r="H5" s="994" t="s">
        <v>194</v>
      </c>
      <c r="I5" s="995"/>
      <c r="J5" s="996"/>
      <c r="K5" s="994" t="s">
        <v>195</v>
      </c>
      <c r="L5" s="995"/>
      <c r="M5" s="996"/>
      <c r="N5" s="994" t="s">
        <v>196</v>
      </c>
      <c r="O5" s="995"/>
      <c r="P5" s="996"/>
      <c r="Q5" s="511" t="s">
        <v>196</v>
      </c>
      <c r="R5" s="512"/>
      <c r="S5" s="513"/>
      <c r="T5" s="994" t="s">
        <v>67</v>
      </c>
      <c r="U5" s="995"/>
      <c r="V5" s="996"/>
      <c r="W5" s="511"/>
      <c r="X5" s="512"/>
      <c r="Y5" s="513"/>
      <c r="Z5" s="994" t="s">
        <v>197</v>
      </c>
      <c r="AA5" s="995"/>
      <c r="AB5" s="996"/>
      <c r="AC5" s="511"/>
      <c r="AD5" s="512"/>
      <c r="AE5" s="513"/>
      <c r="AF5" s="994" t="s">
        <v>79</v>
      </c>
      <c r="AG5" s="995"/>
      <c r="AH5" s="996"/>
      <c r="AI5" s="994"/>
      <c r="AJ5" s="995"/>
      <c r="AK5" s="996"/>
      <c r="AL5" s="994" t="s">
        <v>80</v>
      </c>
      <c r="AM5" s="995"/>
      <c r="AN5" s="996"/>
      <c r="AO5" s="994" t="s">
        <v>2</v>
      </c>
      <c r="AP5" s="995"/>
      <c r="AQ5" s="996"/>
      <c r="AR5" s="994" t="s">
        <v>2</v>
      </c>
      <c r="AS5" s="995"/>
      <c r="AT5" s="996"/>
      <c r="AU5" s="514"/>
      <c r="AV5" s="515"/>
      <c r="AW5" s="997"/>
      <c r="AX5" s="997"/>
      <c r="AY5" s="997"/>
      <c r="AZ5" s="997"/>
      <c r="BA5" s="997"/>
      <c r="BB5" s="997"/>
      <c r="BC5" s="997"/>
      <c r="BD5" s="997"/>
      <c r="BE5" s="997"/>
      <c r="BF5" s="997"/>
      <c r="BG5" s="997"/>
      <c r="BH5" s="997"/>
      <c r="BI5" s="997"/>
      <c r="BJ5" s="997"/>
      <c r="BK5" s="997"/>
    </row>
    <row r="6" spans="1:63" ht="21" customHeight="1" x14ac:dyDescent="0.3">
      <c r="A6" s="516"/>
      <c r="B6" s="998" t="s">
        <v>198</v>
      </c>
      <c r="C6" s="999"/>
      <c r="D6" s="1000"/>
      <c r="E6" s="998" t="s">
        <v>199</v>
      </c>
      <c r="F6" s="999"/>
      <c r="G6" s="1000"/>
      <c r="H6" s="998" t="s">
        <v>199</v>
      </c>
      <c r="I6" s="999"/>
      <c r="J6" s="1000"/>
      <c r="K6" s="998" t="s">
        <v>200</v>
      </c>
      <c r="L6" s="999"/>
      <c r="M6" s="1000"/>
      <c r="N6" s="998" t="s">
        <v>100</v>
      </c>
      <c r="O6" s="999"/>
      <c r="P6" s="1000"/>
      <c r="Q6" s="998" t="s">
        <v>67</v>
      </c>
      <c r="R6" s="999"/>
      <c r="S6" s="1000"/>
      <c r="T6" s="998" t="s">
        <v>201</v>
      </c>
      <c r="U6" s="999"/>
      <c r="V6" s="1000"/>
      <c r="W6" s="998" t="s">
        <v>72</v>
      </c>
      <c r="X6" s="999"/>
      <c r="Y6" s="1000"/>
      <c r="Z6" s="998" t="s">
        <v>198</v>
      </c>
      <c r="AA6" s="999"/>
      <c r="AB6" s="1000"/>
      <c r="AC6" s="998" t="s">
        <v>78</v>
      </c>
      <c r="AD6" s="999"/>
      <c r="AE6" s="1000"/>
      <c r="AF6" s="998" t="s">
        <v>202</v>
      </c>
      <c r="AG6" s="999"/>
      <c r="AH6" s="1000"/>
      <c r="AI6" s="998" t="s">
        <v>74</v>
      </c>
      <c r="AJ6" s="999"/>
      <c r="AK6" s="1000"/>
      <c r="AL6" s="998" t="s">
        <v>199</v>
      </c>
      <c r="AM6" s="999"/>
      <c r="AN6" s="1000"/>
      <c r="AO6" s="998" t="s">
        <v>203</v>
      </c>
      <c r="AP6" s="999"/>
      <c r="AQ6" s="1000"/>
      <c r="AR6" s="998" t="s">
        <v>204</v>
      </c>
      <c r="AS6" s="999"/>
      <c r="AT6" s="1000"/>
      <c r="AU6" s="514"/>
      <c r="AV6" s="515"/>
      <c r="AW6" s="997"/>
      <c r="AX6" s="997"/>
      <c r="AY6" s="997"/>
      <c r="AZ6" s="997"/>
      <c r="BA6" s="997"/>
      <c r="BB6" s="997"/>
      <c r="BC6" s="997"/>
      <c r="BD6" s="997"/>
      <c r="BE6" s="997"/>
      <c r="BF6" s="997"/>
      <c r="BG6" s="997"/>
      <c r="BH6" s="997"/>
      <c r="BI6" s="997"/>
      <c r="BJ6" s="997"/>
      <c r="BK6" s="997"/>
    </row>
    <row r="7" spans="1:63" ht="18.75" customHeight="1" x14ac:dyDescent="0.3">
      <c r="A7" s="516"/>
      <c r="B7" s="517"/>
      <c r="C7" s="517"/>
      <c r="D7" s="518" t="s">
        <v>89</v>
      </c>
      <c r="E7" s="517"/>
      <c r="F7" s="517"/>
      <c r="G7" s="518" t="s">
        <v>89</v>
      </c>
      <c r="H7" s="517"/>
      <c r="I7" s="517"/>
      <c r="J7" s="518" t="s">
        <v>89</v>
      </c>
      <c r="K7" s="517"/>
      <c r="L7" s="517"/>
      <c r="M7" s="518" t="s">
        <v>89</v>
      </c>
      <c r="N7" s="517"/>
      <c r="O7" s="517"/>
      <c r="P7" s="518" t="s">
        <v>89</v>
      </c>
      <c r="Q7" s="517"/>
      <c r="R7" s="517"/>
      <c r="S7" s="518" t="s">
        <v>89</v>
      </c>
      <c r="T7" s="517"/>
      <c r="U7" s="517"/>
      <c r="V7" s="518" t="s">
        <v>89</v>
      </c>
      <c r="W7" s="517"/>
      <c r="X7" s="517"/>
      <c r="Y7" s="518" t="s">
        <v>89</v>
      </c>
      <c r="Z7" s="517"/>
      <c r="AA7" s="517"/>
      <c r="AB7" s="518" t="s">
        <v>89</v>
      </c>
      <c r="AC7" s="517"/>
      <c r="AD7" s="517"/>
      <c r="AE7" s="518" t="s">
        <v>89</v>
      </c>
      <c r="AF7" s="517"/>
      <c r="AG7" s="517"/>
      <c r="AH7" s="518" t="s">
        <v>89</v>
      </c>
      <c r="AI7" s="517"/>
      <c r="AJ7" s="517"/>
      <c r="AK7" s="518" t="s">
        <v>89</v>
      </c>
      <c r="AL7" s="517"/>
      <c r="AM7" s="517"/>
      <c r="AN7" s="518" t="s">
        <v>89</v>
      </c>
      <c r="AO7" s="517"/>
      <c r="AP7" s="517"/>
      <c r="AQ7" s="518" t="s">
        <v>89</v>
      </c>
      <c r="AR7" s="517"/>
      <c r="AS7" s="517"/>
      <c r="AT7" s="518" t="s">
        <v>89</v>
      </c>
      <c r="AU7" s="514"/>
      <c r="AV7" s="515"/>
      <c r="AW7" s="515"/>
      <c r="AX7" s="515"/>
      <c r="AY7" s="515"/>
      <c r="AZ7" s="515"/>
      <c r="BA7" s="515"/>
      <c r="BB7" s="515"/>
      <c r="BC7" s="515"/>
      <c r="BD7" s="515"/>
      <c r="BE7" s="515"/>
      <c r="BF7" s="515"/>
      <c r="BG7" s="515"/>
      <c r="BH7" s="515"/>
      <c r="BI7" s="515"/>
      <c r="BJ7" s="515"/>
      <c r="BK7" s="515"/>
    </row>
    <row r="8" spans="1:63" ht="18.75" customHeight="1" x14ac:dyDescent="0.25">
      <c r="A8" s="478" t="s">
        <v>205</v>
      </c>
      <c r="B8" s="479">
        <v>2016</v>
      </c>
      <c r="C8" s="479">
        <v>2017</v>
      </c>
      <c r="D8" s="480" t="s">
        <v>91</v>
      </c>
      <c r="E8" s="479">
        <v>2016</v>
      </c>
      <c r="F8" s="479">
        <v>2017</v>
      </c>
      <c r="G8" s="480" t="s">
        <v>91</v>
      </c>
      <c r="H8" s="479">
        <v>2016</v>
      </c>
      <c r="I8" s="479">
        <v>2017</v>
      </c>
      <c r="J8" s="480" t="s">
        <v>91</v>
      </c>
      <c r="K8" s="479">
        <v>2016</v>
      </c>
      <c r="L8" s="479">
        <v>2017</v>
      </c>
      <c r="M8" s="480" t="s">
        <v>91</v>
      </c>
      <c r="N8" s="479">
        <v>2016</v>
      </c>
      <c r="O8" s="479">
        <v>2017</v>
      </c>
      <c r="P8" s="480" t="s">
        <v>91</v>
      </c>
      <c r="Q8" s="479">
        <v>2016</v>
      </c>
      <c r="R8" s="479">
        <v>2017</v>
      </c>
      <c r="S8" s="480" t="s">
        <v>91</v>
      </c>
      <c r="T8" s="479">
        <v>2016</v>
      </c>
      <c r="U8" s="479">
        <v>2017</v>
      </c>
      <c r="V8" s="480" t="s">
        <v>91</v>
      </c>
      <c r="W8" s="479">
        <v>2016</v>
      </c>
      <c r="X8" s="479">
        <v>2017</v>
      </c>
      <c r="Y8" s="480" t="s">
        <v>91</v>
      </c>
      <c r="Z8" s="479">
        <v>2016</v>
      </c>
      <c r="AA8" s="479">
        <v>2017</v>
      </c>
      <c r="AB8" s="480" t="s">
        <v>91</v>
      </c>
      <c r="AC8" s="479">
        <v>2016</v>
      </c>
      <c r="AD8" s="479">
        <v>2017</v>
      </c>
      <c r="AE8" s="480" t="s">
        <v>91</v>
      </c>
      <c r="AF8" s="479">
        <v>2016</v>
      </c>
      <c r="AG8" s="479">
        <v>2017</v>
      </c>
      <c r="AH8" s="480" t="s">
        <v>91</v>
      </c>
      <c r="AI8" s="479">
        <v>2016</v>
      </c>
      <c r="AJ8" s="479">
        <v>2017</v>
      </c>
      <c r="AK8" s="480" t="s">
        <v>91</v>
      </c>
      <c r="AL8" s="479">
        <v>2016</v>
      </c>
      <c r="AM8" s="479">
        <v>2017</v>
      </c>
      <c r="AN8" s="480" t="s">
        <v>91</v>
      </c>
      <c r="AO8" s="479">
        <v>2016</v>
      </c>
      <c r="AP8" s="479">
        <v>2017</v>
      </c>
      <c r="AQ8" s="480" t="s">
        <v>91</v>
      </c>
      <c r="AR8" s="479">
        <v>2016</v>
      </c>
      <c r="AS8" s="479">
        <v>2017</v>
      </c>
      <c r="AT8" s="480" t="s">
        <v>91</v>
      </c>
      <c r="AU8" s="514"/>
      <c r="AV8" s="519"/>
      <c r="AW8" s="520"/>
      <c r="AX8" s="520"/>
      <c r="AY8" s="519"/>
      <c r="AZ8" s="520"/>
      <c r="BA8" s="520"/>
      <c r="BB8" s="519"/>
      <c r="BC8" s="520"/>
      <c r="BD8" s="520"/>
      <c r="BE8" s="519"/>
      <c r="BF8" s="520"/>
      <c r="BG8" s="520"/>
      <c r="BH8" s="519"/>
      <c r="BI8" s="520"/>
      <c r="BJ8" s="520"/>
      <c r="BK8" s="519"/>
    </row>
    <row r="9" spans="1:63" ht="18.75" customHeight="1" x14ac:dyDescent="0.3">
      <c r="A9" s="481"/>
      <c r="B9" s="433"/>
      <c r="C9" s="434"/>
      <c r="D9" s="434"/>
      <c r="E9" s="435"/>
      <c r="F9" s="434"/>
      <c r="G9" s="434"/>
      <c r="H9" s="435"/>
      <c r="I9" s="434"/>
      <c r="J9" s="434"/>
      <c r="K9" s="436"/>
      <c r="L9" s="437"/>
      <c r="M9" s="437"/>
      <c r="N9" s="438"/>
      <c r="O9" s="439"/>
      <c r="P9" s="337"/>
      <c r="Q9" s="436"/>
      <c r="R9" s="437"/>
      <c r="S9" s="337"/>
      <c r="T9" s="440"/>
      <c r="U9" s="437"/>
      <c r="V9" s="337"/>
      <c r="W9" s="440"/>
      <c r="X9" s="437"/>
      <c r="Y9" s="337"/>
      <c r="Z9" s="440"/>
      <c r="AA9" s="437"/>
      <c r="AB9" s="337"/>
      <c r="AC9" s="440"/>
      <c r="AD9" s="437"/>
      <c r="AE9" s="337"/>
      <c r="AF9" s="440"/>
      <c r="AG9" s="437"/>
      <c r="AH9" s="337"/>
      <c r="AI9" s="440"/>
      <c r="AJ9" s="437"/>
      <c r="AK9" s="337"/>
      <c r="AL9" s="440"/>
      <c r="AM9" s="437"/>
      <c r="AN9" s="337"/>
      <c r="AO9" s="440"/>
      <c r="AP9" s="437"/>
      <c r="AQ9" s="337"/>
      <c r="AR9" s="440"/>
      <c r="AS9" s="437"/>
      <c r="AT9" s="337"/>
      <c r="AU9" s="514"/>
      <c r="AV9" s="514"/>
    </row>
    <row r="10" spans="1:63" s="490" customFormat="1" ht="18.75" customHeight="1" x14ac:dyDescent="0.3">
      <c r="A10" s="482" t="s">
        <v>206</v>
      </c>
      <c r="B10" s="441"/>
      <c r="C10" s="442"/>
      <c r="D10" s="442"/>
      <c r="E10" s="435"/>
      <c r="F10" s="442"/>
      <c r="G10" s="442"/>
      <c r="H10" s="435"/>
      <c r="I10" s="442"/>
      <c r="J10" s="442"/>
      <c r="K10" s="436"/>
      <c r="L10" s="437"/>
      <c r="M10" s="437"/>
      <c r="N10" s="438"/>
      <c r="O10" s="439"/>
      <c r="P10" s="337"/>
      <c r="Q10" s="436"/>
      <c r="R10" s="437"/>
      <c r="S10" s="337"/>
      <c r="T10" s="440"/>
      <c r="U10" s="437"/>
      <c r="V10" s="337"/>
      <c r="W10" s="440"/>
      <c r="X10" s="437"/>
      <c r="Y10" s="337"/>
      <c r="Z10" s="440"/>
      <c r="AA10" s="437"/>
      <c r="AB10" s="337"/>
      <c r="AC10" s="440"/>
      <c r="AD10" s="437"/>
      <c r="AE10" s="337"/>
      <c r="AF10" s="440"/>
      <c r="AG10" s="437"/>
      <c r="AH10" s="337"/>
      <c r="AI10" s="440"/>
      <c r="AJ10" s="437"/>
      <c r="AK10" s="337"/>
      <c r="AL10" s="440"/>
      <c r="AM10" s="437"/>
      <c r="AN10" s="337"/>
      <c r="AO10" s="440"/>
      <c r="AP10" s="437"/>
      <c r="AQ10" s="337"/>
      <c r="AR10" s="440"/>
      <c r="AS10" s="437"/>
      <c r="AT10" s="337"/>
      <c r="AU10" s="521"/>
      <c r="AV10" s="521"/>
    </row>
    <row r="11" spans="1:63" s="490" customFormat="1" ht="18.75" customHeight="1" x14ac:dyDescent="0.3">
      <c r="A11" s="483"/>
      <c r="B11" s="441"/>
      <c r="C11" s="442"/>
      <c r="D11" s="442"/>
      <c r="E11" s="435"/>
      <c r="F11" s="442"/>
      <c r="G11" s="442"/>
      <c r="H11" s="435"/>
      <c r="I11" s="442"/>
      <c r="J11" s="442"/>
      <c r="K11" s="436"/>
      <c r="L11" s="437"/>
      <c r="M11" s="437"/>
      <c r="N11" s="438"/>
      <c r="O11" s="439"/>
      <c r="P11" s="337"/>
      <c r="Q11" s="436"/>
      <c r="R11" s="437"/>
      <c r="S11" s="337"/>
      <c r="T11" s="440"/>
      <c r="U11" s="437"/>
      <c r="V11" s="337"/>
      <c r="W11" s="440"/>
      <c r="X11" s="437"/>
      <c r="Y11" s="337"/>
      <c r="Z11" s="440"/>
      <c r="AA11" s="437"/>
      <c r="AB11" s="337"/>
      <c r="AC11" s="440"/>
      <c r="AD11" s="437"/>
      <c r="AE11" s="337"/>
      <c r="AF11" s="440"/>
      <c r="AG11" s="437"/>
      <c r="AH11" s="337"/>
      <c r="AI11" s="440"/>
      <c r="AJ11" s="437"/>
      <c r="AK11" s="337"/>
      <c r="AL11" s="440"/>
      <c r="AM11" s="437"/>
      <c r="AN11" s="337"/>
      <c r="AO11" s="440"/>
      <c r="AP11" s="437"/>
      <c r="AQ11" s="337"/>
      <c r="AR11" s="440"/>
      <c r="AS11" s="437"/>
      <c r="AT11" s="337"/>
      <c r="AU11" s="521"/>
      <c r="AV11" s="521"/>
    </row>
    <row r="12" spans="1:63" s="490" customFormat="1" ht="20.100000000000001" customHeight="1" x14ac:dyDescent="0.3">
      <c r="A12" s="482" t="s">
        <v>207</v>
      </c>
      <c r="B12" s="443"/>
      <c r="C12" s="444"/>
      <c r="D12" s="444"/>
      <c r="E12" s="445"/>
      <c r="F12" s="444"/>
      <c r="G12" s="444"/>
      <c r="H12" s="445"/>
      <c r="I12" s="444"/>
      <c r="J12" s="444"/>
      <c r="K12" s="436"/>
      <c r="L12" s="437"/>
      <c r="M12" s="437"/>
      <c r="N12" s="438"/>
      <c r="O12" s="439"/>
      <c r="P12" s="337"/>
      <c r="Q12" s="436"/>
      <c r="R12" s="437"/>
      <c r="S12" s="337"/>
      <c r="T12" s="440"/>
      <c r="U12" s="437"/>
      <c r="V12" s="337"/>
      <c r="W12" s="440"/>
      <c r="X12" s="437"/>
      <c r="Y12" s="337"/>
      <c r="Z12" s="440"/>
      <c r="AA12" s="437"/>
      <c r="AB12" s="337"/>
      <c r="AC12" s="440"/>
      <c r="AD12" s="437"/>
      <c r="AE12" s="337"/>
      <c r="AF12" s="440"/>
      <c r="AG12" s="437"/>
      <c r="AH12" s="337"/>
      <c r="AI12" s="440"/>
      <c r="AJ12" s="437"/>
      <c r="AK12" s="337"/>
      <c r="AL12" s="440"/>
      <c r="AM12" s="437"/>
      <c r="AN12" s="337"/>
      <c r="AO12" s="440"/>
      <c r="AP12" s="437"/>
      <c r="AQ12" s="337"/>
      <c r="AR12" s="440"/>
      <c r="AS12" s="437"/>
      <c r="AT12" s="337"/>
      <c r="AU12" s="521"/>
      <c r="AV12" s="521"/>
    </row>
    <row r="13" spans="1:63" s="523" customFormat="1" ht="20.100000000000001" customHeight="1" x14ac:dyDescent="0.3">
      <c r="A13" s="482" t="s">
        <v>208</v>
      </c>
      <c r="B13" s="446"/>
      <c r="C13" s="447"/>
      <c r="D13" s="447"/>
      <c r="E13" s="448"/>
      <c r="F13" s="447"/>
      <c r="G13" s="447"/>
      <c r="H13" s="448"/>
      <c r="I13" s="447"/>
      <c r="J13" s="447"/>
      <c r="K13" s="449"/>
      <c r="L13" s="450"/>
      <c r="M13" s="450"/>
      <c r="N13" s="451"/>
      <c r="O13" s="452"/>
      <c r="P13" s="453"/>
      <c r="Q13" s="449"/>
      <c r="R13" s="450"/>
      <c r="S13" s="453"/>
      <c r="T13" s="454"/>
      <c r="U13" s="450"/>
      <c r="V13" s="453"/>
      <c r="W13" s="454"/>
      <c r="X13" s="450"/>
      <c r="Y13" s="453"/>
      <c r="Z13" s="454"/>
      <c r="AA13" s="450"/>
      <c r="AB13" s="453"/>
      <c r="AC13" s="454"/>
      <c r="AD13" s="450"/>
      <c r="AE13" s="453"/>
      <c r="AF13" s="454"/>
      <c r="AG13" s="450"/>
      <c r="AH13" s="453"/>
      <c r="AI13" s="454"/>
      <c r="AJ13" s="450"/>
      <c r="AK13" s="453"/>
      <c r="AL13" s="454"/>
      <c r="AM13" s="450"/>
      <c r="AN13" s="453"/>
      <c r="AO13" s="454"/>
      <c r="AP13" s="450"/>
      <c r="AQ13" s="453"/>
      <c r="AR13" s="454"/>
      <c r="AS13" s="450"/>
      <c r="AT13" s="453"/>
      <c r="AU13" s="522"/>
      <c r="AV13" s="522"/>
    </row>
    <row r="14" spans="1:63" s="523" customFormat="1" ht="20.100000000000001" customHeight="1" x14ac:dyDescent="0.3">
      <c r="A14" s="484" t="s">
        <v>209</v>
      </c>
      <c r="B14" s="455"/>
      <c r="C14" s="453"/>
      <c r="D14" s="453"/>
      <c r="E14" s="456"/>
      <c r="F14" s="453"/>
      <c r="G14" s="453"/>
      <c r="H14" s="456"/>
      <c r="I14" s="453"/>
      <c r="J14" s="453"/>
      <c r="K14" s="449"/>
      <c r="L14" s="450"/>
      <c r="M14" s="450"/>
      <c r="N14" s="451"/>
      <c r="O14" s="452"/>
      <c r="P14" s="453"/>
      <c r="Q14" s="449">
        <v>1002.73402075</v>
      </c>
      <c r="R14" s="450">
        <v>1002.73897575</v>
      </c>
      <c r="S14" s="453">
        <f t="shared" ref="S14:S28" si="0">IF(Q14=0, "    ---- ", IF(ABS(ROUND(100/Q14*R14-100,1))&lt;999,ROUND(100/Q14*R14-100,1),IF(ROUND(100/Q14*R14-100,1)&gt;999,999,-999)))</f>
        <v>0</v>
      </c>
      <c r="T14" s="454"/>
      <c r="U14" s="450"/>
      <c r="V14" s="453"/>
      <c r="W14" s="454"/>
      <c r="X14" s="450"/>
      <c r="Y14" s="453"/>
      <c r="Z14" s="454"/>
      <c r="AA14" s="450"/>
      <c r="AB14" s="453"/>
      <c r="AC14" s="454"/>
      <c r="AD14" s="450"/>
      <c r="AE14" s="453"/>
      <c r="AF14" s="454"/>
      <c r="AG14" s="450"/>
      <c r="AH14" s="453"/>
      <c r="AI14" s="454">
        <v>1.581</v>
      </c>
      <c r="AJ14" s="450">
        <v>1.605</v>
      </c>
      <c r="AK14" s="453">
        <f t="shared" ref="AK14:AK28" si="1">IF(AI14=0, "    ---- ", IF(ABS(ROUND(100/AI14*AJ14-100,1))&lt;999,ROUND(100/AI14*AJ14-100,1),IF(ROUND(100/AI14*AJ14-100,1)&gt;999,999,-999)))</f>
        <v>1.5</v>
      </c>
      <c r="AL14" s="454"/>
      <c r="AM14" s="450"/>
      <c r="AN14" s="453"/>
      <c r="AO14" s="454">
        <f>B14+E14+H14+K14+Q14+T14+W14+Z14+AF14+AI14+AL14</f>
        <v>1004.31502075</v>
      </c>
      <c r="AP14" s="450">
        <f t="shared" ref="AO14:AP29" si="2">C14+F14+I14+L14+R14+U14+X14+AA14+AG14+AJ14+AM14</f>
        <v>1004.34397575</v>
      </c>
      <c r="AQ14" s="453">
        <f t="shared" ref="AQ14:AQ28" si="3">IF(AO14=0, "    ---- ", IF(ABS(ROUND(100/AO14*AP14-100,1))&lt;999,ROUND(100/AO14*AP14-100,1),IF(ROUND(100/AO14*AP14-100,1)&gt;999,999,-999)))</f>
        <v>0</v>
      </c>
      <c r="AR14" s="454">
        <f t="shared" ref="AR14:AS29" si="4">B14+E14+H14+K14+N14+Q14+T14+W14+Z14+AC14+AF14+AI14+AL14</f>
        <v>1004.31502075</v>
      </c>
      <c r="AS14" s="450">
        <f t="shared" si="4"/>
        <v>1004.34397575</v>
      </c>
      <c r="AT14" s="453">
        <f t="shared" ref="AT14:AT29" si="5">IF(AR14=0, "    ---- ", IF(ABS(ROUND(100/AR14*AS14-100,1))&lt;999,ROUND(100/AR14*AS14-100,1),IF(ROUND(100/AR14*AS14-100,1)&gt;999,999,-999)))</f>
        <v>0</v>
      </c>
      <c r="AU14" s="522"/>
      <c r="AV14" s="522"/>
    </row>
    <row r="15" spans="1:63" s="523" customFormat="1" ht="20.100000000000001" customHeight="1" x14ac:dyDescent="0.3">
      <c r="A15" s="484" t="s">
        <v>210</v>
      </c>
      <c r="B15" s="455"/>
      <c r="C15" s="453"/>
      <c r="D15" s="453"/>
      <c r="E15" s="456">
        <v>52.564</v>
      </c>
      <c r="F15" s="453">
        <v>68.965999999999994</v>
      </c>
      <c r="G15" s="453">
        <f t="shared" ref="G15:G28" si="6">IF(E15=0, "    ---- ", IF(ABS(ROUND(100/E15*F15-100,1))&lt;999,ROUND(100/E15*F15-100,1),IF(ROUND(100/E15*F15-100,1)&gt;999,999,-999)))</f>
        <v>31.2</v>
      </c>
      <c r="H15" s="456"/>
      <c r="I15" s="453"/>
      <c r="J15" s="453"/>
      <c r="K15" s="449"/>
      <c r="L15" s="450"/>
      <c r="M15" s="450"/>
      <c r="N15" s="451"/>
      <c r="O15" s="452"/>
      <c r="P15" s="453"/>
      <c r="Q15" s="449">
        <v>5904.3542231199999</v>
      </c>
      <c r="R15" s="450">
        <v>6471.0601837200002</v>
      </c>
      <c r="S15" s="453">
        <f t="shared" si="0"/>
        <v>9.6</v>
      </c>
      <c r="T15" s="454"/>
      <c r="U15" s="450"/>
      <c r="V15" s="453"/>
      <c r="W15" s="454"/>
      <c r="X15" s="450"/>
      <c r="Y15" s="453"/>
      <c r="Z15" s="454">
        <v>974</v>
      </c>
      <c r="AA15" s="450">
        <v>1011</v>
      </c>
      <c r="AB15" s="453">
        <f t="shared" ref="AB15:AB28" si="7">IF(Z15=0, "    ---- ", IF(ABS(ROUND(100/Z15*AA15-100,1))&lt;999,ROUND(100/Z15*AA15-100,1),IF(ROUND(100/Z15*AA15-100,1)&gt;999,999,-999)))</f>
        <v>3.8</v>
      </c>
      <c r="AC15" s="454"/>
      <c r="AD15" s="450"/>
      <c r="AE15" s="453"/>
      <c r="AF15" s="454"/>
      <c r="AG15" s="450"/>
      <c r="AH15" s="453"/>
      <c r="AI15" s="454">
        <v>830.89300000000003</v>
      </c>
      <c r="AJ15" s="450">
        <v>1138.7809999999999</v>
      </c>
      <c r="AK15" s="453">
        <f t="shared" si="1"/>
        <v>37.1</v>
      </c>
      <c r="AL15" s="454">
        <v>13433.8</v>
      </c>
      <c r="AM15" s="450">
        <v>13168</v>
      </c>
      <c r="AN15" s="453">
        <f t="shared" ref="AN15:AN28" si="8">IF(AL15=0, "    ---- ", IF(ABS(ROUND(100/AL15*AM15-100,1))&lt;999,ROUND(100/AL15*AM15-100,1),IF(ROUND(100/AL15*AM15-100,1)&gt;999,999,-999)))</f>
        <v>-2</v>
      </c>
      <c r="AO15" s="454">
        <f t="shared" si="2"/>
        <v>21195.611223119999</v>
      </c>
      <c r="AP15" s="450">
        <f t="shared" si="2"/>
        <v>21857.80718372</v>
      </c>
      <c r="AQ15" s="453">
        <f t="shared" si="3"/>
        <v>3.1</v>
      </c>
      <c r="AR15" s="454">
        <f t="shared" si="4"/>
        <v>21195.611223119999</v>
      </c>
      <c r="AS15" s="450">
        <f t="shared" si="4"/>
        <v>21857.80718372</v>
      </c>
      <c r="AT15" s="453">
        <f t="shared" si="5"/>
        <v>3.1</v>
      </c>
      <c r="AU15" s="522"/>
      <c r="AV15" s="522"/>
    </row>
    <row r="16" spans="1:63" s="523" customFormat="1" ht="20.100000000000001" customHeight="1" x14ac:dyDescent="0.3">
      <c r="A16" s="484" t="s">
        <v>211</v>
      </c>
      <c r="B16" s="455"/>
      <c r="C16" s="453"/>
      <c r="D16" s="453"/>
      <c r="E16" s="456">
        <v>4976.8469999999998</v>
      </c>
      <c r="F16" s="453">
        <f>SUM(F17+F19)</f>
        <v>3714.7309999999998</v>
      </c>
      <c r="G16" s="453"/>
      <c r="H16" s="456">
        <v>29.327999999999999</v>
      </c>
      <c r="I16" s="453">
        <f>I18</f>
        <v>37.656999999999996</v>
      </c>
      <c r="J16" s="453"/>
      <c r="K16" s="449"/>
      <c r="L16" s="450"/>
      <c r="M16" s="450"/>
      <c r="N16" s="451"/>
      <c r="O16" s="452"/>
      <c r="P16" s="453"/>
      <c r="Q16" s="449">
        <v>13808.26976988</v>
      </c>
      <c r="R16" s="450">
        <f>SUM(R17+R19)</f>
        <v>16233.496316670002</v>
      </c>
      <c r="S16" s="453">
        <f t="shared" si="0"/>
        <v>17.600000000000001</v>
      </c>
      <c r="T16" s="454">
        <v>158.6</v>
      </c>
      <c r="U16" s="450">
        <f>SUM(U17+U19)</f>
        <v>226.6</v>
      </c>
      <c r="V16" s="453"/>
      <c r="W16" s="454"/>
      <c r="X16" s="450"/>
      <c r="Y16" s="453"/>
      <c r="Z16" s="454">
        <v>4158</v>
      </c>
      <c r="AA16" s="450">
        <f>SUM(AA17+AA19)</f>
        <v>4386</v>
      </c>
      <c r="AB16" s="453">
        <f t="shared" si="7"/>
        <v>5.5</v>
      </c>
      <c r="AC16" s="454"/>
      <c r="AD16" s="450"/>
      <c r="AE16" s="453"/>
      <c r="AF16" s="454"/>
      <c r="AG16" s="450"/>
      <c r="AH16" s="453"/>
      <c r="AI16" s="454">
        <v>984.54899999999998</v>
      </c>
      <c r="AJ16" s="450">
        <f>SUM(AJ17+AJ19)</f>
        <v>1145.83</v>
      </c>
      <c r="AK16" s="453">
        <f t="shared" si="1"/>
        <v>16.399999999999999</v>
      </c>
      <c r="AL16" s="454">
        <v>3011.6000000000004</v>
      </c>
      <c r="AM16" s="450">
        <f>SUM(AM17+AM19)</f>
        <v>3423</v>
      </c>
      <c r="AN16" s="453">
        <f t="shared" si="8"/>
        <v>13.7</v>
      </c>
      <c r="AO16" s="454">
        <f t="shared" si="2"/>
        <v>27127.193769879996</v>
      </c>
      <c r="AP16" s="450">
        <f t="shared" si="2"/>
        <v>29167.314316670003</v>
      </c>
      <c r="AQ16" s="453">
        <f t="shared" si="3"/>
        <v>7.5</v>
      </c>
      <c r="AR16" s="454">
        <f t="shared" si="4"/>
        <v>27127.193769879996</v>
      </c>
      <c r="AS16" s="450">
        <f t="shared" si="4"/>
        <v>29167.314316670003</v>
      </c>
      <c r="AT16" s="453">
        <f t="shared" si="5"/>
        <v>7.5</v>
      </c>
      <c r="AU16" s="522"/>
      <c r="AV16" s="522"/>
    </row>
    <row r="17" spans="1:49" s="523" customFormat="1" ht="20.100000000000001" customHeight="1" x14ac:dyDescent="0.3">
      <c r="A17" s="484" t="s">
        <v>212</v>
      </c>
      <c r="B17" s="455"/>
      <c r="C17" s="453"/>
      <c r="D17" s="453"/>
      <c r="E17" s="456">
        <v>3120.069</v>
      </c>
      <c r="F17" s="453">
        <v>1872</v>
      </c>
      <c r="G17" s="453"/>
      <c r="H17" s="456"/>
      <c r="I17" s="453"/>
      <c r="J17" s="453"/>
      <c r="K17" s="449"/>
      <c r="L17" s="450"/>
      <c r="M17" s="450"/>
      <c r="N17" s="451"/>
      <c r="O17" s="452"/>
      <c r="P17" s="453"/>
      <c r="Q17" s="449">
        <v>6459.7292929300002</v>
      </c>
      <c r="R17" s="450">
        <v>6906.0084478900008</v>
      </c>
      <c r="S17" s="453">
        <f t="shared" si="0"/>
        <v>6.9</v>
      </c>
      <c r="T17" s="454"/>
      <c r="U17" s="450"/>
      <c r="V17" s="453"/>
      <c r="W17" s="454"/>
      <c r="X17" s="450"/>
      <c r="Y17" s="453"/>
      <c r="Z17" s="454">
        <v>404</v>
      </c>
      <c r="AA17" s="450">
        <v>276</v>
      </c>
      <c r="AB17" s="453">
        <f t="shared" si="7"/>
        <v>-31.7</v>
      </c>
      <c r="AC17" s="454"/>
      <c r="AD17" s="450"/>
      <c r="AE17" s="453"/>
      <c r="AF17" s="454"/>
      <c r="AG17" s="450"/>
      <c r="AH17" s="453"/>
      <c r="AI17" s="454">
        <v>178.91399999999999</v>
      </c>
      <c r="AJ17" s="450">
        <v>141.255</v>
      </c>
      <c r="AK17" s="453">
        <f t="shared" si="1"/>
        <v>-21</v>
      </c>
      <c r="AL17" s="454"/>
      <c r="AM17" s="450"/>
      <c r="AN17" s="453"/>
      <c r="AO17" s="454">
        <f t="shared" si="2"/>
        <v>10162.71229293</v>
      </c>
      <c r="AP17" s="450">
        <f t="shared" si="2"/>
        <v>9195.26344789</v>
      </c>
      <c r="AQ17" s="453">
        <f t="shared" si="3"/>
        <v>-9.5</v>
      </c>
      <c r="AR17" s="454">
        <f t="shared" si="4"/>
        <v>10162.71229293</v>
      </c>
      <c r="AS17" s="450">
        <f t="shared" si="4"/>
        <v>9195.26344789</v>
      </c>
      <c r="AT17" s="453">
        <f t="shared" si="5"/>
        <v>-9.5</v>
      </c>
      <c r="AU17" s="522"/>
      <c r="AV17" s="522"/>
    </row>
    <row r="18" spans="1:49" s="523" customFormat="1" ht="20.100000000000001" customHeight="1" x14ac:dyDescent="0.3">
      <c r="A18" s="484" t="s">
        <v>213</v>
      </c>
      <c r="B18" s="455"/>
      <c r="C18" s="453"/>
      <c r="D18" s="453"/>
      <c r="E18" s="456">
        <v>3120.069</v>
      </c>
      <c r="F18" s="453">
        <v>1872</v>
      </c>
      <c r="G18" s="453"/>
      <c r="H18" s="456">
        <v>29.327999999999999</v>
      </c>
      <c r="I18" s="453">
        <v>37.656999999999996</v>
      </c>
      <c r="J18" s="453"/>
      <c r="K18" s="449"/>
      <c r="L18" s="450"/>
      <c r="M18" s="450"/>
      <c r="N18" s="451"/>
      <c r="O18" s="452"/>
      <c r="P18" s="453"/>
      <c r="Q18" s="449">
        <v>6459.7292929300002</v>
      </c>
      <c r="R18" s="450">
        <v>6906.0084478900008</v>
      </c>
      <c r="S18" s="453">
        <f t="shared" si="0"/>
        <v>6.9</v>
      </c>
      <c r="T18" s="454"/>
      <c r="U18" s="450"/>
      <c r="V18" s="453"/>
      <c r="W18" s="454"/>
      <c r="X18" s="450"/>
      <c r="Y18" s="453"/>
      <c r="Z18" s="454"/>
      <c r="AA18" s="450"/>
      <c r="AB18" s="453"/>
      <c r="AC18" s="454"/>
      <c r="AD18" s="450"/>
      <c r="AE18" s="453"/>
      <c r="AF18" s="454"/>
      <c r="AG18" s="450"/>
      <c r="AH18" s="453"/>
      <c r="AI18" s="454">
        <v>27.966272480000015</v>
      </c>
      <c r="AJ18" s="450">
        <v>27.976073720000013</v>
      </c>
      <c r="AK18" s="453">
        <f t="shared" si="1"/>
        <v>0</v>
      </c>
      <c r="AL18" s="454"/>
      <c r="AM18" s="450"/>
      <c r="AN18" s="453"/>
      <c r="AO18" s="454">
        <f t="shared" si="2"/>
        <v>9637.0925654099992</v>
      </c>
      <c r="AP18" s="450">
        <f t="shared" si="2"/>
        <v>8843.6415216099995</v>
      </c>
      <c r="AQ18" s="453">
        <f t="shared" si="3"/>
        <v>-8.1999999999999993</v>
      </c>
      <c r="AR18" s="454">
        <f t="shared" si="4"/>
        <v>9637.0925654099992</v>
      </c>
      <c r="AS18" s="450">
        <f t="shared" si="4"/>
        <v>8843.6415216099995</v>
      </c>
      <c r="AT18" s="453">
        <f t="shared" si="5"/>
        <v>-8.1999999999999993</v>
      </c>
      <c r="AU18" s="522"/>
      <c r="AV18" s="522"/>
    </row>
    <row r="19" spans="1:49" s="523" customFormat="1" ht="20.100000000000001" customHeight="1" x14ac:dyDescent="0.3">
      <c r="A19" s="484" t="s">
        <v>214</v>
      </c>
      <c r="B19" s="455"/>
      <c r="C19" s="453"/>
      <c r="D19" s="453"/>
      <c r="E19" s="456">
        <v>1856.778</v>
      </c>
      <c r="F19" s="453">
        <v>1842.731</v>
      </c>
      <c r="G19" s="453"/>
      <c r="H19" s="456"/>
      <c r="I19" s="453"/>
      <c r="J19" s="453"/>
      <c r="K19" s="449"/>
      <c r="L19" s="450"/>
      <c r="M19" s="450"/>
      <c r="N19" s="451"/>
      <c r="O19" s="452"/>
      <c r="P19" s="453"/>
      <c r="Q19" s="449">
        <v>7348.5404769500001</v>
      </c>
      <c r="R19" s="450">
        <v>9327.487868780001</v>
      </c>
      <c r="S19" s="453">
        <f t="shared" si="0"/>
        <v>26.9</v>
      </c>
      <c r="T19" s="454">
        <v>158.6</v>
      </c>
      <c r="U19" s="450">
        <v>226.6</v>
      </c>
      <c r="V19" s="453"/>
      <c r="W19" s="454"/>
      <c r="X19" s="450"/>
      <c r="Y19" s="453"/>
      <c r="Z19" s="454">
        <v>3754</v>
      </c>
      <c r="AA19" s="450">
        <v>4110</v>
      </c>
      <c r="AB19" s="453">
        <f t="shared" si="7"/>
        <v>9.5</v>
      </c>
      <c r="AC19" s="454"/>
      <c r="AD19" s="450"/>
      <c r="AE19" s="453"/>
      <c r="AF19" s="454"/>
      <c r="AG19" s="450"/>
      <c r="AH19" s="453"/>
      <c r="AI19" s="454">
        <v>805.63499999999999</v>
      </c>
      <c r="AJ19" s="450">
        <v>1004.575</v>
      </c>
      <c r="AK19" s="453">
        <f t="shared" si="1"/>
        <v>24.7</v>
      </c>
      <c r="AL19" s="454">
        <v>3011.6000000000004</v>
      </c>
      <c r="AM19" s="450">
        <v>3423</v>
      </c>
      <c r="AN19" s="453">
        <f t="shared" si="8"/>
        <v>13.7</v>
      </c>
      <c r="AO19" s="454">
        <f t="shared" si="2"/>
        <v>16935.153476949999</v>
      </c>
      <c r="AP19" s="450">
        <f t="shared" si="2"/>
        <v>19934.39386878</v>
      </c>
      <c r="AQ19" s="453">
        <f t="shared" si="3"/>
        <v>17.7</v>
      </c>
      <c r="AR19" s="454">
        <f t="shared" si="4"/>
        <v>16935.153476949999</v>
      </c>
      <c r="AS19" s="450">
        <f t="shared" si="4"/>
        <v>19934.39386878</v>
      </c>
      <c r="AT19" s="453">
        <f t="shared" si="5"/>
        <v>17.7</v>
      </c>
      <c r="AU19" s="522"/>
      <c r="AV19" s="522"/>
    </row>
    <row r="20" spans="1:49" s="523" customFormat="1" ht="20.100000000000001" customHeight="1" x14ac:dyDescent="0.3">
      <c r="A20" s="484" t="s">
        <v>215</v>
      </c>
      <c r="B20" s="455">
        <v>158.20600000000002</v>
      </c>
      <c r="C20" s="453">
        <f>SUM(C21:C25)</f>
        <v>237.44300000000001</v>
      </c>
      <c r="D20" s="453">
        <f>IF(B20=0, "    ---- ", IF(ABS(ROUND(100/B20*C20-100,1))&lt;999,ROUND(100/B20*C20-100,1),IF(ROUND(100/B20*C20-100,1)&gt;999,999,-999)))</f>
        <v>50.1</v>
      </c>
      <c r="E20" s="456">
        <v>24263.949999999997</v>
      </c>
      <c r="F20" s="453">
        <f>SUM(F21:F25)</f>
        <v>27144.075000000001</v>
      </c>
      <c r="G20" s="453">
        <f t="shared" si="6"/>
        <v>11.9</v>
      </c>
      <c r="H20" s="456">
        <v>203.03200000000001</v>
      </c>
      <c r="I20" s="453">
        <f>SUM(I21:I25)</f>
        <v>175.92500000000001</v>
      </c>
      <c r="J20" s="453">
        <f t="shared" ref="J20:J28" si="9">IF(H20=0, "    ---- ", IF(ABS(ROUND(100/H20*I20-100,1))&lt;999,ROUND(100/H20*I20-100,1),IF(ROUND(100/H20*I20-100,1)&gt;999,999,-999)))</f>
        <v>-13.4</v>
      </c>
      <c r="K20" s="449">
        <v>698.5</v>
      </c>
      <c r="L20" s="450">
        <f>SUM(L21:L25)</f>
        <v>849</v>
      </c>
      <c r="M20" s="450">
        <f t="shared" ref="M20:M28" si="10">IF(K20=0, "    ---- ", IF(ABS(ROUND(100/K20*L20-100,1))&lt;999,ROUND(100/K20*L20-100,1),IF(ROUND(100/K20*L20-100,1)&gt;999,999,-999)))</f>
        <v>21.5</v>
      </c>
      <c r="N20" s="451"/>
      <c r="O20" s="452"/>
      <c r="P20" s="453"/>
      <c r="Q20" s="449">
        <v>11051.681975349999</v>
      </c>
      <c r="R20" s="450">
        <f>SUM(R21:R25)</f>
        <v>10994.71855159</v>
      </c>
      <c r="S20" s="453">
        <f t="shared" si="0"/>
        <v>-0.5</v>
      </c>
      <c r="T20" s="454">
        <v>148</v>
      </c>
      <c r="U20" s="450">
        <f>SUM(U21:U25)</f>
        <v>288.89999999999998</v>
      </c>
      <c r="V20" s="453">
        <f t="shared" ref="V20:V28" si="11">IF(T20=0, "    ---- ", IF(ABS(ROUND(100/T20*U20-100,1))&lt;999,ROUND(100/T20*U20-100,1),IF(ROUND(100/T20*U20-100,1)&gt;999,999,-999)))</f>
        <v>95.2</v>
      </c>
      <c r="W20" s="454">
        <v>8480.8799999999992</v>
      </c>
      <c r="X20" s="450">
        <f>SUM(X21:X25)</f>
        <v>9237.08</v>
      </c>
      <c r="Y20" s="453">
        <f t="shared" ref="Y20:Y28" si="12">IF(W20=0, "    ---- ", IF(ABS(ROUND(100/W20*X20-100,1))&lt;999,ROUND(100/W20*X20-100,1),IF(ROUND(100/W20*X20-100,1)&gt;999,999,-999)))</f>
        <v>8.9</v>
      </c>
      <c r="Z20" s="454">
        <v>2870</v>
      </c>
      <c r="AA20" s="450">
        <f>SUM(AA21:AA25)</f>
        <v>3032</v>
      </c>
      <c r="AB20" s="453">
        <f t="shared" si="7"/>
        <v>5.6</v>
      </c>
      <c r="AC20" s="454"/>
      <c r="AD20" s="450"/>
      <c r="AE20" s="453"/>
      <c r="AF20" s="454"/>
      <c r="AG20" s="450"/>
      <c r="AH20" s="453"/>
      <c r="AI20" s="454">
        <v>4004.9769999999999</v>
      </c>
      <c r="AJ20" s="450">
        <f>SUM(AJ21:AJ25)</f>
        <v>3845.7040000000002</v>
      </c>
      <c r="AK20" s="453">
        <f t="shared" si="1"/>
        <v>-4</v>
      </c>
      <c r="AL20" s="454">
        <v>14543.6</v>
      </c>
      <c r="AM20" s="450">
        <f>SUM(AM21:AM25)</f>
        <v>16963</v>
      </c>
      <c r="AN20" s="453">
        <f t="shared" si="8"/>
        <v>16.600000000000001</v>
      </c>
      <c r="AO20" s="454">
        <f t="shared" si="2"/>
        <v>66422.826975349992</v>
      </c>
      <c r="AP20" s="450">
        <f t="shared" si="2"/>
        <v>72767.845551589999</v>
      </c>
      <c r="AQ20" s="453">
        <f t="shared" si="3"/>
        <v>9.6</v>
      </c>
      <c r="AR20" s="454">
        <f t="shared" si="4"/>
        <v>66422.826975349992</v>
      </c>
      <c r="AS20" s="450">
        <f t="shared" si="4"/>
        <v>72767.845551589999</v>
      </c>
      <c r="AT20" s="453">
        <f t="shared" si="5"/>
        <v>9.6</v>
      </c>
      <c r="AU20" s="522"/>
      <c r="AV20" s="522"/>
    </row>
    <row r="21" spans="1:49" s="523" customFormat="1" ht="20.100000000000001" customHeight="1" x14ac:dyDescent="0.3">
      <c r="A21" s="484" t="s">
        <v>216</v>
      </c>
      <c r="B21" s="455">
        <v>2.6320000000000001</v>
      </c>
      <c r="C21" s="453">
        <v>5.56</v>
      </c>
      <c r="D21" s="453">
        <f>IF(B21=0, "    ---- ", IF(ABS(ROUND(100/B21*C21-100,1))&lt;999,ROUND(100/B21*C21-100,1),IF(ROUND(100/B21*C21-100,1)&gt;999,999,-999)))</f>
        <v>111.2</v>
      </c>
      <c r="E21" s="456">
        <v>1005.317</v>
      </c>
      <c r="F21" s="453">
        <v>1206.1420000000001</v>
      </c>
      <c r="G21" s="453">
        <f t="shared" si="6"/>
        <v>20</v>
      </c>
      <c r="H21" s="456">
        <v>25.468</v>
      </c>
      <c r="I21" s="453">
        <v>22.088999999999999</v>
      </c>
      <c r="J21" s="453">
        <f t="shared" si="9"/>
        <v>-13.3</v>
      </c>
      <c r="K21" s="449">
        <v>13</v>
      </c>
      <c r="L21" s="450">
        <v>6</v>
      </c>
      <c r="M21" s="450">
        <f t="shared" si="10"/>
        <v>-53.8</v>
      </c>
      <c r="N21" s="451"/>
      <c r="O21" s="452"/>
      <c r="P21" s="453"/>
      <c r="Q21" s="449">
        <v>433.78537499999999</v>
      </c>
      <c r="R21" s="450">
        <v>527.12440000000004</v>
      </c>
      <c r="S21" s="453">
        <f t="shared" si="0"/>
        <v>21.5</v>
      </c>
      <c r="T21" s="454">
        <v>11.6</v>
      </c>
      <c r="U21" s="450">
        <v>7.3</v>
      </c>
      <c r="V21" s="453">
        <f t="shared" si="11"/>
        <v>-37.1</v>
      </c>
      <c r="W21" s="454">
        <v>6.31</v>
      </c>
      <c r="X21" s="450">
        <v>0</v>
      </c>
      <c r="Y21" s="453">
        <f t="shared" si="12"/>
        <v>-100</v>
      </c>
      <c r="Z21" s="454">
        <v>1149</v>
      </c>
      <c r="AA21" s="450">
        <v>1474</v>
      </c>
      <c r="AB21" s="453"/>
      <c r="AC21" s="454"/>
      <c r="AD21" s="450"/>
      <c r="AE21" s="453"/>
      <c r="AF21" s="454"/>
      <c r="AG21" s="450"/>
      <c r="AH21" s="453"/>
      <c r="AI21" s="454">
        <v>1.278</v>
      </c>
      <c r="AJ21" s="450">
        <v>0.52700000000000002</v>
      </c>
      <c r="AK21" s="453">
        <f t="shared" si="1"/>
        <v>-58.8</v>
      </c>
      <c r="AL21" s="454">
        <v>82.5</v>
      </c>
      <c r="AM21" s="450">
        <v>17</v>
      </c>
      <c r="AN21" s="453">
        <f t="shared" si="8"/>
        <v>-79.400000000000006</v>
      </c>
      <c r="AO21" s="454">
        <f t="shared" si="2"/>
        <v>2730.8903749999995</v>
      </c>
      <c r="AP21" s="450">
        <f t="shared" si="2"/>
        <v>3265.7424000000001</v>
      </c>
      <c r="AQ21" s="453">
        <f t="shared" si="3"/>
        <v>19.600000000000001</v>
      </c>
      <c r="AR21" s="454">
        <f t="shared" si="4"/>
        <v>2730.8903749999995</v>
      </c>
      <c r="AS21" s="450">
        <f t="shared" si="4"/>
        <v>3265.7424000000001</v>
      </c>
      <c r="AT21" s="453">
        <f t="shared" si="5"/>
        <v>19.600000000000001</v>
      </c>
      <c r="AU21" s="522"/>
      <c r="AV21" s="522"/>
    </row>
    <row r="22" spans="1:49" s="523" customFormat="1" ht="20.100000000000001" customHeight="1" x14ac:dyDescent="0.3">
      <c r="A22" s="484" t="s">
        <v>217</v>
      </c>
      <c r="B22" s="455">
        <v>155.57400000000001</v>
      </c>
      <c r="C22" s="453">
        <v>231.88300000000001</v>
      </c>
      <c r="D22" s="453">
        <f>IF(B22=0, "    ---- ", IF(ABS(ROUND(100/B22*C22-100,1))&lt;999,ROUND(100/B22*C22-100,1),IF(ROUND(100/B22*C22-100,1)&gt;999,999,-999)))</f>
        <v>49</v>
      </c>
      <c r="E22" s="456">
        <v>23277.512999999999</v>
      </c>
      <c r="F22" s="453">
        <v>25896.494999999999</v>
      </c>
      <c r="G22" s="453">
        <f t="shared" si="6"/>
        <v>11.3</v>
      </c>
      <c r="H22" s="456">
        <v>155.11000000000001</v>
      </c>
      <c r="I22" s="453">
        <v>129.941</v>
      </c>
      <c r="J22" s="453">
        <f t="shared" si="9"/>
        <v>-16.2</v>
      </c>
      <c r="K22" s="449">
        <v>589.5</v>
      </c>
      <c r="L22" s="450">
        <v>746</v>
      </c>
      <c r="M22" s="450">
        <f t="shared" si="10"/>
        <v>26.5</v>
      </c>
      <c r="N22" s="451"/>
      <c r="O22" s="452"/>
      <c r="P22" s="453"/>
      <c r="Q22" s="449">
        <v>8933.5494021699997</v>
      </c>
      <c r="R22" s="450">
        <v>9002.2610627199992</v>
      </c>
      <c r="S22" s="453">
        <f t="shared" si="0"/>
        <v>0.8</v>
      </c>
      <c r="T22" s="454">
        <v>128.6</v>
      </c>
      <c r="U22" s="450">
        <v>279.2</v>
      </c>
      <c r="V22" s="453">
        <f t="shared" si="11"/>
        <v>117.1</v>
      </c>
      <c r="W22" s="454">
        <v>8474.24</v>
      </c>
      <c r="X22" s="450">
        <v>9236.76</v>
      </c>
      <c r="Y22" s="453">
        <f t="shared" si="12"/>
        <v>9</v>
      </c>
      <c r="Z22" s="454">
        <v>1721</v>
      </c>
      <c r="AA22" s="450">
        <v>1558</v>
      </c>
      <c r="AB22" s="453">
        <f t="shared" si="7"/>
        <v>-9.5</v>
      </c>
      <c r="AC22" s="454"/>
      <c r="AD22" s="450"/>
      <c r="AE22" s="453"/>
      <c r="AF22" s="454"/>
      <c r="AG22" s="450"/>
      <c r="AH22" s="453"/>
      <c r="AI22" s="454">
        <v>3980.643</v>
      </c>
      <c r="AJ22" s="450">
        <v>3332.4059999999999</v>
      </c>
      <c r="AK22" s="453">
        <f t="shared" si="1"/>
        <v>-16.3</v>
      </c>
      <c r="AL22" s="454">
        <v>13529.1</v>
      </c>
      <c r="AM22" s="450">
        <v>15801</v>
      </c>
      <c r="AN22" s="453">
        <f t="shared" si="8"/>
        <v>16.8</v>
      </c>
      <c r="AO22" s="454">
        <f t="shared" si="2"/>
        <v>60944.829402169991</v>
      </c>
      <c r="AP22" s="450">
        <f t="shared" si="2"/>
        <v>66213.946062720002</v>
      </c>
      <c r="AQ22" s="453">
        <f t="shared" si="3"/>
        <v>8.6</v>
      </c>
      <c r="AR22" s="454">
        <f t="shared" si="4"/>
        <v>60944.829402169991</v>
      </c>
      <c r="AS22" s="450">
        <f t="shared" si="4"/>
        <v>66213.946062720002</v>
      </c>
      <c r="AT22" s="453">
        <f t="shared" si="5"/>
        <v>8.6</v>
      </c>
      <c r="AU22" s="522"/>
      <c r="AV22" s="522"/>
    </row>
    <row r="23" spans="1:49" s="523" customFormat="1" ht="20.100000000000001" customHeight="1" x14ac:dyDescent="0.3">
      <c r="A23" s="484" t="s">
        <v>218</v>
      </c>
      <c r="B23" s="455"/>
      <c r="C23" s="453"/>
      <c r="D23" s="453"/>
      <c r="E23" s="456">
        <v>3.2490000000000001</v>
      </c>
      <c r="F23" s="453">
        <v>37.448</v>
      </c>
      <c r="G23" s="453">
        <f t="shared" si="6"/>
        <v>999</v>
      </c>
      <c r="H23" s="456"/>
      <c r="I23" s="453"/>
      <c r="J23" s="453"/>
      <c r="K23" s="449"/>
      <c r="L23" s="450"/>
      <c r="M23" s="450"/>
      <c r="N23" s="451"/>
      <c r="O23" s="452"/>
      <c r="P23" s="453"/>
      <c r="Q23" s="449">
        <v>1025.36056138</v>
      </c>
      <c r="R23" s="450">
        <v>938.52901801999997</v>
      </c>
      <c r="S23" s="453">
        <f t="shared" si="0"/>
        <v>-8.5</v>
      </c>
      <c r="T23" s="454">
        <v>7.8</v>
      </c>
      <c r="U23" s="450">
        <v>2.4</v>
      </c>
      <c r="V23" s="453">
        <f t="shared" si="11"/>
        <v>-69.2</v>
      </c>
      <c r="W23" s="454">
        <v>0.33</v>
      </c>
      <c r="X23" s="450">
        <v>0.32</v>
      </c>
      <c r="Y23" s="453">
        <f t="shared" si="12"/>
        <v>-3</v>
      </c>
      <c r="Z23" s="454"/>
      <c r="AA23" s="450"/>
      <c r="AB23" s="453"/>
      <c r="AC23" s="454"/>
      <c r="AD23" s="450"/>
      <c r="AE23" s="453"/>
      <c r="AF23" s="454"/>
      <c r="AG23" s="450"/>
      <c r="AH23" s="453"/>
      <c r="AI23" s="454"/>
      <c r="AJ23" s="450"/>
      <c r="AK23" s="453"/>
      <c r="AL23" s="454"/>
      <c r="AM23" s="450"/>
      <c r="AN23" s="453"/>
      <c r="AO23" s="454">
        <f t="shared" si="2"/>
        <v>1036.7395613799999</v>
      </c>
      <c r="AP23" s="450">
        <f t="shared" si="2"/>
        <v>978.69701801999997</v>
      </c>
      <c r="AQ23" s="453">
        <f t="shared" si="3"/>
        <v>-5.6</v>
      </c>
      <c r="AR23" s="454">
        <f t="shared" si="4"/>
        <v>1036.7395613799999</v>
      </c>
      <c r="AS23" s="450">
        <f t="shared" si="4"/>
        <v>978.69701801999997</v>
      </c>
      <c r="AT23" s="453">
        <f t="shared" si="5"/>
        <v>-5.6</v>
      </c>
      <c r="AU23" s="522"/>
      <c r="AV23" s="522"/>
    </row>
    <row r="24" spans="1:49" s="523" customFormat="1" ht="20.100000000000001" customHeight="1" x14ac:dyDescent="0.3">
      <c r="A24" s="484" t="s">
        <v>219</v>
      </c>
      <c r="B24" s="455"/>
      <c r="C24" s="453"/>
      <c r="D24" s="453"/>
      <c r="E24" s="456"/>
      <c r="F24" s="453"/>
      <c r="G24" s="453"/>
      <c r="H24" s="456"/>
      <c r="I24" s="453"/>
      <c r="J24" s="453"/>
      <c r="K24" s="449"/>
      <c r="L24" s="450"/>
      <c r="M24" s="450"/>
      <c r="N24" s="451"/>
      <c r="O24" s="452"/>
      <c r="P24" s="453"/>
      <c r="Q24" s="449">
        <v>644.7874156900001</v>
      </c>
      <c r="R24" s="450">
        <v>526.80407086000002</v>
      </c>
      <c r="S24" s="453">
        <f t="shared" si="0"/>
        <v>-18.3</v>
      </c>
      <c r="T24" s="454"/>
      <c r="U24" s="450"/>
      <c r="V24" s="453"/>
      <c r="W24" s="454"/>
      <c r="X24" s="450">
        <v>0</v>
      </c>
      <c r="Y24" s="453"/>
      <c r="Z24" s="454"/>
      <c r="AA24" s="450"/>
      <c r="AB24" s="453"/>
      <c r="AC24" s="454"/>
      <c r="AD24" s="450"/>
      <c r="AE24" s="453"/>
      <c r="AF24" s="454"/>
      <c r="AG24" s="450"/>
      <c r="AH24" s="453"/>
      <c r="AI24" s="454"/>
      <c r="AJ24" s="450">
        <v>9.2929999999999993</v>
      </c>
      <c r="AK24" s="453" t="str">
        <f t="shared" si="1"/>
        <v xml:space="preserve">    ---- </v>
      </c>
      <c r="AL24" s="454">
        <v>932</v>
      </c>
      <c r="AM24" s="450">
        <v>1145</v>
      </c>
      <c r="AN24" s="453">
        <f t="shared" si="8"/>
        <v>22.9</v>
      </c>
      <c r="AO24" s="454">
        <f t="shared" si="2"/>
        <v>1576.7874156900002</v>
      </c>
      <c r="AP24" s="450">
        <f t="shared" si="2"/>
        <v>1681.09707086</v>
      </c>
      <c r="AQ24" s="453">
        <f t="shared" si="3"/>
        <v>6.6</v>
      </c>
      <c r="AR24" s="454">
        <f t="shared" si="4"/>
        <v>1576.7874156900002</v>
      </c>
      <c r="AS24" s="450">
        <f t="shared" si="4"/>
        <v>1681.09707086</v>
      </c>
      <c r="AT24" s="453">
        <f t="shared" si="5"/>
        <v>6.6</v>
      </c>
      <c r="AU24" s="522"/>
      <c r="AV24" s="522"/>
    </row>
    <row r="25" spans="1:49" s="523" customFormat="1" ht="20.100000000000001" customHeight="1" x14ac:dyDescent="0.3">
      <c r="A25" s="484" t="s">
        <v>220</v>
      </c>
      <c r="B25" s="455"/>
      <c r="C25" s="453"/>
      <c r="D25" s="453"/>
      <c r="E25" s="456">
        <v>-22.129000000000001</v>
      </c>
      <c r="F25" s="453">
        <v>3.99</v>
      </c>
      <c r="G25" s="453">
        <f t="shared" si="6"/>
        <v>-118</v>
      </c>
      <c r="H25" s="456">
        <v>22.454000000000001</v>
      </c>
      <c r="I25" s="453">
        <v>23.895</v>
      </c>
      <c r="J25" s="453">
        <f t="shared" si="9"/>
        <v>6.4</v>
      </c>
      <c r="K25" s="449">
        <v>96</v>
      </c>
      <c r="L25" s="450">
        <v>97</v>
      </c>
      <c r="M25" s="450"/>
      <c r="N25" s="451"/>
      <c r="O25" s="452"/>
      <c r="P25" s="453"/>
      <c r="Q25" s="449">
        <v>14.19922111</v>
      </c>
      <c r="R25" s="450">
        <v>-1E-8</v>
      </c>
      <c r="S25" s="453">
        <f t="shared" si="0"/>
        <v>-100</v>
      </c>
      <c r="T25" s="454"/>
      <c r="U25" s="450"/>
      <c r="V25" s="453"/>
      <c r="W25" s="454"/>
      <c r="X25" s="450">
        <v>0</v>
      </c>
      <c r="Y25" s="453"/>
      <c r="Z25" s="454"/>
      <c r="AA25" s="450"/>
      <c r="AB25" s="453"/>
      <c r="AC25" s="454"/>
      <c r="AD25" s="450"/>
      <c r="AE25" s="453"/>
      <c r="AF25" s="454"/>
      <c r="AG25" s="450"/>
      <c r="AH25" s="453"/>
      <c r="AI25" s="454">
        <v>23.056000000000001</v>
      </c>
      <c r="AJ25" s="450">
        <v>503.47800000000001</v>
      </c>
      <c r="AK25" s="453">
        <f t="shared" si="1"/>
        <v>999</v>
      </c>
      <c r="AL25" s="454"/>
      <c r="AM25" s="450"/>
      <c r="AN25" s="453"/>
      <c r="AO25" s="454">
        <f t="shared" si="2"/>
        <v>133.58022111</v>
      </c>
      <c r="AP25" s="450">
        <f t="shared" si="2"/>
        <v>628.36299999000005</v>
      </c>
      <c r="AQ25" s="453">
        <f t="shared" si="3"/>
        <v>370.4</v>
      </c>
      <c r="AR25" s="454">
        <f t="shared" si="4"/>
        <v>133.58022111</v>
      </c>
      <c r="AS25" s="450">
        <f t="shared" si="4"/>
        <v>628.36299999000005</v>
      </c>
      <c r="AT25" s="453">
        <f t="shared" si="5"/>
        <v>370.4</v>
      </c>
      <c r="AU25" s="522"/>
      <c r="AV25" s="522"/>
    </row>
    <row r="26" spans="1:49" s="523" customFormat="1" ht="20.100000000000001" customHeight="1" x14ac:dyDescent="0.3">
      <c r="A26" s="484" t="s">
        <v>221</v>
      </c>
      <c r="B26" s="455"/>
      <c r="C26" s="453"/>
      <c r="D26" s="453"/>
      <c r="E26" s="456"/>
      <c r="F26" s="453"/>
      <c r="G26" s="453"/>
      <c r="H26" s="456"/>
      <c r="I26" s="453"/>
      <c r="J26" s="453"/>
      <c r="K26" s="449"/>
      <c r="L26" s="450"/>
      <c r="M26" s="450"/>
      <c r="N26" s="451"/>
      <c r="O26" s="452"/>
      <c r="P26" s="453"/>
      <c r="Q26" s="449"/>
      <c r="R26" s="450"/>
      <c r="S26" s="453"/>
      <c r="T26" s="454"/>
      <c r="U26" s="450"/>
      <c r="V26" s="453"/>
      <c r="W26" s="454"/>
      <c r="X26" s="450">
        <v>0</v>
      </c>
      <c r="Y26" s="453"/>
      <c r="Z26" s="454"/>
      <c r="AA26" s="450"/>
      <c r="AB26" s="453"/>
      <c r="AC26" s="454"/>
      <c r="AD26" s="450"/>
      <c r="AE26" s="453"/>
      <c r="AF26" s="454"/>
      <c r="AG26" s="450"/>
      <c r="AH26" s="453"/>
      <c r="AI26" s="454"/>
      <c r="AJ26" s="450"/>
      <c r="AK26" s="453"/>
      <c r="AL26" s="454"/>
      <c r="AM26" s="450"/>
      <c r="AN26" s="453"/>
      <c r="AO26" s="454"/>
      <c r="AP26" s="450"/>
      <c r="AQ26" s="453"/>
      <c r="AR26" s="454"/>
      <c r="AS26" s="450"/>
      <c r="AT26" s="453"/>
      <c r="AU26" s="522"/>
      <c r="AV26" s="522"/>
    </row>
    <row r="27" spans="1:49" s="523" customFormat="1" ht="20.100000000000001" customHeight="1" x14ac:dyDescent="0.3">
      <c r="A27" s="485" t="s">
        <v>222</v>
      </c>
      <c r="B27" s="455">
        <v>158.20600000000002</v>
      </c>
      <c r="C27" s="453">
        <f>SUM(C14+C15+C16+C20+C26)</f>
        <v>237.44300000000001</v>
      </c>
      <c r="D27" s="453">
        <f>IF(B27=0, "    ---- ", IF(ABS(ROUND(100/B27*C27-100,1))&lt;999,ROUND(100/B27*C27-100,1),IF(ROUND(100/B27*C27-100,1)&gt;999,999,-999)))</f>
        <v>50.1</v>
      </c>
      <c r="E27" s="456">
        <v>29293.360999999997</v>
      </c>
      <c r="F27" s="453">
        <f>SUM(F14+F15+F16+F20+F26)</f>
        <v>30927.772000000001</v>
      </c>
      <c r="G27" s="453">
        <f t="shared" si="6"/>
        <v>5.6</v>
      </c>
      <c r="H27" s="456">
        <v>232.36</v>
      </c>
      <c r="I27" s="453">
        <f>SUM(I14+I15+I16+I20+I26)</f>
        <v>213.58199999999999</v>
      </c>
      <c r="J27" s="453">
        <f t="shared" si="9"/>
        <v>-8.1</v>
      </c>
      <c r="K27" s="449">
        <v>698.5</v>
      </c>
      <c r="L27" s="450">
        <f>SUM(L14+L15+L16+L20+L26)</f>
        <v>849</v>
      </c>
      <c r="M27" s="450">
        <f t="shared" si="10"/>
        <v>21.5</v>
      </c>
      <c r="N27" s="451"/>
      <c r="O27" s="452"/>
      <c r="P27" s="453"/>
      <c r="Q27" s="449">
        <v>31767.039989099998</v>
      </c>
      <c r="R27" s="450">
        <f>SUM(R14+R15+R16+R20+R26)</f>
        <v>34702.014027730002</v>
      </c>
      <c r="S27" s="453">
        <f t="shared" si="0"/>
        <v>9.1999999999999993</v>
      </c>
      <c r="T27" s="454">
        <v>306.60000000000002</v>
      </c>
      <c r="U27" s="450">
        <f>SUM(U14+U15+U16+U20+U26)</f>
        <v>515.5</v>
      </c>
      <c r="V27" s="453">
        <f t="shared" si="11"/>
        <v>68.099999999999994</v>
      </c>
      <c r="W27" s="454">
        <v>8480.8799999999992</v>
      </c>
      <c r="X27" s="450">
        <f>SUM(X14+X15+X16+X20+X26)</f>
        <v>9237.08</v>
      </c>
      <c r="Y27" s="453">
        <f t="shared" si="12"/>
        <v>8.9</v>
      </c>
      <c r="Z27" s="454">
        <v>8002</v>
      </c>
      <c r="AA27" s="450">
        <f>SUM(AA14+AA15+AA16+AA20+AA26)</f>
        <v>8429</v>
      </c>
      <c r="AB27" s="453">
        <f t="shared" si="7"/>
        <v>5.3</v>
      </c>
      <c r="AC27" s="454"/>
      <c r="AD27" s="450"/>
      <c r="AE27" s="453"/>
      <c r="AF27" s="454"/>
      <c r="AG27" s="450"/>
      <c r="AH27" s="453"/>
      <c r="AI27" s="454">
        <v>5822</v>
      </c>
      <c r="AJ27" s="450">
        <f>SUM(AJ14+AJ15+AJ16+AJ20+AJ26)</f>
        <v>6131.92</v>
      </c>
      <c r="AK27" s="453">
        <f t="shared" si="1"/>
        <v>5.3</v>
      </c>
      <c r="AL27" s="454">
        <v>30989</v>
      </c>
      <c r="AM27" s="450">
        <f>SUM(AM14+AM15+AM16+AM20+AM26)</f>
        <v>33554</v>
      </c>
      <c r="AN27" s="453">
        <f t="shared" si="8"/>
        <v>8.3000000000000007</v>
      </c>
      <c r="AO27" s="454">
        <f t="shared" si="2"/>
        <v>115749.94698909999</v>
      </c>
      <c r="AP27" s="450">
        <f t="shared" si="2"/>
        <v>124797.31102773</v>
      </c>
      <c r="AQ27" s="453">
        <f t="shared" si="3"/>
        <v>7.8</v>
      </c>
      <c r="AR27" s="454">
        <f t="shared" si="4"/>
        <v>115749.94698909999</v>
      </c>
      <c r="AS27" s="450">
        <f t="shared" si="4"/>
        <v>124797.31102773</v>
      </c>
      <c r="AT27" s="453">
        <f t="shared" si="5"/>
        <v>7.8</v>
      </c>
      <c r="AU27" s="522"/>
      <c r="AV27" s="522"/>
    </row>
    <row r="28" spans="1:49" s="523" customFormat="1" ht="20.100000000000001" customHeight="1" x14ac:dyDescent="0.3">
      <c r="A28" s="484" t="s">
        <v>223</v>
      </c>
      <c r="B28" s="455">
        <v>242.00899999999999</v>
      </c>
      <c r="C28" s="453">
        <v>250.65599999999998</v>
      </c>
      <c r="D28" s="453">
        <f>IF(B28=0, "    ---- ", IF(ABS(ROUND(100/B28*C28-100,1))&lt;999,ROUND(100/B28*C28-100,1),IF(ROUND(100/B28*C28-100,1)&gt;999,999,-999)))</f>
        <v>3.6</v>
      </c>
      <c r="E28" s="456">
        <v>695.78300000000002</v>
      </c>
      <c r="F28" s="453">
        <v>761.90000000000009</v>
      </c>
      <c r="G28" s="453">
        <f t="shared" si="6"/>
        <v>9.5</v>
      </c>
      <c r="H28" s="456">
        <v>69.959000000000003</v>
      </c>
      <c r="I28" s="453">
        <v>117.087</v>
      </c>
      <c r="J28" s="453">
        <f t="shared" si="9"/>
        <v>67.400000000000006</v>
      </c>
      <c r="K28" s="449">
        <v>372.7</v>
      </c>
      <c r="L28" s="450">
        <v>339</v>
      </c>
      <c r="M28" s="450">
        <f t="shared" si="10"/>
        <v>-9</v>
      </c>
      <c r="N28" s="451">
        <v>138</v>
      </c>
      <c r="O28" s="452">
        <v>141</v>
      </c>
      <c r="P28" s="453">
        <f t="shared" ref="P28" si="13">IF(N28=0, "    ---- ", IF(ABS(ROUND(100/N28*O28-100,1))&lt;999,ROUND(100/N28*O28-100,1),IF(ROUND(100/N28*O28-100,1)&gt;999,999,-999)))</f>
        <v>2.2000000000000002</v>
      </c>
      <c r="Q28" s="449">
        <v>2422.9324600700002</v>
      </c>
      <c r="R28" s="450">
        <v>2100.4723774399999</v>
      </c>
      <c r="S28" s="453">
        <f t="shared" si="0"/>
        <v>-13.3</v>
      </c>
      <c r="T28" s="454">
        <v>50.3</v>
      </c>
      <c r="U28" s="450">
        <v>50.5</v>
      </c>
      <c r="V28" s="453">
        <f t="shared" si="11"/>
        <v>0.4</v>
      </c>
      <c r="W28" s="454">
        <v>885.61</v>
      </c>
      <c r="X28" s="450">
        <v>585.03067591998843</v>
      </c>
      <c r="Y28" s="453">
        <f t="shared" si="12"/>
        <v>-33.9</v>
      </c>
      <c r="Z28" s="454">
        <v>485.89</v>
      </c>
      <c r="AA28" s="450">
        <v>898</v>
      </c>
      <c r="AB28" s="453">
        <f t="shared" si="7"/>
        <v>84.8</v>
      </c>
      <c r="AC28" s="454">
        <v>51</v>
      </c>
      <c r="AD28" s="450">
        <v>54</v>
      </c>
      <c r="AE28" s="453">
        <f>IF(AC28=0, "    ---- ", IF(ABS(ROUND(100/AC28*AD28-100,1))&lt;999,ROUND(100/AC28*AD28-100,1),IF(ROUND(100/AC28*AD28-100,1)&gt;999,999,-999)))</f>
        <v>5.9</v>
      </c>
      <c r="AF28" s="454"/>
      <c r="AG28" s="450"/>
      <c r="AH28" s="453"/>
      <c r="AI28" s="454">
        <v>608.07799999999997</v>
      </c>
      <c r="AJ28" s="450">
        <v>665.96199999999999</v>
      </c>
      <c r="AK28" s="453">
        <f t="shared" si="1"/>
        <v>9.5</v>
      </c>
      <c r="AL28" s="454">
        <v>2880.5</v>
      </c>
      <c r="AM28" s="450">
        <v>2713</v>
      </c>
      <c r="AN28" s="453">
        <f t="shared" si="8"/>
        <v>-5.8</v>
      </c>
      <c r="AO28" s="454">
        <f t="shared" si="2"/>
        <v>8713.7614600699999</v>
      </c>
      <c r="AP28" s="450">
        <f t="shared" si="2"/>
        <v>8481.6080533599888</v>
      </c>
      <c r="AQ28" s="453">
        <f t="shared" si="3"/>
        <v>-2.7</v>
      </c>
      <c r="AR28" s="454">
        <f t="shared" si="4"/>
        <v>8902.7614600699999</v>
      </c>
      <c r="AS28" s="450">
        <f t="shared" si="4"/>
        <v>8676.6080533599888</v>
      </c>
      <c r="AT28" s="453">
        <f t="shared" si="5"/>
        <v>-2.5</v>
      </c>
      <c r="AU28" s="522"/>
      <c r="AV28" s="522"/>
    </row>
    <row r="29" spans="1:49" s="523" customFormat="1" ht="20.100000000000001" customHeight="1" x14ac:dyDescent="0.3">
      <c r="A29" s="484" t="s">
        <v>224</v>
      </c>
      <c r="B29" s="455">
        <v>400.21500000000003</v>
      </c>
      <c r="C29" s="453">
        <f>SUM(C27+C28)</f>
        <v>488.09899999999999</v>
      </c>
      <c r="D29" s="453">
        <f>IF(B29=0, "    ---- ", IF(ABS(ROUND(100/B29*C29-100,1))&lt;999,ROUND(100/B29*C29-100,1),IF(ROUND(100/B29*C29-100,1)&gt;999,999,-999)))</f>
        <v>22</v>
      </c>
      <c r="E29" s="456">
        <v>29989.143999999997</v>
      </c>
      <c r="F29" s="453">
        <f>SUM(F27+F28)</f>
        <v>31689.672000000002</v>
      </c>
      <c r="G29" s="453">
        <f>IF(E29=0, "    ---- ", IF(ABS(ROUND(100/E29*F29-100,1))&lt;999,ROUND(100/E29*F29-100,1),IF(ROUND(100/E29*F29-100,1)&gt;999,999,-999)))</f>
        <v>5.7</v>
      </c>
      <c r="H29" s="456">
        <v>302.31900000000002</v>
      </c>
      <c r="I29" s="453">
        <f>SUM(I27+I28)</f>
        <v>330.66899999999998</v>
      </c>
      <c r="J29" s="453">
        <f>IF(H29=0, "    ---- ", IF(ABS(ROUND(100/H29*I29-100,1))&lt;999,ROUND(100/H29*I29-100,1),IF(ROUND(100/H29*I29-100,1)&gt;999,999,-999)))</f>
        <v>9.4</v>
      </c>
      <c r="K29" s="456">
        <v>1071.2</v>
      </c>
      <c r="L29" s="453">
        <f>SUM(L27+L28)</f>
        <v>1188</v>
      </c>
      <c r="M29" s="453">
        <f>IF(K29=0, "    ---- ", IF(ABS(ROUND(100/K29*L29-100,1))&lt;999,ROUND(100/K29*L29-100,1),IF(ROUND(100/K29*L29-100,1)&gt;999,999,-999)))</f>
        <v>10.9</v>
      </c>
      <c r="N29" s="456">
        <v>138</v>
      </c>
      <c r="O29" s="453">
        <f>SUM(O27+O28)</f>
        <v>141</v>
      </c>
      <c r="P29" s="453">
        <f>IF(N29=0, "    ---- ", IF(ABS(ROUND(100/N29*O29-100,1))&lt;999,ROUND(100/N29*O29-100,1),IF(ROUND(100/N29*O29-100,1)&gt;999,999,-999)))</f>
        <v>2.2000000000000002</v>
      </c>
      <c r="Q29" s="456">
        <v>34189.972449169996</v>
      </c>
      <c r="R29" s="453">
        <f>SUM(R27+R28)</f>
        <v>36802.486405169999</v>
      </c>
      <c r="S29" s="453">
        <f>IF(Q29=0, "    ---- ", IF(ABS(ROUND(100/Q29*R29-100,1))&lt;999,ROUND(100/Q29*R29-100,1),IF(ROUND(100/Q29*R29-100,1)&gt;999,999,-999)))</f>
        <v>7.6</v>
      </c>
      <c r="T29" s="455">
        <v>356.90000000000003</v>
      </c>
      <c r="U29" s="453">
        <f>SUM(U27+U28)</f>
        <v>566</v>
      </c>
      <c r="V29" s="453">
        <f>IF(T29=0, "    ---- ", IF(ABS(ROUND(100/T29*U29-100,1))&lt;999,ROUND(100/T29*U29-100,1),IF(ROUND(100/T29*U29-100,1)&gt;999,999,-999)))</f>
        <v>58.6</v>
      </c>
      <c r="W29" s="455">
        <v>9366.49</v>
      </c>
      <c r="X29" s="453">
        <f>SUM(X27+X28)</f>
        <v>9822.1106759199884</v>
      </c>
      <c r="Y29" s="453">
        <f>IF(W29=0, "    ---- ", IF(ABS(ROUND(100/W29*X29-100,1))&lt;999,ROUND(100/W29*X29-100,1),IF(ROUND(100/W29*X29-100,1)&gt;999,999,-999)))</f>
        <v>4.9000000000000004</v>
      </c>
      <c r="Z29" s="455">
        <v>8487.89</v>
      </c>
      <c r="AA29" s="453">
        <f>SUM(AA27+AA28)</f>
        <v>9327</v>
      </c>
      <c r="AB29" s="453">
        <f>IF(Z29=0, "    ---- ", IF(ABS(ROUND(100/Z29*AA29-100,1))&lt;999,ROUND(100/Z29*AA29-100,1),IF(ROUND(100/Z29*AA29-100,1)&gt;999,999,-999)))</f>
        <v>9.9</v>
      </c>
      <c r="AC29" s="455">
        <v>51</v>
      </c>
      <c r="AD29" s="453">
        <f>SUM(AD27+AD28)</f>
        <v>54</v>
      </c>
      <c r="AE29" s="453">
        <f>IF(AC29=0, "    ---- ", IF(ABS(ROUND(100/AC29*AD29-100,1))&lt;999,ROUND(100/AC29*AD29-100,1),IF(ROUND(100/AC29*AD29-100,1)&gt;999,999,-999)))</f>
        <v>5.9</v>
      </c>
      <c r="AF29" s="455"/>
      <c r="AG29" s="453"/>
      <c r="AH29" s="453"/>
      <c r="AI29" s="455">
        <v>6430.0779999999995</v>
      </c>
      <c r="AJ29" s="453">
        <f>SUM(AJ27+AJ28)</f>
        <v>6797.8819999999996</v>
      </c>
      <c r="AK29" s="453">
        <f>IF(AI29=0, "    ---- ", IF(ABS(ROUND(100/AI29*AJ29-100,1))&lt;999,ROUND(100/AI29*AJ29-100,1),IF(ROUND(100/AI29*AJ29-100,1)&gt;999,999,-999)))</f>
        <v>5.7</v>
      </c>
      <c r="AL29" s="455">
        <v>33869.5</v>
      </c>
      <c r="AM29" s="453">
        <f>SUM(AM27+AM28)</f>
        <v>36267</v>
      </c>
      <c r="AN29" s="453">
        <f>IF(AL29=0, "    ---- ", IF(ABS(ROUND(100/AL29*AM29-100,1))&lt;999,ROUND(100/AL29*AM29-100,1),IF(ROUND(100/AL29*AM29-100,1)&gt;999,999,-999)))</f>
        <v>7.1</v>
      </c>
      <c r="AO29" s="454">
        <f t="shared" si="2"/>
        <v>124463.70844916998</v>
      </c>
      <c r="AP29" s="450">
        <f t="shared" si="2"/>
        <v>133278.91908108999</v>
      </c>
      <c r="AQ29" s="453">
        <f>IF(AO29=0, "    ---- ", IF(ABS(ROUND(100/AO29*AP29-100,1))&lt;999,ROUND(100/AO29*AP29-100,1),IF(ROUND(100/AO29*AP29-100,1)&gt;999,999,-999)))</f>
        <v>7.1</v>
      </c>
      <c r="AR29" s="454">
        <f>B29+E29+H29+K29+N29+Q29+T29+W29+Z29+AC29+AF29+AI29+AL29</f>
        <v>124652.70844916998</v>
      </c>
      <c r="AS29" s="450">
        <f t="shared" si="4"/>
        <v>133473.91908108999</v>
      </c>
      <c r="AT29" s="457">
        <f t="shared" si="5"/>
        <v>7.1</v>
      </c>
      <c r="AU29" s="522"/>
      <c r="AV29" s="522"/>
      <c r="AW29" s="524"/>
    </row>
    <row r="30" spans="1:49" s="490" customFormat="1" ht="20.100000000000001" customHeight="1" x14ac:dyDescent="0.3">
      <c r="A30" s="484"/>
      <c r="B30" s="440"/>
      <c r="C30" s="437"/>
      <c r="D30" s="458"/>
      <c r="E30" s="436"/>
      <c r="F30" s="437"/>
      <c r="G30" s="458"/>
      <c r="H30" s="436"/>
      <c r="I30" s="437"/>
      <c r="J30" s="458"/>
      <c r="K30" s="459"/>
      <c r="L30" s="458"/>
      <c r="M30" s="437"/>
      <c r="N30" s="436"/>
      <c r="O30" s="437"/>
      <c r="P30" s="337"/>
      <c r="Q30" s="436"/>
      <c r="R30" s="437"/>
      <c r="S30" s="337"/>
      <c r="T30" s="440"/>
      <c r="U30" s="437"/>
      <c r="V30" s="337"/>
      <c r="W30" s="440"/>
      <c r="X30" s="437"/>
      <c r="Y30" s="337"/>
      <c r="Z30" s="440"/>
      <c r="AA30" s="437"/>
      <c r="AB30" s="337"/>
      <c r="AC30" s="440"/>
      <c r="AD30" s="437"/>
      <c r="AE30" s="337"/>
      <c r="AF30" s="440"/>
      <c r="AG30" s="437"/>
      <c r="AH30" s="337"/>
      <c r="AI30" s="440"/>
      <c r="AJ30" s="437"/>
      <c r="AK30" s="337"/>
      <c r="AL30" s="440"/>
      <c r="AM30" s="437"/>
      <c r="AN30" s="337"/>
      <c r="AO30" s="440"/>
      <c r="AP30" s="437"/>
      <c r="AQ30" s="337"/>
      <c r="AR30" s="440"/>
      <c r="AS30" s="437"/>
      <c r="AT30" s="460"/>
      <c r="AU30" s="521"/>
      <c r="AV30" s="521"/>
    </row>
    <row r="31" spans="1:49" s="490" customFormat="1" ht="20.100000000000001" customHeight="1" x14ac:dyDescent="0.3">
      <c r="A31" s="482" t="s">
        <v>225</v>
      </c>
      <c r="B31" s="461"/>
      <c r="C31" s="458"/>
      <c r="D31" s="458"/>
      <c r="E31" s="459"/>
      <c r="F31" s="458"/>
      <c r="G31" s="458"/>
      <c r="H31" s="459"/>
      <c r="I31" s="458"/>
      <c r="J31" s="458"/>
      <c r="K31" s="459"/>
      <c r="L31" s="458"/>
      <c r="M31" s="437"/>
      <c r="N31" s="459"/>
      <c r="O31" s="458"/>
      <c r="P31" s="337"/>
      <c r="Q31" s="459"/>
      <c r="R31" s="458"/>
      <c r="S31" s="337"/>
      <c r="T31" s="461"/>
      <c r="U31" s="458"/>
      <c r="V31" s="337"/>
      <c r="W31" s="461"/>
      <c r="X31" s="458"/>
      <c r="Y31" s="337"/>
      <c r="Z31" s="461"/>
      <c r="AA31" s="458"/>
      <c r="AB31" s="337"/>
      <c r="AC31" s="461"/>
      <c r="AD31" s="458"/>
      <c r="AE31" s="337"/>
      <c r="AF31" s="461"/>
      <c r="AG31" s="458"/>
      <c r="AH31" s="337"/>
      <c r="AI31" s="461"/>
      <c r="AJ31" s="458"/>
      <c r="AK31" s="337"/>
      <c r="AL31" s="461"/>
      <c r="AM31" s="458"/>
      <c r="AN31" s="337"/>
      <c r="AO31" s="440"/>
      <c r="AP31" s="437"/>
      <c r="AQ31" s="337"/>
      <c r="AR31" s="440"/>
      <c r="AS31" s="437"/>
      <c r="AT31" s="460"/>
      <c r="AU31" s="521"/>
      <c r="AV31" s="521"/>
    </row>
    <row r="32" spans="1:49" s="490" customFormat="1" ht="20.100000000000001" customHeight="1" x14ac:dyDescent="0.3">
      <c r="A32" s="482" t="s">
        <v>226</v>
      </c>
      <c r="B32" s="461"/>
      <c r="C32" s="458"/>
      <c r="D32" s="337"/>
      <c r="E32" s="459"/>
      <c r="F32" s="458"/>
      <c r="G32" s="337"/>
      <c r="H32" s="459"/>
      <c r="I32" s="458"/>
      <c r="J32" s="337"/>
      <c r="K32" s="459"/>
      <c r="L32" s="458"/>
      <c r="M32" s="437"/>
      <c r="N32" s="459"/>
      <c r="O32" s="458"/>
      <c r="P32" s="337"/>
      <c r="Q32" s="459"/>
      <c r="R32" s="458"/>
      <c r="S32" s="337"/>
      <c r="T32" s="461"/>
      <c r="U32" s="458"/>
      <c r="V32" s="337"/>
      <c r="W32" s="461"/>
      <c r="X32" s="458"/>
      <c r="Y32" s="337"/>
      <c r="Z32" s="461"/>
      <c r="AA32" s="458"/>
      <c r="AB32" s="337"/>
      <c r="AC32" s="461"/>
      <c r="AD32" s="458"/>
      <c r="AE32" s="337"/>
      <c r="AF32" s="461"/>
      <c r="AG32" s="458"/>
      <c r="AH32" s="337"/>
      <c r="AI32" s="461"/>
      <c r="AJ32" s="458"/>
      <c r="AK32" s="337"/>
      <c r="AL32" s="461"/>
      <c r="AM32" s="458"/>
      <c r="AN32" s="337"/>
      <c r="AO32" s="440"/>
      <c r="AP32" s="437"/>
      <c r="AQ32" s="337"/>
      <c r="AR32" s="440"/>
      <c r="AS32" s="437"/>
      <c r="AT32" s="460"/>
      <c r="AU32" s="521"/>
      <c r="AV32" s="521"/>
    </row>
    <row r="33" spans="1:49" s="490" customFormat="1" ht="20.100000000000001" customHeight="1" x14ac:dyDescent="0.3">
      <c r="A33" s="484" t="s">
        <v>227</v>
      </c>
      <c r="B33" s="461"/>
      <c r="C33" s="458"/>
      <c r="D33" s="458"/>
      <c r="E33" s="459">
        <v>45.475999999999999</v>
      </c>
      <c r="F33" s="458">
        <v>33.582000000000001</v>
      </c>
      <c r="G33" s="458">
        <f t="shared" ref="G33:G91" si="14">IF(E33=0, "    ---- ", IF(ABS(ROUND(100/E33*F33-100,1))&lt;999,ROUND(100/E33*F33-100,1),IF(ROUND(100/E33*F33-100,1)&gt;999,999,-999)))</f>
        <v>-26.2</v>
      </c>
      <c r="H33" s="459"/>
      <c r="I33" s="458"/>
      <c r="J33" s="458"/>
      <c r="K33" s="459"/>
      <c r="L33" s="458"/>
      <c r="M33" s="437"/>
      <c r="N33" s="459"/>
      <c r="O33" s="458"/>
      <c r="P33" s="337"/>
      <c r="Q33" s="459"/>
      <c r="R33" s="458"/>
      <c r="S33" s="337"/>
      <c r="T33" s="461"/>
      <c r="U33" s="458"/>
      <c r="V33" s="337"/>
      <c r="W33" s="461">
        <v>1.9699999999999998E-6</v>
      </c>
      <c r="X33" s="458">
        <v>1.9699999999999998E-6</v>
      </c>
      <c r="Y33" s="337">
        <f>IF(W33=0, "    ---- ", IF(ABS(ROUND(100/W33*X33-100,1))&lt;999,ROUND(100/W33*X33-100,1),IF(ROUND(100/W33*X33-100,1)&gt;999,999,-999)))</f>
        <v>0</v>
      </c>
      <c r="Z33" s="461"/>
      <c r="AA33" s="458"/>
      <c r="AB33" s="337"/>
      <c r="AC33" s="461"/>
      <c r="AD33" s="458"/>
      <c r="AE33" s="337"/>
      <c r="AF33" s="461"/>
      <c r="AG33" s="458"/>
      <c r="AH33" s="337"/>
      <c r="AI33" s="461">
        <v>1.0049999999999999</v>
      </c>
      <c r="AJ33" s="458">
        <v>0.98099999999999998</v>
      </c>
      <c r="AK33" s="337">
        <f t="shared" ref="AK33:AK91" si="15">IF(AI33=0, "    ---- ", IF(ABS(ROUND(100/AI33*AJ33-100,1))&lt;999,ROUND(100/AI33*AJ33-100,1),IF(ROUND(100/AI33*AJ33-100,1)&gt;999,999,-999)))</f>
        <v>-2.4</v>
      </c>
      <c r="AL33" s="461"/>
      <c r="AM33" s="458"/>
      <c r="AN33" s="337"/>
      <c r="AO33" s="440">
        <f t="shared" ref="AO33:AP46" si="16">B33+E33+H33+K33+Q33+T33+W33+Z33+AF33+AI33+AL33</f>
        <v>46.481001970000001</v>
      </c>
      <c r="AP33" s="437">
        <f t="shared" si="16"/>
        <v>34.563001970000002</v>
      </c>
      <c r="AQ33" s="337">
        <f t="shared" ref="AQ33:AQ91" si="17">IF(AO33=0, "    ---- ", IF(ABS(ROUND(100/AO33*AP33-100,1))&lt;999,ROUND(100/AO33*AP33-100,1),IF(ROUND(100/AO33*AP33-100,1)&gt;999,999,-999)))</f>
        <v>-25.6</v>
      </c>
      <c r="AR33" s="440">
        <f t="shared" ref="AR33:AS91" si="18">B33+E33+H33+K33+N33+Q33+T33+W33+Z33+AC33+AF33+AI33+AL33</f>
        <v>46.481001970000001</v>
      </c>
      <c r="AS33" s="437">
        <f t="shared" si="18"/>
        <v>34.563001970000002</v>
      </c>
      <c r="AT33" s="460">
        <f t="shared" ref="AT33:AT91" si="19">IF(AR33=0, "    ---- ", IF(ABS(ROUND(100/AR33*AS33-100,1))&lt;999,ROUND(100/AR33*AS33-100,1),IF(ROUND(100/AR33*AS33-100,1)&gt;999,999,-999)))</f>
        <v>-25.6</v>
      </c>
      <c r="AU33" s="521"/>
      <c r="AV33" s="521"/>
      <c r="AW33" s="525"/>
    </row>
    <row r="34" spans="1:49" s="490" customFormat="1" ht="20.100000000000001" customHeight="1" x14ac:dyDescent="0.3">
      <c r="A34" s="484" t="s">
        <v>228</v>
      </c>
      <c r="B34" s="461"/>
      <c r="C34" s="458"/>
      <c r="D34" s="458"/>
      <c r="E34" s="459">
        <v>20361.511999999999</v>
      </c>
      <c r="F34" s="458">
        <v>21072.681</v>
      </c>
      <c r="G34" s="458">
        <f t="shared" si="14"/>
        <v>3.5</v>
      </c>
      <c r="H34" s="459"/>
      <c r="I34" s="458"/>
      <c r="J34" s="458"/>
      <c r="K34" s="459"/>
      <c r="L34" s="458"/>
      <c r="M34" s="437"/>
      <c r="N34" s="459"/>
      <c r="O34" s="458"/>
      <c r="P34" s="337"/>
      <c r="Q34" s="459">
        <v>55603.937209849995</v>
      </c>
      <c r="R34" s="458">
        <v>59376.594535429998</v>
      </c>
      <c r="S34" s="337">
        <f>IF(Q34=0, "    ---- ", IF(ABS(ROUND(100/Q34*R34-100,1))&lt;999,ROUND(100/Q34*R34-100,1),IF(ROUND(100/Q34*R34-100,1)&gt;999,999,-999)))</f>
        <v>6.8</v>
      </c>
      <c r="T34" s="461">
        <v>186.4</v>
      </c>
      <c r="U34" s="458">
        <v>195</v>
      </c>
      <c r="V34" s="337">
        <f>IF(T34=0, "    ---- ", IF(ABS(ROUND(100/T34*U34-100,1))&lt;999,ROUND(100/T34*U34-100,1),IF(ROUND(100/T34*U34-100,1)&gt;999,999,-999)))</f>
        <v>4.5999999999999996</v>
      </c>
      <c r="W34" s="461">
        <v>5149.5883254199998</v>
      </c>
      <c r="X34" s="458">
        <v>5260.26296714</v>
      </c>
      <c r="Y34" s="337">
        <f t="shared" ref="Y34:Y91" si="20">IF(W34=0, "    ---- ", IF(ABS(ROUND(100/W34*X34-100,1))&lt;999,ROUND(100/W34*X34-100,1),IF(ROUND(100/W34*X34-100,1)&gt;999,999,-999)))</f>
        <v>2.1</v>
      </c>
      <c r="Z34" s="461">
        <v>12427</v>
      </c>
      <c r="AA34" s="458">
        <v>13844</v>
      </c>
      <c r="AB34" s="337">
        <f t="shared" ref="AB34:AB42" si="21">IF(Z34=0, "    ---- ", IF(ABS(ROUND(100/Z34*AA34-100,1))&lt;999,ROUND(100/Z34*AA34-100,1),IF(ROUND(100/Z34*AA34-100,1)&gt;999,999,-999)))</f>
        <v>11.4</v>
      </c>
      <c r="AC34" s="461"/>
      <c r="AD34" s="458"/>
      <c r="AE34" s="337"/>
      <c r="AF34" s="461"/>
      <c r="AG34" s="458"/>
      <c r="AH34" s="337"/>
      <c r="AI34" s="461">
        <v>3621.5390000000002</v>
      </c>
      <c r="AJ34" s="458">
        <v>4051.509</v>
      </c>
      <c r="AK34" s="337">
        <f t="shared" si="15"/>
        <v>11.9</v>
      </c>
      <c r="AL34" s="461">
        <v>20883.8</v>
      </c>
      <c r="AM34" s="458">
        <v>19532</v>
      </c>
      <c r="AN34" s="337">
        <f t="shared" ref="AN34:AN91" si="22">IF(AL34=0, "    ---- ", IF(ABS(ROUND(100/AL34*AM34-100,1))&lt;999,ROUND(100/AL34*AM34-100,1),IF(ROUND(100/AL34*AM34-100,1)&gt;999,999,-999)))</f>
        <v>-6.5</v>
      </c>
      <c r="AO34" s="440">
        <f>B34+E34+H34+K34+Q34+T34+W34+Z34+AF34+AI34+AL34</f>
        <v>118233.77653526999</v>
      </c>
      <c r="AP34" s="437">
        <f t="shared" si="16"/>
        <v>123332.04750257001</v>
      </c>
      <c r="AQ34" s="337">
        <f t="shared" si="17"/>
        <v>4.3</v>
      </c>
      <c r="AR34" s="440">
        <f t="shared" si="18"/>
        <v>118233.77653526999</v>
      </c>
      <c r="AS34" s="437">
        <f t="shared" si="18"/>
        <v>123332.04750257001</v>
      </c>
      <c r="AT34" s="460">
        <f t="shared" si="19"/>
        <v>4.3</v>
      </c>
      <c r="AU34" s="521"/>
      <c r="AV34" s="521"/>
      <c r="AW34" s="525"/>
    </row>
    <row r="35" spans="1:49" s="490" customFormat="1" ht="20.100000000000001" customHeight="1" x14ac:dyDescent="0.3">
      <c r="A35" s="484" t="s">
        <v>229</v>
      </c>
      <c r="B35" s="440"/>
      <c r="C35" s="458"/>
      <c r="D35" s="458"/>
      <c r="E35" s="459">
        <v>114967.38099999999</v>
      </c>
      <c r="F35" s="458">
        <f>SUM(F36+F38)</f>
        <v>110650.39600000001</v>
      </c>
      <c r="G35" s="458">
        <f t="shared" si="14"/>
        <v>-3.8</v>
      </c>
      <c r="H35" s="459">
        <v>96.968999999999994</v>
      </c>
      <c r="I35" s="458">
        <f>SUM(I36+I38)</f>
        <v>158.14599999999999</v>
      </c>
      <c r="J35" s="458"/>
      <c r="K35" s="459">
        <v>3180.2</v>
      </c>
      <c r="L35" s="458">
        <f>SUM(L36+L38)</f>
        <v>4567</v>
      </c>
      <c r="M35" s="437">
        <f>IF(K35=0, "    ---- ", IF(ABS(ROUND(100/K35*L35-100,1))&lt;999,ROUND(100/K35*L35-100,1),IF(ROUND(100/K35*L35-100,1)&gt;999,999,-999)))</f>
        <v>43.6</v>
      </c>
      <c r="N35" s="459"/>
      <c r="O35" s="458"/>
      <c r="P35" s="337"/>
      <c r="Q35" s="459">
        <v>175587.53778126999</v>
      </c>
      <c r="R35" s="458">
        <f>SUM(R36+R38)</f>
        <v>189962.18838192002</v>
      </c>
      <c r="S35" s="337">
        <f>IF(Q35=0, "    ---- ", IF(ABS(ROUND(100/Q35*R35-100,1))&lt;999,ROUND(100/Q35*R35-100,1),IF(ROUND(100/Q35*R35-100,1)&gt;999,999,-999)))</f>
        <v>8.1999999999999993</v>
      </c>
      <c r="T35" s="461">
        <v>748.8</v>
      </c>
      <c r="U35" s="458">
        <f>SUM(U36+U38)</f>
        <v>924.9</v>
      </c>
      <c r="V35" s="337">
        <f>IF(T35=0, "    ---- ", IF(ABS(ROUND(100/T35*U35-100,1))&lt;999,ROUND(100/T35*U35-100,1),IF(ROUND(100/T35*U35-100,1)&gt;999,999,-999)))</f>
        <v>23.5</v>
      </c>
      <c r="W35" s="461">
        <v>24724.689359600001</v>
      </c>
      <c r="X35" s="458">
        <f>SUM(X36+X38)</f>
        <v>29516.143176769998</v>
      </c>
      <c r="Y35" s="337">
        <f t="shared" si="20"/>
        <v>19.399999999999999</v>
      </c>
      <c r="Z35" s="461">
        <v>19779</v>
      </c>
      <c r="AA35" s="458">
        <f>SUM(AA36+AA38)</f>
        <v>20668</v>
      </c>
      <c r="AB35" s="337">
        <f t="shared" si="21"/>
        <v>4.5</v>
      </c>
      <c r="AC35" s="461"/>
      <c r="AD35" s="458"/>
      <c r="AE35" s="337"/>
      <c r="AF35" s="461"/>
      <c r="AG35" s="458"/>
      <c r="AH35" s="337"/>
      <c r="AI35" s="461">
        <v>7357.8519999999999</v>
      </c>
      <c r="AJ35" s="458">
        <f>SUM(AJ36+AJ38)</f>
        <v>8259.6470000000008</v>
      </c>
      <c r="AK35" s="337">
        <f t="shared" si="15"/>
        <v>12.3</v>
      </c>
      <c r="AL35" s="461">
        <v>113782.3</v>
      </c>
      <c r="AM35" s="458">
        <f>SUM(AM36+AM38)</f>
        <v>123154</v>
      </c>
      <c r="AN35" s="337">
        <f t="shared" si="22"/>
        <v>8.1999999999999993</v>
      </c>
      <c r="AO35" s="440">
        <f>B35+E35+H35+K35+Q35+T35+W35+Z35+AF35+AI35+AL35</f>
        <v>460224.72914086998</v>
      </c>
      <c r="AP35" s="437">
        <f t="shared" si="16"/>
        <v>487860.42055869004</v>
      </c>
      <c r="AQ35" s="337">
        <f t="shared" si="17"/>
        <v>6</v>
      </c>
      <c r="AR35" s="440">
        <f t="shared" si="18"/>
        <v>460224.72914086998</v>
      </c>
      <c r="AS35" s="437">
        <f t="shared" si="18"/>
        <v>487860.42055869004</v>
      </c>
      <c r="AT35" s="460">
        <f t="shared" si="19"/>
        <v>6</v>
      </c>
      <c r="AU35" s="521"/>
      <c r="AV35" s="521"/>
      <c r="AW35" s="525"/>
    </row>
    <row r="36" spans="1:49" s="490" customFormat="1" ht="20.100000000000001" customHeight="1" x14ac:dyDescent="0.3">
      <c r="A36" s="484" t="s">
        <v>230</v>
      </c>
      <c r="B36" s="461"/>
      <c r="C36" s="458"/>
      <c r="D36" s="337"/>
      <c r="E36" s="459">
        <v>79543.942999999999</v>
      </c>
      <c r="F36" s="458">
        <v>73925.384000000005</v>
      </c>
      <c r="G36" s="337">
        <f t="shared" si="14"/>
        <v>-7.1</v>
      </c>
      <c r="H36" s="459">
        <v>97</v>
      </c>
      <c r="I36" s="458">
        <v>158.14599999999999</v>
      </c>
      <c r="J36" s="337"/>
      <c r="K36" s="459">
        <v>30.5</v>
      </c>
      <c r="L36" s="458">
        <v>31</v>
      </c>
      <c r="M36" s="437">
        <f>IF(K36=0, "    ---- ", IF(ABS(ROUND(100/K36*L36-100,1))&lt;999,ROUND(100/K36*L36-100,1),IF(ROUND(100/K36*L36-100,1)&gt;999,999,-999)))</f>
        <v>1.6</v>
      </c>
      <c r="N36" s="459"/>
      <c r="O36" s="458"/>
      <c r="P36" s="337"/>
      <c r="Q36" s="459">
        <v>25927.675700069998</v>
      </c>
      <c r="R36" s="458">
        <v>23946.605281730001</v>
      </c>
      <c r="S36" s="337">
        <f>IF(Q36=0, "    ---- ", IF(ABS(ROUND(100/Q36*R36-100,1))&lt;999,ROUND(100/Q36*R36-100,1),IF(ROUND(100/Q36*R36-100,1)&gt;999,999,-999)))</f>
        <v>-7.6</v>
      </c>
      <c r="T36" s="461">
        <v>91.9</v>
      </c>
      <c r="U36" s="458">
        <v>71.5</v>
      </c>
      <c r="V36" s="337">
        <f>IF(T36=0, "    ---- ", IF(ABS(ROUND(100/T36*U36-100,1))&lt;999,ROUND(100/T36*U36-100,1),IF(ROUND(100/T36*U36-100,1)&gt;999,999,-999)))</f>
        <v>-22.2</v>
      </c>
      <c r="W36" s="461">
        <v>517.58819247000008</v>
      </c>
      <c r="X36" s="458">
        <v>802.76421707000009</v>
      </c>
      <c r="Y36" s="337">
        <f t="shared" si="20"/>
        <v>55.1</v>
      </c>
      <c r="Z36" s="461">
        <v>2576</v>
      </c>
      <c r="AA36" s="458">
        <v>1783</v>
      </c>
      <c r="AB36" s="337">
        <f t="shared" si="21"/>
        <v>-30.8</v>
      </c>
      <c r="AC36" s="461"/>
      <c r="AD36" s="458"/>
      <c r="AE36" s="337"/>
      <c r="AF36" s="461"/>
      <c r="AG36" s="458"/>
      <c r="AH36" s="337"/>
      <c r="AI36" s="461">
        <v>1721.3610000000001</v>
      </c>
      <c r="AJ36" s="458">
        <v>1429.4939999999999</v>
      </c>
      <c r="AK36" s="337">
        <f t="shared" si="15"/>
        <v>-17</v>
      </c>
      <c r="AL36" s="461">
        <v>15643.7</v>
      </c>
      <c r="AM36" s="458">
        <v>15128</v>
      </c>
      <c r="AN36" s="337">
        <f t="shared" si="22"/>
        <v>-3.3</v>
      </c>
      <c r="AO36" s="440">
        <f>B36+E36+H36+K36+Q36+T36+W36+Z36+AF36+AI36+AL36</f>
        <v>126149.66789253999</v>
      </c>
      <c r="AP36" s="437">
        <f t="shared" si="16"/>
        <v>117275.89349880001</v>
      </c>
      <c r="AQ36" s="337">
        <f t="shared" si="17"/>
        <v>-7</v>
      </c>
      <c r="AR36" s="440">
        <f t="shared" si="18"/>
        <v>126149.66789253999</v>
      </c>
      <c r="AS36" s="437">
        <f t="shared" si="18"/>
        <v>117275.89349880001</v>
      </c>
      <c r="AT36" s="460">
        <f t="shared" si="19"/>
        <v>-7</v>
      </c>
      <c r="AU36" s="521"/>
      <c r="AV36" s="521"/>
      <c r="AW36" s="525"/>
    </row>
    <row r="37" spans="1:49" s="490" customFormat="1" ht="20.100000000000001" customHeight="1" x14ac:dyDescent="0.3">
      <c r="A37" s="484" t="s">
        <v>213</v>
      </c>
      <c r="B37" s="461"/>
      <c r="C37" s="458"/>
      <c r="D37" s="458"/>
      <c r="E37" s="459">
        <v>79543.942999999999</v>
      </c>
      <c r="F37" s="458">
        <v>73925.384000000005</v>
      </c>
      <c r="G37" s="458">
        <f t="shared" si="14"/>
        <v>-7.1</v>
      </c>
      <c r="H37" s="459">
        <v>96.968999999999994</v>
      </c>
      <c r="I37" s="458">
        <v>158.14599999999999</v>
      </c>
      <c r="J37" s="458"/>
      <c r="K37" s="459">
        <v>30.5</v>
      </c>
      <c r="L37" s="458">
        <v>31</v>
      </c>
      <c r="M37" s="437">
        <f>IF(K37=0, "    ---- ", IF(ABS(ROUND(100/K37*L37-100,1))&lt;999,ROUND(100/K37*L37-100,1),IF(ROUND(100/K37*L37-100,1)&gt;999,999,-999)))</f>
        <v>1.6</v>
      </c>
      <c r="N37" s="459"/>
      <c r="O37" s="458"/>
      <c r="P37" s="337"/>
      <c r="Q37" s="459">
        <v>25927.675700069998</v>
      </c>
      <c r="R37" s="458">
        <v>23946.605281730001</v>
      </c>
      <c r="S37" s="337">
        <f>IF(Q37=0, "    ---- ", IF(ABS(ROUND(100/Q37*R37-100,1))&lt;999,ROUND(100/Q37*R37-100,1),IF(ROUND(100/Q37*R37-100,1)&gt;999,999,-999)))</f>
        <v>-7.6</v>
      </c>
      <c r="T37" s="461"/>
      <c r="U37" s="458"/>
      <c r="V37" s="337"/>
      <c r="W37" s="461">
        <v>517.58819247000008</v>
      </c>
      <c r="X37" s="458">
        <v>802.76421707000009</v>
      </c>
      <c r="Y37" s="337">
        <f t="shared" si="20"/>
        <v>55.1</v>
      </c>
      <c r="Z37" s="461"/>
      <c r="AA37" s="458"/>
      <c r="AB37" s="337"/>
      <c r="AC37" s="461"/>
      <c r="AD37" s="458"/>
      <c r="AE37" s="337"/>
      <c r="AF37" s="461"/>
      <c r="AG37" s="458"/>
      <c r="AH37" s="337"/>
      <c r="AI37" s="461">
        <v>180.96577637999985</v>
      </c>
      <c r="AJ37" s="458">
        <v>180.97712267999984</v>
      </c>
      <c r="AK37" s="337">
        <f t="shared" si="15"/>
        <v>0</v>
      </c>
      <c r="AL37" s="461">
        <v>15643.7</v>
      </c>
      <c r="AM37" s="458">
        <v>15128</v>
      </c>
      <c r="AN37" s="337">
        <f t="shared" si="22"/>
        <v>-3.3</v>
      </c>
      <c r="AO37" s="440">
        <f t="shared" si="16"/>
        <v>121941.34166891999</v>
      </c>
      <c r="AP37" s="437">
        <f t="shared" si="16"/>
        <v>114172.87662148</v>
      </c>
      <c r="AQ37" s="337">
        <f t="shared" si="17"/>
        <v>-6.4</v>
      </c>
      <c r="AR37" s="440">
        <f t="shared" si="18"/>
        <v>121941.34166891999</v>
      </c>
      <c r="AS37" s="437">
        <f t="shared" si="18"/>
        <v>114172.87662148</v>
      </c>
      <c r="AT37" s="460">
        <f t="shared" si="19"/>
        <v>-6.4</v>
      </c>
      <c r="AU37" s="521"/>
      <c r="AV37" s="521"/>
      <c r="AW37" s="525"/>
    </row>
    <row r="38" spans="1:49" s="490" customFormat="1" ht="20.100000000000001" customHeight="1" x14ac:dyDescent="0.3">
      <c r="A38" s="484" t="s">
        <v>231</v>
      </c>
      <c r="B38" s="461"/>
      <c r="C38" s="458"/>
      <c r="D38" s="458"/>
      <c r="E38" s="459">
        <v>35423.438000000002</v>
      </c>
      <c r="F38" s="458">
        <v>36725.012000000002</v>
      </c>
      <c r="G38" s="458"/>
      <c r="H38" s="459"/>
      <c r="I38" s="458"/>
      <c r="J38" s="458"/>
      <c r="K38" s="459">
        <v>3149.7</v>
      </c>
      <c r="L38" s="458">
        <v>4536</v>
      </c>
      <c r="M38" s="437">
        <f t="shared" ref="M38:M57" si="23">IF(K38=0, "    ---- ", IF(ABS(ROUND(100/K38*L38-100,1))&lt;999,ROUND(100/K38*L38-100,1),IF(ROUND(100/K38*L38-100,1)&gt;999,999,-999)))</f>
        <v>44</v>
      </c>
      <c r="N38" s="459"/>
      <c r="O38" s="458"/>
      <c r="P38" s="337"/>
      <c r="Q38" s="459">
        <v>149659.8620812</v>
      </c>
      <c r="R38" s="458">
        <v>166015.58310019001</v>
      </c>
      <c r="S38" s="337">
        <f t="shared" ref="S38:S45" si="24">IF(Q38=0, "    ---- ", IF(ABS(ROUND(100/Q38*R38-100,1))&lt;999,ROUND(100/Q38*R38-100,1),IF(ROUND(100/Q38*R38-100,1)&gt;999,999,-999)))</f>
        <v>10.9</v>
      </c>
      <c r="T38" s="461">
        <v>656.9</v>
      </c>
      <c r="U38" s="458">
        <v>853.4</v>
      </c>
      <c r="V38" s="337">
        <f>IF(T38=0, "    ---- ", IF(ABS(ROUND(100/T38*U38-100,1))&lt;999,ROUND(100/T38*U38-100,1),IF(ROUND(100/T38*U38-100,1)&gt;999,999,-999)))</f>
        <v>29.9</v>
      </c>
      <c r="W38" s="461">
        <v>24207.10116713</v>
      </c>
      <c r="X38" s="458">
        <v>28713.3789597</v>
      </c>
      <c r="Y38" s="337">
        <f t="shared" si="20"/>
        <v>18.600000000000001</v>
      </c>
      <c r="Z38" s="461">
        <v>17203</v>
      </c>
      <c r="AA38" s="458">
        <v>18885</v>
      </c>
      <c r="AB38" s="337">
        <f t="shared" si="21"/>
        <v>9.8000000000000007</v>
      </c>
      <c r="AC38" s="461"/>
      <c r="AD38" s="458"/>
      <c r="AE38" s="337"/>
      <c r="AF38" s="461"/>
      <c r="AG38" s="458"/>
      <c r="AH38" s="337"/>
      <c r="AI38" s="461">
        <v>5636.491</v>
      </c>
      <c r="AJ38" s="458">
        <v>6830.1530000000002</v>
      </c>
      <c r="AK38" s="337">
        <f t="shared" si="15"/>
        <v>21.2</v>
      </c>
      <c r="AL38" s="461">
        <v>98138.6</v>
      </c>
      <c r="AM38" s="458">
        <v>108026</v>
      </c>
      <c r="AN38" s="337">
        <f t="shared" si="22"/>
        <v>10.1</v>
      </c>
      <c r="AO38" s="440">
        <f t="shared" si="16"/>
        <v>334075.09224833001</v>
      </c>
      <c r="AP38" s="437">
        <f t="shared" si="16"/>
        <v>370584.52705989004</v>
      </c>
      <c r="AQ38" s="337">
        <f t="shared" si="17"/>
        <v>10.9</v>
      </c>
      <c r="AR38" s="440">
        <f t="shared" si="18"/>
        <v>334075.09224833001</v>
      </c>
      <c r="AS38" s="437">
        <f t="shared" si="18"/>
        <v>370584.52705989004</v>
      </c>
      <c r="AT38" s="460">
        <f t="shared" si="19"/>
        <v>10.9</v>
      </c>
      <c r="AU38" s="521"/>
      <c r="AV38" s="521"/>
      <c r="AW38" s="525"/>
    </row>
    <row r="39" spans="1:49" s="490" customFormat="1" ht="20.100000000000001" customHeight="1" x14ac:dyDescent="0.3">
      <c r="A39" s="484" t="s">
        <v>232</v>
      </c>
      <c r="B39" s="440">
        <v>937.09</v>
      </c>
      <c r="C39" s="458">
        <f>SUM(C40:C44)</f>
        <v>1023.333</v>
      </c>
      <c r="D39" s="458">
        <f>IF(B39=0, "    ---- ", IF(ABS(ROUND(100/B39*C39-100,1))&lt;999,ROUND(100/B39*C39-100,1),IF(ROUND(100/B39*C39-100,1)&gt;999,999,-999)))</f>
        <v>9.1999999999999993</v>
      </c>
      <c r="E39" s="459">
        <v>73415.672000000006</v>
      </c>
      <c r="F39" s="458">
        <f>SUM(F40:F44)</f>
        <v>77879.550999999992</v>
      </c>
      <c r="G39" s="458">
        <f t="shared" si="14"/>
        <v>6.1</v>
      </c>
      <c r="H39" s="459">
        <v>671.28600000000006</v>
      </c>
      <c r="I39" s="458">
        <f>SUM(I40:I44)</f>
        <v>738.81900000000007</v>
      </c>
      <c r="J39" s="458">
        <f t="shared" ref="J39:J46" si="25">IF(H39=0, "    ---- ", IF(ABS(ROUND(100/H39*I39-100,1))&lt;999,ROUND(100/H39*I39-100,1),IF(ROUND(100/H39*I39-100,1)&gt;999,999,-999)))</f>
        <v>10.1</v>
      </c>
      <c r="K39" s="459">
        <v>2223.48</v>
      </c>
      <c r="L39" s="458">
        <f>SUM(L40:L44)</f>
        <v>1433</v>
      </c>
      <c r="M39" s="437">
        <f t="shared" si="23"/>
        <v>-35.6</v>
      </c>
      <c r="N39" s="459"/>
      <c r="O39" s="458"/>
      <c r="P39" s="337"/>
      <c r="Q39" s="459">
        <v>229097.36049390002</v>
      </c>
      <c r="R39" s="458">
        <f>SUM(R40:R44)</f>
        <v>246268.47895876001</v>
      </c>
      <c r="S39" s="337">
        <f t="shared" si="24"/>
        <v>7.5</v>
      </c>
      <c r="T39" s="461">
        <v>605.4</v>
      </c>
      <c r="U39" s="458">
        <f>SUM(U40:U44)</f>
        <v>499.5</v>
      </c>
      <c r="V39" s="337">
        <f>IF(T39=0, "    ---- ", IF(ABS(ROUND(100/T39*U39-100,1))&lt;999,ROUND(100/T39*U39-100,1),IF(ROUND(100/T39*U39-100,1)&gt;999,999,-999)))</f>
        <v>-17.5</v>
      </c>
      <c r="W39" s="461">
        <v>19363.156535590002</v>
      </c>
      <c r="X39" s="458">
        <f>SUM(X40:X44)</f>
        <v>15551.213178200003</v>
      </c>
      <c r="Y39" s="337">
        <f t="shared" si="20"/>
        <v>-19.7</v>
      </c>
      <c r="Z39" s="461">
        <v>42979</v>
      </c>
      <c r="AA39" s="458">
        <f>SUM(AA40:AA44)</f>
        <v>48287</v>
      </c>
      <c r="AB39" s="337">
        <f t="shared" si="21"/>
        <v>12.4</v>
      </c>
      <c r="AC39" s="461"/>
      <c r="AD39" s="458"/>
      <c r="AE39" s="337"/>
      <c r="AF39" s="461"/>
      <c r="AG39" s="458"/>
      <c r="AH39" s="337"/>
      <c r="AI39" s="461">
        <v>9944.5210000000006</v>
      </c>
      <c r="AJ39" s="458">
        <f>SUM(AJ40:AJ44)</f>
        <v>10127.154999999999</v>
      </c>
      <c r="AK39" s="337">
        <f t="shared" si="15"/>
        <v>1.8</v>
      </c>
      <c r="AL39" s="461">
        <v>49073.2</v>
      </c>
      <c r="AM39" s="458">
        <f>SUM(AM40:AM44)</f>
        <v>44726</v>
      </c>
      <c r="AN39" s="337">
        <f t="shared" si="22"/>
        <v>-8.9</v>
      </c>
      <c r="AO39" s="440">
        <f t="shared" si="16"/>
        <v>428310.16602949006</v>
      </c>
      <c r="AP39" s="437">
        <f t="shared" si="16"/>
        <v>446534.05013696</v>
      </c>
      <c r="AQ39" s="337">
        <f t="shared" si="17"/>
        <v>4.3</v>
      </c>
      <c r="AR39" s="440">
        <f t="shared" si="18"/>
        <v>428310.16602949006</v>
      </c>
      <c r="AS39" s="437">
        <f t="shared" si="18"/>
        <v>446534.05013696</v>
      </c>
      <c r="AT39" s="460">
        <f t="shared" si="19"/>
        <v>4.3</v>
      </c>
      <c r="AU39" s="522"/>
      <c r="AV39" s="521"/>
      <c r="AW39" s="525"/>
    </row>
    <row r="40" spans="1:49" s="490" customFormat="1" ht="20.100000000000001" customHeight="1" x14ac:dyDescent="0.3">
      <c r="A40" s="484" t="s">
        <v>233</v>
      </c>
      <c r="B40" s="461">
        <v>22.154</v>
      </c>
      <c r="C40" s="458">
        <v>30.372</v>
      </c>
      <c r="D40" s="337">
        <f>IF(B40=0, "    ---- ", IF(ABS(ROUND(100/B40*C40-100,1))&lt;999,ROUND(100/B40*C40-100,1),IF(ROUND(100/B40*C40-100,1)&gt;999,999,-999)))</f>
        <v>37.1</v>
      </c>
      <c r="E40" s="459">
        <v>12069.698</v>
      </c>
      <c r="F40" s="458">
        <v>16105.052</v>
      </c>
      <c r="G40" s="337">
        <f t="shared" si="14"/>
        <v>33.4</v>
      </c>
      <c r="H40" s="459">
        <v>84.204999999999998</v>
      </c>
      <c r="I40" s="458">
        <v>92.763999999999996</v>
      </c>
      <c r="J40" s="337">
        <f t="shared" si="25"/>
        <v>10.199999999999999</v>
      </c>
      <c r="K40" s="459">
        <v>734.1</v>
      </c>
      <c r="L40" s="458">
        <v>758</v>
      </c>
      <c r="M40" s="437"/>
      <c r="N40" s="459"/>
      <c r="O40" s="458"/>
      <c r="P40" s="337"/>
      <c r="Q40" s="459">
        <v>93531.449896730002</v>
      </c>
      <c r="R40" s="458">
        <v>112186.18341516001</v>
      </c>
      <c r="S40" s="337">
        <f t="shared" si="24"/>
        <v>19.899999999999999</v>
      </c>
      <c r="T40" s="461">
        <v>161.19999999999999</v>
      </c>
      <c r="U40" s="458">
        <v>75.099999999999994</v>
      </c>
      <c r="V40" s="337">
        <f>IF(T40=0, "    ---- ", IF(ABS(ROUND(100/T40*U40-100,1))&lt;999,ROUND(100/T40*U40-100,1),IF(ROUND(100/T40*U40-100,1)&gt;999,999,-999)))</f>
        <v>-53.4</v>
      </c>
      <c r="W40" s="461">
        <v>5099.4539491800006</v>
      </c>
      <c r="X40" s="458">
        <v>5297.1790017100002</v>
      </c>
      <c r="Y40" s="337">
        <f t="shared" si="20"/>
        <v>3.9</v>
      </c>
      <c r="Z40" s="461">
        <v>22576</v>
      </c>
      <c r="AA40" s="458">
        <v>27239</v>
      </c>
      <c r="AB40" s="337">
        <f t="shared" si="21"/>
        <v>20.7</v>
      </c>
      <c r="AC40" s="461"/>
      <c r="AD40" s="458"/>
      <c r="AE40" s="337"/>
      <c r="AF40" s="461"/>
      <c r="AG40" s="458"/>
      <c r="AH40" s="337"/>
      <c r="AI40" s="461">
        <v>2829.3380000000002</v>
      </c>
      <c r="AJ40" s="458">
        <v>3133.3110000000001</v>
      </c>
      <c r="AK40" s="337">
        <f t="shared" si="15"/>
        <v>10.7</v>
      </c>
      <c r="AL40" s="461">
        <v>10501.4</v>
      </c>
      <c r="AM40" s="458">
        <v>14455</v>
      </c>
      <c r="AN40" s="337">
        <f t="shared" si="22"/>
        <v>37.6</v>
      </c>
      <c r="AO40" s="440">
        <f t="shared" si="16"/>
        <v>147608.99884590998</v>
      </c>
      <c r="AP40" s="437">
        <f t="shared" si="16"/>
        <v>179371.96141687001</v>
      </c>
      <c r="AQ40" s="337">
        <f t="shared" si="17"/>
        <v>21.5</v>
      </c>
      <c r="AR40" s="440">
        <f t="shared" si="18"/>
        <v>147608.99884590998</v>
      </c>
      <c r="AS40" s="437">
        <f t="shared" si="18"/>
        <v>179371.96141687001</v>
      </c>
      <c r="AT40" s="460">
        <f t="shared" si="19"/>
        <v>21.5</v>
      </c>
      <c r="AU40" s="521"/>
      <c r="AV40" s="521"/>
      <c r="AW40" s="525"/>
    </row>
    <row r="41" spans="1:49" s="490" customFormat="1" ht="20.100000000000001" customHeight="1" x14ac:dyDescent="0.3">
      <c r="A41" s="484" t="s">
        <v>234</v>
      </c>
      <c r="B41" s="461">
        <v>896.04100000000005</v>
      </c>
      <c r="C41" s="458">
        <v>938.03399999999999</v>
      </c>
      <c r="D41" s="458">
        <f>IF(B41=0, "    ---- ", IF(ABS(ROUND(100/B41*C41-100,1))&lt;999,ROUND(100/B41*C41-100,1),IF(ROUND(100/B41*C41-100,1)&gt;999,999,-999)))</f>
        <v>4.7</v>
      </c>
      <c r="E41" s="459">
        <v>56559.379000000001</v>
      </c>
      <c r="F41" s="458">
        <v>56922.69</v>
      </c>
      <c r="G41" s="458">
        <f t="shared" si="14"/>
        <v>0.6</v>
      </c>
      <c r="H41" s="459">
        <v>512.84100000000001</v>
      </c>
      <c r="I41" s="458">
        <v>545.70500000000004</v>
      </c>
      <c r="J41" s="458">
        <f>IF(H41=0, "    ---- ", IF(ABS(ROUND(100/H41*I41-100,1))&lt;999,ROUND(100/H41*I41-100,1),IF(ROUND(100/H41*I41-100,1)&gt;999,999,-999)))</f>
        <v>6.4</v>
      </c>
      <c r="K41" s="459">
        <v>1357.2</v>
      </c>
      <c r="L41" s="458">
        <v>615</v>
      </c>
      <c r="M41" s="437">
        <f t="shared" si="23"/>
        <v>-54.7</v>
      </c>
      <c r="N41" s="459"/>
      <c r="O41" s="458"/>
      <c r="P41" s="337"/>
      <c r="Q41" s="459">
        <v>123574.31912714</v>
      </c>
      <c r="R41" s="458">
        <v>125232.88915131</v>
      </c>
      <c r="S41" s="337">
        <f t="shared" si="24"/>
        <v>1.3</v>
      </c>
      <c r="T41" s="461">
        <v>437</v>
      </c>
      <c r="U41" s="458">
        <v>411.8</v>
      </c>
      <c r="V41" s="337">
        <f>IF(T41=0, "    ---- ", IF(ABS(ROUND(100/T41*U41-100,1))&lt;999,ROUND(100/T41*U41-100,1),IF(ROUND(100/T41*U41-100,1)&gt;999,999,-999)))</f>
        <v>-5.8</v>
      </c>
      <c r="W41" s="461">
        <v>13860.65361743</v>
      </c>
      <c r="X41" s="458">
        <v>9903.3560857700013</v>
      </c>
      <c r="Y41" s="337">
        <f t="shared" si="20"/>
        <v>-28.6</v>
      </c>
      <c r="Z41" s="461">
        <v>18628</v>
      </c>
      <c r="AA41" s="458">
        <v>18295</v>
      </c>
      <c r="AB41" s="337">
        <f t="shared" si="21"/>
        <v>-1.8</v>
      </c>
      <c r="AC41" s="461"/>
      <c r="AD41" s="458"/>
      <c r="AE41" s="337"/>
      <c r="AF41" s="461"/>
      <c r="AG41" s="458"/>
      <c r="AH41" s="337"/>
      <c r="AI41" s="461">
        <v>6809.6189999999997</v>
      </c>
      <c r="AJ41" s="458">
        <v>6975.7330000000002</v>
      </c>
      <c r="AK41" s="337">
        <f t="shared" si="15"/>
        <v>2.4</v>
      </c>
      <c r="AL41" s="461">
        <v>38444.1</v>
      </c>
      <c r="AM41" s="458">
        <v>30050</v>
      </c>
      <c r="AN41" s="337">
        <f t="shared" si="22"/>
        <v>-21.8</v>
      </c>
      <c r="AO41" s="440">
        <f t="shared" si="16"/>
        <v>261079.15274457002</v>
      </c>
      <c r="AP41" s="437">
        <f t="shared" si="16"/>
        <v>249890.20723708</v>
      </c>
      <c r="AQ41" s="337">
        <f t="shared" si="17"/>
        <v>-4.3</v>
      </c>
      <c r="AR41" s="440">
        <f t="shared" si="18"/>
        <v>261079.15274457002</v>
      </c>
      <c r="AS41" s="437">
        <f t="shared" si="18"/>
        <v>249890.20723708</v>
      </c>
      <c r="AT41" s="460">
        <f t="shared" si="19"/>
        <v>-4.3</v>
      </c>
      <c r="AU41" s="521"/>
      <c r="AV41" s="521"/>
      <c r="AW41" s="525"/>
    </row>
    <row r="42" spans="1:49" s="490" customFormat="1" ht="20.100000000000001" customHeight="1" x14ac:dyDescent="0.3">
      <c r="A42" s="484" t="s">
        <v>235</v>
      </c>
      <c r="B42" s="461"/>
      <c r="C42" s="458"/>
      <c r="D42" s="458"/>
      <c r="E42" s="459">
        <v>3495</v>
      </c>
      <c r="F42" s="458">
        <v>3991.3339999999998</v>
      </c>
      <c r="G42" s="458">
        <f t="shared" si="14"/>
        <v>14.2</v>
      </c>
      <c r="H42" s="459"/>
      <c r="I42" s="458"/>
      <c r="J42" s="458"/>
      <c r="K42" s="459">
        <v>0.2</v>
      </c>
      <c r="L42" s="458"/>
      <c r="M42" s="437">
        <f t="shared" si="23"/>
        <v>-100</v>
      </c>
      <c r="N42" s="459"/>
      <c r="O42" s="458"/>
      <c r="P42" s="337"/>
      <c r="Q42" s="459">
        <v>9654.3752367099987</v>
      </c>
      <c r="R42" s="458">
        <v>7568.71565293</v>
      </c>
      <c r="S42" s="337">
        <f t="shared" si="24"/>
        <v>-21.6</v>
      </c>
      <c r="T42" s="461">
        <v>5.9</v>
      </c>
      <c r="U42" s="458">
        <v>12.6</v>
      </c>
      <c r="V42" s="337">
        <f>IF(T42=0, "    ---- ", IF(ABS(ROUND(100/T42*U42-100,1))&lt;999,ROUND(100/T42*U42-100,1),IF(ROUND(100/T42*U42-100,1)&gt;999,999,-999)))</f>
        <v>113.6</v>
      </c>
      <c r="W42" s="461"/>
      <c r="X42" s="458"/>
      <c r="Y42" s="337"/>
      <c r="Z42" s="461">
        <v>100</v>
      </c>
      <c r="AA42" s="458">
        <v>54</v>
      </c>
      <c r="AB42" s="337">
        <f t="shared" si="21"/>
        <v>-46</v>
      </c>
      <c r="AC42" s="461"/>
      <c r="AD42" s="458"/>
      <c r="AE42" s="337"/>
      <c r="AF42" s="461"/>
      <c r="AG42" s="458"/>
      <c r="AH42" s="337"/>
      <c r="AI42" s="461"/>
      <c r="AJ42" s="458"/>
      <c r="AK42" s="337"/>
      <c r="AL42" s="461"/>
      <c r="AM42" s="458"/>
      <c r="AN42" s="337"/>
      <c r="AO42" s="440">
        <f t="shared" si="16"/>
        <v>13255.475236709999</v>
      </c>
      <c r="AP42" s="437">
        <f t="shared" si="16"/>
        <v>11626.64965293</v>
      </c>
      <c r="AQ42" s="337">
        <f t="shared" si="17"/>
        <v>-12.3</v>
      </c>
      <c r="AR42" s="440">
        <f t="shared" si="18"/>
        <v>13255.475236709999</v>
      </c>
      <c r="AS42" s="437">
        <f t="shared" si="18"/>
        <v>11626.64965293</v>
      </c>
      <c r="AT42" s="460">
        <f t="shared" si="19"/>
        <v>-12.3</v>
      </c>
      <c r="AU42" s="521"/>
      <c r="AV42" s="521"/>
      <c r="AW42" s="525"/>
    </row>
    <row r="43" spans="1:49" s="490" customFormat="1" ht="20.100000000000001" customHeight="1" x14ac:dyDescent="0.3">
      <c r="A43" s="484" t="s">
        <v>236</v>
      </c>
      <c r="B43" s="461">
        <v>0.379</v>
      </c>
      <c r="C43" s="458">
        <v>0.66</v>
      </c>
      <c r="D43" s="458">
        <f>IF(B43=0, "    ---- ", IF(ABS(ROUND(100/B43*C43-100,1))&lt;999,ROUND(100/B43*C43-100,1),IF(ROUND(100/B43*C43-100,1)&gt;999,999,-999)))</f>
        <v>74.099999999999994</v>
      </c>
      <c r="E43" s="459">
        <v>334.03100000000001</v>
      </c>
      <c r="F43" s="458">
        <v>53.325000000000003</v>
      </c>
      <c r="G43" s="458">
        <f t="shared" si="14"/>
        <v>-84</v>
      </c>
      <c r="H43" s="459"/>
      <c r="I43" s="458"/>
      <c r="J43" s="458"/>
      <c r="K43" s="459"/>
      <c r="L43" s="458"/>
      <c r="M43" s="437"/>
      <c r="N43" s="459"/>
      <c r="O43" s="458"/>
      <c r="P43" s="337"/>
      <c r="Q43" s="459">
        <v>936.76059715999997</v>
      </c>
      <c r="R43" s="458">
        <v>567.35315625999999</v>
      </c>
      <c r="S43" s="337">
        <f t="shared" si="24"/>
        <v>-39.4</v>
      </c>
      <c r="T43" s="461"/>
      <c r="U43" s="458"/>
      <c r="V43" s="337"/>
      <c r="W43" s="461">
        <v>231.62344098</v>
      </c>
      <c r="X43" s="458">
        <v>152.76247212000001</v>
      </c>
      <c r="Y43" s="337">
        <f t="shared" si="20"/>
        <v>-34</v>
      </c>
      <c r="Z43" s="461"/>
      <c r="AA43" s="458"/>
      <c r="AB43" s="337"/>
      <c r="AC43" s="461"/>
      <c r="AD43" s="458"/>
      <c r="AE43" s="337"/>
      <c r="AF43" s="461"/>
      <c r="AG43" s="458"/>
      <c r="AH43" s="337"/>
      <c r="AI43" s="461">
        <v>4.7270000000000003</v>
      </c>
      <c r="AJ43" s="458">
        <v>28.559000000000001</v>
      </c>
      <c r="AK43" s="337">
        <f t="shared" si="15"/>
        <v>504.2</v>
      </c>
      <c r="AL43" s="461">
        <v>127.7</v>
      </c>
      <c r="AM43" s="458">
        <v>221</v>
      </c>
      <c r="AN43" s="337">
        <f t="shared" si="22"/>
        <v>73.099999999999994</v>
      </c>
      <c r="AO43" s="440">
        <f t="shared" si="16"/>
        <v>1635.22103814</v>
      </c>
      <c r="AP43" s="437">
        <f t="shared" si="16"/>
        <v>1023.65962838</v>
      </c>
      <c r="AQ43" s="337">
        <f t="shared" si="17"/>
        <v>-37.4</v>
      </c>
      <c r="AR43" s="440">
        <f t="shared" si="18"/>
        <v>1635.22103814</v>
      </c>
      <c r="AS43" s="437">
        <f t="shared" si="18"/>
        <v>1023.65962838</v>
      </c>
      <c r="AT43" s="460">
        <f t="shared" si="19"/>
        <v>-37.4</v>
      </c>
      <c r="AU43" s="521"/>
      <c r="AV43" s="521"/>
      <c r="AW43" s="525"/>
    </row>
    <row r="44" spans="1:49" s="490" customFormat="1" ht="20.100000000000001" customHeight="1" x14ac:dyDescent="0.3">
      <c r="A44" s="484" t="s">
        <v>237</v>
      </c>
      <c r="B44" s="461">
        <v>18.515999999999998</v>
      </c>
      <c r="C44" s="458">
        <v>54.267000000000003</v>
      </c>
      <c r="D44" s="458">
        <f>IF(B44=0, "    ---- ", IF(ABS(ROUND(100/B44*C44-100,1))&lt;999,ROUND(100/B44*C44-100,1),IF(ROUND(100/B44*C44-100,1)&gt;999,999,-999)))</f>
        <v>193.1</v>
      </c>
      <c r="E44" s="459">
        <v>957.56399999999996</v>
      </c>
      <c r="F44" s="458">
        <v>807.15</v>
      </c>
      <c r="G44" s="458">
        <f t="shared" si="14"/>
        <v>-15.7</v>
      </c>
      <c r="H44" s="459">
        <v>74.239999999999995</v>
      </c>
      <c r="I44" s="458">
        <v>100.35</v>
      </c>
      <c r="J44" s="458">
        <f t="shared" si="25"/>
        <v>35.200000000000003</v>
      </c>
      <c r="K44" s="459">
        <v>131.97999999999999</v>
      </c>
      <c r="L44" s="458">
        <v>60</v>
      </c>
      <c r="M44" s="437">
        <f t="shared" si="23"/>
        <v>-54.5</v>
      </c>
      <c r="N44" s="459"/>
      <c r="O44" s="458"/>
      <c r="P44" s="337"/>
      <c r="Q44" s="459">
        <v>1400.45563616</v>
      </c>
      <c r="R44" s="458">
        <v>713.33758310000007</v>
      </c>
      <c r="S44" s="337">
        <f t="shared" si="24"/>
        <v>-49.1</v>
      </c>
      <c r="T44" s="461">
        <v>1.3</v>
      </c>
      <c r="U44" s="458">
        <v>0</v>
      </c>
      <c r="V44" s="337">
        <f>IF(T44=0, "    ---- ", IF(ABS(ROUND(100/T44*U44-100,1))&lt;999,ROUND(100/T44*U44-100,1),IF(ROUND(100/T44*U44-100,1)&gt;999,999,-999)))</f>
        <v>-100</v>
      </c>
      <c r="W44" s="461">
        <v>171.42552800000001</v>
      </c>
      <c r="X44" s="458">
        <v>197.91561859999999</v>
      </c>
      <c r="Y44" s="337">
        <f t="shared" si="20"/>
        <v>15.5</v>
      </c>
      <c r="Z44" s="461">
        <v>1675</v>
      </c>
      <c r="AA44" s="458">
        <v>2699</v>
      </c>
      <c r="AB44" s="337">
        <f>IF(Z44=0, "    ---- ", IF(ABS(ROUND(100/Z44*AA44-100,1))&lt;999,ROUND(100/Z44*AA44-100,1),IF(ROUND(100/Z44*AA44-100,1)&gt;999,999,-999)))</f>
        <v>61.1</v>
      </c>
      <c r="AC44" s="461"/>
      <c r="AD44" s="458"/>
      <c r="AE44" s="337"/>
      <c r="AF44" s="461"/>
      <c r="AG44" s="458"/>
      <c r="AH44" s="337"/>
      <c r="AI44" s="461">
        <v>300.83699999999999</v>
      </c>
      <c r="AJ44" s="458">
        <v>-10.448</v>
      </c>
      <c r="AK44" s="337">
        <f t="shared" si="15"/>
        <v>-103.5</v>
      </c>
      <c r="AL44" s="461"/>
      <c r="AM44" s="458"/>
      <c r="AN44" s="337"/>
      <c r="AO44" s="440">
        <f t="shared" si="16"/>
        <v>4731.3181641600004</v>
      </c>
      <c r="AP44" s="437">
        <f t="shared" si="16"/>
        <v>4621.5722016999998</v>
      </c>
      <c r="AQ44" s="337">
        <f t="shared" si="17"/>
        <v>-2.2999999999999998</v>
      </c>
      <c r="AR44" s="440">
        <f t="shared" si="18"/>
        <v>4731.3181641600004</v>
      </c>
      <c r="AS44" s="437">
        <f t="shared" si="18"/>
        <v>4621.5722016999998</v>
      </c>
      <c r="AT44" s="460">
        <f t="shared" si="19"/>
        <v>-2.2999999999999998</v>
      </c>
      <c r="AU44" s="521"/>
      <c r="AV44" s="521"/>
      <c r="AW44" s="525"/>
    </row>
    <row r="45" spans="1:49" s="490" customFormat="1" ht="20.100000000000001" customHeight="1" x14ac:dyDescent="0.3">
      <c r="A45" s="485" t="s">
        <v>238</v>
      </c>
      <c r="B45" s="440">
        <v>937.09</v>
      </c>
      <c r="C45" s="458">
        <f>SUM(C33+C34+C35+C39)</f>
        <v>1023.333</v>
      </c>
      <c r="D45" s="337">
        <f>IF(B45=0, "    ---- ", IF(ABS(ROUND(100/B45*C45-100,1))&lt;999,ROUND(100/B45*C45-100,1),IF(ROUND(100/B45*C45-100,1)&gt;999,999,-999)))</f>
        <v>9.1999999999999993</v>
      </c>
      <c r="E45" s="459">
        <v>208790.04100000003</v>
      </c>
      <c r="F45" s="458">
        <f>SUM(F33+F34+F35+F39)</f>
        <v>209636.21000000002</v>
      </c>
      <c r="G45" s="337">
        <f t="shared" si="14"/>
        <v>0.4</v>
      </c>
      <c r="H45" s="459">
        <v>768.25500000000011</v>
      </c>
      <c r="I45" s="458">
        <f>SUM(I33+I34+I35+I39)</f>
        <v>896.96500000000003</v>
      </c>
      <c r="J45" s="337">
        <f t="shared" si="25"/>
        <v>16.8</v>
      </c>
      <c r="K45" s="459">
        <v>5403.68</v>
      </c>
      <c r="L45" s="458">
        <f>SUM(L33+L34+L35+L39)</f>
        <v>6000</v>
      </c>
      <c r="M45" s="437">
        <f t="shared" si="23"/>
        <v>11</v>
      </c>
      <c r="N45" s="459"/>
      <c r="O45" s="458"/>
      <c r="P45" s="337"/>
      <c r="Q45" s="459">
        <v>460288.83548502001</v>
      </c>
      <c r="R45" s="458">
        <f>SUM(R33+R34+R35+R39)</f>
        <v>495607.26187610999</v>
      </c>
      <c r="S45" s="337">
        <f t="shared" si="24"/>
        <v>7.7</v>
      </c>
      <c r="T45" s="461">
        <v>1540.6</v>
      </c>
      <c r="U45" s="458">
        <f>SUM(U33+U34+U35+U39)</f>
        <v>1619.4</v>
      </c>
      <c r="V45" s="337">
        <f>IF(T45=0, "    ---- ", IF(ABS(ROUND(100/T45*U45-100,1))&lt;999,ROUND(100/T45*U45-100,1),IF(ROUND(100/T45*U45-100,1)&gt;999,999,-999)))</f>
        <v>5.0999999999999996</v>
      </c>
      <c r="W45" s="461">
        <v>49237.434222580006</v>
      </c>
      <c r="X45" s="458">
        <f>SUM(X33+X34+X35+X39)</f>
        <v>50327.619324080006</v>
      </c>
      <c r="Y45" s="337">
        <f t="shared" si="20"/>
        <v>2.2000000000000002</v>
      </c>
      <c r="Z45" s="461">
        <v>75185</v>
      </c>
      <c r="AA45" s="458">
        <f>SUM(AA33+AA34+AA35+AA39)</f>
        <v>82799</v>
      </c>
      <c r="AB45" s="337">
        <f>IF(Z45=0, "    ---- ", IF(ABS(ROUND(100/Z45*AA45-100,1))&lt;999,ROUND(100/Z45*AA45-100,1),IF(ROUND(100/Z45*AA45-100,1)&gt;999,999,-999)))</f>
        <v>10.1</v>
      </c>
      <c r="AC45" s="461"/>
      <c r="AD45" s="458"/>
      <c r="AE45" s="337"/>
      <c r="AF45" s="461"/>
      <c r="AG45" s="458"/>
      <c r="AH45" s="337"/>
      <c r="AI45" s="461">
        <v>20924.917000000001</v>
      </c>
      <c r="AJ45" s="458">
        <f>SUM(AJ33+AJ34+AJ35+AJ39)</f>
        <v>22439.292000000001</v>
      </c>
      <c r="AK45" s="337">
        <f t="shared" si="15"/>
        <v>7.2</v>
      </c>
      <c r="AL45" s="461">
        <v>183739.3</v>
      </c>
      <c r="AM45" s="458">
        <f>SUM(AM33+AM34+AM35+AM39)</f>
        <v>187412</v>
      </c>
      <c r="AN45" s="337">
        <f t="shared" si="22"/>
        <v>2</v>
      </c>
      <c r="AO45" s="440">
        <f t="shared" si="16"/>
        <v>1006815.1527076</v>
      </c>
      <c r="AP45" s="437">
        <f t="shared" si="16"/>
        <v>1057761.0812001899</v>
      </c>
      <c r="AQ45" s="337">
        <f t="shared" si="17"/>
        <v>5.0999999999999996</v>
      </c>
      <c r="AR45" s="440">
        <f t="shared" si="18"/>
        <v>1006815.1527076</v>
      </c>
      <c r="AS45" s="437">
        <f t="shared" si="18"/>
        <v>1057761.0812001899</v>
      </c>
      <c r="AT45" s="460">
        <f t="shared" si="19"/>
        <v>5.0999999999999996</v>
      </c>
      <c r="AU45" s="521"/>
      <c r="AV45" s="521"/>
      <c r="AW45" s="525"/>
    </row>
    <row r="46" spans="1:49" s="490" customFormat="1" ht="20.100000000000001" customHeight="1" x14ac:dyDescent="0.3">
      <c r="A46" s="482" t="s">
        <v>383</v>
      </c>
      <c r="B46" s="461">
        <v>106.992</v>
      </c>
      <c r="C46" s="458">
        <v>125.00700000000001</v>
      </c>
      <c r="D46" s="337">
        <f>IF(B46=0, "    ---- ", IF(ABS(ROUND(100/B46*C46-100,1))&lt;999,ROUND(100/B46*C46-100,1),IF(ROUND(100/B46*C46-100,1)&gt;999,999,-999)))</f>
        <v>16.8</v>
      </c>
      <c r="E46" s="459"/>
      <c r="F46" s="458"/>
      <c r="G46" s="337"/>
      <c r="H46" s="459">
        <v>89.576999999999998</v>
      </c>
      <c r="I46" s="458">
        <v>104.52200000000001</v>
      </c>
      <c r="J46" s="337">
        <f t="shared" si="25"/>
        <v>16.7</v>
      </c>
      <c r="K46" s="459">
        <v>25.16</v>
      </c>
      <c r="L46" s="458">
        <v>23</v>
      </c>
      <c r="M46" s="437"/>
      <c r="N46" s="459"/>
      <c r="O46" s="458"/>
      <c r="P46" s="337"/>
      <c r="Q46" s="459"/>
      <c r="R46" s="458"/>
      <c r="S46" s="337"/>
      <c r="T46" s="461"/>
      <c r="U46" s="458"/>
      <c r="V46" s="337"/>
      <c r="W46" s="461">
        <v>88.2</v>
      </c>
      <c r="X46" s="458">
        <v>94.62</v>
      </c>
      <c r="Y46" s="337">
        <f t="shared" si="20"/>
        <v>7.3</v>
      </c>
      <c r="Z46" s="461"/>
      <c r="AA46" s="458"/>
      <c r="AB46" s="337"/>
      <c r="AC46" s="461"/>
      <c r="AD46" s="458"/>
      <c r="AE46" s="337"/>
      <c r="AF46" s="461"/>
      <c r="AG46" s="458"/>
      <c r="AH46" s="337"/>
      <c r="AI46" s="461">
        <v>415.24299999999999</v>
      </c>
      <c r="AJ46" s="458">
        <v>443.4</v>
      </c>
      <c r="AK46" s="337">
        <f t="shared" si="15"/>
        <v>6.8</v>
      </c>
      <c r="AL46" s="461">
        <v>106.2</v>
      </c>
      <c r="AM46" s="458">
        <v>63</v>
      </c>
      <c r="AN46" s="337"/>
      <c r="AO46" s="440">
        <f t="shared" si="16"/>
        <v>831.37200000000007</v>
      </c>
      <c r="AP46" s="437">
        <f t="shared" si="16"/>
        <v>853.54899999999998</v>
      </c>
      <c r="AQ46" s="337">
        <f t="shared" si="17"/>
        <v>2.7</v>
      </c>
      <c r="AR46" s="440">
        <f t="shared" si="18"/>
        <v>831.37200000000007</v>
      </c>
      <c r="AS46" s="437">
        <f t="shared" si="18"/>
        <v>853.54899999999998</v>
      </c>
      <c r="AT46" s="460">
        <f t="shared" si="19"/>
        <v>2.7</v>
      </c>
      <c r="AU46" s="521"/>
      <c r="AV46" s="521"/>
      <c r="AW46" s="525"/>
    </row>
    <row r="47" spans="1:49" s="490" customFormat="1" ht="20.100000000000001" customHeight="1" x14ac:dyDescent="0.3">
      <c r="A47" s="482" t="s">
        <v>239</v>
      </c>
      <c r="B47" s="461"/>
      <c r="C47" s="458"/>
      <c r="D47" s="458"/>
      <c r="E47" s="459"/>
      <c r="F47" s="458"/>
      <c r="G47" s="458"/>
      <c r="H47" s="459"/>
      <c r="I47" s="458"/>
      <c r="J47" s="458"/>
      <c r="K47" s="459"/>
      <c r="L47" s="458"/>
      <c r="M47" s="437"/>
      <c r="N47" s="459"/>
      <c r="O47" s="458"/>
      <c r="P47" s="337"/>
      <c r="Q47" s="459"/>
      <c r="R47" s="458"/>
      <c r="S47" s="337"/>
      <c r="T47" s="461"/>
      <c r="U47" s="458"/>
      <c r="V47" s="337"/>
      <c r="W47" s="461"/>
      <c r="X47" s="458"/>
      <c r="Y47" s="337"/>
      <c r="Z47" s="461"/>
      <c r="AA47" s="458"/>
      <c r="AB47" s="337"/>
      <c r="AC47" s="461"/>
      <c r="AD47" s="458"/>
      <c r="AE47" s="337"/>
      <c r="AF47" s="461"/>
      <c r="AG47" s="458"/>
      <c r="AH47" s="337"/>
      <c r="AI47" s="461"/>
      <c r="AJ47" s="458"/>
      <c r="AK47" s="337"/>
      <c r="AL47" s="461"/>
      <c r="AM47" s="458"/>
      <c r="AN47" s="337"/>
      <c r="AO47" s="440"/>
      <c r="AP47" s="437"/>
      <c r="AQ47" s="337"/>
      <c r="AR47" s="440"/>
      <c r="AS47" s="437"/>
      <c r="AT47" s="460"/>
      <c r="AU47" s="521"/>
      <c r="AV47" s="521"/>
      <c r="AW47" s="525"/>
    </row>
    <row r="48" spans="1:49" s="490" customFormat="1" ht="20.100000000000001" customHeight="1" x14ac:dyDescent="0.3">
      <c r="A48" s="484" t="s">
        <v>240</v>
      </c>
      <c r="B48" s="461"/>
      <c r="C48" s="458"/>
      <c r="D48" s="458"/>
      <c r="E48" s="459"/>
      <c r="F48" s="458"/>
      <c r="G48" s="458"/>
      <c r="H48" s="459"/>
      <c r="I48" s="458"/>
      <c r="J48" s="458"/>
      <c r="K48" s="459"/>
      <c r="L48" s="458"/>
      <c r="M48" s="437"/>
      <c r="N48" s="459"/>
      <c r="O48" s="458"/>
      <c r="P48" s="337"/>
      <c r="Q48" s="459"/>
      <c r="R48" s="458"/>
      <c r="S48" s="337"/>
      <c r="T48" s="461"/>
      <c r="U48" s="458"/>
      <c r="V48" s="337"/>
      <c r="W48" s="461"/>
      <c r="X48" s="458"/>
      <c r="Y48" s="337"/>
      <c r="Z48" s="461"/>
      <c r="AA48" s="458"/>
      <c r="AB48" s="337"/>
      <c r="AC48" s="461"/>
      <c r="AD48" s="458"/>
      <c r="AE48" s="337"/>
      <c r="AF48" s="461"/>
      <c r="AG48" s="458"/>
      <c r="AH48" s="337"/>
      <c r="AI48" s="461"/>
      <c r="AJ48" s="458"/>
      <c r="AK48" s="337"/>
      <c r="AL48" s="461"/>
      <c r="AM48" s="458"/>
      <c r="AN48" s="337"/>
      <c r="AO48" s="440"/>
      <c r="AP48" s="437"/>
      <c r="AQ48" s="337"/>
      <c r="AR48" s="440"/>
      <c r="AS48" s="437"/>
      <c r="AT48" s="460"/>
      <c r="AU48" s="521"/>
      <c r="AV48" s="521"/>
      <c r="AW48" s="525"/>
    </row>
    <row r="49" spans="1:49" s="490" customFormat="1" ht="20.100000000000001" customHeight="1" x14ac:dyDescent="0.3">
      <c r="A49" s="484" t="s">
        <v>241</v>
      </c>
      <c r="B49" s="461"/>
      <c r="C49" s="458"/>
      <c r="D49" s="458"/>
      <c r="E49" s="459"/>
      <c r="F49" s="458"/>
      <c r="G49" s="458"/>
      <c r="H49" s="459"/>
      <c r="I49" s="458"/>
      <c r="J49" s="458"/>
      <c r="K49" s="459"/>
      <c r="L49" s="458"/>
      <c r="M49" s="437"/>
      <c r="N49" s="459"/>
      <c r="O49" s="458"/>
      <c r="P49" s="337"/>
      <c r="Q49" s="459">
        <v>272.24023388000001</v>
      </c>
      <c r="R49" s="458">
        <v>289.61675788000002</v>
      </c>
      <c r="S49" s="337">
        <f t="shared" ref="S49:S60" si="26">IF(Q49=0, "    ---- ", IF(ABS(ROUND(100/Q49*R49-100,1))&lt;999,ROUND(100/Q49*R49-100,1),IF(ROUND(100/Q49*R49-100,1)&gt;999,999,-999)))</f>
        <v>6.4</v>
      </c>
      <c r="T49" s="461"/>
      <c r="U49" s="458"/>
      <c r="V49" s="337"/>
      <c r="W49" s="461"/>
      <c r="X49" s="458"/>
      <c r="Y49" s="337"/>
      <c r="Z49" s="461"/>
      <c r="AA49" s="458"/>
      <c r="AB49" s="337"/>
      <c r="AC49" s="461"/>
      <c r="AD49" s="458"/>
      <c r="AE49" s="337"/>
      <c r="AF49" s="461"/>
      <c r="AG49" s="458"/>
      <c r="AH49" s="337"/>
      <c r="AI49" s="461"/>
      <c r="AJ49" s="458"/>
      <c r="AK49" s="337"/>
      <c r="AL49" s="461">
        <v>2974.2</v>
      </c>
      <c r="AM49" s="458">
        <v>3885</v>
      </c>
      <c r="AN49" s="337">
        <f t="shared" si="22"/>
        <v>30.6</v>
      </c>
      <c r="AO49" s="440">
        <f t="shared" ref="AO49:AP62" si="27">B49+E49+H49+K49+Q49+T49+W49+Z49+AF49+AI49+AL49</f>
        <v>3246.4402338800001</v>
      </c>
      <c r="AP49" s="437">
        <f t="shared" si="27"/>
        <v>4174.6167578799996</v>
      </c>
      <c r="AQ49" s="337">
        <f t="shared" si="17"/>
        <v>28.6</v>
      </c>
      <c r="AR49" s="440">
        <f t="shared" si="18"/>
        <v>3246.4402338800001</v>
      </c>
      <c r="AS49" s="437">
        <f t="shared" si="18"/>
        <v>4174.6167578799996</v>
      </c>
      <c r="AT49" s="460">
        <f t="shared" si="19"/>
        <v>28.6</v>
      </c>
      <c r="AU49" s="521"/>
      <c r="AV49" s="521"/>
      <c r="AW49" s="525"/>
    </row>
    <row r="50" spans="1:49" s="490" customFormat="1" ht="20.100000000000001" customHeight="1" x14ac:dyDescent="0.3">
      <c r="A50" s="484" t="s">
        <v>242</v>
      </c>
      <c r="B50" s="440"/>
      <c r="C50" s="458"/>
      <c r="D50" s="458"/>
      <c r="E50" s="459"/>
      <c r="F50" s="458"/>
      <c r="G50" s="458"/>
      <c r="H50" s="459"/>
      <c r="I50" s="458"/>
      <c r="J50" s="458"/>
      <c r="K50" s="459"/>
      <c r="L50" s="458"/>
      <c r="M50" s="437"/>
      <c r="N50" s="459"/>
      <c r="O50" s="458"/>
      <c r="P50" s="337"/>
      <c r="Q50" s="459">
        <v>737.82598879</v>
      </c>
      <c r="R50" s="458">
        <f>SUM(R51+R53)</f>
        <v>801.66420201000005</v>
      </c>
      <c r="S50" s="337">
        <f t="shared" si="26"/>
        <v>8.6999999999999993</v>
      </c>
      <c r="T50" s="461"/>
      <c r="U50" s="458"/>
      <c r="V50" s="337"/>
      <c r="W50" s="461"/>
      <c r="X50" s="458"/>
      <c r="Y50" s="337"/>
      <c r="Z50" s="461"/>
      <c r="AA50" s="458"/>
      <c r="AB50" s="337"/>
      <c r="AC50" s="461"/>
      <c r="AD50" s="458"/>
      <c r="AE50" s="337"/>
      <c r="AF50" s="461"/>
      <c r="AG50" s="458"/>
      <c r="AH50" s="337"/>
      <c r="AI50" s="461"/>
      <c r="AJ50" s="458"/>
      <c r="AK50" s="337"/>
      <c r="AL50" s="461">
        <v>282.89999999999998</v>
      </c>
      <c r="AM50" s="458">
        <f>SUM(AM51+AM53)</f>
        <v>300</v>
      </c>
      <c r="AN50" s="337">
        <f t="shared" si="22"/>
        <v>6</v>
      </c>
      <c r="AO50" s="440">
        <f t="shared" si="27"/>
        <v>1020.72598879</v>
      </c>
      <c r="AP50" s="437">
        <f t="shared" si="27"/>
        <v>1101.6642020100001</v>
      </c>
      <c r="AQ50" s="337">
        <f t="shared" si="17"/>
        <v>7.9</v>
      </c>
      <c r="AR50" s="440">
        <f t="shared" si="18"/>
        <v>1020.72598879</v>
      </c>
      <c r="AS50" s="437">
        <f t="shared" si="18"/>
        <v>1101.6642020100001</v>
      </c>
      <c r="AT50" s="460">
        <f t="shared" si="19"/>
        <v>7.9</v>
      </c>
      <c r="AU50" s="521"/>
      <c r="AV50" s="521"/>
      <c r="AW50" s="525"/>
    </row>
    <row r="51" spans="1:49" s="490" customFormat="1" ht="20.100000000000001" customHeight="1" x14ac:dyDescent="0.3">
      <c r="A51" s="484" t="s">
        <v>243</v>
      </c>
      <c r="B51" s="461"/>
      <c r="C51" s="458"/>
      <c r="D51" s="337"/>
      <c r="E51" s="459"/>
      <c r="F51" s="458"/>
      <c r="G51" s="337"/>
      <c r="H51" s="459"/>
      <c r="I51" s="458"/>
      <c r="J51" s="337"/>
      <c r="K51" s="459"/>
      <c r="L51" s="458"/>
      <c r="M51" s="437"/>
      <c r="N51" s="459"/>
      <c r="O51" s="458"/>
      <c r="P51" s="337"/>
      <c r="Q51" s="459">
        <v>119.52241793</v>
      </c>
      <c r="R51" s="458">
        <v>85.971516919999999</v>
      </c>
      <c r="S51" s="337">
        <f t="shared" si="26"/>
        <v>-28.1</v>
      </c>
      <c r="T51" s="461"/>
      <c r="U51" s="458"/>
      <c r="V51" s="337"/>
      <c r="W51" s="461"/>
      <c r="X51" s="458"/>
      <c r="Y51" s="337"/>
      <c r="Z51" s="461"/>
      <c r="AA51" s="458"/>
      <c r="AB51" s="337"/>
      <c r="AC51" s="461"/>
      <c r="AD51" s="458"/>
      <c r="AE51" s="337"/>
      <c r="AF51" s="461"/>
      <c r="AG51" s="458"/>
      <c r="AH51" s="337"/>
      <c r="AI51" s="461"/>
      <c r="AJ51" s="458"/>
      <c r="AK51" s="337"/>
      <c r="AL51" s="461"/>
      <c r="AM51" s="458"/>
      <c r="AN51" s="337"/>
      <c r="AO51" s="440">
        <f t="shared" si="27"/>
        <v>119.52241793</v>
      </c>
      <c r="AP51" s="437">
        <f t="shared" si="27"/>
        <v>85.971516919999999</v>
      </c>
      <c r="AQ51" s="337">
        <f t="shared" si="17"/>
        <v>-28.1</v>
      </c>
      <c r="AR51" s="440">
        <f t="shared" si="18"/>
        <v>119.52241793</v>
      </c>
      <c r="AS51" s="437">
        <f t="shared" si="18"/>
        <v>85.971516919999999</v>
      </c>
      <c r="AT51" s="460">
        <f t="shared" si="19"/>
        <v>-28.1</v>
      </c>
      <c r="AU51" s="521"/>
      <c r="AV51" s="521"/>
      <c r="AW51" s="525"/>
    </row>
    <row r="52" spans="1:49" s="523" customFormat="1" ht="20.100000000000001" customHeight="1" x14ac:dyDescent="0.3">
      <c r="A52" s="484" t="s">
        <v>213</v>
      </c>
      <c r="B52" s="455"/>
      <c r="C52" s="453"/>
      <c r="D52" s="453"/>
      <c r="E52" s="456"/>
      <c r="F52" s="453"/>
      <c r="G52" s="453"/>
      <c r="H52" s="456"/>
      <c r="I52" s="453"/>
      <c r="J52" s="453"/>
      <c r="K52" s="456"/>
      <c r="L52" s="453"/>
      <c r="M52" s="450"/>
      <c r="N52" s="456"/>
      <c r="O52" s="453"/>
      <c r="P52" s="453"/>
      <c r="Q52" s="456">
        <v>119.52241793</v>
      </c>
      <c r="R52" s="453">
        <v>85.971516919999999</v>
      </c>
      <c r="S52" s="453"/>
      <c r="T52" s="455"/>
      <c r="U52" s="453"/>
      <c r="V52" s="453"/>
      <c r="W52" s="455"/>
      <c r="X52" s="453"/>
      <c r="Y52" s="453"/>
      <c r="Z52" s="455"/>
      <c r="AA52" s="453"/>
      <c r="AB52" s="453"/>
      <c r="AC52" s="455"/>
      <c r="AD52" s="453"/>
      <c r="AE52" s="453"/>
      <c r="AF52" s="455"/>
      <c r="AG52" s="453"/>
      <c r="AH52" s="453"/>
      <c r="AI52" s="455"/>
      <c r="AJ52" s="453"/>
      <c r="AK52" s="453"/>
      <c r="AL52" s="455"/>
      <c r="AM52" s="453"/>
      <c r="AN52" s="453"/>
      <c r="AO52" s="454">
        <f t="shared" si="27"/>
        <v>119.52241793</v>
      </c>
      <c r="AP52" s="450">
        <f t="shared" si="27"/>
        <v>85.971516919999999</v>
      </c>
      <c r="AQ52" s="453">
        <f t="shared" si="17"/>
        <v>-28.1</v>
      </c>
      <c r="AR52" s="454">
        <f>B52+E52+H52+K52+N52+Q52+T52+W52+Z52+AC52+AF52+AI52+AL52</f>
        <v>119.52241793</v>
      </c>
      <c r="AS52" s="450">
        <f>C52+F52+I52+L52+O52+R52+U52+X52+AA52+AD52+AG52+AJ52+AM52</f>
        <v>85.971516919999999</v>
      </c>
      <c r="AT52" s="457">
        <f t="shared" si="19"/>
        <v>-28.1</v>
      </c>
      <c r="AU52" s="522"/>
      <c r="AV52" s="522"/>
      <c r="AW52" s="524"/>
    </row>
    <row r="53" spans="1:49" s="490" customFormat="1" ht="20.100000000000001" customHeight="1" x14ac:dyDescent="0.3">
      <c r="A53" s="484" t="s">
        <v>244</v>
      </c>
      <c r="B53" s="461"/>
      <c r="C53" s="458"/>
      <c r="D53" s="458"/>
      <c r="E53" s="459"/>
      <c r="F53" s="458"/>
      <c r="G53" s="458"/>
      <c r="H53" s="459"/>
      <c r="I53" s="458"/>
      <c r="J53" s="458"/>
      <c r="K53" s="459"/>
      <c r="L53" s="458"/>
      <c r="M53" s="437"/>
      <c r="N53" s="459"/>
      <c r="O53" s="458"/>
      <c r="P53" s="337"/>
      <c r="Q53" s="459">
        <v>618.30357086000004</v>
      </c>
      <c r="R53" s="458">
        <v>715.69268509000005</v>
      </c>
      <c r="S53" s="337">
        <f t="shared" si="26"/>
        <v>15.8</v>
      </c>
      <c r="T53" s="461"/>
      <c r="U53" s="458"/>
      <c r="V53" s="337"/>
      <c r="W53" s="461"/>
      <c r="X53" s="458"/>
      <c r="Y53" s="337"/>
      <c r="Z53" s="461"/>
      <c r="AA53" s="458"/>
      <c r="AB53" s="337"/>
      <c r="AC53" s="461"/>
      <c r="AD53" s="458"/>
      <c r="AE53" s="337"/>
      <c r="AF53" s="461"/>
      <c r="AG53" s="458"/>
      <c r="AH53" s="337"/>
      <c r="AI53" s="461"/>
      <c r="AJ53" s="458"/>
      <c r="AK53" s="337"/>
      <c r="AL53" s="461">
        <v>282.89999999999998</v>
      </c>
      <c r="AM53" s="458">
        <v>300</v>
      </c>
      <c r="AN53" s="337"/>
      <c r="AO53" s="440">
        <f t="shared" si="27"/>
        <v>901.20357086000001</v>
      </c>
      <c r="AP53" s="437">
        <f t="shared" si="27"/>
        <v>1015.6926850900001</v>
      </c>
      <c r="AQ53" s="337">
        <f t="shared" si="17"/>
        <v>12.7</v>
      </c>
      <c r="AR53" s="440">
        <f>B53+E53+H53+K53+N53+Q53+T53+W53+Z53+AC53+AF53+AI53+AL53</f>
        <v>901.20357086000001</v>
      </c>
      <c r="AS53" s="437">
        <f t="shared" si="18"/>
        <v>1015.6926850900001</v>
      </c>
      <c r="AT53" s="460">
        <f t="shared" si="19"/>
        <v>12.7</v>
      </c>
      <c r="AU53" s="521"/>
      <c r="AV53" s="521"/>
      <c r="AW53" s="525"/>
    </row>
    <row r="54" spans="1:49" s="490" customFormat="1" ht="20.100000000000001" customHeight="1" x14ac:dyDescent="0.3">
      <c r="A54" s="484" t="s">
        <v>245</v>
      </c>
      <c r="B54" s="440">
        <v>14037.344999999999</v>
      </c>
      <c r="C54" s="458">
        <f>SUM(C55:C59)</f>
        <v>16948.728999999999</v>
      </c>
      <c r="D54" s="458">
        <f>IF(B54=0, "    ---- ", IF(ABS(ROUND(100/B54*C54-100,1))&lt;999,ROUND(100/B54*C54-100,1),IF(ROUND(100/B54*C54-100,1)&gt;999,999,-999)))</f>
        <v>20.7</v>
      </c>
      <c r="E54" s="459">
        <v>60220.194000000003</v>
      </c>
      <c r="F54" s="458">
        <f>SUM(F55:F59)</f>
        <v>75206.080000000002</v>
      </c>
      <c r="G54" s="458">
        <f t="shared" si="14"/>
        <v>24.9</v>
      </c>
      <c r="H54" s="459">
        <v>2680.7439999999997</v>
      </c>
      <c r="I54" s="458">
        <f>SUM(I55:I59)</f>
        <v>3251.4210000000003</v>
      </c>
      <c r="J54" s="458">
        <f>IF(H54=0, "    ---- ", IF(ABS(ROUND(100/H54*I54-100,1))&lt;999,ROUND(100/H54*I54-100,1),IF(ROUND(100/H54*I54-100,1)&gt;999,999,-999)))</f>
        <v>21.3</v>
      </c>
      <c r="K54" s="459">
        <v>17827.650000000001</v>
      </c>
      <c r="L54" s="458">
        <f>SUM(L55:L59)</f>
        <v>22680</v>
      </c>
      <c r="M54" s="437">
        <f t="shared" si="23"/>
        <v>27.2</v>
      </c>
      <c r="N54" s="459"/>
      <c r="O54" s="458"/>
      <c r="P54" s="337"/>
      <c r="Q54" s="459">
        <v>1174.3004724700004</v>
      </c>
      <c r="R54" s="458">
        <f>SUM(R55:R59)</f>
        <v>1283.3536960200001</v>
      </c>
      <c r="S54" s="337">
        <f t="shared" si="26"/>
        <v>9.3000000000000007</v>
      </c>
      <c r="T54" s="461">
        <v>1673.8000000000002</v>
      </c>
      <c r="U54" s="458">
        <f>SUM(U55:U59)</f>
        <v>2683.9</v>
      </c>
      <c r="V54" s="337">
        <f>IF(T54=0, "    ---- ", IF(ABS(ROUND(100/T54*U54-100,1))&lt;999,ROUND(100/T54*U54-100,1),IF(ROUND(100/T54*U54-100,1)&gt;999,999,-999)))</f>
        <v>60.3</v>
      </c>
      <c r="W54" s="461">
        <v>47300.72</v>
      </c>
      <c r="X54" s="458">
        <f>SUM(X55:X59)</f>
        <v>58646.14</v>
      </c>
      <c r="Y54" s="337">
        <f t="shared" si="20"/>
        <v>24</v>
      </c>
      <c r="Z54" s="461"/>
      <c r="AA54" s="458"/>
      <c r="AB54" s="337"/>
      <c r="AC54" s="461">
        <v>1764</v>
      </c>
      <c r="AD54" s="458">
        <f>SUM(AD55:AD59)</f>
        <v>2082</v>
      </c>
      <c r="AE54" s="337">
        <f>IF(AC54=0, "    ---- ", IF(ABS(ROUND(100/AC54*AD54-100,1))&lt;999,ROUND(100/AC54*AD54-100,1),IF(ROUND(100/AC54*AD54-100,1)&gt;999,999,-999)))</f>
        <v>18</v>
      </c>
      <c r="AF54" s="461"/>
      <c r="AG54" s="458"/>
      <c r="AH54" s="337"/>
      <c r="AI54" s="461">
        <v>19262.904000000002</v>
      </c>
      <c r="AJ54" s="458">
        <f>SUM(AJ55:AJ59)</f>
        <v>25000.379000000001</v>
      </c>
      <c r="AK54" s="337">
        <f t="shared" si="15"/>
        <v>29.8</v>
      </c>
      <c r="AL54" s="461">
        <v>61506.100000000006</v>
      </c>
      <c r="AM54" s="458">
        <f>SUM(AM55:AM59)</f>
        <v>76546</v>
      </c>
      <c r="AN54" s="337">
        <f t="shared" si="22"/>
        <v>24.5</v>
      </c>
      <c r="AO54" s="440">
        <f t="shared" si="27"/>
        <v>225683.75747247005</v>
      </c>
      <c r="AP54" s="437">
        <f t="shared" si="27"/>
        <v>282246.00269602</v>
      </c>
      <c r="AQ54" s="337">
        <f t="shared" si="17"/>
        <v>25.1</v>
      </c>
      <c r="AR54" s="440">
        <f t="shared" ref="AR54:AS64" si="28">B54+E54+H54+K54+N54+Q54+T54+W54+Z54+AC54+AF54+AI54+AL54</f>
        <v>227447.75747247005</v>
      </c>
      <c r="AS54" s="437">
        <f t="shared" si="18"/>
        <v>284328.00269602</v>
      </c>
      <c r="AT54" s="460">
        <f t="shared" si="19"/>
        <v>25</v>
      </c>
      <c r="AU54" s="521"/>
      <c r="AV54" s="521"/>
      <c r="AW54" s="525"/>
    </row>
    <row r="55" spans="1:49" s="490" customFormat="1" ht="20.100000000000001" customHeight="1" x14ac:dyDescent="0.3">
      <c r="A55" s="484" t="s">
        <v>246</v>
      </c>
      <c r="B55" s="461">
        <v>8240.9349999999995</v>
      </c>
      <c r="C55" s="458">
        <v>10251.415000000001</v>
      </c>
      <c r="D55" s="458">
        <f>IF(B55=0, "    ---- ", IF(ABS(ROUND(100/B55*C55-100,1))&lt;999,ROUND(100/B55*C55-100,1),IF(ROUND(100/B55*C55-100,1)&gt;999,999,-999)))</f>
        <v>24.4</v>
      </c>
      <c r="E55" s="459">
        <v>31463.717000000001</v>
      </c>
      <c r="F55" s="458">
        <v>40752.315999999999</v>
      </c>
      <c r="G55" s="458">
        <f t="shared" si="14"/>
        <v>29.5</v>
      </c>
      <c r="H55" s="459">
        <v>1475.595</v>
      </c>
      <c r="I55" s="458">
        <v>1909.0550000000001</v>
      </c>
      <c r="J55" s="458">
        <f>IF(H55=0, "    ---- ", IF(ABS(ROUND(100/H55*I55-100,1))&lt;999,ROUND(100/H55*I55-100,1),IF(ROUND(100/H55*I55-100,1)&gt;999,999,-999)))</f>
        <v>29.4</v>
      </c>
      <c r="K55" s="459">
        <v>16002.8</v>
      </c>
      <c r="L55" s="458">
        <v>20034</v>
      </c>
      <c r="M55" s="437">
        <f t="shared" si="23"/>
        <v>25.2</v>
      </c>
      <c r="N55" s="459"/>
      <c r="O55" s="458"/>
      <c r="P55" s="337"/>
      <c r="Q55" s="459">
        <v>518.66368894000004</v>
      </c>
      <c r="R55" s="458">
        <v>644.59500171000002</v>
      </c>
      <c r="S55" s="337">
        <f t="shared" si="26"/>
        <v>24.3</v>
      </c>
      <c r="T55" s="461">
        <v>893</v>
      </c>
      <c r="U55" s="458">
        <v>1678.6</v>
      </c>
      <c r="V55" s="337">
        <f>IF(T55=0, "    ---- ", IF(ABS(ROUND(100/T55*U55-100,1))&lt;999,ROUND(100/T55*U55-100,1),IF(ROUND(100/T55*U55-100,1)&gt;999,999,-999)))</f>
        <v>88</v>
      </c>
      <c r="W55" s="461">
        <v>47289.68</v>
      </c>
      <c r="X55" s="458">
        <v>57675.839999999997</v>
      </c>
      <c r="Y55" s="337">
        <f t="shared" si="20"/>
        <v>22</v>
      </c>
      <c r="Z55" s="461"/>
      <c r="AA55" s="458"/>
      <c r="AB55" s="337"/>
      <c r="AC55" s="461">
        <v>1764</v>
      </c>
      <c r="AD55" s="458">
        <v>2082</v>
      </c>
      <c r="AE55" s="337">
        <f>IF(AC55=0, "    ---- ", IF(ABS(ROUND(100/AC55*AD55-100,1))&lt;999,ROUND(100/AC55*AD55-100,1),IF(ROUND(100/AC55*AD55-100,1)&gt;999,999,-999)))</f>
        <v>18</v>
      </c>
      <c r="AF55" s="461"/>
      <c r="AG55" s="458"/>
      <c r="AH55" s="337"/>
      <c r="AI55" s="461">
        <v>10873.314</v>
      </c>
      <c r="AJ55" s="458">
        <v>14740.538</v>
      </c>
      <c r="AK55" s="337">
        <f t="shared" si="15"/>
        <v>35.6</v>
      </c>
      <c r="AL55" s="461">
        <v>39625.800000000003</v>
      </c>
      <c r="AM55" s="458">
        <v>48963</v>
      </c>
      <c r="AN55" s="337">
        <f t="shared" si="22"/>
        <v>23.6</v>
      </c>
      <c r="AO55" s="440">
        <f t="shared" si="27"/>
        <v>156383.50468894001</v>
      </c>
      <c r="AP55" s="437">
        <f t="shared" si="27"/>
        <v>196649.35900170999</v>
      </c>
      <c r="AQ55" s="337">
        <f t="shared" si="17"/>
        <v>25.7</v>
      </c>
      <c r="AR55" s="440">
        <f t="shared" si="28"/>
        <v>158147.50468894001</v>
      </c>
      <c r="AS55" s="437">
        <f t="shared" si="18"/>
        <v>198731.35900170999</v>
      </c>
      <c r="AT55" s="460">
        <f t="shared" si="19"/>
        <v>25.7</v>
      </c>
      <c r="AU55" s="521"/>
      <c r="AV55" s="521"/>
      <c r="AW55" s="525"/>
    </row>
    <row r="56" spans="1:49" s="490" customFormat="1" ht="20.100000000000001" customHeight="1" x14ac:dyDescent="0.3">
      <c r="A56" s="484" t="s">
        <v>247</v>
      </c>
      <c r="B56" s="461">
        <v>5718.7489999999998</v>
      </c>
      <c r="C56" s="458">
        <v>6595.9179999999997</v>
      </c>
      <c r="D56" s="458">
        <f>IF(B56=0, "    ---- ", IF(ABS(ROUND(100/B56*C56-100,1))&lt;999,ROUND(100/B56*C56-100,1),IF(ROUND(100/B56*C56-100,1)&gt;999,999,-999)))</f>
        <v>15.3</v>
      </c>
      <c r="E56" s="459">
        <v>27161.313999999998</v>
      </c>
      <c r="F56" s="458">
        <v>32925.527999999998</v>
      </c>
      <c r="G56" s="458">
        <f t="shared" si="14"/>
        <v>21.2</v>
      </c>
      <c r="H56" s="459">
        <v>157.453</v>
      </c>
      <c r="I56" s="458">
        <v>164.91900000000001</v>
      </c>
      <c r="J56" s="458">
        <f>IF(H56=0, "    ---- ", IF(ABS(ROUND(100/H56*I56-100,1))&lt;999,ROUND(100/H56*I56-100,1),IF(ROUND(100/H56*I56-100,1)&gt;999,999,-999)))</f>
        <v>4.7</v>
      </c>
      <c r="K56" s="459">
        <v>1777.2</v>
      </c>
      <c r="L56" s="458">
        <v>2531</v>
      </c>
      <c r="M56" s="437">
        <f t="shared" si="23"/>
        <v>42.4</v>
      </c>
      <c r="N56" s="459"/>
      <c r="O56" s="458"/>
      <c r="P56" s="337"/>
      <c r="Q56" s="459">
        <v>619.69967838000002</v>
      </c>
      <c r="R56" s="458">
        <v>603.20503169000006</v>
      </c>
      <c r="S56" s="337">
        <f t="shared" si="26"/>
        <v>-2.7</v>
      </c>
      <c r="T56" s="461">
        <v>769.4</v>
      </c>
      <c r="U56" s="458">
        <v>994.7</v>
      </c>
      <c r="V56" s="337">
        <f>IF(T56=0, "    ---- ", IF(ABS(ROUND(100/T56*U56-100,1))&lt;999,ROUND(100/T56*U56-100,1),IF(ROUND(100/T56*U56-100,1)&gt;999,999,-999)))</f>
        <v>29.3</v>
      </c>
      <c r="W56" s="461"/>
      <c r="X56" s="458"/>
      <c r="Y56" s="337"/>
      <c r="Z56" s="461"/>
      <c r="AA56" s="458"/>
      <c r="AB56" s="337"/>
      <c r="AC56" s="461"/>
      <c r="AD56" s="458"/>
      <c r="AE56" s="337"/>
      <c r="AF56" s="461"/>
      <c r="AG56" s="458"/>
      <c r="AH56" s="337"/>
      <c r="AI56" s="461">
        <v>8349.107</v>
      </c>
      <c r="AJ56" s="458">
        <v>10101.294</v>
      </c>
      <c r="AK56" s="337">
        <f t="shared" si="15"/>
        <v>21</v>
      </c>
      <c r="AL56" s="461">
        <v>21806.799999999999</v>
      </c>
      <c r="AM56" s="458">
        <v>27550</v>
      </c>
      <c r="AN56" s="337">
        <f t="shared" si="22"/>
        <v>26.3</v>
      </c>
      <c r="AO56" s="440">
        <f t="shared" si="27"/>
        <v>66359.72267838</v>
      </c>
      <c r="AP56" s="437">
        <f t="shared" si="27"/>
        <v>81466.564031689995</v>
      </c>
      <c r="AQ56" s="337">
        <f t="shared" si="17"/>
        <v>22.8</v>
      </c>
      <c r="AR56" s="440">
        <f t="shared" si="28"/>
        <v>66359.72267838</v>
      </c>
      <c r="AS56" s="437">
        <f t="shared" si="18"/>
        <v>81466.564031689995</v>
      </c>
      <c r="AT56" s="460">
        <f t="shared" si="19"/>
        <v>22.8</v>
      </c>
      <c r="AU56" s="521"/>
      <c r="AV56" s="521"/>
      <c r="AW56" s="525"/>
    </row>
    <row r="57" spans="1:49" s="490" customFormat="1" ht="20.100000000000001" customHeight="1" x14ac:dyDescent="0.3">
      <c r="A57" s="484" t="s">
        <v>248</v>
      </c>
      <c r="B57" s="461"/>
      <c r="C57" s="458"/>
      <c r="D57" s="337"/>
      <c r="E57" s="459">
        <v>1595.163</v>
      </c>
      <c r="F57" s="458">
        <v>1528.2360000000001</v>
      </c>
      <c r="G57" s="337">
        <f t="shared" si="14"/>
        <v>-4.2</v>
      </c>
      <c r="H57" s="459"/>
      <c r="I57" s="458"/>
      <c r="J57" s="337"/>
      <c r="K57" s="459">
        <v>38.200000000000003</v>
      </c>
      <c r="L57" s="458">
        <v>52</v>
      </c>
      <c r="M57" s="337">
        <f t="shared" si="23"/>
        <v>36.1</v>
      </c>
      <c r="N57" s="459"/>
      <c r="O57" s="458"/>
      <c r="P57" s="337"/>
      <c r="Q57" s="459">
        <v>33.657214429999996</v>
      </c>
      <c r="R57" s="458">
        <v>35.054453240000001</v>
      </c>
      <c r="S57" s="337">
        <f t="shared" si="26"/>
        <v>4.2</v>
      </c>
      <c r="T57" s="461">
        <v>9</v>
      </c>
      <c r="U57" s="458">
        <v>7.2</v>
      </c>
      <c r="V57" s="337">
        <f>IF(T57=0, "    ---- ", IF(ABS(ROUND(100/T57*U57-100,1))&lt;999,ROUND(100/T57*U57-100,1),IF(ROUND(100/T57*U57-100,1)&gt;999,999,-999)))</f>
        <v>-20</v>
      </c>
      <c r="W57" s="461"/>
      <c r="X57" s="458"/>
      <c r="Y57" s="337"/>
      <c r="Z57" s="461"/>
      <c r="AA57" s="458"/>
      <c r="AB57" s="337"/>
      <c r="AC57" s="461"/>
      <c r="AD57" s="458"/>
      <c r="AE57" s="337"/>
      <c r="AF57" s="461"/>
      <c r="AG57" s="458"/>
      <c r="AH57" s="337"/>
      <c r="AI57" s="461"/>
      <c r="AJ57" s="458"/>
      <c r="AK57" s="337"/>
      <c r="AL57" s="461"/>
      <c r="AM57" s="458"/>
      <c r="AN57" s="337"/>
      <c r="AO57" s="440">
        <f t="shared" si="27"/>
        <v>1676.0202144300001</v>
      </c>
      <c r="AP57" s="437">
        <f t="shared" si="27"/>
        <v>1622.4904532400001</v>
      </c>
      <c r="AQ57" s="337">
        <f t="shared" si="17"/>
        <v>-3.2</v>
      </c>
      <c r="AR57" s="440">
        <f t="shared" si="28"/>
        <v>1676.0202144300001</v>
      </c>
      <c r="AS57" s="437">
        <f t="shared" si="18"/>
        <v>1622.4904532400001</v>
      </c>
      <c r="AT57" s="460">
        <f t="shared" si="19"/>
        <v>-3.2</v>
      </c>
      <c r="AU57" s="521"/>
      <c r="AV57" s="521"/>
      <c r="AW57" s="525"/>
    </row>
    <row r="58" spans="1:49" s="490" customFormat="1" ht="20.100000000000001" customHeight="1" x14ac:dyDescent="0.3">
      <c r="A58" s="484" t="s">
        <v>249</v>
      </c>
      <c r="B58" s="461"/>
      <c r="C58" s="458"/>
      <c r="D58" s="337"/>
      <c r="E58" s="459"/>
      <c r="F58" s="458"/>
      <c r="G58" s="337"/>
      <c r="H58" s="459"/>
      <c r="I58" s="458"/>
      <c r="J58" s="337"/>
      <c r="K58" s="459"/>
      <c r="L58" s="458"/>
      <c r="M58" s="337"/>
      <c r="N58" s="459"/>
      <c r="O58" s="458"/>
      <c r="P58" s="337"/>
      <c r="Q58" s="459">
        <v>2.27989073</v>
      </c>
      <c r="R58" s="458">
        <v>0.49920939000000003</v>
      </c>
      <c r="S58" s="337">
        <f t="shared" si="26"/>
        <v>-78.099999999999994</v>
      </c>
      <c r="T58" s="461"/>
      <c r="U58" s="458"/>
      <c r="V58" s="337"/>
      <c r="W58" s="461"/>
      <c r="X58" s="458"/>
      <c r="Y58" s="337"/>
      <c r="Z58" s="461"/>
      <c r="AA58" s="458"/>
      <c r="AB58" s="337"/>
      <c r="AC58" s="461"/>
      <c r="AD58" s="458"/>
      <c r="AE58" s="337"/>
      <c r="AF58" s="461"/>
      <c r="AG58" s="458"/>
      <c r="AH58" s="337"/>
      <c r="AI58" s="461"/>
      <c r="AJ58" s="458"/>
      <c r="AK58" s="337"/>
      <c r="AL58" s="461">
        <v>73.5</v>
      </c>
      <c r="AM58" s="458">
        <v>33</v>
      </c>
      <c r="AN58" s="337">
        <f t="shared" si="22"/>
        <v>-55.1</v>
      </c>
      <c r="AO58" s="440">
        <f t="shared" si="27"/>
        <v>75.779890730000005</v>
      </c>
      <c r="AP58" s="437">
        <f t="shared" si="27"/>
        <v>33.499209389999997</v>
      </c>
      <c r="AQ58" s="337">
        <f t="shared" si="17"/>
        <v>-55.8</v>
      </c>
      <c r="AR58" s="440">
        <f t="shared" si="28"/>
        <v>75.779890730000005</v>
      </c>
      <c r="AS58" s="437">
        <f t="shared" si="18"/>
        <v>33.499209389999997</v>
      </c>
      <c r="AT58" s="460">
        <f t="shared" si="19"/>
        <v>-55.8</v>
      </c>
      <c r="AU58" s="521"/>
      <c r="AV58" s="521"/>
      <c r="AW58" s="525"/>
    </row>
    <row r="59" spans="1:49" s="490" customFormat="1" ht="20.100000000000001" customHeight="1" x14ac:dyDescent="0.3">
      <c r="A59" s="484" t="s">
        <v>250</v>
      </c>
      <c r="B59" s="461">
        <v>77.661000000000001</v>
      </c>
      <c r="C59" s="458">
        <v>101.396</v>
      </c>
      <c r="D59" s="337">
        <f>IF(B59=0, "    ---- ", IF(ABS(ROUND(100/B59*C59-100,1))&lt;999,ROUND(100/B59*C59-100,1),IF(ROUND(100/B59*C59-100,1)&gt;999,999,-999)))</f>
        <v>30.6</v>
      </c>
      <c r="E59" s="459"/>
      <c r="F59" s="458"/>
      <c r="G59" s="337"/>
      <c r="H59" s="459">
        <v>1047.6959999999999</v>
      </c>
      <c r="I59" s="458">
        <v>1177.4469999999999</v>
      </c>
      <c r="J59" s="337">
        <f>IF(H59=0, "    ---- ", IF(ABS(ROUND(100/H59*I59-100,1))&lt;999,ROUND(100/H59*I59-100,1),IF(ROUND(100/H59*I59-100,1)&gt;999,999,-999)))</f>
        <v>12.4</v>
      </c>
      <c r="K59" s="459">
        <v>9.4499999999999993</v>
      </c>
      <c r="L59" s="458">
        <v>63</v>
      </c>
      <c r="M59" s="337">
        <f>IF(K59=0, "    ---- ", IF(ABS(ROUND(100/K59*L59-100,1))&lt;999,ROUND(100/K59*L59-100,1),IF(ROUND(100/K59*L59-100,1)&gt;999,999,-999)))</f>
        <v>566.70000000000005</v>
      </c>
      <c r="N59" s="459"/>
      <c r="O59" s="458"/>
      <c r="P59" s="337"/>
      <c r="Q59" s="459">
        <v>-1E-8</v>
      </c>
      <c r="R59" s="458">
        <v>-1E-8</v>
      </c>
      <c r="S59" s="337">
        <f t="shared" si="26"/>
        <v>0</v>
      </c>
      <c r="T59" s="461">
        <v>2.4</v>
      </c>
      <c r="U59" s="458">
        <v>3.4</v>
      </c>
      <c r="V59" s="337">
        <f t="shared" ref="V59" si="29">IF(T59=0, "    ---- ", IF(ABS(ROUND(100/T59*U59-100,1))&lt;999,ROUND(100/T59*U59-100,1),IF(ROUND(100/T59*U59-100,1)&gt;999,999,-999)))</f>
        <v>41.7</v>
      </c>
      <c r="W59" s="461">
        <v>11.04</v>
      </c>
      <c r="X59" s="458">
        <v>970.3</v>
      </c>
      <c r="Y59" s="337">
        <f t="shared" si="20"/>
        <v>999</v>
      </c>
      <c r="Z59" s="461"/>
      <c r="AA59" s="458"/>
      <c r="AB59" s="337"/>
      <c r="AC59" s="461"/>
      <c r="AD59" s="458"/>
      <c r="AE59" s="337"/>
      <c r="AF59" s="461"/>
      <c r="AG59" s="458"/>
      <c r="AH59" s="337"/>
      <c r="AI59" s="461">
        <v>40.482999999999997</v>
      </c>
      <c r="AJ59" s="458">
        <v>158.547</v>
      </c>
      <c r="AK59" s="337">
        <f t="shared" si="15"/>
        <v>291.60000000000002</v>
      </c>
      <c r="AL59" s="461"/>
      <c r="AM59" s="458"/>
      <c r="AN59" s="337"/>
      <c r="AO59" s="440">
        <f t="shared" si="27"/>
        <v>1188.7299999900001</v>
      </c>
      <c r="AP59" s="437">
        <f t="shared" si="27"/>
        <v>2474.0899999899998</v>
      </c>
      <c r="AQ59" s="337">
        <f t="shared" si="17"/>
        <v>108.1</v>
      </c>
      <c r="AR59" s="440">
        <f t="shared" si="28"/>
        <v>1188.7299999900001</v>
      </c>
      <c r="AS59" s="437">
        <f t="shared" si="18"/>
        <v>2474.0899999899998</v>
      </c>
      <c r="AT59" s="460">
        <f t="shared" si="19"/>
        <v>108.1</v>
      </c>
      <c r="AU59" s="521"/>
      <c r="AV59" s="521"/>
      <c r="AW59" s="525"/>
    </row>
    <row r="60" spans="1:49" s="490" customFormat="1" ht="20.100000000000001" customHeight="1" x14ac:dyDescent="0.3">
      <c r="A60" s="485" t="s">
        <v>251</v>
      </c>
      <c r="B60" s="440">
        <v>14037.344999999999</v>
      </c>
      <c r="C60" s="458">
        <f>SUM(C48+C49+C50+C54)</f>
        <v>16948.728999999999</v>
      </c>
      <c r="D60" s="337">
        <f>IF(B60=0, "    ---- ", IF(ABS(ROUND(100/B60*C60-100,1))&lt;999,ROUND(100/B60*C60-100,1),IF(ROUND(100/B60*C60-100,1)&gt;999,999,-999)))</f>
        <v>20.7</v>
      </c>
      <c r="E60" s="459">
        <v>60220.194000000003</v>
      </c>
      <c r="F60" s="458">
        <f>SUM(F48+F49+F50+F54)</f>
        <v>75206.080000000002</v>
      </c>
      <c r="G60" s="337">
        <f t="shared" si="14"/>
        <v>24.9</v>
      </c>
      <c r="H60" s="459">
        <v>2680.7439999999997</v>
      </c>
      <c r="I60" s="458">
        <f>SUM(I48+I49+I50+I54)</f>
        <v>3251.4210000000003</v>
      </c>
      <c r="J60" s="337">
        <f>IF(H60=0, "    ---- ", IF(ABS(ROUND(100/H60*I60-100,1))&lt;999,ROUND(100/H60*I60-100,1),IF(ROUND(100/H60*I60-100,1)&gt;999,999,-999)))</f>
        <v>21.3</v>
      </c>
      <c r="K60" s="459">
        <v>17827.650000000001</v>
      </c>
      <c r="L60" s="458">
        <f>SUM(L48+L49+L50+L54)</f>
        <v>22680</v>
      </c>
      <c r="M60" s="337">
        <f>IF(K60=0, "    ---- ", IF(ABS(ROUND(100/K60*L60-100,1))&lt;999,ROUND(100/K60*L60-100,1),IF(ROUND(100/K60*L60-100,1)&gt;999,999,-999)))</f>
        <v>27.2</v>
      </c>
      <c r="N60" s="459"/>
      <c r="O60" s="458"/>
      <c r="P60" s="337"/>
      <c r="Q60" s="459">
        <v>2184.3666951400005</v>
      </c>
      <c r="R60" s="458">
        <f>SUM(R48+R49+R50+R54)</f>
        <v>2374.6346559100002</v>
      </c>
      <c r="S60" s="337">
        <f t="shared" si="26"/>
        <v>8.6999999999999993</v>
      </c>
      <c r="T60" s="461">
        <v>1673.8000000000002</v>
      </c>
      <c r="U60" s="458">
        <f>SUM(U48+U49+U50+U54)</f>
        <v>2683.9</v>
      </c>
      <c r="V60" s="337">
        <f>IF(T60=0, "    ---- ", IF(ABS(ROUND(100/T60*U60-100,1))&lt;999,ROUND(100/T60*U60-100,1),IF(ROUND(100/T60*U60-100,1)&gt;999,999,-999)))</f>
        <v>60.3</v>
      </c>
      <c r="W60" s="461">
        <v>47300.72</v>
      </c>
      <c r="X60" s="458">
        <f>SUM(X48+X49+X50+X54)</f>
        <v>58646.14</v>
      </c>
      <c r="Y60" s="337">
        <f t="shared" si="20"/>
        <v>24</v>
      </c>
      <c r="Z60" s="461"/>
      <c r="AA60" s="458"/>
      <c r="AB60" s="337"/>
      <c r="AC60" s="461">
        <v>1764</v>
      </c>
      <c r="AD60" s="458">
        <f>SUM(AD48+AD49+AD50+AD54)</f>
        <v>2082</v>
      </c>
      <c r="AE60" s="337">
        <f>IF(AC60=0, "    ---- ", IF(ABS(ROUND(100/AC60*AD60-100,1))&lt;999,ROUND(100/AC60*AD60-100,1),IF(ROUND(100/AC60*AD60-100,1)&gt;999,999,-999)))</f>
        <v>18</v>
      </c>
      <c r="AF60" s="461"/>
      <c r="AG60" s="458"/>
      <c r="AH60" s="337"/>
      <c r="AI60" s="461">
        <v>19262.904000000002</v>
      </c>
      <c r="AJ60" s="458">
        <f>SUM(AJ48+AJ49+AJ50+AJ54)</f>
        <v>25000.379000000001</v>
      </c>
      <c r="AK60" s="337">
        <f t="shared" si="15"/>
        <v>29.8</v>
      </c>
      <c r="AL60" s="461">
        <v>64763.200000000004</v>
      </c>
      <c r="AM60" s="458">
        <f>SUM(AM48+AM49+AM50+AM54)</f>
        <v>80731</v>
      </c>
      <c r="AN60" s="337">
        <f t="shared" si="22"/>
        <v>24.7</v>
      </c>
      <c r="AO60" s="440">
        <f t="shared" si="27"/>
        <v>229950.92369514002</v>
      </c>
      <c r="AP60" s="437">
        <f t="shared" si="27"/>
        <v>287522.28365591</v>
      </c>
      <c r="AQ60" s="337">
        <f t="shared" si="17"/>
        <v>25</v>
      </c>
      <c r="AR60" s="440">
        <f t="shared" si="28"/>
        <v>231714.92369514002</v>
      </c>
      <c r="AS60" s="437">
        <f t="shared" si="18"/>
        <v>289604.28365591</v>
      </c>
      <c r="AT60" s="460">
        <f t="shared" si="19"/>
        <v>25</v>
      </c>
      <c r="AU60" s="521"/>
      <c r="AV60" s="521"/>
      <c r="AW60" s="525"/>
    </row>
    <row r="61" spans="1:49" s="490" customFormat="1" ht="20.100000000000001" customHeight="1" x14ac:dyDescent="0.3">
      <c r="A61" s="482" t="s">
        <v>384</v>
      </c>
      <c r="B61" s="461"/>
      <c r="C61" s="458"/>
      <c r="D61" s="337"/>
      <c r="E61" s="459"/>
      <c r="F61" s="458"/>
      <c r="G61" s="337"/>
      <c r="H61" s="459"/>
      <c r="I61" s="458"/>
      <c r="J61" s="337"/>
      <c r="K61" s="459"/>
      <c r="L61" s="458"/>
      <c r="M61" s="337"/>
      <c r="N61" s="459"/>
      <c r="O61" s="458"/>
      <c r="P61" s="337"/>
      <c r="Q61" s="459"/>
      <c r="R61" s="458"/>
      <c r="S61" s="337"/>
      <c r="T61" s="461"/>
      <c r="U61" s="458"/>
      <c r="V61" s="337"/>
      <c r="W61" s="461"/>
      <c r="X61" s="458"/>
      <c r="Y61" s="337"/>
      <c r="Z61" s="461"/>
      <c r="AA61" s="458"/>
      <c r="AB61" s="337"/>
      <c r="AC61" s="461"/>
      <c r="AD61" s="458"/>
      <c r="AE61" s="337"/>
      <c r="AF61" s="461"/>
      <c r="AG61" s="458"/>
      <c r="AH61" s="337"/>
      <c r="AI61" s="461"/>
      <c r="AJ61" s="458"/>
      <c r="AK61" s="337"/>
      <c r="AL61" s="461"/>
      <c r="AM61" s="458"/>
      <c r="AN61" s="337"/>
      <c r="AO61" s="440"/>
      <c r="AP61" s="437"/>
      <c r="AQ61" s="337"/>
      <c r="AR61" s="440"/>
      <c r="AS61" s="437"/>
      <c r="AT61" s="460"/>
      <c r="AU61" s="521"/>
      <c r="AV61" s="521"/>
      <c r="AW61" s="525"/>
    </row>
    <row r="62" spans="1:49" s="490" customFormat="1" ht="20.100000000000001" customHeight="1" x14ac:dyDescent="0.3">
      <c r="A62" s="484" t="s">
        <v>252</v>
      </c>
      <c r="B62" s="440">
        <v>15081.427</v>
      </c>
      <c r="C62" s="458">
        <f>SUM(C45+C46+C60+C61)</f>
        <v>18097.069</v>
      </c>
      <c r="D62" s="337">
        <f>IF(B62=0, "    ---- ", IF(ABS(ROUND(100/B62*C62-100,1))&lt;999,ROUND(100/B62*C62-100,1),IF(ROUND(100/B62*C62-100,1)&gt;999,999,-999)))</f>
        <v>20</v>
      </c>
      <c r="E62" s="459">
        <v>269010.23500000004</v>
      </c>
      <c r="F62" s="458">
        <f>SUM(F45+F46+F60+F61)</f>
        <v>284842.29000000004</v>
      </c>
      <c r="G62" s="337">
        <f t="shared" si="14"/>
        <v>5.9</v>
      </c>
      <c r="H62" s="459">
        <v>3538.576</v>
      </c>
      <c r="I62" s="458">
        <f>SUM(I45+I46+I60+I61)</f>
        <v>4252.9080000000004</v>
      </c>
      <c r="J62" s="337">
        <f>IF(H62=0, "    ---- ", IF(ABS(ROUND(100/H62*I62-100,1))&lt;999,ROUND(100/H62*I62-100,1),IF(ROUND(100/H62*I62-100,1)&gt;999,999,-999)))</f>
        <v>20.2</v>
      </c>
      <c r="K62" s="459">
        <v>23256.49</v>
      </c>
      <c r="L62" s="458">
        <f>SUM(L45+L46+L60+L61)</f>
        <v>28703</v>
      </c>
      <c r="M62" s="337">
        <f>IF(K62=0, "    ---- ", IF(ABS(ROUND(100/K62*L62-100,1))&lt;999,ROUND(100/K62*L62-100,1),IF(ROUND(100/K62*L62-100,1)&gt;999,999,-999)))</f>
        <v>23.4</v>
      </c>
      <c r="N62" s="459"/>
      <c r="O62" s="458"/>
      <c r="P62" s="337"/>
      <c r="Q62" s="459">
        <v>462473.20218016003</v>
      </c>
      <c r="R62" s="458">
        <f>SUM(R45+R46+R60+R61)</f>
        <v>497981.89653202001</v>
      </c>
      <c r="S62" s="337">
        <f>IF(Q62=0, "    ---- ", IF(ABS(ROUND(100/Q62*R62-100,1))&lt;999,ROUND(100/Q62*R62-100,1),IF(ROUND(100/Q62*R62-100,1)&gt;999,999,-999)))</f>
        <v>7.7</v>
      </c>
      <c r="T62" s="461">
        <v>3214.4</v>
      </c>
      <c r="U62" s="458">
        <f>SUM(U45+U46+U60+U61)</f>
        <v>4303.3</v>
      </c>
      <c r="V62" s="337">
        <f>IF(T62=0, "    ---- ", IF(ABS(ROUND(100/T62*U62-100,1))&lt;999,ROUND(100/T62*U62-100,1),IF(ROUND(100/T62*U62-100,1)&gt;999,999,-999)))</f>
        <v>33.9</v>
      </c>
      <c r="W62" s="461">
        <v>96626.354222580005</v>
      </c>
      <c r="X62" s="458">
        <f>SUM(X45+X46+X60+X61)</f>
        <v>109068.37932408002</v>
      </c>
      <c r="Y62" s="337">
        <f t="shared" si="20"/>
        <v>12.9</v>
      </c>
      <c r="Z62" s="461">
        <v>75185</v>
      </c>
      <c r="AA62" s="458">
        <f>SUM(AA45+AA46+AA60+AA61)</f>
        <v>82799</v>
      </c>
      <c r="AB62" s="337">
        <f>IF(Z62=0, "    ---- ", IF(ABS(ROUND(100/Z62*AA62-100,1))&lt;999,ROUND(100/Z62*AA62-100,1),IF(ROUND(100/Z62*AA62-100,1)&gt;999,999,-999)))</f>
        <v>10.1</v>
      </c>
      <c r="AC62" s="461">
        <v>1764</v>
      </c>
      <c r="AD62" s="458">
        <f>SUM(AD45+AD46+AD60+AD61)</f>
        <v>2082</v>
      </c>
      <c r="AE62" s="337">
        <f>IF(AC62=0, "    ---- ", IF(ABS(ROUND(100/AC62*AD62-100,1))&lt;999,ROUND(100/AC62*AD62-100,1),IF(ROUND(100/AC62*AD62-100,1)&gt;999,999,-999)))</f>
        <v>18</v>
      </c>
      <c r="AF62" s="461"/>
      <c r="AG62" s="458"/>
      <c r="AH62" s="337"/>
      <c r="AI62" s="461">
        <v>40603.063999999998</v>
      </c>
      <c r="AJ62" s="458">
        <f>SUM(AJ45+AJ46+AJ60+AJ61)</f>
        <v>47883.071000000004</v>
      </c>
      <c r="AK62" s="337">
        <f t="shared" si="15"/>
        <v>17.899999999999999</v>
      </c>
      <c r="AL62" s="461">
        <v>248608.7</v>
      </c>
      <c r="AM62" s="458">
        <f>SUM(AM45+AM46+AM60+AM61)</f>
        <v>268206</v>
      </c>
      <c r="AN62" s="337">
        <f t="shared" si="22"/>
        <v>7.9</v>
      </c>
      <c r="AO62" s="440">
        <f t="shared" si="27"/>
        <v>1237597.4484027401</v>
      </c>
      <c r="AP62" s="437">
        <f t="shared" si="27"/>
        <v>1346136.9138561001</v>
      </c>
      <c r="AQ62" s="337">
        <f t="shared" si="17"/>
        <v>8.8000000000000007</v>
      </c>
      <c r="AR62" s="440">
        <f t="shared" si="28"/>
        <v>1239361.4484027401</v>
      </c>
      <c r="AS62" s="437">
        <f t="shared" si="18"/>
        <v>1348218.9138561001</v>
      </c>
      <c r="AT62" s="460">
        <f t="shared" si="19"/>
        <v>8.8000000000000007</v>
      </c>
      <c r="AU62" s="521"/>
      <c r="AV62" s="526"/>
      <c r="AW62" s="525"/>
    </row>
    <row r="63" spans="1:49" s="529" customFormat="1" ht="20.100000000000001" customHeight="1" x14ac:dyDescent="0.3">
      <c r="A63" s="482"/>
      <c r="B63" s="443"/>
      <c r="C63" s="444"/>
      <c r="D63" s="442"/>
      <c r="E63" s="445"/>
      <c r="F63" s="444"/>
      <c r="G63" s="442"/>
      <c r="H63" s="445"/>
      <c r="I63" s="444"/>
      <c r="J63" s="442"/>
      <c r="K63" s="445"/>
      <c r="L63" s="444"/>
      <c r="M63" s="462"/>
      <c r="N63" s="445"/>
      <c r="O63" s="444"/>
      <c r="P63" s="442"/>
      <c r="Q63" s="445"/>
      <c r="R63" s="444"/>
      <c r="S63" s="442"/>
      <c r="T63" s="443"/>
      <c r="U63" s="444"/>
      <c r="V63" s="442"/>
      <c r="W63" s="443"/>
      <c r="X63" s="444"/>
      <c r="Y63" s="442"/>
      <c r="Z63" s="443"/>
      <c r="AA63" s="444"/>
      <c r="AB63" s="442"/>
      <c r="AC63" s="443"/>
      <c r="AD63" s="444"/>
      <c r="AE63" s="442"/>
      <c r="AF63" s="443"/>
      <c r="AG63" s="444"/>
      <c r="AH63" s="442"/>
      <c r="AI63" s="443"/>
      <c r="AJ63" s="444"/>
      <c r="AK63" s="442"/>
      <c r="AL63" s="443"/>
      <c r="AM63" s="444"/>
      <c r="AN63" s="442"/>
      <c r="AO63" s="463"/>
      <c r="AP63" s="462"/>
      <c r="AQ63" s="442"/>
      <c r="AR63" s="463"/>
      <c r="AS63" s="462"/>
      <c r="AT63" s="464"/>
      <c r="AU63" s="527"/>
      <c r="AV63" s="527"/>
      <c r="AW63" s="528"/>
    </row>
    <row r="64" spans="1:49" s="529" customFormat="1" ht="20.100000000000001" customHeight="1" x14ac:dyDescent="0.3">
      <c r="A64" s="482" t="s">
        <v>253</v>
      </c>
      <c r="B64" s="463">
        <v>15481.642</v>
      </c>
      <c r="C64" s="444">
        <f>SUM(C29+C62)</f>
        <v>18585.167999999998</v>
      </c>
      <c r="D64" s="442">
        <f>IF(B64=0, "    ---- ", IF(ABS(ROUND(100/B64*C64-100,1))&lt;999,ROUND(100/B64*C64-100,1),IF(ROUND(100/B64*C64-100,1)&gt;999,999,-999)))</f>
        <v>20</v>
      </c>
      <c r="E64" s="445">
        <v>298999.37900000002</v>
      </c>
      <c r="F64" s="444">
        <f>SUM(F29+F62)</f>
        <v>316531.96200000006</v>
      </c>
      <c r="G64" s="442">
        <f t="shared" si="14"/>
        <v>5.9</v>
      </c>
      <c r="H64" s="445">
        <v>3840.895</v>
      </c>
      <c r="I64" s="444">
        <f>SUM(I29+I62)</f>
        <v>4583.5770000000002</v>
      </c>
      <c r="J64" s="442">
        <f>IF(H64=0, "    ---- ", IF(ABS(ROUND(100/H64*I64-100,1))&lt;999,ROUND(100/H64*I64-100,1),IF(ROUND(100/H64*I64-100,1)&gt;999,999,-999)))</f>
        <v>19.3</v>
      </c>
      <c r="K64" s="445">
        <v>24327.690000000002</v>
      </c>
      <c r="L64" s="444">
        <f>SUM(L29+L62)</f>
        <v>29891</v>
      </c>
      <c r="M64" s="462">
        <f>IF(K64=0, "    ---- ", IF(ABS(ROUND(100/K64*L64-100,1))&lt;999,ROUND(100/K64*L64-100,1),IF(ROUND(100/K64*L64-100,1)&gt;999,999,-999)))</f>
        <v>22.9</v>
      </c>
      <c r="N64" s="445">
        <v>138</v>
      </c>
      <c r="O64" s="444">
        <f>SUM(O29+O62)</f>
        <v>141</v>
      </c>
      <c r="P64" s="442">
        <f>IF(N64=0, "    ---- ", IF(ABS(ROUND(100/N64*O64-100,1))&lt;999,ROUND(100/N64*O64-100,1),IF(ROUND(100/N64*O64-100,1)&gt;999,999,-999)))</f>
        <v>2.2000000000000002</v>
      </c>
      <c r="Q64" s="445">
        <v>496663.17462933005</v>
      </c>
      <c r="R64" s="444">
        <f>SUM(R29+R62)</f>
        <v>534784.38293719001</v>
      </c>
      <c r="S64" s="442">
        <f>IF(Q64=0, "    ---- ", IF(ABS(ROUND(100/Q64*R64-100,1))&lt;999,ROUND(100/Q64*R64-100,1),IF(ROUND(100/Q64*R64-100,1)&gt;999,999,-999)))</f>
        <v>7.7</v>
      </c>
      <c r="T64" s="443">
        <v>3571.3</v>
      </c>
      <c r="U64" s="444">
        <f>SUM(U29+U62)</f>
        <v>4869.3</v>
      </c>
      <c r="V64" s="442">
        <f>IF(T64=0, "    ---- ", IF(ABS(ROUND(100/T64*U64-100,1))&lt;999,ROUND(100/T64*U64-100,1),IF(ROUND(100/T64*U64-100,1)&gt;999,999,-999)))</f>
        <v>36.299999999999997</v>
      </c>
      <c r="W64" s="443">
        <v>105992.84422258001</v>
      </c>
      <c r="X64" s="444">
        <f>SUM(X29+X62)</f>
        <v>118890.49</v>
      </c>
      <c r="Y64" s="442">
        <f t="shared" si="20"/>
        <v>12.2</v>
      </c>
      <c r="Z64" s="443">
        <v>83672.89</v>
      </c>
      <c r="AA64" s="444">
        <f>SUM(AA29+AA62)</f>
        <v>92126</v>
      </c>
      <c r="AB64" s="442">
        <f>IF(Z64=0, "    ---- ", IF(ABS(ROUND(100/Z64*AA64-100,1))&lt;999,ROUND(100/Z64*AA64-100,1),IF(ROUND(100/Z64*AA64-100,1)&gt;999,999,-999)))</f>
        <v>10.1</v>
      </c>
      <c r="AC64" s="443">
        <v>1815</v>
      </c>
      <c r="AD64" s="444">
        <f>SUM(AD29+AD62)</f>
        <v>2136</v>
      </c>
      <c r="AE64" s="442">
        <f>IF(AC64=0, "    ---- ", IF(ABS(ROUND(100/AC64*AD64-100,1))&lt;999,ROUND(100/AC64*AD64-100,1),IF(ROUND(100/AC64*AD64-100,1)&gt;999,999,-999)))</f>
        <v>17.7</v>
      </c>
      <c r="AF64" s="443"/>
      <c r="AG64" s="444"/>
      <c r="AH64" s="442"/>
      <c r="AI64" s="443">
        <v>47033.142</v>
      </c>
      <c r="AJ64" s="444">
        <f>SUM(AJ29+AJ62)</f>
        <v>54680.953000000001</v>
      </c>
      <c r="AK64" s="442">
        <f t="shared" si="15"/>
        <v>16.3</v>
      </c>
      <c r="AL64" s="443">
        <v>282478.2</v>
      </c>
      <c r="AM64" s="444">
        <f>SUM(AM29+AM62)</f>
        <v>304473</v>
      </c>
      <c r="AN64" s="442">
        <f t="shared" si="22"/>
        <v>7.8</v>
      </c>
      <c r="AO64" s="465">
        <f>B64+E64+H64+K64+Q64+T64+W64+Z64+AF64+AI64+AL64</f>
        <v>1362061.1568519101</v>
      </c>
      <c r="AP64" s="462">
        <f>C64+F64+I64+L64+R64+U64+X64+AA64+AG64+AJ64+AM64</f>
        <v>1479415.8329371901</v>
      </c>
      <c r="AQ64" s="442">
        <f t="shared" si="17"/>
        <v>8.6</v>
      </c>
      <c r="AR64" s="465">
        <f t="shared" si="28"/>
        <v>1364014.1568519101</v>
      </c>
      <c r="AS64" s="462">
        <f t="shared" si="28"/>
        <v>1481692.8329371901</v>
      </c>
      <c r="AT64" s="464">
        <f t="shared" si="19"/>
        <v>8.6</v>
      </c>
      <c r="AU64" s="527"/>
      <c r="AV64" s="527"/>
      <c r="AW64" s="525"/>
    </row>
    <row r="65" spans="1:49" s="490" customFormat="1" ht="20.100000000000001" customHeight="1" x14ac:dyDescent="0.3">
      <c r="A65" s="486"/>
      <c r="B65" s="461"/>
      <c r="C65" s="458"/>
      <c r="D65" s="337"/>
      <c r="E65" s="459"/>
      <c r="F65" s="458"/>
      <c r="G65" s="337"/>
      <c r="H65" s="459"/>
      <c r="I65" s="458"/>
      <c r="J65" s="337"/>
      <c r="K65" s="459"/>
      <c r="L65" s="458"/>
      <c r="M65" s="437"/>
      <c r="N65" s="459"/>
      <c r="O65" s="458"/>
      <c r="P65" s="337"/>
      <c r="Q65" s="459"/>
      <c r="R65" s="458"/>
      <c r="S65" s="337"/>
      <c r="T65" s="461"/>
      <c r="U65" s="458"/>
      <c r="V65" s="337"/>
      <c r="W65" s="461"/>
      <c r="X65" s="458"/>
      <c r="Y65" s="337"/>
      <c r="Z65" s="461"/>
      <c r="AA65" s="458"/>
      <c r="AB65" s="337"/>
      <c r="AC65" s="461"/>
      <c r="AD65" s="458"/>
      <c r="AE65" s="337"/>
      <c r="AF65" s="461"/>
      <c r="AG65" s="458"/>
      <c r="AH65" s="337"/>
      <c r="AI65" s="461"/>
      <c r="AJ65" s="458"/>
      <c r="AK65" s="337"/>
      <c r="AL65" s="461"/>
      <c r="AM65" s="458"/>
      <c r="AN65" s="337"/>
      <c r="AO65" s="440"/>
      <c r="AP65" s="437"/>
      <c r="AQ65" s="337"/>
      <c r="AR65" s="440"/>
      <c r="AS65" s="437"/>
      <c r="AT65" s="460"/>
      <c r="AU65" s="521"/>
      <c r="AV65" s="521"/>
      <c r="AW65" s="525"/>
    </row>
    <row r="66" spans="1:49" s="490" customFormat="1" ht="20.100000000000001" customHeight="1" x14ac:dyDescent="0.3">
      <c r="A66" s="482" t="s">
        <v>254</v>
      </c>
      <c r="B66" s="461"/>
      <c r="C66" s="458"/>
      <c r="D66" s="337"/>
      <c r="E66" s="459"/>
      <c r="F66" s="458"/>
      <c r="G66" s="337"/>
      <c r="H66" s="459"/>
      <c r="I66" s="458"/>
      <c r="J66" s="337"/>
      <c r="K66" s="459"/>
      <c r="L66" s="458"/>
      <c r="M66" s="437"/>
      <c r="N66" s="459"/>
      <c r="O66" s="458"/>
      <c r="P66" s="337"/>
      <c r="Q66" s="459"/>
      <c r="R66" s="458"/>
      <c r="S66" s="337"/>
      <c r="T66" s="461"/>
      <c r="U66" s="458"/>
      <c r="V66" s="337"/>
      <c r="W66" s="461"/>
      <c r="X66" s="458"/>
      <c r="Y66" s="337"/>
      <c r="Z66" s="461"/>
      <c r="AA66" s="458"/>
      <c r="AB66" s="337"/>
      <c r="AC66" s="461"/>
      <c r="AD66" s="458"/>
      <c r="AE66" s="337"/>
      <c r="AF66" s="461"/>
      <c r="AG66" s="458"/>
      <c r="AH66" s="337"/>
      <c r="AI66" s="461"/>
      <c r="AJ66" s="458"/>
      <c r="AK66" s="337"/>
      <c r="AL66" s="461"/>
      <c r="AM66" s="458"/>
      <c r="AN66" s="337"/>
      <c r="AO66" s="440"/>
      <c r="AP66" s="437"/>
      <c r="AQ66" s="337"/>
      <c r="AR66" s="440"/>
      <c r="AS66" s="437"/>
      <c r="AT66" s="460"/>
      <c r="AU66" s="521"/>
      <c r="AV66" s="521"/>
      <c r="AW66" s="525"/>
    </row>
    <row r="67" spans="1:49" s="490" customFormat="1" ht="20.100000000000001" customHeight="1" x14ac:dyDescent="0.3">
      <c r="A67" s="482"/>
      <c r="B67" s="461"/>
      <c r="C67" s="458"/>
      <c r="D67" s="337"/>
      <c r="E67" s="459"/>
      <c r="F67" s="458"/>
      <c r="G67" s="337"/>
      <c r="H67" s="459"/>
      <c r="I67" s="458"/>
      <c r="J67" s="337"/>
      <c r="K67" s="459"/>
      <c r="L67" s="458"/>
      <c r="M67" s="437"/>
      <c r="N67" s="459"/>
      <c r="O67" s="458"/>
      <c r="P67" s="337"/>
      <c r="Q67" s="459"/>
      <c r="R67" s="458"/>
      <c r="S67" s="337"/>
      <c r="T67" s="461"/>
      <c r="U67" s="458"/>
      <c r="V67" s="337"/>
      <c r="W67" s="461"/>
      <c r="X67" s="458"/>
      <c r="Y67" s="337"/>
      <c r="Z67" s="461"/>
      <c r="AA67" s="458"/>
      <c r="AB67" s="337"/>
      <c r="AC67" s="461"/>
      <c r="AD67" s="458"/>
      <c r="AE67" s="337"/>
      <c r="AF67" s="461"/>
      <c r="AG67" s="458"/>
      <c r="AH67" s="337"/>
      <c r="AI67" s="461"/>
      <c r="AJ67" s="458"/>
      <c r="AK67" s="337"/>
      <c r="AL67" s="461"/>
      <c r="AM67" s="458"/>
      <c r="AN67" s="337"/>
      <c r="AO67" s="440"/>
      <c r="AP67" s="437"/>
      <c r="AQ67" s="337"/>
      <c r="AR67" s="440"/>
      <c r="AS67" s="437"/>
      <c r="AT67" s="460"/>
      <c r="AU67" s="521"/>
      <c r="AV67" s="521"/>
      <c r="AW67" s="525"/>
    </row>
    <row r="68" spans="1:49" s="490" customFormat="1" ht="20.100000000000001" customHeight="1" x14ac:dyDescent="0.3">
      <c r="A68" s="484" t="s">
        <v>255</v>
      </c>
      <c r="B68" s="461">
        <v>141.16</v>
      </c>
      <c r="C68" s="458">
        <v>141.16</v>
      </c>
      <c r="D68" s="337">
        <f>IF(B68=0, "    ---- ", IF(ABS(ROUND(100/B68*C68-100,1))&lt;999,ROUND(100/B68*C68-100,1),IF(ROUND(100/B68*C68-100,1)&gt;999,999,-999)))</f>
        <v>0</v>
      </c>
      <c r="E68" s="459">
        <v>7765.924</v>
      </c>
      <c r="F68" s="458">
        <v>7765.924</v>
      </c>
      <c r="G68" s="337">
        <f t="shared" si="14"/>
        <v>0</v>
      </c>
      <c r="H68" s="459">
        <v>175</v>
      </c>
      <c r="I68" s="458">
        <v>175</v>
      </c>
      <c r="J68" s="337">
        <f>IF(H68=0, "    ---- ", IF(ABS(ROUND(100/H68*I68-100,1))&lt;999,ROUND(100/H68*I68-100,1),IF(ROUND(100/H68*I68-100,1)&gt;999,999,-999)))</f>
        <v>0</v>
      </c>
      <c r="K68" s="459">
        <v>119.72199999999999</v>
      </c>
      <c r="L68" s="458">
        <v>120</v>
      </c>
      <c r="M68" s="437">
        <f>IF(K68=0, "    ---- ", IF(ABS(ROUND(100/K68*L68-100,1))&lt;999,ROUND(100/K68*L68-100,1),IF(ROUND(100/K68*L68-100,1)&gt;999,999,-999)))</f>
        <v>0.2</v>
      </c>
      <c r="N68" s="459">
        <v>5</v>
      </c>
      <c r="O68" s="458">
        <v>5</v>
      </c>
      <c r="P68" s="337">
        <f>IF(N68=0, "    ---- ", IF(ABS(ROUND(100/N68*O68-100,1))&lt;999,ROUND(100/N68*O68-100,1),IF(ROUND(100/N68*O68-100,1)&gt;999,999,-999)))</f>
        <v>0</v>
      </c>
      <c r="Q68" s="459">
        <v>11725.542097</v>
      </c>
      <c r="R68" s="458">
        <v>13125.019538</v>
      </c>
      <c r="S68" s="337">
        <f t="shared" ref="S68:S79" si="30">IF(Q68=0, "    ---- ", IF(ABS(ROUND(100/Q68*R68-100,1))&lt;999,ROUND(100/Q68*R68-100,1),IF(ROUND(100/Q68*R68-100,1)&gt;999,999,-999)))</f>
        <v>11.9</v>
      </c>
      <c r="T68" s="461">
        <v>501.3</v>
      </c>
      <c r="U68" s="458">
        <v>741.3</v>
      </c>
      <c r="V68" s="337">
        <f>IF(T68=0, "    ---- ", IF(ABS(ROUND(100/T68*U68-100,1))&lt;999,ROUND(100/T68*U68-100,1),IF(ROUND(100/T68*U68-100,1)&gt;999,999,-999)))</f>
        <v>47.9</v>
      </c>
      <c r="W68" s="461">
        <v>1126.76</v>
      </c>
      <c r="X68" s="458">
        <v>1126.76</v>
      </c>
      <c r="Y68" s="337">
        <f t="shared" si="20"/>
        <v>0</v>
      </c>
      <c r="Z68" s="461">
        <v>1430</v>
      </c>
      <c r="AA68" s="458">
        <v>1430</v>
      </c>
      <c r="AB68" s="337">
        <f>IF(Z68=0, "    ---- ", IF(ABS(ROUND(100/Z68*AA68-100,1))&lt;999,ROUND(100/Z68*AA68-100,1),IF(ROUND(100/Z68*AA68-100,1)&gt;999,999,-999)))</f>
        <v>0</v>
      </c>
      <c r="AC68" s="461">
        <v>49</v>
      </c>
      <c r="AD68" s="458">
        <v>49</v>
      </c>
      <c r="AE68" s="337">
        <f>IF(AC68=0, "    ---- ", IF(ABS(ROUND(100/AC68*AD68-100,1))&lt;999,ROUND(100/AC68*AD68-100,1),IF(ROUND(100/AC68*AD68-100,1)&gt;999,999,-999)))</f>
        <v>0</v>
      </c>
      <c r="AF68" s="461"/>
      <c r="AG68" s="458"/>
      <c r="AH68" s="337"/>
      <c r="AI68" s="461">
        <v>2491.1880000000001</v>
      </c>
      <c r="AJ68" s="458">
        <v>2696.0329999999999</v>
      </c>
      <c r="AK68" s="337">
        <f t="shared" si="15"/>
        <v>8.1999999999999993</v>
      </c>
      <c r="AL68" s="461">
        <v>13251</v>
      </c>
      <c r="AM68" s="458">
        <v>13251</v>
      </c>
      <c r="AN68" s="337">
        <f t="shared" si="22"/>
        <v>0</v>
      </c>
      <c r="AO68" s="440">
        <f t="shared" ref="AO68:AP71" si="31">B68+E68+H68+K68+Q68+T68+W68+Z68+AF68+AI68+AL68</f>
        <v>38727.596097000001</v>
      </c>
      <c r="AP68" s="437">
        <f t="shared" si="31"/>
        <v>40572.196537999997</v>
      </c>
      <c r="AQ68" s="337">
        <f t="shared" si="17"/>
        <v>4.8</v>
      </c>
      <c r="AR68" s="440">
        <f t="shared" si="18"/>
        <v>38781.596097000001</v>
      </c>
      <c r="AS68" s="437">
        <f t="shared" si="18"/>
        <v>40626.196537999997</v>
      </c>
      <c r="AT68" s="460">
        <f t="shared" si="19"/>
        <v>4.8</v>
      </c>
      <c r="AU68" s="521"/>
      <c r="AV68" s="521"/>
      <c r="AW68" s="525"/>
    </row>
    <row r="69" spans="1:49" s="490" customFormat="1" ht="20.100000000000001" customHeight="1" x14ac:dyDescent="0.3">
      <c r="A69" s="484" t="s">
        <v>256</v>
      </c>
      <c r="B69" s="461">
        <v>219.029</v>
      </c>
      <c r="C69" s="458">
        <v>310.15899999999999</v>
      </c>
      <c r="D69" s="337">
        <f>IF(B69=0, "    ---- ", IF(ABS(ROUND(100/B69*C69-100,1))&lt;999,ROUND(100/B69*C69-100,1),IF(ROUND(100/B69*C69-100,1)&gt;999,999,-999)))</f>
        <v>41.6</v>
      </c>
      <c r="E69" s="459">
        <v>14805.883</v>
      </c>
      <c r="F69" s="458">
        <v>16812.458999999999</v>
      </c>
      <c r="G69" s="337">
        <f t="shared" si="14"/>
        <v>13.6</v>
      </c>
      <c r="H69" s="459">
        <v>90.613</v>
      </c>
      <c r="I69" s="458">
        <v>127.369</v>
      </c>
      <c r="J69" s="337">
        <f>IF(H69=0, "    ---- ", IF(ABS(ROUND(100/H69*I69-100,1))&lt;999,ROUND(100/H69*I69-100,1),IF(ROUND(100/H69*I69-100,1)&gt;999,999,-999)))</f>
        <v>40.6</v>
      </c>
      <c r="K69" s="459">
        <v>533.69000000000005</v>
      </c>
      <c r="L69" s="458">
        <v>609</v>
      </c>
      <c r="M69" s="437">
        <f>IF(K69=0, "    ---- ", IF(ABS(ROUND(100/K69*L69-100,1))&lt;999,ROUND(100/K69*L69-100,1),IF(ROUND(100/K69*L69-100,1)&gt;999,999,-999)))</f>
        <v>14.1</v>
      </c>
      <c r="N69" s="459">
        <v>48</v>
      </c>
      <c r="O69" s="458">
        <v>69</v>
      </c>
      <c r="P69" s="337">
        <f>IF(N69=0, "    ---- ", IF(ABS(ROUND(100/N69*O69-100,1))&lt;999,ROUND(100/N69*O69-100,1),IF(ROUND(100/N69*O69-100,1)&gt;999,999,-999)))</f>
        <v>43.8</v>
      </c>
      <c r="Q69" s="459">
        <v>16059.90389661</v>
      </c>
      <c r="R69" s="458">
        <v>17501.424049860001</v>
      </c>
      <c r="S69" s="337">
        <f t="shared" si="30"/>
        <v>9</v>
      </c>
      <c r="T69" s="461">
        <v>-192.8</v>
      </c>
      <c r="U69" s="458">
        <v>-218.7</v>
      </c>
      <c r="V69" s="337">
        <f>IF(T69=0, "    ---- ", IF(ABS(ROUND(100/T69*U69-100,1))&lt;999,ROUND(100/T69*U69-100,1),IF(ROUND(100/T69*U69-100,1)&gt;999,999,-999)))</f>
        <v>13.4</v>
      </c>
      <c r="W69" s="461">
        <v>5426.85</v>
      </c>
      <c r="X69" s="458">
        <v>5982.68</v>
      </c>
      <c r="Y69" s="337">
        <f t="shared" si="20"/>
        <v>10.199999999999999</v>
      </c>
      <c r="Z69" s="461">
        <v>5589</v>
      </c>
      <c r="AA69" s="458">
        <v>6584</v>
      </c>
      <c r="AB69" s="337">
        <f>IF(Z69=0, "    ---- ", IF(ABS(ROUND(100/Z69*AA69-100,1))&lt;999,ROUND(100/Z69*AA69-100,1),IF(ROUND(100/Z69*AA69-100,1)&gt;999,999,-999)))</f>
        <v>17.8</v>
      </c>
      <c r="AC69" s="461">
        <v>-20</v>
      </c>
      <c r="AD69" s="458">
        <v>-7</v>
      </c>
      <c r="AE69" s="337">
        <f>IF(AC69=0, "    ---- ", IF(ABS(ROUND(100/AC69*AD69-100,1))&lt;999,ROUND(100/AC69*AD69-100,1),IF(ROUND(100/AC69*AD69-100,1)&gt;999,999,-999)))</f>
        <v>-65</v>
      </c>
      <c r="AF69" s="461"/>
      <c r="AG69" s="458"/>
      <c r="AH69" s="337"/>
      <c r="AI69" s="461">
        <v>1083.4190000000001</v>
      </c>
      <c r="AJ69" s="458">
        <v>878.57299999999998</v>
      </c>
      <c r="AK69" s="337">
        <f t="shared" si="15"/>
        <v>-18.899999999999999</v>
      </c>
      <c r="AL69" s="461">
        <v>11182.2</v>
      </c>
      <c r="AM69" s="458">
        <v>11564</v>
      </c>
      <c r="AN69" s="337">
        <f t="shared" si="22"/>
        <v>3.4</v>
      </c>
      <c r="AO69" s="440">
        <f t="shared" si="31"/>
        <v>54797.787896610011</v>
      </c>
      <c r="AP69" s="437">
        <f t="shared" si="31"/>
        <v>60150.964049859998</v>
      </c>
      <c r="AQ69" s="337">
        <f t="shared" si="17"/>
        <v>9.8000000000000007</v>
      </c>
      <c r="AR69" s="440">
        <f t="shared" si="18"/>
        <v>54825.787896610011</v>
      </c>
      <c r="AS69" s="437">
        <f t="shared" si="18"/>
        <v>60212.964049859998</v>
      </c>
      <c r="AT69" s="460">
        <f t="shared" si="19"/>
        <v>9.8000000000000007</v>
      </c>
      <c r="AU69" s="521"/>
      <c r="AV69" s="521"/>
      <c r="AW69" s="525"/>
    </row>
    <row r="70" spans="1:49" s="490" customFormat="1" ht="20.100000000000001" customHeight="1" x14ac:dyDescent="0.3">
      <c r="A70" s="484" t="s">
        <v>257</v>
      </c>
      <c r="B70" s="461">
        <v>3.4529999999999998</v>
      </c>
      <c r="C70" s="458"/>
      <c r="D70" s="337"/>
      <c r="E70" s="459">
        <v>406.78399999999999</v>
      </c>
      <c r="F70" s="458">
        <v>526.08000000000004</v>
      </c>
      <c r="G70" s="337">
        <f>IF(E70=0, "    ---- ", IF(ABS(ROUND(100/E70*F70-100,1))&lt;999,ROUND(100/E70*F70-100,1),IF(ROUND(100/E70*F70-100,1)&gt;999,999,-999)))</f>
        <v>29.3</v>
      </c>
      <c r="H70" s="459"/>
      <c r="I70" s="458"/>
      <c r="J70" s="337"/>
      <c r="K70" s="459"/>
      <c r="L70" s="458"/>
      <c r="M70" s="337"/>
      <c r="N70" s="459"/>
      <c r="O70" s="458"/>
      <c r="P70" s="337"/>
      <c r="Q70" s="459">
        <v>3906.802733</v>
      </c>
      <c r="R70" s="458">
        <v>4154.3046469999999</v>
      </c>
      <c r="S70" s="337">
        <f t="shared" si="30"/>
        <v>6.3</v>
      </c>
      <c r="T70" s="461">
        <v>0</v>
      </c>
      <c r="U70" s="458">
        <v>1.7</v>
      </c>
      <c r="V70" s="337" t="str">
        <f>IF(T70=0, "    ---- ", IF(ABS(ROUND(100/T70*U70-100,1))&lt;999,ROUND(100/T70*U70-100,1),IF(ROUND(100/T70*U70-100,1)&gt;999,999,-999)))</f>
        <v xml:space="preserve">    ---- </v>
      </c>
      <c r="W70" s="461">
        <v>94.69</v>
      </c>
      <c r="X70" s="458">
        <v>103.37</v>
      </c>
      <c r="Y70" s="337">
        <f t="shared" si="20"/>
        <v>9.1999999999999993</v>
      </c>
      <c r="Z70" s="461">
        <v>1085</v>
      </c>
      <c r="AA70" s="458">
        <v>1356</v>
      </c>
      <c r="AB70" s="337">
        <f>IF(Z70=0, "    ---- ", IF(ABS(ROUND(100/Z70*AA70-100,1))&lt;999,ROUND(100/Z70*AA70-100,1),IF(ROUND(100/Z70*AA70-100,1)&gt;999,999,-999)))</f>
        <v>25</v>
      </c>
      <c r="AC70" s="461"/>
      <c r="AD70" s="458"/>
      <c r="AE70" s="337"/>
      <c r="AF70" s="461"/>
      <c r="AG70" s="458"/>
      <c r="AH70" s="337"/>
      <c r="AI70" s="461">
        <v>24.343</v>
      </c>
      <c r="AJ70" s="458">
        <v>41.637</v>
      </c>
      <c r="AK70" s="337">
        <f>IF(AI70=0, "    ---- ", IF(ABS(ROUND(100/AI70*AJ70-100,1))&lt;999,ROUND(100/AI70*AJ70-100,1),IF(ROUND(100/AI70*AJ70-100,1)&gt;999,999,-999)))</f>
        <v>71</v>
      </c>
      <c r="AL70" s="461">
        <v>140.4</v>
      </c>
      <c r="AM70" s="458">
        <v>143</v>
      </c>
      <c r="AN70" s="337">
        <f t="shared" si="22"/>
        <v>1.9</v>
      </c>
      <c r="AO70" s="440">
        <f t="shared" si="31"/>
        <v>5661.4727329999987</v>
      </c>
      <c r="AP70" s="437">
        <f t="shared" si="31"/>
        <v>6326.0916469999993</v>
      </c>
      <c r="AQ70" s="337">
        <f t="shared" si="17"/>
        <v>11.7</v>
      </c>
      <c r="AR70" s="440">
        <f t="shared" si="18"/>
        <v>5661.4727329999987</v>
      </c>
      <c r="AS70" s="437">
        <f t="shared" si="18"/>
        <v>6326.0916469999993</v>
      </c>
      <c r="AT70" s="460">
        <f t="shared" si="19"/>
        <v>11.7</v>
      </c>
      <c r="AU70" s="521"/>
      <c r="AV70" s="521"/>
      <c r="AW70" s="525"/>
    </row>
    <row r="71" spans="1:49" s="490" customFormat="1" ht="20.100000000000001" customHeight="1" x14ac:dyDescent="0.3">
      <c r="A71" s="484" t="s">
        <v>258</v>
      </c>
      <c r="B71" s="461"/>
      <c r="C71" s="458"/>
      <c r="D71" s="337"/>
      <c r="E71" s="459">
        <v>5500</v>
      </c>
      <c r="F71" s="458">
        <v>5500</v>
      </c>
      <c r="G71" s="337">
        <f t="shared" si="14"/>
        <v>0</v>
      </c>
      <c r="H71" s="459"/>
      <c r="I71" s="458"/>
      <c r="J71" s="337"/>
      <c r="K71" s="459">
        <v>299.45999999999998</v>
      </c>
      <c r="L71" s="458">
        <v>300</v>
      </c>
      <c r="M71" s="437"/>
      <c r="N71" s="459"/>
      <c r="O71" s="458"/>
      <c r="P71" s="337"/>
      <c r="Q71" s="459">
        <v>7870.4650699899994</v>
      </c>
      <c r="R71" s="458">
        <v>7511.0172832799999</v>
      </c>
      <c r="S71" s="337">
        <f t="shared" si="30"/>
        <v>-4.5999999999999996</v>
      </c>
      <c r="T71" s="461"/>
      <c r="U71" s="458"/>
      <c r="V71" s="337"/>
      <c r="W71" s="461">
        <v>2830</v>
      </c>
      <c r="X71" s="458">
        <v>2830</v>
      </c>
      <c r="Y71" s="337">
        <f t="shared" si="20"/>
        <v>0</v>
      </c>
      <c r="Z71" s="461">
        <v>1240</v>
      </c>
      <c r="AA71" s="458">
        <v>1240</v>
      </c>
      <c r="AB71" s="337">
        <f>IF(Z71=0, "    ---- ", IF(ABS(ROUND(100/Z71*AA71-100,1))&lt;999,ROUND(100/Z71*AA71-100,1),IF(ROUND(100/Z71*AA71-100,1)&gt;999,999,-999)))</f>
        <v>0</v>
      </c>
      <c r="AC71" s="461"/>
      <c r="AD71" s="458"/>
      <c r="AE71" s="337"/>
      <c r="AF71" s="461"/>
      <c r="AG71" s="458"/>
      <c r="AH71" s="337"/>
      <c r="AI71" s="461">
        <v>1000</v>
      </c>
      <c r="AJ71" s="458">
        <v>1000</v>
      </c>
      <c r="AK71" s="337">
        <f t="shared" si="15"/>
        <v>0</v>
      </c>
      <c r="AL71" s="461">
        <v>7343.6</v>
      </c>
      <c r="AM71" s="458">
        <v>8591</v>
      </c>
      <c r="AN71" s="337">
        <f t="shared" si="22"/>
        <v>17</v>
      </c>
      <c r="AO71" s="440">
        <f t="shared" si="31"/>
        <v>26083.525069989999</v>
      </c>
      <c r="AP71" s="437">
        <f t="shared" si="31"/>
        <v>26972.017283280002</v>
      </c>
      <c r="AQ71" s="337">
        <f t="shared" si="17"/>
        <v>3.4</v>
      </c>
      <c r="AR71" s="440">
        <f t="shared" si="18"/>
        <v>26083.525069989999</v>
      </c>
      <c r="AS71" s="437">
        <f t="shared" si="18"/>
        <v>26972.017283280002</v>
      </c>
      <c r="AT71" s="460">
        <f t="shared" si="19"/>
        <v>3.4</v>
      </c>
      <c r="AU71" s="521"/>
      <c r="AW71" s="525"/>
    </row>
    <row r="72" spans="1:49" s="490" customFormat="1" ht="20.100000000000001" customHeight="1" x14ac:dyDescent="0.3">
      <c r="A72" s="484" t="s">
        <v>259</v>
      </c>
      <c r="B72" s="461"/>
      <c r="C72" s="458"/>
      <c r="D72" s="337"/>
      <c r="E72" s="459"/>
      <c r="F72" s="458"/>
      <c r="G72" s="337"/>
      <c r="H72" s="459"/>
      <c r="I72" s="458"/>
      <c r="J72" s="337"/>
      <c r="K72" s="459"/>
      <c r="L72" s="458"/>
      <c r="M72" s="437"/>
      <c r="N72" s="459"/>
      <c r="O72" s="458"/>
      <c r="P72" s="337"/>
      <c r="Q72" s="459"/>
      <c r="R72" s="458"/>
      <c r="S72" s="337"/>
      <c r="T72" s="461"/>
      <c r="U72" s="458"/>
      <c r="V72" s="337"/>
      <c r="W72" s="461"/>
      <c r="X72" s="458"/>
      <c r="Y72" s="337"/>
      <c r="Z72" s="461"/>
      <c r="AA72" s="458"/>
      <c r="AB72" s="337"/>
      <c r="AC72" s="461"/>
      <c r="AD72" s="458"/>
      <c r="AE72" s="337"/>
      <c r="AF72" s="461"/>
      <c r="AG72" s="458"/>
      <c r="AH72" s="337"/>
      <c r="AI72" s="461"/>
      <c r="AJ72" s="458"/>
      <c r="AK72" s="337"/>
      <c r="AL72" s="461"/>
      <c r="AM72" s="458"/>
      <c r="AN72" s="337"/>
      <c r="AO72" s="440"/>
      <c r="AP72" s="437"/>
      <c r="AQ72" s="337"/>
      <c r="AR72" s="440"/>
      <c r="AS72" s="437"/>
      <c r="AT72" s="460"/>
      <c r="AU72" s="521"/>
      <c r="AV72" s="521"/>
      <c r="AW72" s="525"/>
    </row>
    <row r="73" spans="1:49" s="490" customFormat="1" ht="20.100000000000001" customHeight="1" x14ac:dyDescent="0.3">
      <c r="A73" s="484" t="s">
        <v>260</v>
      </c>
      <c r="B73" s="461">
        <v>829.51800000000003</v>
      </c>
      <c r="C73" s="458">
        <v>900.399</v>
      </c>
      <c r="D73" s="337">
        <f>IF(B73=0, "    ---- ", IF(ABS(ROUND(100/B73*C73-100,1))&lt;999,ROUND(100/B73*C73-100,1),IF(ROUND(100/B73*C73-100,1)&gt;999,999,-999)))</f>
        <v>8.5</v>
      </c>
      <c r="E73" s="459">
        <v>197796.557</v>
      </c>
      <c r="F73" s="458">
        <v>196564.073</v>
      </c>
      <c r="G73" s="337">
        <f t="shared" si="14"/>
        <v>-0.6</v>
      </c>
      <c r="H73" s="459">
        <v>703.06899999999996</v>
      </c>
      <c r="I73" s="458">
        <v>811.947</v>
      </c>
      <c r="J73" s="337">
        <f>IF(H73=0, "    ---- ", IF(ABS(ROUND(100/H73*I73-100,1))&lt;999,ROUND(100/H73*I73-100,1),IF(ROUND(100/H73*I73-100,1)&gt;999,999,-999)))</f>
        <v>15.5</v>
      </c>
      <c r="K73" s="459">
        <v>5217.1100000000006</v>
      </c>
      <c r="L73" s="458">
        <v>5785</v>
      </c>
      <c r="M73" s="437">
        <f>IF(K73=0, "    ---- ", IF(ABS(ROUND(100/K73*L73-100,1))&lt;999,ROUND(100/K73*L73-100,1),IF(ROUND(100/K73*L73-100,1)&gt;999,999,-999)))</f>
        <v>10.9</v>
      </c>
      <c r="N73" s="459">
        <v>78</v>
      </c>
      <c r="O73" s="458">
        <v>58</v>
      </c>
      <c r="P73" s="337"/>
      <c r="Q73" s="459">
        <v>380658.20580628997</v>
      </c>
      <c r="R73" s="458">
        <v>403901.95344452001</v>
      </c>
      <c r="S73" s="337">
        <f t="shared" si="30"/>
        <v>6.1</v>
      </c>
      <c r="T73" s="461">
        <v>1426.7</v>
      </c>
      <c r="U73" s="458">
        <v>1476.6</v>
      </c>
      <c r="V73" s="337">
        <f>IF(T73=0, "    ---- ", IF(ABS(ROUND(100/T73*U73-100,1))&lt;999,ROUND(100/T73*U73-100,1),IF(ROUND(100/T73*U73-100,1)&gt;999,999,-999)))</f>
        <v>3.5</v>
      </c>
      <c r="W73" s="461">
        <v>44953.63</v>
      </c>
      <c r="X73" s="458">
        <v>45894.821552869398</v>
      </c>
      <c r="Y73" s="337">
        <f t="shared" si="20"/>
        <v>2.1</v>
      </c>
      <c r="Z73" s="461">
        <v>57973</v>
      </c>
      <c r="AA73" s="458">
        <v>60336</v>
      </c>
      <c r="AB73" s="337">
        <f>IF(Z73=0, "    ---- ", IF(ABS(ROUND(100/Z73*AA73-100,1))&lt;999,ROUND(100/Z73*AA73-100,1),IF(ROUND(100/Z73*AA73-100,1)&gt;999,999,-999)))</f>
        <v>4.0999999999999996</v>
      </c>
      <c r="AC73" s="461"/>
      <c r="AD73" s="458"/>
      <c r="AE73" s="337"/>
      <c r="AF73" s="461"/>
      <c r="AG73" s="458"/>
      <c r="AH73" s="337"/>
      <c r="AI73" s="461">
        <v>18385.452000000001</v>
      </c>
      <c r="AJ73" s="458">
        <v>19345.955999999998</v>
      </c>
      <c r="AK73" s="337">
        <f t="shared" si="15"/>
        <v>5.2</v>
      </c>
      <c r="AL73" s="461">
        <v>168883.69999999998</v>
      </c>
      <c r="AM73" s="458">
        <v>169843</v>
      </c>
      <c r="AN73" s="337">
        <f t="shared" si="22"/>
        <v>0.6</v>
      </c>
      <c r="AO73" s="440">
        <f t="shared" ref="AO73:AP79" si="32">B73+E73+H73+K73+Q73+T73+W73+Z73+AF73+AI73+AL73</f>
        <v>876826.94180628995</v>
      </c>
      <c r="AP73" s="437">
        <f t="shared" si="32"/>
        <v>904859.74999738939</v>
      </c>
      <c r="AQ73" s="337">
        <f t="shared" si="17"/>
        <v>3.2</v>
      </c>
      <c r="AR73" s="440">
        <f t="shared" si="18"/>
        <v>876904.94180628995</v>
      </c>
      <c r="AS73" s="437">
        <f t="shared" si="18"/>
        <v>904917.74999738939</v>
      </c>
      <c r="AT73" s="460">
        <f t="shared" si="19"/>
        <v>3.2</v>
      </c>
      <c r="AU73" s="521"/>
      <c r="AV73" s="521"/>
      <c r="AW73" s="525"/>
    </row>
    <row r="74" spans="1:49" s="490" customFormat="1" ht="20.100000000000001" customHeight="1" x14ac:dyDescent="0.3">
      <c r="A74" s="484" t="s">
        <v>261</v>
      </c>
      <c r="B74" s="461">
        <v>14.471</v>
      </c>
      <c r="C74" s="458">
        <v>14.826000000000001</v>
      </c>
      <c r="D74" s="337">
        <f>IF(B74=0, "    ---- ", IF(ABS(ROUND(100/B74*C74-100,1))&lt;999,ROUND(100/B74*C74-100,1),IF(ROUND(100/B74*C74-100,1)&gt;999,999,-999)))</f>
        <v>2.5</v>
      </c>
      <c r="E74" s="459">
        <v>6751.674</v>
      </c>
      <c r="F74" s="458">
        <v>7719.8959999999997</v>
      </c>
      <c r="G74" s="337">
        <f t="shared" si="14"/>
        <v>14.3</v>
      </c>
      <c r="H74" s="459">
        <v>1.587</v>
      </c>
      <c r="I74" s="458">
        <v>3.4990000000000001</v>
      </c>
      <c r="J74" s="337">
        <f>IF(H74=0, "    ---- ", IF(ABS(ROUND(100/H74*I74-100,1))&lt;999,ROUND(100/H74*I74-100,1),IF(ROUND(100/H74*I74-100,1)&gt;999,999,-999)))</f>
        <v>120.5</v>
      </c>
      <c r="K74" s="459">
        <v>164.39</v>
      </c>
      <c r="L74" s="458">
        <v>176</v>
      </c>
      <c r="M74" s="437">
        <f>IF(K74=0, "    ---- ", IF(ABS(ROUND(100/K74*L74-100,1))&lt;999,ROUND(100/K74*L74-100,1),IF(ROUND(100/K74*L74-100,1)&gt;999,999,-999)))</f>
        <v>7.1</v>
      </c>
      <c r="N74" s="459"/>
      <c r="O74" s="458"/>
      <c r="P74" s="337"/>
      <c r="Q74" s="459">
        <v>24291.653251</v>
      </c>
      <c r="R74" s="458">
        <v>25399.371749000002</v>
      </c>
      <c r="S74" s="337">
        <f t="shared" si="30"/>
        <v>4.5999999999999996</v>
      </c>
      <c r="T74" s="461">
        <v>47.6</v>
      </c>
      <c r="U74" s="458">
        <v>106.3</v>
      </c>
      <c r="V74" s="337">
        <f>IF(T74=0, "    ---- ", IF(ABS(ROUND(100/T74*U74-100,1))&lt;999,ROUND(100/T74*U74-100,1),IF(ROUND(100/T74*U74-100,1)&gt;999,999,-999)))</f>
        <v>123.3</v>
      </c>
      <c r="W74" s="461">
        <v>1338.81</v>
      </c>
      <c r="X74" s="458">
        <v>1640.18</v>
      </c>
      <c r="Y74" s="337">
        <f t="shared" si="20"/>
        <v>22.5</v>
      </c>
      <c r="Z74" s="461">
        <v>4068</v>
      </c>
      <c r="AA74" s="458">
        <v>7101</v>
      </c>
      <c r="AB74" s="337">
        <f>IF(Z74=0, "    ---- ", IF(ABS(ROUND(100/Z74*AA74-100,1))&lt;999,ROUND(100/Z74*AA74-100,1),IF(ROUND(100/Z74*AA74-100,1)&gt;999,999,-999)))</f>
        <v>74.599999999999994</v>
      </c>
      <c r="AC74" s="461"/>
      <c r="AD74" s="458"/>
      <c r="AE74" s="337"/>
      <c r="AF74" s="461"/>
      <c r="AG74" s="458"/>
      <c r="AH74" s="337"/>
      <c r="AI74" s="461">
        <v>616.14</v>
      </c>
      <c r="AJ74" s="458">
        <v>842.38800000000003</v>
      </c>
      <c r="AK74" s="337">
        <f t="shared" si="15"/>
        <v>36.700000000000003</v>
      </c>
      <c r="AL74" s="461">
        <v>6793.7</v>
      </c>
      <c r="AM74" s="458">
        <v>8254</v>
      </c>
      <c r="AN74" s="337">
        <f t="shared" si="22"/>
        <v>21.5</v>
      </c>
      <c r="AO74" s="440">
        <f t="shared" si="32"/>
        <v>44088.025250999999</v>
      </c>
      <c r="AP74" s="437">
        <f t="shared" si="32"/>
        <v>51257.460749000005</v>
      </c>
      <c r="AQ74" s="337">
        <f t="shared" si="17"/>
        <v>16.3</v>
      </c>
      <c r="AR74" s="440">
        <f t="shared" si="18"/>
        <v>44088.025250999999</v>
      </c>
      <c r="AS74" s="437">
        <f t="shared" si="18"/>
        <v>51257.460749000005</v>
      </c>
      <c r="AT74" s="460">
        <f t="shared" si="19"/>
        <v>16.3</v>
      </c>
      <c r="AU74" s="521"/>
      <c r="AV74" s="521"/>
      <c r="AW74" s="525"/>
    </row>
    <row r="75" spans="1:49" s="490" customFormat="1" ht="20.100000000000001" customHeight="1" x14ac:dyDescent="0.3">
      <c r="A75" s="484" t="s">
        <v>262</v>
      </c>
      <c r="B75" s="461">
        <v>28.567</v>
      </c>
      <c r="C75" s="458">
        <v>39.386000000000003</v>
      </c>
      <c r="D75" s="337">
        <f>IF(B75=0, "    ---- ", IF(ABS(ROUND(100/B75*C75-100,1))&lt;999,ROUND(100/B75*C75-100,1),IF(ROUND(100/B75*C75-100,1)&gt;999,999,-999)))</f>
        <v>37.9</v>
      </c>
      <c r="E75" s="459">
        <v>2424.2280000000001</v>
      </c>
      <c r="F75" s="458">
        <v>3261.951</v>
      </c>
      <c r="G75" s="337">
        <f t="shared" si="14"/>
        <v>34.6</v>
      </c>
      <c r="H75" s="459"/>
      <c r="I75" s="458"/>
      <c r="J75" s="337"/>
      <c r="K75" s="459">
        <v>26.9</v>
      </c>
      <c r="L75" s="458">
        <v>55</v>
      </c>
      <c r="M75" s="437">
        <f>IF(K75=0, "    ---- ", IF(ABS(ROUND(100/K75*L75-100,1))&lt;999,ROUND(100/K75*L75-100,1),IF(ROUND(100/K75*L75-100,1)&gt;999,999,-999)))</f>
        <v>104.5</v>
      </c>
      <c r="N75" s="459"/>
      <c r="O75" s="458"/>
      <c r="P75" s="337"/>
      <c r="Q75" s="466">
        <v>28337.312049</v>
      </c>
      <c r="R75" s="458">
        <v>42277.481306000001</v>
      </c>
      <c r="S75" s="337">
        <f t="shared" si="30"/>
        <v>49.2</v>
      </c>
      <c r="T75" s="461">
        <v>66.8</v>
      </c>
      <c r="U75" s="458">
        <v>31</v>
      </c>
      <c r="V75" s="337">
        <f>IF(T75=0, "    ---- ", IF(ABS(ROUND(100/T75*U75-100,1))&lt;999,ROUND(100/T75*U75-100,1),IF(ROUND(100/T75*U75-100,1)&gt;999,999,-999)))</f>
        <v>-53.6</v>
      </c>
      <c r="W75" s="461">
        <v>1061.3599999999999</v>
      </c>
      <c r="X75" s="458">
        <v>1378.66</v>
      </c>
      <c r="Y75" s="337">
        <f t="shared" si="20"/>
        <v>29.9</v>
      </c>
      <c r="Z75" s="461">
        <v>9271</v>
      </c>
      <c r="AA75" s="458">
        <v>10933</v>
      </c>
      <c r="AB75" s="337">
        <f>IF(Z75=0, "    ---- ", IF(ABS(ROUND(100/Z75*AA75-100,1))&lt;999,ROUND(100/Z75*AA75-100,1),IF(ROUND(100/Z75*AA75-100,1)&gt;999,999,-999)))</f>
        <v>17.899999999999999</v>
      </c>
      <c r="AC75" s="461"/>
      <c r="AD75" s="458"/>
      <c r="AE75" s="337"/>
      <c r="AF75" s="461"/>
      <c r="AG75" s="458"/>
      <c r="AH75" s="337"/>
      <c r="AI75" s="461">
        <v>1892.39</v>
      </c>
      <c r="AJ75" s="458">
        <v>2286.9650000000001</v>
      </c>
      <c r="AK75" s="337">
        <f t="shared" si="15"/>
        <v>20.9</v>
      </c>
      <c r="AL75" s="461">
        <v>2683.5</v>
      </c>
      <c r="AM75" s="458">
        <v>3707</v>
      </c>
      <c r="AN75" s="337">
        <f t="shared" si="22"/>
        <v>38.1</v>
      </c>
      <c r="AO75" s="440">
        <f t="shared" si="32"/>
        <v>45792.057048999995</v>
      </c>
      <c r="AP75" s="437">
        <f t="shared" si="32"/>
        <v>63970.443306000001</v>
      </c>
      <c r="AQ75" s="337">
        <f t="shared" si="17"/>
        <v>39.700000000000003</v>
      </c>
      <c r="AR75" s="440">
        <f t="shared" si="18"/>
        <v>45792.057048999995</v>
      </c>
      <c r="AS75" s="437">
        <f t="shared" si="18"/>
        <v>63970.443306000001</v>
      </c>
      <c r="AT75" s="460">
        <f t="shared" si="19"/>
        <v>39.700000000000003</v>
      </c>
      <c r="AU75" s="521"/>
      <c r="AV75" s="521"/>
      <c r="AW75" s="525"/>
    </row>
    <row r="76" spans="1:49" s="490" customFormat="1" ht="20.100000000000001" customHeight="1" x14ac:dyDescent="0.3">
      <c r="A76" s="484" t="s">
        <v>415</v>
      </c>
      <c r="B76" s="461">
        <v>16.712</v>
      </c>
      <c r="C76" s="458">
        <v>15.43</v>
      </c>
      <c r="D76" s="337">
        <f>IF(B76=0, "    ---- ", IF(ABS(ROUND(100/B76*C76-100,1))&lt;999,ROUND(100/B76*C76-100,1),IF(ROUND(100/B76*C76-100,1)&gt;999,999,-999)))</f>
        <v>-7.7</v>
      </c>
      <c r="E76" s="459">
        <v>1152.451</v>
      </c>
      <c r="F76" s="458">
        <v>925.06700000000001</v>
      </c>
      <c r="G76" s="337">
        <f t="shared" si="14"/>
        <v>-19.7</v>
      </c>
      <c r="H76" s="459"/>
      <c r="I76" s="458"/>
      <c r="J76" s="337"/>
      <c r="K76" s="459">
        <v>1.165</v>
      </c>
      <c r="L76" s="458">
        <v>2</v>
      </c>
      <c r="M76" s="437"/>
      <c r="N76" s="459"/>
      <c r="O76" s="458"/>
      <c r="P76" s="337"/>
      <c r="Q76" s="459">
        <v>16906.649821999999</v>
      </c>
      <c r="R76" s="458">
        <v>15205.937484</v>
      </c>
      <c r="S76" s="337">
        <f t="shared" si="30"/>
        <v>-10.1</v>
      </c>
      <c r="T76" s="461">
        <v>26.2</v>
      </c>
      <c r="U76" s="458">
        <v>30.3</v>
      </c>
      <c r="V76" s="337">
        <f>IF(T76=0, "    ---- ", IF(ABS(ROUND(100/T76*U76-100,1))&lt;999,ROUND(100/T76*U76-100,1),IF(ROUND(100/T76*U76-100,1)&gt;999,999,-999)))</f>
        <v>15.6</v>
      </c>
      <c r="W76" s="461">
        <v>465.07</v>
      </c>
      <c r="X76" s="458">
        <v>649.46</v>
      </c>
      <c r="Y76" s="337">
        <f t="shared" si="20"/>
        <v>39.6</v>
      </c>
      <c r="Z76" s="461"/>
      <c r="AA76" s="458"/>
      <c r="AB76" s="337"/>
      <c r="AC76" s="461"/>
      <c r="AD76" s="458"/>
      <c r="AE76" s="337"/>
      <c r="AF76" s="461"/>
      <c r="AG76" s="458"/>
      <c r="AH76" s="337"/>
      <c r="AI76" s="461">
        <v>358.97199999999998</v>
      </c>
      <c r="AJ76" s="458">
        <v>388.57799999999997</v>
      </c>
      <c r="AK76" s="337">
        <f t="shared" si="15"/>
        <v>8.1999999999999993</v>
      </c>
      <c r="AL76" s="461">
        <v>2671.2</v>
      </c>
      <c r="AM76" s="458">
        <v>2564</v>
      </c>
      <c r="AN76" s="337">
        <f t="shared" si="22"/>
        <v>-4</v>
      </c>
      <c r="AO76" s="440">
        <f t="shared" si="32"/>
        <v>21598.419822000003</v>
      </c>
      <c r="AP76" s="437">
        <f t="shared" si="32"/>
        <v>19780.772484000001</v>
      </c>
      <c r="AQ76" s="337">
        <f t="shared" si="17"/>
        <v>-8.4</v>
      </c>
      <c r="AR76" s="440">
        <f t="shared" si="18"/>
        <v>21598.419822000003</v>
      </c>
      <c r="AS76" s="437">
        <f t="shared" si="18"/>
        <v>19780.772484000001</v>
      </c>
      <c r="AT76" s="460">
        <f t="shared" si="19"/>
        <v>-8.4</v>
      </c>
      <c r="AU76" s="521"/>
      <c r="AV76" s="521"/>
      <c r="AW76" s="525"/>
    </row>
    <row r="77" spans="1:49" s="490" customFormat="1" ht="20.100000000000001" customHeight="1" x14ac:dyDescent="0.3">
      <c r="A77" s="484" t="s">
        <v>416</v>
      </c>
      <c r="B77" s="461">
        <v>47.822000000000003</v>
      </c>
      <c r="C77" s="458">
        <v>53.293999999999997</v>
      </c>
      <c r="D77" s="337">
        <f>IF(B77=0, "    ---- ", IF(ABS(ROUND(100/B77*C77-100,1))&lt;999,ROUND(100/B77*C77-100,1),IF(ROUND(100/B77*C77-100,1)&gt;999,999,-999)))</f>
        <v>11.4</v>
      </c>
      <c r="E77" s="459">
        <v>34.835000000000001</v>
      </c>
      <c r="F77" s="458">
        <v>29.43</v>
      </c>
      <c r="G77" s="337">
        <f t="shared" si="14"/>
        <v>-15.5</v>
      </c>
      <c r="H77" s="459">
        <v>19.602</v>
      </c>
      <c r="I77" s="458">
        <v>23.420999999999999</v>
      </c>
      <c r="J77" s="337">
        <f>IF(H77=0, "    ---- ", IF(ABS(ROUND(100/H77*I77-100,1))&lt;999,ROUND(100/H77*I77-100,1),IF(ROUND(100/H77*I77-100,1)&gt;999,999,-999)))</f>
        <v>19.5</v>
      </c>
      <c r="K77" s="459"/>
      <c r="L77" s="458"/>
      <c r="M77" s="437"/>
      <c r="N77" s="459"/>
      <c r="O77" s="458"/>
      <c r="P77" s="337"/>
      <c r="Q77" s="459"/>
      <c r="R77" s="458">
        <v>0</v>
      </c>
      <c r="S77" s="337"/>
      <c r="T77" s="461"/>
      <c r="U77" s="458"/>
      <c r="V77" s="337"/>
      <c r="W77" s="461">
        <v>703.69999999999993</v>
      </c>
      <c r="X77" s="458">
        <v>0</v>
      </c>
      <c r="Y77" s="337">
        <f t="shared" si="20"/>
        <v>-100</v>
      </c>
      <c r="Z77" s="461">
        <v>2267</v>
      </c>
      <c r="AA77" s="458">
        <v>2303</v>
      </c>
      <c r="AB77" s="337">
        <f>IF(Z77=0, "    ---- ", IF(ABS(ROUND(100/Z77*AA77-100,1))&lt;999,ROUND(100/Z77*AA77-100,1),IF(ROUND(100/Z77*AA77-100,1)&gt;999,999,-999)))</f>
        <v>1.6</v>
      </c>
      <c r="AC77" s="461"/>
      <c r="AD77" s="458"/>
      <c r="AE77" s="337"/>
      <c r="AF77" s="461"/>
      <c r="AG77" s="458"/>
      <c r="AH77" s="337"/>
      <c r="AI77" s="461"/>
      <c r="AJ77" s="458"/>
      <c r="AK77" s="337"/>
      <c r="AL77" s="461">
        <v>683.5</v>
      </c>
      <c r="AM77" s="458">
        <v>631</v>
      </c>
      <c r="AN77" s="337">
        <f t="shared" si="22"/>
        <v>-7.7</v>
      </c>
      <c r="AO77" s="440">
        <f t="shared" si="32"/>
        <v>3756.4589999999998</v>
      </c>
      <c r="AP77" s="437">
        <f t="shared" si="32"/>
        <v>3040.145</v>
      </c>
      <c r="AQ77" s="337">
        <f t="shared" si="17"/>
        <v>-19.100000000000001</v>
      </c>
      <c r="AR77" s="440">
        <f t="shared" si="18"/>
        <v>3756.4589999999998</v>
      </c>
      <c r="AS77" s="437">
        <f t="shared" si="18"/>
        <v>3040.145</v>
      </c>
      <c r="AT77" s="460">
        <f t="shared" si="19"/>
        <v>-19.100000000000001</v>
      </c>
      <c r="AU77" s="521"/>
      <c r="AV77" s="521"/>
      <c r="AW77" s="525"/>
    </row>
    <row r="78" spans="1:49" s="490" customFormat="1" ht="20.100000000000001" customHeight="1" x14ac:dyDescent="0.3">
      <c r="A78" s="484" t="s">
        <v>263</v>
      </c>
      <c r="B78" s="461"/>
      <c r="C78" s="458"/>
      <c r="D78" s="337"/>
      <c r="E78" s="459"/>
      <c r="F78" s="458"/>
      <c r="G78" s="337"/>
      <c r="H78" s="459"/>
      <c r="I78" s="458"/>
      <c r="J78" s="337"/>
      <c r="K78" s="459"/>
      <c r="L78" s="458"/>
      <c r="M78" s="437"/>
      <c r="N78" s="459"/>
      <c r="O78" s="458"/>
      <c r="P78" s="337"/>
      <c r="Q78" s="459"/>
      <c r="R78" s="458">
        <v>0</v>
      </c>
      <c r="S78" s="337"/>
      <c r="T78" s="461"/>
      <c r="U78" s="458"/>
      <c r="V78" s="337"/>
      <c r="W78" s="461"/>
      <c r="X78" s="458"/>
      <c r="Y78" s="337"/>
      <c r="Z78" s="461">
        <v>424</v>
      </c>
      <c r="AA78" s="458">
        <v>385</v>
      </c>
      <c r="AB78" s="337">
        <f>IF(Z78=0, "    ---- ", IF(ABS(ROUND(100/Z78*AA78-100,1))&lt;999,ROUND(100/Z78*AA78-100,1),IF(ROUND(100/Z78*AA78-100,1)&gt;999,999,-999)))</f>
        <v>-9.1999999999999993</v>
      </c>
      <c r="AC78" s="461"/>
      <c r="AD78" s="458"/>
      <c r="AE78" s="337"/>
      <c r="AF78" s="461"/>
      <c r="AG78" s="458"/>
      <c r="AH78" s="337"/>
      <c r="AI78" s="461"/>
      <c r="AJ78" s="458"/>
      <c r="AK78" s="337"/>
      <c r="AL78" s="461"/>
      <c r="AM78" s="458"/>
      <c r="AN78" s="337"/>
      <c r="AO78" s="440">
        <f t="shared" si="32"/>
        <v>424</v>
      </c>
      <c r="AP78" s="437">
        <f t="shared" si="32"/>
        <v>385</v>
      </c>
      <c r="AQ78" s="337">
        <f t="shared" si="17"/>
        <v>-9.1999999999999993</v>
      </c>
      <c r="AR78" s="440">
        <f t="shared" si="18"/>
        <v>424</v>
      </c>
      <c r="AS78" s="437">
        <f t="shared" si="18"/>
        <v>385</v>
      </c>
      <c r="AT78" s="460">
        <f t="shared" si="19"/>
        <v>-9.1999999999999993</v>
      </c>
      <c r="AU78" s="521"/>
      <c r="AV78" s="521"/>
      <c r="AW78" s="525"/>
    </row>
    <row r="79" spans="1:49" s="490" customFormat="1" ht="20.100000000000001" customHeight="1" x14ac:dyDescent="0.3">
      <c r="A79" s="485" t="s">
        <v>264</v>
      </c>
      <c r="B79" s="440">
        <v>937.09</v>
      </c>
      <c r="C79" s="458">
        <f>SUM(C73:C78)</f>
        <v>1023.3349999999999</v>
      </c>
      <c r="D79" s="337">
        <f>IF(B79=0, "    ---- ", IF(ABS(ROUND(100/B79*C79-100,1))&lt;999,ROUND(100/B79*C79-100,1),IF(ROUND(100/B79*C79-100,1)&gt;999,999,-999)))</f>
        <v>9.1999999999999993</v>
      </c>
      <c r="E79" s="459">
        <v>208159.745</v>
      </c>
      <c r="F79" s="458">
        <f>SUM(F73:F78)</f>
        <v>208500.41700000002</v>
      </c>
      <c r="G79" s="337">
        <f t="shared" si="14"/>
        <v>0.2</v>
      </c>
      <c r="H79" s="459">
        <v>724.25799999999992</v>
      </c>
      <c r="I79" s="458">
        <f>SUM(I73:I78)</f>
        <v>838.86700000000008</v>
      </c>
      <c r="J79" s="337">
        <f>IF(H79=0, "    ---- ", IF(ABS(ROUND(100/H79*I79-100,1))&lt;999,ROUND(100/H79*I79-100,1),IF(ROUND(100/H79*I79-100,1)&gt;999,999,-999)))</f>
        <v>15.8</v>
      </c>
      <c r="K79" s="459">
        <v>5409.5650000000005</v>
      </c>
      <c r="L79" s="458">
        <f>SUM(L73:L78)</f>
        <v>6018</v>
      </c>
      <c r="M79" s="437">
        <f>IF(K79=0, "    ---- ", IF(ABS(ROUND(100/K79*L79-100,1))&lt;999,ROUND(100/K79*L79-100,1),IF(ROUND(100/K79*L79-100,1)&gt;999,999,-999)))</f>
        <v>11.2</v>
      </c>
      <c r="N79" s="459">
        <v>78</v>
      </c>
      <c r="O79" s="458">
        <f>SUM(O73:O78)</f>
        <v>58</v>
      </c>
      <c r="P79" s="337">
        <f>IF(N79=0, "    ---- ", IF(ABS(ROUND(100/N79*O79-100,1))&lt;999,ROUND(100/N79*O79-100,1),IF(ROUND(100/N79*O79-100,1)&gt;999,999,-999)))</f>
        <v>-25.6</v>
      </c>
      <c r="Q79" s="459">
        <v>450193.82092828996</v>
      </c>
      <c r="R79" s="458">
        <f>SUM(R73:R78)</f>
        <v>486784.74398351996</v>
      </c>
      <c r="S79" s="337">
        <f t="shared" si="30"/>
        <v>8.1</v>
      </c>
      <c r="T79" s="461">
        <v>1567.3</v>
      </c>
      <c r="U79" s="458">
        <f>SUM(U73:U78)</f>
        <v>1644.1999999999998</v>
      </c>
      <c r="V79" s="337">
        <f>IF(T79=0, "    ---- ", IF(ABS(ROUND(100/T79*U79-100,1))&lt;999,ROUND(100/T79*U79-100,1),IF(ROUND(100/T79*U79-100,1)&gt;999,999,-999)))</f>
        <v>4.9000000000000004</v>
      </c>
      <c r="W79" s="461">
        <v>48522.569999999992</v>
      </c>
      <c r="X79" s="458">
        <f>SUM(X73:X78)</f>
        <v>49563.121552869401</v>
      </c>
      <c r="Y79" s="337">
        <f t="shared" si="20"/>
        <v>2.1</v>
      </c>
      <c r="Z79" s="461">
        <v>74003</v>
      </c>
      <c r="AA79" s="458">
        <f>SUM(AA73:AA78)</f>
        <v>81058</v>
      </c>
      <c r="AB79" s="337">
        <f>IF(Z79=0, "    ---- ", IF(ABS(ROUND(100/Z79*AA79-100,1))&lt;999,ROUND(100/Z79*AA79-100,1),IF(ROUND(100/Z79*AA79-100,1)&gt;999,999,-999)))</f>
        <v>9.5</v>
      </c>
      <c r="AC79" s="461"/>
      <c r="AD79" s="458">
        <f>SUM(AD73:AD78)</f>
        <v>0</v>
      </c>
      <c r="AE79" s="337"/>
      <c r="AF79" s="461"/>
      <c r="AG79" s="458"/>
      <c r="AH79" s="337"/>
      <c r="AI79" s="461">
        <v>21252.954000000002</v>
      </c>
      <c r="AJ79" s="458">
        <f>SUM(AJ73:AJ78)</f>
        <v>22863.886999999999</v>
      </c>
      <c r="AK79" s="337">
        <f t="shared" si="15"/>
        <v>7.6</v>
      </c>
      <c r="AL79" s="461">
        <v>181715.6</v>
      </c>
      <c r="AM79" s="458">
        <f>SUM(AM73:AM78)</f>
        <v>184999</v>
      </c>
      <c r="AN79" s="337">
        <f t="shared" si="22"/>
        <v>1.8</v>
      </c>
      <c r="AO79" s="440">
        <f t="shared" si="32"/>
        <v>992485.90292828996</v>
      </c>
      <c r="AP79" s="437">
        <f t="shared" si="32"/>
        <v>1043293.5715363893</v>
      </c>
      <c r="AQ79" s="337">
        <f t="shared" si="17"/>
        <v>5.0999999999999996</v>
      </c>
      <c r="AR79" s="440">
        <f t="shared" si="18"/>
        <v>992563.90292828996</v>
      </c>
      <c r="AS79" s="437">
        <f t="shared" si="18"/>
        <v>1043351.5715363893</v>
      </c>
      <c r="AT79" s="460">
        <f t="shared" si="19"/>
        <v>5.0999999999999996</v>
      </c>
      <c r="AU79" s="521"/>
      <c r="AV79" s="521"/>
      <c r="AW79" s="525"/>
    </row>
    <row r="80" spans="1:49" s="490" customFormat="1" ht="20.100000000000001" customHeight="1" x14ac:dyDescent="0.3">
      <c r="A80" s="484" t="s">
        <v>265</v>
      </c>
      <c r="B80" s="461"/>
      <c r="C80" s="458"/>
      <c r="D80" s="337"/>
      <c r="E80" s="459"/>
      <c r="F80" s="458"/>
      <c r="G80" s="337"/>
      <c r="H80" s="459"/>
      <c r="I80" s="458"/>
      <c r="J80" s="337"/>
      <c r="K80" s="459"/>
      <c r="L80" s="458"/>
      <c r="M80" s="437"/>
      <c r="N80" s="459"/>
      <c r="O80" s="458"/>
      <c r="P80" s="337"/>
      <c r="Q80" s="459"/>
      <c r="R80" s="458"/>
      <c r="S80" s="337"/>
      <c r="T80" s="461"/>
      <c r="U80" s="458"/>
      <c r="V80" s="337"/>
      <c r="W80" s="461"/>
      <c r="X80" s="458"/>
      <c r="Y80" s="337"/>
      <c r="Z80" s="461"/>
      <c r="AA80" s="458"/>
      <c r="AB80" s="337"/>
      <c r="AC80" s="461"/>
      <c r="AD80" s="458"/>
      <c r="AE80" s="337"/>
      <c r="AF80" s="461"/>
      <c r="AG80" s="458"/>
      <c r="AH80" s="337"/>
      <c r="AI80" s="461"/>
      <c r="AJ80" s="458"/>
      <c r="AK80" s="337"/>
      <c r="AL80" s="461"/>
      <c r="AM80" s="458"/>
      <c r="AN80" s="337"/>
      <c r="AO80" s="440"/>
      <c r="AP80" s="437"/>
      <c r="AQ80" s="337"/>
      <c r="AR80" s="440"/>
      <c r="AS80" s="437"/>
      <c r="AT80" s="460"/>
      <c r="AU80" s="521"/>
      <c r="AV80" s="521"/>
      <c r="AW80" s="525"/>
    </row>
    <row r="81" spans="1:49" s="490" customFormat="1" ht="20.100000000000001" customHeight="1" x14ac:dyDescent="0.3">
      <c r="A81" s="484" t="s">
        <v>266</v>
      </c>
      <c r="B81" s="461">
        <v>13937.968000000001</v>
      </c>
      <c r="C81" s="458">
        <v>16874.418000000001</v>
      </c>
      <c r="D81" s="337">
        <f>IF(B81=0, "    ---- ", IF(ABS(ROUND(100/B81*C81-100,1))&lt;999,ROUND(100/B81*C81-100,1),IF(ROUND(100/B81*C81-100,1)&gt;999,999,-999)))</f>
        <v>21.1</v>
      </c>
      <c r="E81" s="459">
        <v>59589.591999999997</v>
      </c>
      <c r="F81" s="458">
        <v>74543.308999999994</v>
      </c>
      <c r="G81" s="337">
        <f t="shared" si="14"/>
        <v>25.1</v>
      </c>
      <c r="H81" s="459">
        <v>2680.7440000000001</v>
      </c>
      <c r="I81" s="458">
        <v>3251.4209999999998</v>
      </c>
      <c r="J81" s="337">
        <f>IF(H81=0, "    ---- ", IF(ABS(ROUND(100/H81*I81-100,1))&lt;999,ROUND(100/H81*I81-100,1),IF(ROUND(100/H81*I81-100,1)&gt;999,999,-999)))</f>
        <v>21.3</v>
      </c>
      <c r="K81" s="459">
        <v>17513.43</v>
      </c>
      <c r="L81" s="458">
        <v>22362</v>
      </c>
      <c r="M81" s="437">
        <f>IF(K81=0, "    ---- ", IF(ABS(ROUND(100/K81*L81-100,1))&lt;999,ROUND(100/K81*L81-100,1),IF(ROUND(100/K81*L81-100,1)&gt;999,999,-999)))</f>
        <v>27.7</v>
      </c>
      <c r="N81" s="459">
        <v>2</v>
      </c>
      <c r="O81" s="458"/>
      <c r="P81" s="337"/>
      <c r="Q81" s="459">
        <v>1765.96595215</v>
      </c>
      <c r="R81" s="458">
        <v>1848.8795671500002</v>
      </c>
      <c r="S81" s="337">
        <f t="shared" ref="S81:S91" si="33">IF(Q81=0, "    ---- ", IF(ABS(ROUND(100/Q81*R81-100,1))&lt;999,ROUND(100/Q81*R81-100,1),IF(ROUND(100/Q81*R81-100,1)&gt;999,999,-999)))</f>
        <v>4.7</v>
      </c>
      <c r="T81" s="461">
        <v>1665.3</v>
      </c>
      <c r="U81" s="458">
        <v>2675</v>
      </c>
      <c r="V81" s="337">
        <f>IF(T81=0, "    ---- ", IF(ABS(ROUND(100/T81*U81-100,1))&lt;999,ROUND(100/T81*U81-100,1),IF(ROUND(100/T81*U81-100,1)&gt;999,999,-999)))</f>
        <v>60.6</v>
      </c>
      <c r="W81" s="461">
        <v>47300.72</v>
      </c>
      <c r="X81" s="458">
        <v>58646.14</v>
      </c>
      <c r="Y81" s="337">
        <f t="shared" si="20"/>
        <v>24</v>
      </c>
      <c r="Z81" s="461"/>
      <c r="AA81" s="458"/>
      <c r="AB81" s="337"/>
      <c r="AC81" s="461">
        <v>1764</v>
      </c>
      <c r="AD81" s="458">
        <v>2082</v>
      </c>
      <c r="AE81" s="337">
        <f>IF(AC81=0, "    ---- ", IF(ABS(ROUND(100/AC81*AD81-100,1))&lt;999,ROUND(100/AC81*AD81-100,1),IF(ROUND(100/AC81*AD81-100,1)&gt;999,999,-999)))</f>
        <v>18</v>
      </c>
      <c r="AF81" s="461"/>
      <c r="AG81" s="458"/>
      <c r="AH81" s="337"/>
      <c r="AI81" s="461">
        <v>18759.543000000001</v>
      </c>
      <c r="AJ81" s="458">
        <v>24477.421999999999</v>
      </c>
      <c r="AK81" s="337">
        <f t="shared" si="15"/>
        <v>30.5</v>
      </c>
      <c r="AL81" s="461">
        <v>65144.299999999996</v>
      </c>
      <c r="AM81" s="458">
        <v>80372</v>
      </c>
      <c r="AN81" s="337">
        <f t="shared" si="22"/>
        <v>23.4</v>
      </c>
      <c r="AO81" s="440">
        <f t="shared" ref="AO81:AP89" si="34">B81+E81+H81+K81+Q81+T81+W81+Z81+AF81+AI81+AL81</f>
        <v>228357.56295215001</v>
      </c>
      <c r="AP81" s="437">
        <f t="shared" si="34"/>
        <v>285050.58956714999</v>
      </c>
      <c r="AQ81" s="337">
        <f t="shared" si="17"/>
        <v>24.8</v>
      </c>
      <c r="AR81" s="440">
        <f t="shared" si="18"/>
        <v>230123.56295215001</v>
      </c>
      <c r="AS81" s="437">
        <f t="shared" si="18"/>
        <v>287132.58956714999</v>
      </c>
      <c r="AT81" s="460">
        <f t="shared" si="19"/>
        <v>24.8</v>
      </c>
      <c r="AU81" s="521"/>
      <c r="AV81" s="521"/>
      <c r="AW81" s="525"/>
    </row>
    <row r="82" spans="1:49" s="490" customFormat="1" ht="20.100000000000001" customHeight="1" x14ac:dyDescent="0.3">
      <c r="A82" s="484" t="s">
        <v>417</v>
      </c>
      <c r="B82" s="461"/>
      <c r="C82" s="458"/>
      <c r="D82" s="337"/>
      <c r="E82" s="459"/>
      <c r="F82" s="458"/>
      <c r="G82" s="337"/>
      <c r="H82" s="459"/>
      <c r="I82" s="458"/>
      <c r="J82" s="337"/>
      <c r="K82" s="459"/>
      <c r="L82" s="458"/>
      <c r="M82" s="337"/>
      <c r="N82" s="459"/>
      <c r="O82" s="458"/>
      <c r="P82" s="337"/>
      <c r="Q82" s="459">
        <v>132.679419</v>
      </c>
      <c r="R82" s="458">
        <v>140.04001199999999</v>
      </c>
      <c r="S82" s="337">
        <f t="shared" si="33"/>
        <v>5.5</v>
      </c>
      <c r="T82" s="461"/>
      <c r="U82" s="458"/>
      <c r="V82" s="337"/>
      <c r="W82" s="461"/>
      <c r="X82" s="458"/>
      <c r="Y82" s="337"/>
      <c r="Z82" s="461"/>
      <c r="AA82" s="458"/>
      <c r="AB82" s="337"/>
      <c r="AC82" s="461"/>
      <c r="AD82" s="458"/>
      <c r="AE82" s="337"/>
      <c r="AF82" s="461"/>
      <c r="AG82" s="458"/>
      <c r="AH82" s="337"/>
      <c r="AI82" s="461"/>
      <c r="AJ82" s="458"/>
      <c r="AK82" s="337"/>
      <c r="AL82" s="461"/>
      <c r="AM82" s="458"/>
      <c r="AN82" s="337"/>
      <c r="AO82" s="440">
        <f t="shared" si="34"/>
        <v>132.679419</v>
      </c>
      <c r="AP82" s="437">
        <f t="shared" si="34"/>
        <v>140.04001199999999</v>
      </c>
      <c r="AQ82" s="337">
        <f t="shared" si="17"/>
        <v>5.5</v>
      </c>
      <c r="AR82" s="440">
        <f t="shared" si="18"/>
        <v>132.679419</v>
      </c>
      <c r="AS82" s="437">
        <f t="shared" si="18"/>
        <v>140.04001199999999</v>
      </c>
      <c r="AT82" s="460">
        <f t="shared" si="19"/>
        <v>5.5</v>
      </c>
      <c r="AU82" s="521"/>
      <c r="AV82" s="521"/>
      <c r="AW82" s="525"/>
    </row>
    <row r="83" spans="1:49" s="490" customFormat="1" ht="20.100000000000001" customHeight="1" x14ac:dyDescent="0.3">
      <c r="A83" s="484" t="s">
        <v>418</v>
      </c>
      <c r="B83" s="467">
        <v>99.378</v>
      </c>
      <c r="C83" s="337">
        <v>74.31</v>
      </c>
      <c r="D83" s="337">
        <f>IF(B83=0, "    ---- ", IF(ABS(ROUND(100/B83*C83-100,1))&lt;999,ROUND(100/B83*C83-100,1),IF(ROUND(100/B83*C83-100,1)&gt;999,999,-999)))</f>
        <v>-25.2</v>
      </c>
      <c r="E83" s="468">
        <v>630.601</v>
      </c>
      <c r="F83" s="337">
        <v>662.77099999999996</v>
      </c>
      <c r="G83" s="337">
        <f t="shared" si="14"/>
        <v>5.0999999999999996</v>
      </c>
      <c r="H83" s="468"/>
      <c r="I83" s="337"/>
      <c r="J83" s="337"/>
      <c r="K83" s="468">
        <v>314.27</v>
      </c>
      <c r="L83" s="337">
        <v>319</v>
      </c>
      <c r="M83" s="337">
        <f>IF(K83=0, "    ---- ", IF(ABS(ROUND(100/K83*L83-100,1))&lt;999,ROUND(100/K83*L83-100,1),IF(ROUND(100/K83*L83-100,1)&gt;999,999,-999)))</f>
        <v>1.5</v>
      </c>
      <c r="N83" s="468"/>
      <c r="O83" s="337"/>
      <c r="P83" s="337"/>
      <c r="Q83" s="459">
        <v>282.82383499999997</v>
      </c>
      <c r="R83" s="337">
        <v>385.03601700000002</v>
      </c>
      <c r="S83" s="337">
        <f t="shared" si="33"/>
        <v>36.1</v>
      </c>
      <c r="T83" s="467">
        <v>8.4</v>
      </c>
      <c r="U83" s="337">
        <v>8.8000000000000007</v>
      </c>
      <c r="V83" s="337">
        <f>IF(T83=0, "    ---- ", IF(ABS(ROUND(100/T83*U83-100,1))&lt;999,ROUND(100/T83*U83-100,1),IF(ROUND(100/T83*U83-100,1)&gt;999,999,-999)))</f>
        <v>4.8</v>
      </c>
      <c r="W83" s="467"/>
      <c r="X83" s="337"/>
      <c r="Y83" s="337"/>
      <c r="Z83" s="467"/>
      <c r="AA83" s="337"/>
      <c r="AB83" s="337"/>
      <c r="AC83" s="467"/>
      <c r="AD83" s="337"/>
      <c r="AE83" s="337"/>
      <c r="AF83" s="467"/>
      <c r="AG83" s="337"/>
      <c r="AH83" s="337"/>
      <c r="AI83" s="467">
        <v>396.90100000000001</v>
      </c>
      <c r="AJ83" s="337">
        <v>417.03500000000003</v>
      </c>
      <c r="AK83" s="337">
        <f t="shared" si="15"/>
        <v>5.0999999999999996</v>
      </c>
      <c r="AL83" s="467"/>
      <c r="AM83" s="337"/>
      <c r="AN83" s="337"/>
      <c r="AO83" s="440">
        <f t="shared" si="34"/>
        <v>1732.3738350000001</v>
      </c>
      <c r="AP83" s="437">
        <f t="shared" si="34"/>
        <v>1866.9520170000001</v>
      </c>
      <c r="AQ83" s="337">
        <f t="shared" si="17"/>
        <v>7.8</v>
      </c>
      <c r="AR83" s="440">
        <f t="shared" si="18"/>
        <v>1732.3738350000001</v>
      </c>
      <c r="AS83" s="437">
        <f t="shared" si="18"/>
        <v>1866.9520170000001</v>
      </c>
      <c r="AT83" s="460">
        <f t="shared" si="19"/>
        <v>7.8</v>
      </c>
      <c r="AU83" s="521"/>
      <c r="AV83" s="521"/>
      <c r="AW83" s="525"/>
    </row>
    <row r="84" spans="1:49" s="490" customFormat="1" ht="20.100000000000001" customHeight="1" x14ac:dyDescent="0.3">
      <c r="A84" s="484" t="s">
        <v>263</v>
      </c>
      <c r="B84" s="461"/>
      <c r="C84" s="458"/>
      <c r="D84" s="458"/>
      <c r="E84" s="459"/>
      <c r="F84" s="458"/>
      <c r="G84" s="458"/>
      <c r="H84" s="459"/>
      <c r="I84" s="458"/>
      <c r="J84" s="458"/>
      <c r="K84" s="459"/>
      <c r="L84" s="458"/>
      <c r="M84" s="437"/>
      <c r="N84" s="459"/>
      <c r="O84" s="458"/>
      <c r="P84" s="337"/>
      <c r="Q84" s="459"/>
      <c r="R84" s="458"/>
      <c r="S84" s="337"/>
      <c r="T84" s="461"/>
      <c r="U84" s="458"/>
      <c r="V84" s="337"/>
      <c r="W84" s="461"/>
      <c r="X84" s="458"/>
      <c r="Y84" s="337"/>
      <c r="Z84" s="461"/>
      <c r="AA84" s="458"/>
      <c r="AB84" s="337"/>
      <c r="AC84" s="461"/>
      <c r="AD84" s="458"/>
      <c r="AE84" s="458"/>
      <c r="AF84" s="461"/>
      <c r="AG84" s="458"/>
      <c r="AH84" s="458"/>
      <c r="AI84" s="461"/>
      <c r="AJ84" s="458"/>
      <c r="AK84" s="337"/>
      <c r="AL84" s="461"/>
      <c r="AM84" s="458"/>
      <c r="AN84" s="337"/>
      <c r="AO84" s="440"/>
      <c r="AP84" s="437"/>
      <c r="AQ84" s="337"/>
      <c r="AR84" s="440"/>
      <c r="AS84" s="437"/>
      <c r="AT84" s="460"/>
      <c r="AU84" s="521"/>
      <c r="AV84" s="521"/>
      <c r="AW84" s="525"/>
    </row>
    <row r="85" spans="1:49" s="490" customFormat="1" ht="20.100000000000001" customHeight="1" x14ac:dyDescent="0.3">
      <c r="A85" s="485" t="s">
        <v>267</v>
      </c>
      <c r="B85" s="440">
        <v>14037.346000000001</v>
      </c>
      <c r="C85" s="458">
        <f>SUM(C81:C84)</f>
        <v>16948.728000000003</v>
      </c>
      <c r="D85" s="458">
        <f>IF(B85=0, "    ---- ", IF(ABS(ROUND(100/B85*C85-100,1))&lt;999,ROUND(100/B85*C85-100,1),IF(ROUND(100/B85*C85-100,1)&gt;999,999,-999)))</f>
        <v>20.7</v>
      </c>
      <c r="E85" s="459">
        <v>60220.192999999999</v>
      </c>
      <c r="F85" s="458">
        <f>SUM(F81:F84)</f>
        <v>75206.079999999987</v>
      </c>
      <c r="G85" s="458">
        <f t="shared" si="14"/>
        <v>24.9</v>
      </c>
      <c r="H85" s="459">
        <v>2680.7440000000001</v>
      </c>
      <c r="I85" s="458">
        <f>SUM(I81:I84)</f>
        <v>3251.4209999999998</v>
      </c>
      <c r="J85" s="458">
        <f>IF(H85=0, "    ---- ", IF(ABS(ROUND(100/H85*I85-100,1))&lt;999,ROUND(100/H85*I85-100,1),IF(ROUND(100/H85*I85-100,1)&gt;999,999,-999)))</f>
        <v>21.3</v>
      </c>
      <c r="K85" s="459">
        <v>17827.7</v>
      </c>
      <c r="L85" s="458">
        <f>SUM(L81:L84)</f>
        <v>22681</v>
      </c>
      <c r="M85" s="437">
        <f>IF(K85=0, "    ---- ", IF(ABS(ROUND(100/K85*L85-100,1))&lt;999,ROUND(100/K85*L85-100,1),IF(ROUND(100/K85*L85-100,1)&gt;999,999,-999)))</f>
        <v>27.2</v>
      </c>
      <c r="N85" s="459">
        <v>2</v>
      </c>
      <c r="O85" s="458">
        <f>SUM(O81:O84)</f>
        <v>0</v>
      </c>
      <c r="P85" s="337">
        <f>IF(N85=0, "    ---- ", IF(ABS(ROUND(100/N85*O85-100,1))&lt;999,ROUND(100/N85*O85-100,1),IF(ROUND(100/N85*O85-100,1)&gt;999,999,-999)))</f>
        <v>-100</v>
      </c>
      <c r="Q85" s="459">
        <v>2181.46920615</v>
      </c>
      <c r="R85" s="458">
        <f>SUM(R81:R84)</f>
        <v>2373.95559615</v>
      </c>
      <c r="S85" s="337">
        <f t="shared" si="33"/>
        <v>8.8000000000000007</v>
      </c>
      <c r="T85" s="461">
        <v>1673.7</v>
      </c>
      <c r="U85" s="458">
        <f>SUM(U81:U84)</f>
        <v>2683.8</v>
      </c>
      <c r="V85" s="337">
        <f>IF(T85=0, "    ---- ", IF(ABS(ROUND(100/T85*U85-100,1))&lt;999,ROUND(100/T85*U85-100,1),IF(ROUND(100/T85*U85-100,1)&gt;999,999,-999)))</f>
        <v>60.4</v>
      </c>
      <c r="W85" s="461">
        <v>47300.72</v>
      </c>
      <c r="X85" s="458">
        <f>SUM(X81:X84)</f>
        <v>58646.14</v>
      </c>
      <c r="Y85" s="337">
        <f t="shared" si="20"/>
        <v>24</v>
      </c>
      <c r="Z85" s="461"/>
      <c r="AA85" s="458"/>
      <c r="AB85" s="337"/>
      <c r="AC85" s="461">
        <v>1764</v>
      </c>
      <c r="AD85" s="458">
        <f>SUM(AD81:AD84)</f>
        <v>2082</v>
      </c>
      <c r="AE85" s="458">
        <f>IF(AC85=0, "    ---- ", IF(ABS(ROUND(100/AC85*AD85-100,1))&lt;999,ROUND(100/AC85*AD85-100,1),IF(ROUND(100/AC85*AD85-100,1)&gt;999,999,-999)))</f>
        <v>18</v>
      </c>
      <c r="AF85" s="461"/>
      <c r="AG85" s="458"/>
      <c r="AH85" s="458"/>
      <c r="AI85" s="461">
        <v>19156.444000000003</v>
      </c>
      <c r="AJ85" s="458">
        <f>SUM(AJ81:AJ84)</f>
        <v>24894.456999999999</v>
      </c>
      <c r="AK85" s="337">
        <f t="shared" si="15"/>
        <v>30</v>
      </c>
      <c r="AL85" s="461">
        <v>65144.299999999996</v>
      </c>
      <c r="AM85" s="458">
        <f>SUM(AM81:AM84)</f>
        <v>80372</v>
      </c>
      <c r="AN85" s="337">
        <f t="shared" si="22"/>
        <v>23.4</v>
      </c>
      <c r="AO85" s="440">
        <f t="shared" si="34"/>
        <v>230222.61620614998</v>
      </c>
      <c r="AP85" s="437">
        <f t="shared" si="34"/>
        <v>287057.58159615</v>
      </c>
      <c r="AQ85" s="337">
        <f t="shared" si="17"/>
        <v>24.7</v>
      </c>
      <c r="AR85" s="440">
        <f t="shared" si="18"/>
        <v>231988.61620614998</v>
      </c>
      <c r="AS85" s="437">
        <f t="shared" si="18"/>
        <v>289139.58159615</v>
      </c>
      <c r="AT85" s="460">
        <f t="shared" si="19"/>
        <v>24.6</v>
      </c>
      <c r="AU85" s="521"/>
      <c r="AV85" s="521"/>
      <c r="AW85" s="525"/>
    </row>
    <row r="86" spans="1:49" s="490" customFormat="1" ht="20.100000000000001" customHeight="1" x14ac:dyDescent="0.3">
      <c r="A86" s="484" t="s">
        <v>268</v>
      </c>
      <c r="B86" s="461">
        <v>36.920999999999999</v>
      </c>
      <c r="C86" s="458">
        <v>42.183</v>
      </c>
      <c r="D86" s="337">
        <f>IF(B86=0, "    ---- ", IF(ABS(ROUND(100/B86*C86-100,1))&lt;999,ROUND(100/B86*C86-100,1),IF(ROUND(100/B86*C86-100,1)&gt;999,999,-999)))</f>
        <v>14.3</v>
      </c>
      <c r="E86" s="459">
        <v>851.28899999999999</v>
      </c>
      <c r="F86" s="458">
        <v>812.73199999999997</v>
      </c>
      <c r="G86" s="337">
        <f t="shared" si="14"/>
        <v>-4.5</v>
      </c>
      <c r="H86" s="459">
        <v>26.202999999999999</v>
      </c>
      <c r="I86" s="458">
        <v>31.879000000000001</v>
      </c>
      <c r="J86" s="337">
        <f>IF(H86=0, "    ---- ", IF(ABS(ROUND(100/H86*I86-100,1))&lt;999,ROUND(100/H86*I86-100,1),IF(ROUND(100/H86*I86-100,1)&gt;999,999,-999)))</f>
        <v>21.7</v>
      </c>
      <c r="K86" s="459">
        <v>26.3</v>
      </c>
      <c r="L86" s="458">
        <v>38</v>
      </c>
      <c r="M86" s="337">
        <f>IF(K86=0, "    ---- ", IF(ABS(ROUND(100/K86*L86-100,1))&lt;999,ROUND(100/K86*L86-100,1),IF(ROUND(100/K86*L86-100,1)&gt;999,999,-999)))</f>
        <v>44.5</v>
      </c>
      <c r="N86" s="459">
        <v>2</v>
      </c>
      <c r="O86" s="458">
        <v>0.252</v>
      </c>
      <c r="P86" s="337">
        <f>IF(N86=0, "    ---- ", IF(ABS(ROUND(100/N86*O86-100,1))&lt;999,ROUND(100/N86*O86-100,1),IF(ROUND(100/N86*O86-100,1)&gt;999,999,-999)))</f>
        <v>-87.4</v>
      </c>
      <c r="Q86" s="459">
        <v>474.32001183999995</v>
      </c>
      <c r="R86" s="458">
        <v>748.11662135000006</v>
      </c>
      <c r="S86" s="337">
        <f t="shared" si="33"/>
        <v>57.7</v>
      </c>
      <c r="T86" s="461">
        <v>6.5</v>
      </c>
      <c r="U86" s="458">
        <v>7.7</v>
      </c>
      <c r="V86" s="337">
        <f>IF(T86=0, "    ---- ", IF(ABS(ROUND(100/T86*U86-100,1))&lt;999,ROUND(100/T86*U86-100,1),IF(ROUND(100/T86*U86-100,1)&gt;999,999,-999)))</f>
        <v>18.5</v>
      </c>
      <c r="W86" s="461">
        <v>250.27</v>
      </c>
      <c r="X86" s="458">
        <v>488.62844713060707</v>
      </c>
      <c r="Y86" s="337">
        <f t="shared" si="20"/>
        <v>95.2</v>
      </c>
      <c r="Z86" s="461">
        <v>755</v>
      </c>
      <c r="AA86" s="458">
        <v>926</v>
      </c>
      <c r="AB86" s="337">
        <f>IF(Z86=0, "    ---- ", IF(ABS(ROUND(100/Z86*AA86-100,1))&lt;999,ROUND(100/Z86*AA86-100,1),IF(ROUND(100/Z86*AA86-100,1)&gt;999,999,-999)))</f>
        <v>22.6</v>
      </c>
      <c r="AC86" s="461"/>
      <c r="AD86" s="458"/>
      <c r="AE86" s="337"/>
      <c r="AF86" s="461"/>
      <c r="AG86" s="458"/>
      <c r="AH86" s="337"/>
      <c r="AI86" s="461">
        <v>675.26300000000003</v>
      </c>
      <c r="AJ86" s="458">
        <v>850.34</v>
      </c>
      <c r="AK86" s="337">
        <f t="shared" si="15"/>
        <v>25.9</v>
      </c>
      <c r="AL86" s="461">
        <v>58.9</v>
      </c>
      <c r="AM86" s="458">
        <v>42</v>
      </c>
      <c r="AN86" s="337">
        <f t="shared" si="22"/>
        <v>-28.7</v>
      </c>
      <c r="AO86" s="440">
        <f t="shared" si="34"/>
        <v>3160.9660118400002</v>
      </c>
      <c r="AP86" s="437">
        <f t="shared" si="34"/>
        <v>3987.579068480607</v>
      </c>
      <c r="AQ86" s="337">
        <f t="shared" si="17"/>
        <v>26.2</v>
      </c>
      <c r="AR86" s="440">
        <f t="shared" si="18"/>
        <v>3162.9660118400002</v>
      </c>
      <c r="AS86" s="437">
        <f t="shared" si="18"/>
        <v>3987.831068480607</v>
      </c>
      <c r="AT86" s="460">
        <f t="shared" si="19"/>
        <v>26.1</v>
      </c>
      <c r="AU86" s="521"/>
      <c r="AV86" s="521"/>
      <c r="AW86" s="525"/>
    </row>
    <row r="87" spans="1:49" s="490" customFormat="1" ht="20.100000000000001" customHeight="1" x14ac:dyDescent="0.3">
      <c r="A87" s="484" t="s">
        <v>269</v>
      </c>
      <c r="B87" s="461"/>
      <c r="C87" s="458"/>
      <c r="D87" s="337"/>
      <c r="E87" s="459"/>
      <c r="F87" s="458"/>
      <c r="G87" s="337"/>
      <c r="H87" s="459"/>
      <c r="I87" s="458"/>
      <c r="J87" s="337"/>
      <c r="K87" s="459"/>
      <c r="L87" s="458"/>
      <c r="M87" s="337"/>
      <c r="N87" s="459"/>
      <c r="O87" s="458"/>
      <c r="P87" s="337"/>
      <c r="Q87" s="459"/>
      <c r="R87" s="458"/>
      <c r="S87" s="337"/>
      <c r="T87" s="461"/>
      <c r="U87" s="458"/>
      <c r="V87" s="337"/>
      <c r="W87" s="461"/>
      <c r="X87" s="458"/>
      <c r="Y87" s="337"/>
      <c r="Z87" s="461"/>
      <c r="AA87" s="458"/>
      <c r="AB87" s="337"/>
      <c r="AC87" s="461"/>
      <c r="AD87" s="458"/>
      <c r="AE87" s="337"/>
      <c r="AF87" s="461"/>
      <c r="AG87" s="458"/>
      <c r="AH87" s="337"/>
      <c r="AI87" s="461">
        <v>250.524</v>
      </c>
      <c r="AJ87" s="458">
        <v>260.77</v>
      </c>
      <c r="AK87" s="337">
        <f t="shared" si="15"/>
        <v>4.0999999999999996</v>
      </c>
      <c r="AL87" s="461"/>
      <c r="AM87" s="458"/>
      <c r="AN87" s="337"/>
      <c r="AO87" s="440">
        <f t="shared" si="34"/>
        <v>250.524</v>
      </c>
      <c r="AP87" s="437">
        <f t="shared" si="34"/>
        <v>260.77</v>
      </c>
      <c r="AQ87" s="337">
        <f t="shared" si="17"/>
        <v>4.0999999999999996</v>
      </c>
      <c r="AR87" s="440">
        <f t="shared" si="18"/>
        <v>250.524</v>
      </c>
      <c r="AS87" s="437">
        <f t="shared" si="18"/>
        <v>260.77</v>
      </c>
      <c r="AT87" s="460">
        <f t="shared" si="19"/>
        <v>4.0999999999999996</v>
      </c>
      <c r="AU87" s="521"/>
      <c r="AV87" s="521"/>
      <c r="AW87" s="525"/>
    </row>
    <row r="88" spans="1:49" s="490" customFormat="1" ht="20.100000000000001" customHeight="1" x14ac:dyDescent="0.3">
      <c r="A88" s="484" t="s">
        <v>270</v>
      </c>
      <c r="B88" s="461">
        <v>83.406000000000006</v>
      </c>
      <c r="C88" s="458">
        <v>95.346999999999994</v>
      </c>
      <c r="D88" s="458">
        <f>IF(B88=0, "    ---- ", IF(ABS(ROUND(100/B88*C88-100,1))&lt;999,ROUND(100/B88*C88-100,1),IF(ROUND(100/B88*C88-100,1)&gt;999,999,-999)))</f>
        <v>14.3</v>
      </c>
      <c r="E88" s="459">
        <v>1503.144</v>
      </c>
      <c r="F88" s="458">
        <v>1800.0700000000002</v>
      </c>
      <c r="G88" s="458">
        <f t="shared" si="14"/>
        <v>19.8</v>
      </c>
      <c r="H88" s="459">
        <v>127.39100000000001</v>
      </c>
      <c r="I88" s="458">
        <v>143.40299999999999</v>
      </c>
      <c r="J88" s="458"/>
      <c r="K88" s="459">
        <v>95.2</v>
      </c>
      <c r="L88" s="458">
        <v>111</v>
      </c>
      <c r="M88" s="437">
        <f>IF(K88=0, "    ---- ", IF(ABS(ROUND(100/K88*L88-100,1))&lt;999,ROUND(100/K88*L88-100,1),IF(ROUND(100/K88*L88-100,1)&gt;999,999,-999)))</f>
        <v>16.600000000000001</v>
      </c>
      <c r="N88" s="459">
        <v>2</v>
      </c>
      <c r="O88" s="458">
        <v>6.6449999999999996</v>
      </c>
      <c r="P88" s="337">
        <f>IF(N88=0, "    ---- ", IF(ABS(ROUND(100/N88*O88-100,1))&lt;999,ROUND(100/N88*O88-100,1),IF(ROUND(100/N88*O88-100,1)&gt;999,999,-999)))</f>
        <v>232.3</v>
      </c>
      <c r="Q88" s="459">
        <v>8000.80554407</v>
      </c>
      <c r="R88" s="458">
        <v>6441.5467522500003</v>
      </c>
      <c r="S88" s="337">
        <f t="shared" si="33"/>
        <v>-19.5</v>
      </c>
      <c r="T88" s="461">
        <v>13.1</v>
      </c>
      <c r="U88" s="458">
        <v>7.3</v>
      </c>
      <c r="V88" s="337">
        <f>IF(T88=0, "    ---- ", IF(ABS(ROUND(100/T88*U88-100,1))&lt;999,ROUND(100/T88*U88-100,1),IF(ROUND(100/T88*U88-100,1)&gt;999,999,-999)))</f>
        <v>-44.3</v>
      </c>
      <c r="W88" s="461">
        <v>502.31</v>
      </c>
      <c r="X88" s="458">
        <v>219.76</v>
      </c>
      <c r="Y88" s="337">
        <f t="shared" si="20"/>
        <v>-56.3</v>
      </c>
      <c r="Z88" s="461">
        <v>618</v>
      </c>
      <c r="AA88" s="458">
        <v>851</v>
      </c>
      <c r="AB88" s="337">
        <f>IF(Z88=0, "    ---- ", IF(ABS(ROUND(100/Z88*AA88-100,1))&lt;999,ROUND(100/Z88*AA88-100,1),IF(ROUND(100/Z88*AA88-100,1)&gt;999,999,-999)))</f>
        <v>37.700000000000003</v>
      </c>
      <c r="AC88" s="461">
        <v>22</v>
      </c>
      <c r="AD88" s="458">
        <v>12</v>
      </c>
      <c r="AE88" s="337">
        <f>IF(AC88=0, "    ---- ", IF(ABS(ROUND(100/AC88*AD88-100,1))&lt;999,ROUND(100/AC88*AD88-100,1),IF(ROUND(100/AC88*AD88-100,1)&gt;999,999,-999)))</f>
        <v>-45.5</v>
      </c>
      <c r="AF88" s="461"/>
      <c r="AG88" s="458"/>
      <c r="AH88" s="337"/>
      <c r="AI88" s="461">
        <v>978.84500000000003</v>
      </c>
      <c r="AJ88" s="458">
        <v>1097.192</v>
      </c>
      <c r="AK88" s="337">
        <f t="shared" si="15"/>
        <v>12.1</v>
      </c>
      <c r="AL88" s="461">
        <v>3559</v>
      </c>
      <c r="AM88" s="458">
        <v>5521</v>
      </c>
      <c r="AN88" s="337">
        <f t="shared" si="22"/>
        <v>55.1</v>
      </c>
      <c r="AO88" s="440">
        <f t="shared" si="34"/>
        <v>15481.20154407</v>
      </c>
      <c r="AP88" s="437">
        <f t="shared" si="34"/>
        <v>16287.61875225</v>
      </c>
      <c r="AQ88" s="337">
        <f t="shared" si="17"/>
        <v>5.2</v>
      </c>
      <c r="AR88" s="440">
        <f t="shared" si="18"/>
        <v>15505.20154407</v>
      </c>
      <c r="AS88" s="437">
        <f t="shared" si="18"/>
        <v>16306.263752250001</v>
      </c>
      <c r="AT88" s="460">
        <f t="shared" si="19"/>
        <v>5.2</v>
      </c>
      <c r="AU88" s="521"/>
      <c r="AV88" s="521"/>
      <c r="AW88" s="525"/>
    </row>
    <row r="89" spans="1:49" s="490" customFormat="1" ht="20.100000000000001" customHeight="1" x14ac:dyDescent="0.3">
      <c r="A89" s="484" t="s">
        <v>271</v>
      </c>
      <c r="B89" s="461">
        <v>26.690999999999999</v>
      </c>
      <c r="C89" s="458">
        <v>24.256</v>
      </c>
      <c r="D89" s="458">
        <f>IF(B89=0, "    ---- ", IF(ABS(ROUND(100/B89*C89-100,1))&lt;999,ROUND(100/B89*C89-100,1),IF(ROUND(100/B89*C89-100,1)&gt;999,999,-999)))</f>
        <v>-9.1</v>
      </c>
      <c r="E89" s="459">
        <v>193.2</v>
      </c>
      <c r="F89" s="458">
        <v>134.495</v>
      </c>
      <c r="G89" s="458">
        <f t="shared" si="14"/>
        <v>-30.4</v>
      </c>
      <c r="H89" s="459">
        <v>16.686</v>
      </c>
      <c r="I89" s="458">
        <v>15.638</v>
      </c>
      <c r="J89" s="458">
        <f>IF(H89=0, "    ---- ", IF(ABS(ROUND(100/H89*I89-100,1))&lt;999,ROUND(100/H89*I89-100,1),IF(ROUND(100/H89*I89-100,1)&gt;999,999,-999)))</f>
        <v>-6.3</v>
      </c>
      <c r="K89" s="459">
        <v>16.100000000000001</v>
      </c>
      <c r="L89" s="458">
        <v>14</v>
      </c>
      <c r="M89" s="337">
        <f>IF(K89=0, "    ---- ", IF(ABS(ROUND(100/K89*L89-100,1))&lt;999,ROUND(100/K89*L89-100,1),IF(ROUND(100/K89*L89-100,1)&gt;999,999,-999)))</f>
        <v>-13</v>
      </c>
      <c r="N89" s="459">
        <v>1</v>
      </c>
      <c r="O89" s="458">
        <v>2.1110000000000002</v>
      </c>
      <c r="P89" s="337">
        <f>IF(N89=0, "    ---- ", IF(ABS(ROUND(100/N89*O89-100,1))&lt;999,ROUND(100/N89*O89-100,1),IF(ROUND(100/N89*O89-100,1)&gt;999,999,-999)))</f>
        <v>111.1</v>
      </c>
      <c r="Q89" s="459">
        <v>156.84787581999998</v>
      </c>
      <c r="R89" s="458">
        <v>298.55911277999996</v>
      </c>
      <c r="S89" s="337">
        <f t="shared" si="33"/>
        <v>90.3</v>
      </c>
      <c r="T89" s="461">
        <v>2.2000000000000002</v>
      </c>
      <c r="U89" s="458">
        <v>2.9</v>
      </c>
      <c r="V89" s="337">
        <f>IF(T89=0, "    ---- ", IF(ABS(ROUND(100/T89*U89-100,1))&lt;999,ROUND(100/T89*U89-100,1),IF(ROUND(100/T89*U89-100,1)&gt;999,999,-999)))</f>
        <v>31.8</v>
      </c>
      <c r="W89" s="461">
        <v>33.36</v>
      </c>
      <c r="X89" s="458">
        <v>33.4</v>
      </c>
      <c r="Y89" s="337">
        <f t="shared" si="20"/>
        <v>0.1</v>
      </c>
      <c r="Z89" s="461">
        <v>38</v>
      </c>
      <c r="AA89" s="458">
        <v>37</v>
      </c>
      <c r="AB89" s="337">
        <f>IF(Z89=0, "    ---- ", IF(ABS(ROUND(100/Z89*AA89-100,1))&lt;999,ROUND(100/Z89*AA89-100,1),IF(ROUND(100/Z89*AA89-100,1)&gt;999,999,-999)))</f>
        <v>-2.6</v>
      </c>
      <c r="AC89" s="461"/>
      <c r="AD89" s="458"/>
      <c r="AE89" s="337"/>
      <c r="AF89" s="461"/>
      <c r="AG89" s="458"/>
      <c r="AH89" s="337"/>
      <c r="AI89" s="461">
        <v>144.505</v>
      </c>
      <c r="AJ89" s="458">
        <v>139.70099999999999</v>
      </c>
      <c r="AK89" s="337">
        <f t="shared" si="15"/>
        <v>-3.3</v>
      </c>
      <c r="AL89" s="461">
        <v>223.7</v>
      </c>
      <c r="AM89" s="458">
        <v>133</v>
      </c>
      <c r="AN89" s="337">
        <f t="shared" si="22"/>
        <v>-40.5</v>
      </c>
      <c r="AO89" s="440">
        <f t="shared" si="34"/>
        <v>851.28987581999991</v>
      </c>
      <c r="AP89" s="437">
        <f t="shared" si="34"/>
        <v>832.94911277999995</v>
      </c>
      <c r="AQ89" s="337">
        <f t="shared" si="17"/>
        <v>-2.2000000000000002</v>
      </c>
      <c r="AR89" s="440">
        <f t="shared" si="18"/>
        <v>852.28987581999991</v>
      </c>
      <c r="AS89" s="437">
        <f t="shared" si="18"/>
        <v>835.06011277999994</v>
      </c>
      <c r="AT89" s="460">
        <f t="shared" si="19"/>
        <v>-2</v>
      </c>
      <c r="AU89" s="521"/>
      <c r="AV89" s="521"/>
      <c r="AW89" s="525"/>
    </row>
    <row r="90" spans="1:49" s="490" customFormat="1" ht="20.100000000000001" customHeight="1" x14ac:dyDescent="0.3">
      <c r="A90" s="484"/>
      <c r="B90" s="461"/>
      <c r="C90" s="458"/>
      <c r="D90" s="337"/>
      <c r="E90" s="459"/>
      <c r="F90" s="458"/>
      <c r="G90" s="337"/>
      <c r="H90" s="459"/>
      <c r="I90" s="458"/>
      <c r="J90" s="337"/>
      <c r="K90" s="459"/>
      <c r="L90" s="458"/>
      <c r="M90" s="337"/>
      <c r="N90" s="459"/>
      <c r="O90" s="458"/>
      <c r="P90" s="337"/>
      <c r="Q90" s="459"/>
      <c r="R90" s="458"/>
      <c r="S90" s="337"/>
      <c r="T90" s="461"/>
      <c r="U90" s="458"/>
      <c r="V90" s="337"/>
      <c r="W90" s="461"/>
      <c r="X90" s="458"/>
      <c r="Y90" s="337"/>
      <c r="Z90" s="461"/>
      <c r="AA90" s="458"/>
      <c r="AB90" s="337"/>
      <c r="AC90" s="461"/>
      <c r="AD90" s="458"/>
      <c r="AE90" s="337"/>
      <c r="AF90" s="461"/>
      <c r="AG90" s="458"/>
      <c r="AH90" s="337"/>
      <c r="AI90" s="461"/>
      <c r="AJ90" s="458"/>
      <c r="AK90" s="337"/>
      <c r="AL90" s="461"/>
      <c r="AM90" s="458"/>
      <c r="AN90" s="337"/>
      <c r="AO90" s="440"/>
      <c r="AP90" s="437"/>
      <c r="AQ90" s="337"/>
      <c r="AR90" s="440"/>
      <c r="AS90" s="437"/>
      <c r="AT90" s="460"/>
      <c r="AU90" s="521"/>
      <c r="AV90" s="521"/>
      <c r="AW90" s="525"/>
    </row>
    <row r="91" spans="1:49" s="529" customFormat="1" ht="20.100000000000001" customHeight="1" x14ac:dyDescent="0.3">
      <c r="A91" s="487" t="s">
        <v>272</v>
      </c>
      <c r="B91" s="469">
        <v>15481.643000000004</v>
      </c>
      <c r="C91" s="470">
        <f>SUM(C68+C69+C71+C79+C85+C86+C87+C88+C89)</f>
        <v>18585.168000000005</v>
      </c>
      <c r="D91" s="471">
        <f>IF(B91=0, "    ---- ", IF(ABS(ROUND(100/B91*C91-100,1))&lt;999,ROUND(100/B91*C91-100,1),IF(ROUND(100/B91*C91-100,1)&gt;999,999,-999)))</f>
        <v>20</v>
      </c>
      <c r="E91" s="472">
        <v>298999.37799999997</v>
      </c>
      <c r="F91" s="470">
        <f>SUM(F68+F69+F71+F79+F85+F86+F87+F88+F89)</f>
        <v>316532.17700000003</v>
      </c>
      <c r="G91" s="471">
        <f t="shared" si="14"/>
        <v>5.9</v>
      </c>
      <c r="H91" s="472">
        <f>SUM(H68+H69+H71+H79+H85+H86+H87+H88+H89)</f>
        <v>3840.895</v>
      </c>
      <c r="I91" s="470">
        <f>SUM(I68+I69+I71+I79+I85+I86+I87+I88+I89)</f>
        <v>4583.5770000000002</v>
      </c>
      <c r="J91" s="471">
        <f>IF(H91=0, "    ---- ", IF(ABS(ROUND(100/H91*I91-100,1))&lt;999,ROUND(100/H91*I91-100,1),IF(ROUND(100/H91*I91-100,1)&gt;999,999,-999)))</f>
        <v>19.3</v>
      </c>
      <c r="K91" s="472">
        <f>SUM(K68+K69+K71+K79+K85+K86+K87+K88+K89)</f>
        <v>24327.737000000001</v>
      </c>
      <c r="L91" s="470">
        <f>SUM(L68+L69+L71+L79+L85+L86+L87+L88+L89)</f>
        <v>29891</v>
      </c>
      <c r="M91" s="471">
        <f>IF(K91=0, "    ---- ", IF(ABS(ROUND(100/K91*L91-100,1))&lt;999,ROUND(100/K91*L91-100,1),IF(ROUND(100/K91*L91-100,1)&gt;999,999,-999)))</f>
        <v>22.9</v>
      </c>
      <c r="N91" s="472">
        <f>SUM(N68+N69+N71+N79+N85+N86+N87+N88+N89)</f>
        <v>138</v>
      </c>
      <c r="O91" s="470">
        <f>SUM(O68+O69+O71+O79+O85+O86+O87+O88+O89)</f>
        <v>141.00800000000001</v>
      </c>
      <c r="P91" s="471">
        <f>IF(N91=0, "    ---- ", IF(ABS(ROUND(100/N91*O91-100,1))&lt;999,ROUND(100/N91*O91-100,1),IF(ROUND(100/N91*O91-100,1)&gt;999,999,-999)))</f>
        <v>2.2000000000000002</v>
      </c>
      <c r="Q91" s="472">
        <f>SUM(Q68+Q69+Q71+Q79+Q85+Q86+Q87+Q88+Q89)</f>
        <v>496663.17462976999</v>
      </c>
      <c r="R91" s="470">
        <f>SUM(R68+R69+R71+R79+R85+R86+R87+R88+R89)</f>
        <v>534784.38293719012</v>
      </c>
      <c r="S91" s="471">
        <f t="shared" si="33"/>
        <v>7.7</v>
      </c>
      <c r="T91" s="473">
        <v>3571.2999999999997</v>
      </c>
      <c r="U91" s="470">
        <f>SUM(U68+U69+U71+U79+U85+U86+U87+U88+U89)</f>
        <v>4868.5</v>
      </c>
      <c r="V91" s="471">
        <f>IF(T91=0, "    ---- ", IF(ABS(ROUND(100/T91*U91-100,1))&lt;999,ROUND(100/T91*U91-100,1),IF(ROUND(100/T91*U91-100,1)&gt;999,999,-999)))</f>
        <v>36.299999999999997</v>
      </c>
      <c r="W91" s="473">
        <v>105992.84</v>
      </c>
      <c r="X91" s="470">
        <f>SUM(X68+X69+X71+X79+X85+X86+X87+X88+X89)</f>
        <v>118890.49</v>
      </c>
      <c r="Y91" s="471">
        <f t="shared" si="20"/>
        <v>12.2</v>
      </c>
      <c r="Z91" s="473">
        <v>83673</v>
      </c>
      <c r="AA91" s="470">
        <f>SUM(AA68+AA69+AA71+AA79+AA85+AA86+AA87+AA88+AA89)</f>
        <v>92126</v>
      </c>
      <c r="AB91" s="471">
        <f>IF(Z91=0, "    ---- ", IF(ABS(ROUND(100/Z91*AA91-100,1))&lt;999,ROUND(100/Z91*AA91-100,1),IF(ROUND(100/Z91*AA91-100,1)&gt;999,999,-999)))</f>
        <v>10.1</v>
      </c>
      <c r="AC91" s="473">
        <v>1815</v>
      </c>
      <c r="AD91" s="470">
        <f>SUM(AD68+AD69+AD71+AD79+AD85+AD86+AD87+AD88+AD89)</f>
        <v>2136</v>
      </c>
      <c r="AE91" s="471">
        <f>IF(AC91=0, "    ---- ", IF(ABS(ROUND(100/AC91*AD91-100,1))&lt;999,ROUND(100/AC91*AD91-100,1),IF(ROUND(100/AC91*AD91-100,1)&gt;999,999,-999)))</f>
        <v>17.7</v>
      </c>
      <c r="AF91" s="473"/>
      <c r="AG91" s="470"/>
      <c r="AH91" s="471"/>
      <c r="AI91" s="473">
        <v>47033.142</v>
      </c>
      <c r="AJ91" s="470">
        <f>SUM(AJ68+AJ69+AJ71+AJ79+AJ85+AJ86+AJ87+AJ88+AJ89)</f>
        <v>54680.952999999994</v>
      </c>
      <c r="AK91" s="471">
        <f t="shared" si="15"/>
        <v>16.3</v>
      </c>
      <c r="AL91" s="473">
        <v>282478.30000000005</v>
      </c>
      <c r="AM91" s="470">
        <f>SUM(AM68+AM69+AM71+AM79+AM85+AM86+AM87+AM88+AM89)</f>
        <v>304473</v>
      </c>
      <c r="AN91" s="471">
        <f t="shared" si="22"/>
        <v>7.8</v>
      </c>
      <c r="AO91" s="474">
        <f>B91+E91+H91+K91+Q91+T91+W91+Z91+AF91+AI91+AL91</f>
        <v>1362061.4096297701</v>
      </c>
      <c r="AP91" s="475">
        <f>C91+F91+I91+L91+R91+U91+X91+AA91+AG91+AJ91+AM91</f>
        <v>1479415.2479371901</v>
      </c>
      <c r="AQ91" s="471">
        <f t="shared" si="17"/>
        <v>8.6</v>
      </c>
      <c r="AR91" s="476">
        <f t="shared" si="18"/>
        <v>1364014.4096297701</v>
      </c>
      <c r="AS91" s="475">
        <f t="shared" si="18"/>
        <v>1481692.25593719</v>
      </c>
      <c r="AT91" s="477">
        <f t="shared" si="19"/>
        <v>8.6</v>
      </c>
      <c r="AU91" s="527"/>
      <c r="AV91" s="521"/>
      <c r="AW91" s="525"/>
    </row>
    <row r="92" spans="1:49" ht="18.75" customHeight="1" x14ac:dyDescent="0.3">
      <c r="A92" s="488" t="s">
        <v>273</v>
      </c>
      <c r="B92" s="488"/>
      <c r="Q92" s="488"/>
      <c r="R92" s="490"/>
      <c r="X92" s="491"/>
      <c r="Y92" s="491"/>
      <c r="Z92" s="491"/>
      <c r="AA92" s="491"/>
      <c r="AB92" s="491"/>
      <c r="AC92" s="491"/>
      <c r="AD92" s="491"/>
      <c r="AE92" s="491"/>
      <c r="AF92" s="491"/>
      <c r="AG92" s="491"/>
      <c r="AH92" s="491"/>
      <c r="AI92" s="488"/>
      <c r="AL92" s="488"/>
    </row>
    <row r="93" spans="1:49" ht="18.75" customHeight="1" x14ac:dyDescent="0.3">
      <c r="A93" s="488" t="s">
        <v>274</v>
      </c>
      <c r="Q93" s="488"/>
      <c r="R93" s="490"/>
      <c r="X93" s="491"/>
      <c r="Y93" s="491"/>
      <c r="Z93" s="491"/>
      <c r="AA93" s="491"/>
      <c r="AB93" s="491"/>
      <c r="AC93" s="491"/>
      <c r="AD93" s="491"/>
      <c r="AE93" s="491"/>
      <c r="AF93" s="491"/>
      <c r="AG93" s="491"/>
      <c r="AH93" s="491"/>
      <c r="AI93" s="488"/>
      <c r="AL93" s="488"/>
    </row>
    <row r="94" spans="1:49" s="492" customFormat="1" ht="18.75" customHeight="1" x14ac:dyDescent="0.3">
      <c r="A94" s="488" t="s">
        <v>275</v>
      </c>
      <c r="Q94" s="488"/>
      <c r="R94" s="488"/>
      <c r="Y94" s="493"/>
      <c r="Z94" s="493"/>
      <c r="AA94" s="493"/>
      <c r="AB94" s="493"/>
      <c r="AC94" s="493"/>
      <c r="AD94" s="493"/>
      <c r="AE94" s="493"/>
      <c r="AF94" s="493"/>
      <c r="AG94" s="493"/>
      <c r="AH94" s="493"/>
      <c r="AU94" s="530"/>
      <c r="AV94" s="530"/>
    </row>
    <row r="95" spans="1:49" s="492" customFormat="1" ht="18.75" x14ac:dyDescent="0.3">
      <c r="Q95" s="488"/>
      <c r="R95" s="488"/>
      <c r="AU95" s="530"/>
      <c r="AV95" s="530"/>
    </row>
    <row r="96" spans="1:49" s="492" customFormat="1" ht="18.75" x14ac:dyDescent="0.3">
      <c r="H96" s="531"/>
      <c r="Q96" s="488"/>
      <c r="R96" s="488"/>
    </row>
    <row r="97" spans="17:18" s="492" customFormat="1" ht="18.75" x14ac:dyDescent="0.3">
      <c r="Q97" s="488"/>
      <c r="R97" s="488"/>
    </row>
    <row r="98" spans="17:18" s="492" customFormat="1" ht="18.75" x14ac:dyDescent="0.3">
      <c r="Q98" s="488"/>
      <c r="R98" s="488"/>
    </row>
    <row r="99" spans="17:18" s="492" customFormat="1" ht="18.75" x14ac:dyDescent="0.3">
      <c r="Q99" s="488"/>
      <c r="R99" s="488"/>
    </row>
    <row r="100" spans="17:18" s="492" customFormat="1" ht="18.75" x14ac:dyDescent="0.3">
      <c r="Q100" s="488"/>
      <c r="R100" s="488"/>
    </row>
    <row r="101" spans="17:18" s="492" customFormat="1" ht="18.75" x14ac:dyDescent="0.3">
      <c r="Q101" s="488"/>
      <c r="R101" s="488"/>
    </row>
    <row r="102" spans="17:18" s="492" customFormat="1" ht="18.75" x14ac:dyDescent="0.3">
      <c r="Q102" s="488"/>
      <c r="R102" s="488"/>
    </row>
    <row r="103" spans="17:18" s="492" customFormat="1" ht="18.75" x14ac:dyDescent="0.3">
      <c r="Q103" s="488"/>
      <c r="R103" s="488"/>
    </row>
    <row r="104" spans="17:18" s="492" customFormat="1" ht="18.75" x14ac:dyDescent="0.3">
      <c r="Q104" s="488"/>
      <c r="R104" s="488"/>
    </row>
    <row r="105" spans="17:18" s="492" customFormat="1" ht="18.75" x14ac:dyDescent="0.3">
      <c r="Q105" s="488"/>
      <c r="R105" s="488"/>
    </row>
    <row r="106" spans="17:18" s="492" customFormat="1" ht="18.75" x14ac:dyDescent="0.3">
      <c r="Q106" s="488"/>
      <c r="R106" s="488"/>
    </row>
    <row r="107" spans="17:18" s="492" customFormat="1" ht="18.75" x14ac:dyDescent="0.3">
      <c r="Q107" s="488"/>
      <c r="R107" s="488"/>
    </row>
    <row r="108" spans="17:18" s="492" customFormat="1" ht="18.75" x14ac:dyDescent="0.3">
      <c r="Q108" s="488"/>
      <c r="R108" s="488"/>
    </row>
    <row r="109" spans="17:18" s="492" customFormat="1" ht="18.75" x14ac:dyDescent="0.3">
      <c r="Q109" s="488"/>
      <c r="R109" s="488"/>
    </row>
    <row r="110" spans="17:18" s="492" customFormat="1" ht="18.75" x14ac:dyDescent="0.3">
      <c r="Q110" s="488"/>
      <c r="R110" s="488"/>
    </row>
    <row r="111" spans="17:18" s="492" customFormat="1" ht="18.75" x14ac:dyDescent="0.3">
      <c r="Q111" s="488"/>
      <c r="R111" s="488"/>
    </row>
    <row r="112" spans="17:18" s="492" customFormat="1" ht="18.75" x14ac:dyDescent="0.3">
      <c r="Q112" s="488"/>
      <c r="R112" s="488"/>
    </row>
    <row r="113" spans="17:18" s="533" customFormat="1" ht="15.75" x14ac:dyDescent="0.25">
      <c r="Q113" s="532"/>
      <c r="R113" s="532"/>
    </row>
    <row r="114" spans="17:18" s="533" customFormat="1" ht="15.75" x14ac:dyDescent="0.25">
      <c r="Q114" s="532"/>
      <c r="R114" s="532"/>
    </row>
    <row r="115" spans="17:18" x14ac:dyDescent="0.2">
      <c r="Q115" s="490"/>
      <c r="R115" s="490"/>
    </row>
    <row r="116" spans="17:18" x14ac:dyDescent="0.2">
      <c r="Q116" s="490"/>
      <c r="R116" s="490"/>
    </row>
    <row r="117" spans="17:18" x14ac:dyDescent="0.2">
      <c r="Q117" s="490"/>
      <c r="R117" s="490"/>
    </row>
    <row r="118" spans="17:18" x14ac:dyDescent="0.2">
      <c r="Q118" s="490"/>
      <c r="R118" s="490"/>
    </row>
    <row r="119" spans="17:18" x14ac:dyDescent="0.2">
      <c r="Q119" s="490"/>
      <c r="R119" s="490"/>
    </row>
    <row r="120" spans="17:18" x14ac:dyDescent="0.2">
      <c r="Q120" s="490"/>
      <c r="R120" s="490"/>
    </row>
    <row r="121" spans="17:18" x14ac:dyDescent="0.2">
      <c r="Q121" s="490"/>
      <c r="R121" s="490"/>
    </row>
    <row r="122" spans="17:18" x14ac:dyDescent="0.2">
      <c r="Q122" s="490"/>
      <c r="R122" s="490"/>
    </row>
    <row r="123" spans="17:18" x14ac:dyDescent="0.2">
      <c r="Q123" s="490"/>
      <c r="R123" s="490"/>
    </row>
    <row r="124" spans="17:18" x14ac:dyDescent="0.2">
      <c r="Q124" s="490"/>
      <c r="R124" s="490"/>
    </row>
    <row r="125" spans="17:18" x14ac:dyDescent="0.2">
      <c r="Q125" s="490"/>
      <c r="R125" s="490"/>
    </row>
    <row r="126" spans="17:18" x14ac:dyDescent="0.2">
      <c r="Q126" s="490"/>
      <c r="R126" s="490"/>
    </row>
    <row r="127" spans="17:18" x14ac:dyDescent="0.2">
      <c r="Q127" s="490"/>
      <c r="R127" s="490"/>
    </row>
    <row r="128" spans="17:18" x14ac:dyDescent="0.2">
      <c r="Q128" s="490"/>
      <c r="R128" s="490"/>
    </row>
    <row r="129" spans="17:18" x14ac:dyDescent="0.2">
      <c r="Q129" s="490"/>
      <c r="R129" s="490"/>
    </row>
    <row r="130" spans="17:18" x14ac:dyDescent="0.2">
      <c r="Q130" s="490"/>
      <c r="R130" s="490"/>
    </row>
    <row r="131" spans="17:18" x14ac:dyDescent="0.2">
      <c r="Q131" s="490"/>
      <c r="R131" s="490"/>
    </row>
    <row r="132" spans="17:18" x14ac:dyDescent="0.2">
      <c r="Q132" s="490"/>
      <c r="R132" s="490"/>
    </row>
  </sheetData>
  <mergeCells count="37">
    <mergeCell ref="BI6:BK6"/>
    <mergeCell ref="AI6:AK6"/>
    <mergeCell ref="AL6:AN6"/>
    <mergeCell ref="AO6:AQ6"/>
    <mergeCell ref="AR6:AT6"/>
    <mergeCell ref="AW6:AY6"/>
    <mergeCell ref="AZ6:BB6"/>
    <mergeCell ref="B5:D5"/>
    <mergeCell ref="E5:G5"/>
    <mergeCell ref="BC5:BE5"/>
    <mergeCell ref="BF5:BH5"/>
    <mergeCell ref="Q6:S6"/>
    <mergeCell ref="T6:V6"/>
    <mergeCell ref="W6:Y6"/>
    <mergeCell ref="Z6:AB6"/>
    <mergeCell ref="AC6:AE6"/>
    <mergeCell ref="BC6:BE6"/>
    <mergeCell ref="BF6:BH6"/>
    <mergeCell ref="AF6:AH6"/>
    <mergeCell ref="AW5:AY5"/>
    <mergeCell ref="AZ5:BB5"/>
    <mergeCell ref="B6:D6"/>
    <mergeCell ref="E6:G6"/>
    <mergeCell ref="H6:J6"/>
    <mergeCell ref="K6:M6"/>
    <mergeCell ref="N6:P6"/>
    <mergeCell ref="H5:J5"/>
    <mergeCell ref="K5:M5"/>
    <mergeCell ref="N5:P5"/>
    <mergeCell ref="T5:V5"/>
    <mergeCell ref="BI5:BK5"/>
    <mergeCell ref="Z5:AB5"/>
    <mergeCell ref="AF5:AH5"/>
    <mergeCell ref="AI5:AK5"/>
    <mergeCell ref="AL5:AN5"/>
    <mergeCell ref="AO5:AQ5"/>
    <mergeCell ref="AR5:AT5"/>
  </mergeCells>
  <conditionalFormatting sqref="B35:C35 E35:F35 H35:I35 K35:L35 N35:O35 Q35:R35 T35:U35 W35:X35 Z35:AA35 AC35:AD35 AF35:AG35 AI35:AJ35 AL35:AM35 AO35:AP35 AR35:AS35">
    <cfRule type="expression" dxfId="32" priority="616">
      <formula>#REF! ="35≠36+38"</formula>
    </cfRule>
  </conditionalFormatting>
  <conditionalFormatting sqref="B39:C39 E39:F39 H39:I39 K39:L39 N39:O39 Q39:R39 T39:U39 W39:X39 Z39:AA39 AC39:AD39 AF39:AG39 AI39:AJ39 AL39:AM39 AO39:AP39 AR39:AS39">
    <cfRule type="expression" dxfId="31" priority="631">
      <formula>#REF! ="39≠40+41+42+43+44"</formula>
    </cfRule>
  </conditionalFormatting>
  <conditionalFormatting sqref="B45:C45 E45:F45 H45:I45 K45:L45 N45:O45 Q45:R45 T45:U45 W45:X45 Z45:AA45 AC45:AD45 AF45:AG45 AI45:AJ45 AL45:AM45 AO45:AP45 AR45:AS45">
    <cfRule type="expression" dxfId="30" priority="646">
      <formula>#REF! ="45≠33+34+35+39"</formula>
    </cfRule>
  </conditionalFormatting>
  <conditionalFormatting sqref="B50:C50 E50:F50 H50:I50 K50:L50 N50:O50 Q50:R50 T50:U50 W50:X50 Z50:AA50 AC50:AD50 AF50:AG50 AI50:AJ50 AL50:AM50 AO50:AP50 AR50:AS50">
    <cfRule type="expression" dxfId="29" priority="661">
      <formula>#REF! ="50≠51+53"</formula>
    </cfRule>
  </conditionalFormatting>
  <conditionalFormatting sqref="B54:C54 E54:F54 H54:I54 K54:L54 N54:O54 Q54:R54 T54:U54 W54:X54 Z54:AA54 AC54:AD54 AF54:AG54 AI54:AJ54 AL54:AM54 AO54:AP54 AR54:AS54">
    <cfRule type="expression" dxfId="28" priority="676">
      <formula>#REF! ="54≠55+56+57+58+59"</formula>
    </cfRule>
  </conditionalFormatting>
  <conditionalFormatting sqref="B60:C60 E60:F60 H60:I60 K60:L60 N60:O60 Q60:R60 T60:U60 W60:X60 Z60:AA60 AC60:AD60 AF60:AG60 AI60:AJ60 AL60:AM60 AO60:AP60 AR60:AS60">
    <cfRule type="expression" dxfId="27" priority="691">
      <formula>#REF! ="60≠48+49+50+54"</formula>
    </cfRule>
  </conditionalFormatting>
  <conditionalFormatting sqref="B62:C62 E62:F62 H62:I62 K62:L62 N62:O62 Q62:R62 T62:U62 W62:X62 Z62:AA62 AC62:AD62 AF62:AG62 AI62:AJ62 AL62:AM62 AO62:AP62 AR62:AS62">
    <cfRule type="expression" dxfId="26" priority="706">
      <formula>#REF! ="62≠45+46+60+61"</formula>
    </cfRule>
  </conditionalFormatting>
  <conditionalFormatting sqref="B64:C64 E64:F64 H64:I64 K64:L64 N64:O64 Q64:R64 T64:U64 W64:X64 Z64:AA64 AC64:AD64 AF64:AG64 AI64:AJ64 AL64:AM64 AO64:AP64 AR64:AS64">
    <cfRule type="expression" dxfId="25" priority="721">
      <formula>#REF! ="64≠29+62"</formula>
    </cfRule>
  </conditionalFormatting>
  <conditionalFormatting sqref="B79:C79 E79:F79 H79:I79 K79:L79 N79:O79 Q79:R79 T79:U79 W79:X79 Z79:AA79 AC79:AD79 AF79:AG79 AI79:AJ79 AL79:AM79 AO79:AP79 AR79:AS79">
    <cfRule type="expression" dxfId="24" priority="736">
      <formula>#REF! ="80≠73+74+75+76+77+78+79"</formula>
    </cfRule>
  </conditionalFormatting>
  <conditionalFormatting sqref="B85:C85 E85:F85 H85:I85 K85:L85 N85:O85 Q85:R85 T85:U85 W85:X85 Z85:AA85 AC85:AD85 AF85:AG85 AI85:AJ85 AL85:AM85 AO85:AP85 AR85:AS85">
    <cfRule type="expression" dxfId="23" priority="751">
      <formula>#REF! ="88≠82+83+84+85+86+87"</formula>
    </cfRule>
  </conditionalFormatting>
  <conditionalFormatting sqref="B91:C91 E91:F91 H91:I91 K91:L91 N91:O91 Q91:R91 T91:U91 W91:X91 Z91:AA91 AC91:AD91 AF91:AG91 AI91:AJ91 AL91:AM91 AO91:AP91 AR91:AS91">
    <cfRule type="expression" dxfId="22" priority="766">
      <formula>#REF! = "64≠94"</formula>
    </cfRule>
  </conditionalFormatting>
  <conditionalFormatting sqref="B91:C91 E91:F91 H91:I91 K91:L91 N91:O91 Q91:R91 T91:U91 W91:X91 Z91:AA91 AC91:AD91 AF91:AG91 AI91:AJ91 AL91:AM91 AO91:AP91 AR91:AS91">
    <cfRule type="expression" dxfId="21" priority="781">
      <formula>#REF! = "94≠68+69+71+80+88+89+90+91+92"</formula>
    </cfRule>
  </conditionalFormatting>
  <hyperlinks>
    <hyperlink ref="B1" location="Innhold!A1" display="Tilbake"/>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9"/>
  <dimension ref="A1:BE89"/>
  <sheetViews>
    <sheetView showGridLines="0" zoomScale="60" zoomScaleNormal="60" workbookViewId="0">
      <pane xSplit="1" ySplit="8" topLeftCell="B9" activePane="bottomRight" state="frozen"/>
      <selection activeCell="AU39" sqref="AU39"/>
      <selection pane="topRight" activeCell="AU39" sqref="AU39"/>
      <selection pane="bottomLeft" activeCell="AU39" sqref="AU39"/>
      <selection pane="bottomRight" activeCell="A4" sqref="A4"/>
    </sheetView>
  </sheetViews>
  <sheetFormatPr baseColWidth="10" defaultColWidth="11.42578125" defaultRowHeight="12.75" x14ac:dyDescent="0.2"/>
  <cols>
    <col min="1" max="1" width="84.5703125" style="794" customWidth="1"/>
    <col min="2" max="40" width="11.7109375" style="794" customWidth="1"/>
    <col min="41" max="41" width="12.140625" style="794" bestFit="1" customWidth="1"/>
    <col min="42" max="16384" width="11.42578125" style="794"/>
  </cols>
  <sheetData>
    <row r="1" spans="1:57" ht="20.25" customHeight="1" x14ac:dyDescent="0.3">
      <c r="A1" s="793" t="s">
        <v>189</v>
      </c>
      <c r="B1" s="495" t="s">
        <v>55</v>
      </c>
      <c r="AO1" s="795"/>
    </row>
    <row r="2" spans="1:57" ht="20.100000000000001" customHeight="1" x14ac:dyDescent="0.3">
      <c r="A2" s="793" t="s">
        <v>460</v>
      </c>
      <c r="AO2" s="795"/>
    </row>
    <row r="3" spans="1:57" ht="20.100000000000001" customHeight="1" x14ac:dyDescent="0.3">
      <c r="A3" s="796" t="s">
        <v>461</v>
      </c>
      <c r="AO3" s="797"/>
    </row>
    <row r="4" spans="1:57" ht="18.75" customHeight="1" x14ac:dyDescent="0.25">
      <c r="A4" s="798" t="s">
        <v>414</v>
      </c>
      <c r="B4" s="799"/>
      <c r="C4" s="800"/>
      <c r="D4" s="801"/>
      <c r="E4" s="800"/>
      <c r="F4" s="800"/>
      <c r="G4" s="800"/>
      <c r="H4" s="800"/>
      <c r="I4" s="800"/>
      <c r="J4" s="801"/>
      <c r="K4" s="799"/>
      <c r="L4" s="800"/>
      <c r="M4" s="801"/>
      <c r="N4" s="799"/>
      <c r="O4" s="800"/>
      <c r="P4" s="801"/>
      <c r="Q4" s="799"/>
      <c r="R4" s="800"/>
      <c r="S4" s="801"/>
      <c r="T4" s="799"/>
      <c r="U4" s="800"/>
      <c r="V4" s="801"/>
      <c r="W4" s="799"/>
      <c r="X4" s="800"/>
      <c r="Y4" s="801"/>
      <c r="Z4" s="799"/>
      <c r="AA4" s="800"/>
      <c r="AB4" s="801"/>
      <c r="AC4" s="799"/>
      <c r="AD4" s="800"/>
      <c r="AE4" s="801"/>
      <c r="AF4" s="799"/>
      <c r="AG4" s="800"/>
      <c r="AH4" s="801"/>
      <c r="AI4" s="799"/>
      <c r="AJ4" s="800"/>
      <c r="AK4" s="801"/>
      <c r="AL4" s="799"/>
      <c r="AM4" s="800"/>
      <c r="AN4" s="801"/>
      <c r="AO4" s="802"/>
      <c r="AP4" s="803"/>
      <c r="AQ4" s="803"/>
      <c r="AR4" s="803"/>
      <c r="AS4" s="803"/>
      <c r="AT4" s="803"/>
      <c r="AU4" s="803"/>
      <c r="AV4" s="803"/>
      <c r="AW4" s="803"/>
      <c r="AX4" s="803"/>
      <c r="AY4" s="803"/>
      <c r="AZ4" s="803"/>
      <c r="BA4" s="803"/>
      <c r="BB4" s="803"/>
      <c r="BC4" s="803"/>
      <c r="BD4" s="803"/>
      <c r="BE4" s="803"/>
    </row>
    <row r="5" spans="1:57" ht="18.75" customHeight="1" x14ac:dyDescent="0.3">
      <c r="A5" s="551" t="s">
        <v>462</v>
      </c>
      <c r="B5" s="973" t="s">
        <v>192</v>
      </c>
      <c r="C5" s="974"/>
      <c r="D5" s="975"/>
      <c r="E5" s="973" t="s">
        <v>193</v>
      </c>
      <c r="F5" s="974"/>
      <c r="G5" s="975"/>
      <c r="H5" s="973" t="s">
        <v>194</v>
      </c>
      <c r="I5" s="974"/>
      <c r="J5" s="975"/>
      <c r="K5" s="973" t="s">
        <v>195</v>
      </c>
      <c r="L5" s="974"/>
      <c r="M5" s="975"/>
      <c r="N5" s="973" t="s">
        <v>196</v>
      </c>
      <c r="O5" s="974"/>
      <c r="P5" s="975"/>
      <c r="Q5" s="552" t="s">
        <v>196</v>
      </c>
      <c r="R5" s="553"/>
      <c r="S5" s="554"/>
      <c r="T5" s="973" t="s">
        <v>67</v>
      </c>
      <c r="U5" s="974"/>
      <c r="V5" s="975"/>
      <c r="W5" s="552"/>
      <c r="X5" s="553"/>
      <c r="Y5" s="554"/>
      <c r="Z5" s="973" t="s">
        <v>197</v>
      </c>
      <c r="AA5" s="974"/>
      <c r="AB5" s="975"/>
      <c r="AC5" s="973" t="s">
        <v>79</v>
      </c>
      <c r="AD5" s="974"/>
      <c r="AE5" s="975"/>
      <c r="AF5" s="973"/>
      <c r="AG5" s="974"/>
      <c r="AH5" s="975"/>
      <c r="AI5" s="973" t="s">
        <v>80</v>
      </c>
      <c r="AJ5" s="974"/>
      <c r="AK5" s="975"/>
      <c r="AL5" s="973" t="s">
        <v>463</v>
      </c>
      <c r="AM5" s="974"/>
      <c r="AN5" s="975"/>
      <c r="AO5" s="804"/>
      <c r="AP5" s="805"/>
      <c r="AQ5" s="1001"/>
      <c r="AR5" s="1001"/>
      <c r="AS5" s="1001"/>
      <c r="AT5" s="1001"/>
      <c r="AU5" s="1001"/>
      <c r="AV5" s="1001"/>
      <c r="AW5" s="1001"/>
      <c r="AX5" s="1001"/>
      <c r="AY5" s="1001"/>
      <c r="AZ5" s="1001"/>
      <c r="BA5" s="1001"/>
      <c r="BB5" s="1001"/>
      <c r="BC5" s="1001"/>
      <c r="BD5" s="1001"/>
      <c r="BE5" s="1001"/>
    </row>
    <row r="6" spans="1:57" ht="18.75" customHeight="1" x14ac:dyDescent="0.3">
      <c r="A6" s="555" t="s">
        <v>464</v>
      </c>
      <c r="B6" s="967" t="s">
        <v>198</v>
      </c>
      <c r="C6" s="968"/>
      <c r="D6" s="969"/>
      <c r="E6" s="967" t="s">
        <v>199</v>
      </c>
      <c r="F6" s="968"/>
      <c r="G6" s="969"/>
      <c r="H6" s="967" t="s">
        <v>199</v>
      </c>
      <c r="I6" s="968"/>
      <c r="J6" s="969"/>
      <c r="K6" s="967" t="s">
        <v>200</v>
      </c>
      <c r="L6" s="968"/>
      <c r="M6" s="969"/>
      <c r="N6" s="967" t="s">
        <v>100</v>
      </c>
      <c r="O6" s="968"/>
      <c r="P6" s="969"/>
      <c r="Q6" s="967" t="s">
        <v>67</v>
      </c>
      <c r="R6" s="968"/>
      <c r="S6" s="969"/>
      <c r="T6" s="967" t="s">
        <v>201</v>
      </c>
      <c r="U6" s="968"/>
      <c r="V6" s="969"/>
      <c r="W6" s="967" t="s">
        <v>72</v>
      </c>
      <c r="X6" s="968"/>
      <c r="Y6" s="969"/>
      <c r="Z6" s="967" t="s">
        <v>198</v>
      </c>
      <c r="AA6" s="968"/>
      <c r="AB6" s="969"/>
      <c r="AC6" s="967" t="s">
        <v>202</v>
      </c>
      <c r="AD6" s="968"/>
      <c r="AE6" s="969"/>
      <c r="AF6" s="967" t="s">
        <v>74</v>
      </c>
      <c r="AG6" s="968"/>
      <c r="AH6" s="969"/>
      <c r="AI6" s="967" t="s">
        <v>199</v>
      </c>
      <c r="AJ6" s="968"/>
      <c r="AK6" s="969"/>
      <c r="AL6" s="967" t="s">
        <v>465</v>
      </c>
      <c r="AM6" s="968"/>
      <c r="AN6" s="969"/>
      <c r="AO6" s="804"/>
      <c r="AP6" s="805"/>
      <c r="AQ6" s="1001"/>
      <c r="AR6" s="1001"/>
      <c r="AS6" s="1001"/>
      <c r="AT6" s="1001"/>
      <c r="AU6" s="1001"/>
      <c r="AV6" s="1001"/>
      <c r="AW6" s="1001"/>
      <c r="AX6" s="1001"/>
      <c r="AY6" s="1001"/>
      <c r="AZ6" s="1001"/>
      <c r="BA6" s="1001"/>
      <c r="BB6" s="1001"/>
      <c r="BC6" s="1001"/>
      <c r="BD6" s="1001"/>
      <c r="BE6" s="1001"/>
    </row>
    <row r="7" spans="1:57" ht="18.75" customHeight="1" x14ac:dyDescent="0.3">
      <c r="A7" s="555"/>
      <c r="B7" s="806"/>
      <c r="C7" s="806"/>
      <c r="D7" s="556" t="s">
        <v>89</v>
      </c>
      <c r="E7" s="806"/>
      <c r="F7" s="806"/>
      <c r="G7" s="556" t="s">
        <v>89</v>
      </c>
      <c r="H7" s="806"/>
      <c r="I7" s="806"/>
      <c r="J7" s="556" t="s">
        <v>89</v>
      </c>
      <c r="K7" s="806"/>
      <c r="L7" s="806"/>
      <c r="M7" s="556" t="s">
        <v>89</v>
      </c>
      <c r="N7" s="806"/>
      <c r="O7" s="806"/>
      <c r="P7" s="556" t="s">
        <v>89</v>
      </c>
      <c r="Q7" s="806"/>
      <c r="R7" s="806"/>
      <c r="S7" s="556" t="s">
        <v>89</v>
      </c>
      <c r="T7" s="806"/>
      <c r="U7" s="806"/>
      <c r="V7" s="556" t="s">
        <v>89</v>
      </c>
      <c r="W7" s="806"/>
      <c r="X7" s="806"/>
      <c r="Y7" s="556" t="s">
        <v>89</v>
      </c>
      <c r="Z7" s="806"/>
      <c r="AA7" s="806"/>
      <c r="AB7" s="556" t="s">
        <v>89</v>
      </c>
      <c r="AC7" s="806"/>
      <c r="AD7" s="806"/>
      <c r="AE7" s="556" t="s">
        <v>89</v>
      </c>
      <c r="AF7" s="806"/>
      <c r="AG7" s="806"/>
      <c r="AH7" s="556" t="s">
        <v>89</v>
      </c>
      <c r="AI7" s="806"/>
      <c r="AJ7" s="806"/>
      <c r="AK7" s="556" t="s">
        <v>89</v>
      </c>
      <c r="AL7" s="806"/>
      <c r="AM7" s="806"/>
      <c r="AN7" s="556" t="s">
        <v>89</v>
      </c>
      <c r="AO7" s="804"/>
      <c r="AP7" s="805"/>
      <c r="AQ7" s="805"/>
      <c r="AR7" s="805"/>
      <c r="AS7" s="805"/>
      <c r="AT7" s="805"/>
      <c r="AU7" s="805"/>
      <c r="AV7" s="805"/>
      <c r="AW7" s="805"/>
      <c r="AX7" s="805"/>
      <c r="AY7" s="805"/>
      <c r="AZ7" s="805"/>
      <c r="BA7" s="805"/>
      <c r="BB7" s="805"/>
      <c r="BC7" s="805"/>
      <c r="BD7" s="805"/>
      <c r="BE7" s="805"/>
    </row>
    <row r="8" spans="1:57" ht="18.75" customHeight="1" x14ac:dyDescent="0.25">
      <c r="A8" s="807" t="s">
        <v>335</v>
      </c>
      <c r="B8" s="808">
        <v>2016</v>
      </c>
      <c r="C8" s="808">
        <v>2017</v>
      </c>
      <c r="D8" s="559" t="s">
        <v>91</v>
      </c>
      <c r="E8" s="808">
        <v>2016</v>
      </c>
      <c r="F8" s="808">
        <v>2017</v>
      </c>
      <c r="G8" s="559" t="s">
        <v>91</v>
      </c>
      <c r="H8" s="808">
        <v>2016</v>
      </c>
      <c r="I8" s="808">
        <v>2017</v>
      </c>
      <c r="J8" s="559" t="s">
        <v>91</v>
      </c>
      <c r="K8" s="808">
        <v>2016</v>
      </c>
      <c r="L8" s="808">
        <v>2017</v>
      </c>
      <c r="M8" s="559" t="s">
        <v>91</v>
      </c>
      <c r="N8" s="808">
        <v>2016</v>
      </c>
      <c r="O8" s="808">
        <v>2017</v>
      </c>
      <c r="P8" s="559" t="s">
        <v>91</v>
      </c>
      <c r="Q8" s="808">
        <v>2016</v>
      </c>
      <c r="R8" s="808">
        <v>2017</v>
      </c>
      <c r="S8" s="559" t="s">
        <v>91</v>
      </c>
      <c r="T8" s="808">
        <v>2016</v>
      </c>
      <c r="U8" s="808">
        <v>2017</v>
      </c>
      <c r="V8" s="559" t="s">
        <v>91</v>
      </c>
      <c r="W8" s="808">
        <v>2016</v>
      </c>
      <c r="X8" s="808">
        <v>2017</v>
      </c>
      <c r="Y8" s="559" t="s">
        <v>91</v>
      </c>
      <c r="Z8" s="808">
        <v>2016</v>
      </c>
      <c r="AA8" s="808">
        <v>2017</v>
      </c>
      <c r="AB8" s="559" t="s">
        <v>91</v>
      </c>
      <c r="AC8" s="808">
        <v>2016</v>
      </c>
      <c r="AD8" s="808">
        <v>2017</v>
      </c>
      <c r="AE8" s="559" t="s">
        <v>91</v>
      </c>
      <c r="AF8" s="808">
        <v>2016</v>
      </c>
      <c r="AG8" s="808">
        <v>2017</v>
      </c>
      <c r="AH8" s="559" t="s">
        <v>91</v>
      </c>
      <c r="AI8" s="808">
        <v>2016</v>
      </c>
      <c r="AJ8" s="808">
        <v>2017</v>
      </c>
      <c r="AK8" s="559" t="s">
        <v>91</v>
      </c>
      <c r="AL8" s="808">
        <v>2016</v>
      </c>
      <c r="AM8" s="808">
        <v>2017</v>
      </c>
      <c r="AN8" s="559" t="s">
        <v>91</v>
      </c>
      <c r="AO8" s="804"/>
      <c r="AP8" s="809"/>
      <c r="AQ8" s="810"/>
      <c r="AR8" s="810"/>
      <c r="AS8" s="809"/>
      <c r="AT8" s="810"/>
      <c r="AU8" s="810"/>
      <c r="AV8" s="809"/>
      <c r="AW8" s="810"/>
      <c r="AX8" s="810"/>
      <c r="AY8" s="809"/>
      <c r="AZ8" s="810"/>
      <c r="BA8" s="810"/>
      <c r="BB8" s="809"/>
      <c r="BC8" s="810"/>
      <c r="BD8" s="810"/>
      <c r="BE8" s="809"/>
    </row>
    <row r="9" spans="1:57" s="595" customFormat="1" ht="18.75" customHeight="1" x14ac:dyDescent="0.3">
      <c r="A9" s="602"/>
      <c r="B9" s="811"/>
      <c r="C9" s="689"/>
      <c r="D9" s="575"/>
      <c r="E9" s="594"/>
      <c r="F9" s="575"/>
      <c r="G9" s="575"/>
      <c r="H9" s="594"/>
      <c r="I9" s="575"/>
      <c r="J9" s="575"/>
      <c r="K9" s="812"/>
      <c r="L9" s="813"/>
      <c r="M9" s="575"/>
      <c r="N9" s="451"/>
      <c r="O9" s="452"/>
      <c r="P9" s="575"/>
      <c r="Q9" s="811"/>
      <c r="R9" s="689"/>
      <c r="S9" s="575"/>
      <c r="T9" s="594"/>
      <c r="U9" s="575"/>
      <c r="V9" s="575"/>
      <c r="W9" s="594"/>
      <c r="X9" s="575"/>
      <c r="Y9" s="575"/>
      <c r="Z9" s="594"/>
      <c r="AA9" s="575"/>
      <c r="AB9" s="575"/>
      <c r="AC9" s="594"/>
      <c r="AD9" s="575"/>
      <c r="AE9" s="575"/>
      <c r="AF9" s="811"/>
      <c r="AG9" s="689"/>
      <c r="AH9" s="575"/>
      <c r="AI9" s="811"/>
      <c r="AJ9" s="689"/>
      <c r="AK9" s="575"/>
      <c r="AL9" s="811"/>
      <c r="AM9" s="689"/>
      <c r="AN9" s="575"/>
      <c r="AO9" s="814"/>
      <c r="AP9" s="814"/>
    </row>
    <row r="10" spans="1:57" s="595" customFormat="1" ht="18.75" customHeight="1" x14ac:dyDescent="0.3">
      <c r="A10" s="602" t="s">
        <v>466</v>
      </c>
      <c r="B10" s="594"/>
      <c r="C10" s="575"/>
      <c r="D10" s="575"/>
      <c r="E10" s="594"/>
      <c r="F10" s="575"/>
      <c r="G10" s="575"/>
      <c r="H10" s="594"/>
      <c r="I10" s="575"/>
      <c r="J10" s="575"/>
      <c r="K10" s="815"/>
      <c r="L10" s="816"/>
      <c r="M10" s="575"/>
      <c r="N10" s="817"/>
      <c r="O10" s="818"/>
      <c r="P10" s="575"/>
      <c r="Q10" s="594"/>
      <c r="R10" s="575"/>
      <c r="S10" s="575"/>
      <c r="T10" s="594"/>
      <c r="U10" s="575"/>
      <c r="V10" s="575"/>
      <c r="W10" s="594"/>
      <c r="X10" s="575"/>
      <c r="Y10" s="575"/>
      <c r="Z10" s="594"/>
      <c r="AA10" s="575"/>
      <c r="AB10" s="575"/>
      <c r="AC10" s="594"/>
      <c r="AD10" s="575"/>
      <c r="AE10" s="575"/>
      <c r="AF10" s="594"/>
      <c r="AG10" s="575"/>
      <c r="AH10" s="575"/>
      <c r="AI10" s="594"/>
      <c r="AJ10" s="575"/>
      <c r="AK10" s="575"/>
      <c r="AL10" s="811"/>
      <c r="AM10" s="689"/>
      <c r="AN10" s="575"/>
      <c r="AO10" s="814"/>
      <c r="AP10" s="814"/>
    </row>
    <row r="11" spans="1:57" s="825" customFormat="1" ht="18.75" customHeight="1" x14ac:dyDescent="0.3">
      <c r="A11" s="819" t="s">
        <v>467</v>
      </c>
      <c r="B11" s="820">
        <f>SUM(B12+B15+B18+B19+B21+B22)</f>
        <v>829.51700000000005</v>
      </c>
      <c r="C11" s="820">
        <f>SUM(C12+C15+C18+C19+C21+C22)</f>
        <v>953.18999999999994</v>
      </c>
      <c r="D11" s="820">
        <f t="shared" ref="D11:D54" si="0">IF(B11=0, "    ---- ", IF(ABS(ROUND(100/B11*C11-100,1))&lt;999,ROUND(100/B11*C11-100,1),IF(ROUND(100/B11*C11-100,1)&gt;999,999,-999)))</f>
        <v>14.9</v>
      </c>
      <c r="E11" s="820">
        <f>SUM(E12+E15+E18+E19+E21+E22)</f>
        <v>197796.55600000001</v>
      </c>
      <c r="F11" s="820">
        <f>SUM(F12+F15+F18+F19+F21+F22)</f>
        <v>210789.83199999999</v>
      </c>
      <c r="G11" s="820">
        <f t="shared" ref="G11:G54" si="1">IF(E11=0, "    ---- ", IF(ABS(ROUND(100/E11*F11-100,1))&lt;999,ROUND(100/E11*F11-100,1),IF(ROUND(100/E11*F11-100,1)&gt;999,999,-999)))</f>
        <v>6.6</v>
      </c>
      <c r="H11" s="820">
        <f>SUM(H12+H15+H18+H19+H21+H22)</f>
        <v>703.06999999999994</v>
      </c>
      <c r="I11" s="820">
        <f>SUM(I12+I15+I18+I19+I21+I22)</f>
        <v>810.82600000000014</v>
      </c>
      <c r="J11" s="820">
        <f t="shared" ref="J11:J54" si="2">IF(H11=0, "    ---- ", IF(ABS(ROUND(100/H11*I11-100,1))&lt;999,ROUND(100/H11*I11-100,1),IF(ROUND(100/H11*I11-100,1)&gt;999,999,-999)))</f>
        <v>15.3</v>
      </c>
      <c r="K11" s="820">
        <f>SUM(K12+K15+K18+K19+K21+K22)</f>
        <v>5217.107</v>
      </c>
      <c r="L11" s="820">
        <f>SUM(L12+L15+L18+L19+L21+L22)</f>
        <v>5784.8559999999998</v>
      </c>
      <c r="M11" s="820">
        <f t="shared" ref="M11:M54" si="3">IF(K11=0, "    ---- ", IF(ABS(ROUND(100/K11*L11-100,1))&lt;999,ROUND(100/K11*L11-100,1),IF(ROUND(100/K11*L11-100,1)&gt;999,999,-999)))</f>
        <v>10.9</v>
      </c>
      <c r="N11" s="820">
        <f>SUM(N12+N15+N18+N19+N21+N22)</f>
        <v>79</v>
      </c>
      <c r="O11" s="820">
        <f>SUM(O12+O15+O18+O19+O21+O22)</f>
        <v>58.307000000000002</v>
      </c>
      <c r="P11" s="820">
        <f t="shared" ref="P11:P51" si="4">IF(N11=0, "    ---- ", IF(ABS(ROUND(100/N11*O11-100,1))&lt;999,ROUND(100/N11*O11-100,1),IF(ROUND(100/N11*O11-100,1)&gt;999,999,-999)))</f>
        <v>-26.2</v>
      </c>
      <c r="Q11" s="822">
        <v>380658.23069846997</v>
      </c>
      <c r="R11" s="820">
        <f>SUM(R12+R15+R18+R19+R21+R22)</f>
        <v>403901.95449640002</v>
      </c>
      <c r="S11" s="820">
        <f t="shared" ref="S11:S54" si="5">IF(Q11=0, "    ---- ", IF(ABS(ROUND(100/Q11*R11-100,1))&lt;999,ROUND(100/Q11*R11-100,1),IF(ROUND(100/Q11*R11-100,1)&gt;999,999,-999)))</f>
        <v>6.1</v>
      </c>
      <c r="T11" s="822">
        <v>1426.7</v>
      </c>
      <c r="U11" s="820">
        <f>SUM(U12+U15+U18+U19+U21+U22)</f>
        <v>1476.6</v>
      </c>
      <c r="V11" s="820">
        <f t="shared" ref="V11:V54" si="6">IF(T11=0, "    ---- ", IF(ABS(ROUND(100/T11*U11-100,1))&lt;999,ROUND(100/T11*U11-100,1),IF(ROUND(100/T11*U11-100,1)&gt;999,999,-999)))</f>
        <v>3.5</v>
      </c>
      <c r="W11" s="820">
        <f>SUM(W12+W15+W18+W19+W21+W22)</f>
        <v>45419.1</v>
      </c>
      <c r="X11" s="820">
        <f>SUM(X12+X15+X18+X19+X21+X22)</f>
        <v>45894.991552869396</v>
      </c>
      <c r="Y11" s="820">
        <f t="shared" ref="Y11:Y54" si="7">IF(W11=0, "    ---- ", IF(ABS(ROUND(100/W11*X11-100,1))&lt;999,ROUND(100/W11*X11-100,1),IF(ROUND(100/W11*X11-100,1)&gt;999,999,-999)))</f>
        <v>1</v>
      </c>
      <c r="Z11" s="822">
        <v>57973</v>
      </c>
      <c r="AA11" s="820">
        <f>SUM(AA12+AA15+AA18+AA19+AA21+AA22)</f>
        <v>60973</v>
      </c>
      <c r="AB11" s="820">
        <f t="shared" ref="AB11:AB54" si="8">IF(Z11=0, "    ---- ", IF(ABS(ROUND(100/Z11*AA11-100,1))&lt;999,ROUND(100/Z11*AA11-100,1),IF(ROUND(100/Z11*AA11-100,1)&gt;999,999,-999)))</f>
        <v>5.2</v>
      </c>
      <c r="AC11" s="822"/>
      <c r="AD11" s="820"/>
      <c r="AE11" s="820"/>
      <c r="AF11" s="820">
        <f>SUM(AF12+AF15+AF18+AF19+AF21+AF22)</f>
        <v>18155.213</v>
      </c>
      <c r="AG11" s="820">
        <f>SUM(AG12+AG15+AG18+AG19+AG21+AG22)</f>
        <v>17632.095999999998</v>
      </c>
      <c r="AH11" s="820">
        <f t="shared" ref="AH11:AH54" si="9">IF(AF11=0, "    ---- ", IF(ABS(ROUND(100/AF11*AG11-100,1))&lt;999,ROUND(100/AF11*AG11-100,1),IF(ROUND(100/AF11*AG11-100,1)&gt;999,999,-999)))</f>
        <v>-2.9</v>
      </c>
      <c r="AI11" s="822">
        <v>168883.5</v>
      </c>
      <c r="AJ11" s="820">
        <f>SUM(AJ12+AJ15+AJ18+AJ19+AJ21+AJ22)</f>
        <v>169841</v>
      </c>
      <c r="AK11" s="820">
        <f t="shared" ref="AK11:AK54" si="10">IF(AI11=0, "    ---- ", IF(ABS(ROUND(100/AI11*AJ11-100,1))&lt;999,ROUND(100/AI11*AJ11-100,1),IF(ROUND(100/AI11*AJ11-100,1)&gt;999,999,-999)))</f>
        <v>0.6</v>
      </c>
      <c r="AL11" s="722">
        <f>+B11+E11+H11+K11+N11+Q11+T11+W11+Z11+AC11+AF11+AI11</f>
        <v>877140.99369846995</v>
      </c>
      <c r="AM11" s="681">
        <f>+C11+F11+I11+L11+O11+R11+U11+X11+AA11+AD11+AG11+AJ11</f>
        <v>918116.65304926946</v>
      </c>
      <c r="AN11" s="820">
        <f t="shared" ref="AN11:AN54" si="11">IF(AL11=0, "    ---- ", IF(ABS(ROUND(100/AL11*AM11-100,1))&lt;999,ROUND(100/AL11*AM11-100,1),IF(ROUND(100/AL11*AM11-100,1)&gt;999,999,-999)))</f>
        <v>4.7</v>
      </c>
      <c r="AO11" s="823"/>
      <c r="AP11" s="824"/>
    </row>
    <row r="12" spans="1:57" s="595" customFormat="1" ht="18.75" customHeight="1" x14ac:dyDescent="0.3">
      <c r="A12" s="567" t="s">
        <v>468</v>
      </c>
      <c r="B12" s="594">
        <v>287.202</v>
      </c>
      <c r="C12" s="594">
        <v>265.73399999999998</v>
      </c>
      <c r="D12" s="575">
        <f t="shared" si="0"/>
        <v>-7.5</v>
      </c>
      <c r="E12" s="594">
        <v>16690.377</v>
      </c>
      <c r="F12" s="575">
        <v>15015.046</v>
      </c>
      <c r="G12" s="575">
        <f t="shared" si="1"/>
        <v>-10</v>
      </c>
      <c r="H12" s="594">
        <v>65.649999999999991</v>
      </c>
      <c r="I12" s="575">
        <v>67.936000000000007</v>
      </c>
      <c r="J12" s="575">
        <f t="shared" si="2"/>
        <v>3.5</v>
      </c>
      <c r="K12" s="594"/>
      <c r="L12" s="575"/>
      <c r="M12" s="575"/>
      <c r="N12" s="594">
        <v>24</v>
      </c>
      <c r="O12" s="594">
        <v>24.041999999999998</v>
      </c>
      <c r="P12" s="575">
        <f t="shared" si="4"/>
        <v>0.2</v>
      </c>
      <c r="Q12" s="594"/>
      <c r="R12" s="575"/>
      <c r="S12" s="575"/>
      <c r="T12" s="594"/>
      <c r="U12" s="575"/>
      <c r="V12" s="575"/>
      <c r="W12" s="594">
        <v>754</v>
      </c>
      <c r="X12" s="575">
        <v>718.07973048077417</v>
      </c>
      <c r="Y12" s="575">
        <f t="shared" si="7"/>
        <v>-4.8</v>
      </c>
      <c r="Z12" s="594"/>
      <c r="AA12" s="575"/>
      <c r="AB12" s="575"/>
      <c r="AC12" s="594"/>
      <c r="AD12" s="575"/>
      <c r="AE12" s="575"/>
      <c r="AF12" s="594">
        <v>940.47799999999995</v>
      </c>
      <c r="AG12" s="575">
        <v>890.74099999999999</v>
      </c>
      <c r="AH12" s="575">
        <f t="shared" si="9"/>
        <v>-5.3</v>
      </c>
      <c r="AI12" s="594">
        <v>3960.6000000000004</v>
      </c>
      <c r="AJ12" s="575">
        <v>3911</v>
      </c>
      <c r="AK12" s="575">
        <f t="shared" si="10"/>
        <v>-1.3</v>
      </c>
      <c r="AL12" s="811">
        <f t="shared" ref="AL12:AM54" si="12">+B12+E12+H12+K12+N12+Q12+T12+W12+Z12+AC12+AF12+AI12</f>
        <v>22722.307000000001</v>
      </c>
      <c r="AM12" s="689">
        <f t="shared" si="12"/>
        <v>20892.578730480775</v>
      </c>
      <c r="AN12" s="575">
        <f t="shared" si="11"/>
        <v>-8.1</v>
      </c>
      <c r="AO12" s="814"/>
      <c r="AP12" s="814"/>
    </row>
    <row r="13" spans="1:57" s="595" customFormat="1" ht="18.75" customHeight="1" x14ac:dyDescent="0.3">
      <c r="A13" s="567" t="s">
        <v>469</v>
      </c>
      <c r="B13" s="811"/>
      <c r="C13" s="689"/>
      <c r="D13" s="689"/>
      <c r="E13" s="811">
        <v>4525.9979999999996</v>
      </c>
      <c r="F13" s="689">
        <v>3957.1930000000002</v>
      </c>
      <c r="G13" s="689">
        <f t="shared" si="1"/>
        <v>-12.6</v>
      </c>
      <c r="H13" s="811"/>
      <c r="I13" s="689"/>
      <c r="J13" s="689"/>
      <c r="K13" s="594"/>
      <c r="L13" s="575"/>
      <c r="M13" s="689"/>
      <c r="N13" s="811"/>
      <c r="O13" s="811"/>
      <c r="P13" s="689"/>
      <c r="Q13" s="811"/>
      <c r="R13" s="689"/>
      <c r="S13" s="689"/>
      <c r="T13" s="811"/>
      <c r="U13" s="689"/>
      <c r="V13" s="689"/>
      <c r="W13" s="811">
        <v>429.16235352074648</v>
      </c>
      <c r="X13" s="689">
        <v>527.18433442077412</v>
      </c>
      <c r="Y13" s="689">
        <f t="shared" si="7"/>
        <v>22.8</v>
      </c>
      <c r="Z13" s="811"/>
      <c r="AA13" s="689"/>
      <c r="AB13" s="689"/>
      <c r="AC13" s="811"/>
      <c r="AD13" s="689"/>
      <c r="AE13" s="575"/>
      <c r="AF13" s="811">
        <v>317.37599999999998</v>
      </c>
      <c r="AG13" s="689">
        <v>378.02699999999999</v>
      </c>
      <c r="AH13" s="689">
        <f t="shared" si="9"/>
        <v>19.100000000000001</v>
      </c>
      <c r="AI13" s="811">
        <v>2527</v>
      </c>
      <c r="AJ13" s="689">
        <v>2357</v>
      </c>
      <c r="AK13" s="689">
        <f t="shared" si="10"/>
        <v>-6.7</v>
      </c>
      <c r="AL13" s="811">
        <f t="shared" si="12"/>
        <v>7799.5363535207462</v>
      </c>
      <c r="AM13" s="689">
        <f t="shared" si="12"/>
        <v>7219.4043344207748</v>
      </c>
      <c r="AN13" s="689">
        <f t="shared" si="11"/>
        <v>-7.4</v>
      </c>
      <c r="AO13" s="814"/>
      <c r="AP13" s="814"/>
    </row>
    <row r="14" spans="1:57" s="595" customFormat="1" ht="18.75" customHeight="1" x14ac:dyDescent="0.3">
      <c r="A14" s="567" t="s">
        <v>470</v>
      </c>
      <c r="B14" s="811"/>
      <c r="C14" s="689">
        <v>265.73399999999998</v>
      </c>
      <c r="D14" s="689" t="str">
        <f t="shared" si="0"/>
        <v xml:space="preserve">    ---- </v>
      </c>
      <c r="E14" s="811">
        <v>11989.156999999999</v>
      </c>
      <c r="F14" s="689">
        <v>10896.147999999999</v>
      </c>
      <c r="G14" s="689">
        <f t="shared" si="1"/>
        <v>-9.1</v>
      </c>
      <c r="H14" s="811"/>
      <c r="I14" s="689"/>
      <c r="J14" s="689"/>
      <c r="K14" s="811"/>
      <c r="L14" s="689"/>
      <c r="M14" s="689"/>
      <c r="N14" s="811"/>
      <c r="O14" s="811"/>
      <c r="P14" s="689"/>
      <c r="Q14" s="811"/>
      <c r="R14" s="689"/>
      <c r="S14" s="689"/>
      <c r="T14" s="811"/>
      <c r="U14" s="689"/>
      <c r="V14" s="689"/>
      <c r="W14" s="811">
        <v>60.113166539253498</v>
      </c>
      <c r="X14" s="689">
        <v>80.447146870000012</v>
      </c>
      <c r="Y14" s="689">
        <f t="shared" si="7"/>
        <v>33.799999999999997</v>
      </c>
      <c r="Z14" s="811"/>
      <c r="AA14" s="689"/>
      <c r="AB14" s="689"/>
      <c r="AC14" s="811"/>
      <c r="AD14" s="689"/>
      <c r="AE14" s="575"/>
      <c r="AF14" s="811">
        <v>218.36</v>
      </c>
      <c r="AG14" s="689">
        <v>180.45099999999999</v>
      </c>
      <c r="AH14" s="689">
        <f t="shared" si="9"/>
        <v>-17.399999999999999</v>
      </c>
      <c r="AI14" s="811"/>
      <c r="AJ14" s="689"/>
      <c r="AK14" s="689"/>
      <c r="AL14" s="594">
        <f t="shared" si="12"/>
        <v>12267.630166539253</v>
      </c>
      <c r="AM14" s="575">
        <f t="shared" si="12"/>
        <v>11422.780146869998</v>
      </c>
      <c r="AN14" s="689">
        <f t="shared" si="11"/>
        <v>-6.9</v>
      </c>
      <c r="AO14" s="814"/>
      <c r="AP14" s="814"/>
    </row>
    <row r="15" spans="1:57" s="595" customFormat="1" ht="18.75" customHeight="1" x14ac:dyDescent="0.3">
      <c r="A15" s="567" t="s">
        <v>471</v>
      </c>
      <c r="B15" s="594">
        <v>63.619</v>
      </c>
      <c r="C15" s="575">
        <v>86.804000000000002</v>
      </c>
      <c r="D15" s="816">
        <f t="shared" si="0"/>
        <v>36.4</v>
      </c>
      <c r="E15" s="594">
        <v>27257.831999999999</v>
      </c>
      <c r="F15" s="575">
        <v>26294.228000000003</v>
      </c>
      <c r="G15" s="816">
        <f t="shared" si="1"/>
        <v>-3.5</v>
      </c>
      <c r="H15" s="594">
        <v>369.00299999999999</v>
      </c>
      <c r="I15" s="575">
        <v>432.10900000000004</v>
      </c>
      <c r="J15" s="816">
        <f t="shared" si="2"/>
        <v>17.100000000000001</v>
      </c>
      <c r="K15" s="594">
        <v>986.59299999999996</v>
      </c>
      <c r="L15" s="575">
        <v>1287.348</v>
      </c>
      <c r="M15" s="816">
        <f t="shared" si="3"/>
        <v>30.5</v>
      </c>
      <c r="N15" s="594">
        <v>3</v>
      </c>
      <c r="O15" s="594">
        <v>2.3319999999999999</v>
      </c>
      <c r="P15" s="816">
        <f t="shared" si="4"/>
        <v>-22.3</v>
      </c>
      <c r="Q15" s="594"/>
      <c r="R15" s="575"/>
      <c r="S15" s="816"/>
      <c r="T15" s="594"/>
      <c r="U15" s="575"/>
      <c r="V15" s="816"/>
      <c r="W15" s="594">
        <v>3982.1000000000004</v>
      </c>
      <c r="X15" s="575">
        <v>3813.5198410773232</v>
      </c>
      <c r="Y15" s="816">
        <f t="shared" si="7"/>
        <v>-4.2</v>
      </c>
      <c r="Z15" s="594"/>
      <c r="AA15" s="575"/>
      <c r="AB15" s="816"/>
      <c r="AC15" s="594"/>
      <c r="AD15" s="575"/>
      <c r="AE15" s="816"/>
      <c r="AF15" s="594">
        <v>4753.1320000000005</v>
      </c>
      <c r="AG15" s="575">
        <v>4926.6589999999997</v>
      </c>
      <c r="AH15" s="816">
        <f t="shared" si="9"/>
        <v>3.7</v>
      </c>
      <c r="AI15" s="594">
        <v>10945.800000000001</v>
      </c>
      <c r="AJ15" s="575">
        <v>10279</v>
      </c>
      <c r="AK15" s="816">
        <f t="shared" si="10"/>
        <v>-6.1</v>
      </c>
      <c r="AL15" s="594">
        <f t="shared" si="12"/>
        <v>48361.078999999998</v>
      </c>
      <c r="AM15" s="575">
        <f t="shared" si="12"/>
        <v>47121.999841077326</v>
      </c>
      <c r="AN15" s="816">
        <f t="shared" si="11"/>
        <v>-2.6</v>
      </c>
      <c r="AO15" s="814"/>
      <c r="AP15" s="814"/>
    </row>
    <row r="16" spans="1:57" s="595" customFormat="1" ht="18.75" customHeight="1" x14ac:dyDescent="0.3">
      <c r="A16" s="567" t="s">
        <v>469</v>
      </c>
      <c r="B16" s="594"/>
      <c r="C16" s="575"/>
      <c r="D16" s="816"/>
      <c r="E16" s="594">
        <v>24540.826000000001</v>
      </c>
      <c r="F16" s="575">
        <v>23383.989000000001</v>
      </c>
      <c r="G16" s="816">
        <f t="shared" si="1"/>
        <v>-4.7</v>
      </c>
      <c r="H16" s="594"/>
      <c r="I16" s="575"/>
      <c r="J16" s="816"/>
      <c r="K16" s="594"/>
      <c r="L16" s="575"/>
      <c r="M16" s="816"/>
      <c r="N16" s="594"/>
      <c r="O16" s="594"/>
      <c r="P16" s="816"/>
      <c r="Q16" s="594"/>
      <c r="R16" s="575"/>
      <c r="S16" s="816"/>
      <c r="T16" s="594"/>
      <c r="U16" s="575"/>
      <c r="V16" s="816"/>
      <c r="W16" s="594">
        <v>3005.6358185505242</v>
      </c>
      <c r="X16" s="575">
        <v>2879.3202182745781</v>
      </c>
      <c r="Y16" s="816">
        <f t="shared" si="7"/>
        <v>-4.2</v>
      </c>
      <c r="Z16" s="594"/>
      <c r="AA16" s="575"/>
      <c r="AB16" s="816"/>
      <c r="AC16" s="594"/>
      <c r="AD16" s="575"/>
      <c r="AE16" s="816"/>
      <c r="AF16" s="594">
        <v>2950.6439999999998</v>
      </c>
      <c r="AG16" s="575">
        <v>2832.2179999999998</v>
      </c>
      <c r="AH16" s="816">
        <f t="shared" si="9"/>
        <v>-4</v>
      </c>
      <c r="AI16" s="594">
        <v>10945.8</v>
      </c>
      <c r="AJ16" s="575">
        <v>10279</v>
      </c>
      <c r="AK16" s="816">
        <f t="shared" si="10"/>
        <v>-6.1</v>
      </c>
      <c r="AL16" s="594">
        <f t="shared" si="12"/>
        <v>41442.905818550527</v>
      </c>
      <c r="AM16" s="575">
        <f t="shared" si="12"/>
        <v>39374.527218274583</v>
      </c>
      <c r="AN16" s="816">
        <f t="shared" si="11"/>
        <v>-5</v>
      </c>
      <c r="AO16" s="814"/>
      <c r="AP16" s="814"/>
    </row>
    <row r="17" spans="1:42" s="595" customFormat="1" ht="18.75" customHeight="1" x14ac:dyDescent="0.3">
      <c r="A17" s="567" t="s">
        <v>470</v>
      </c>
      <c r="B17" s="594"/>
      <c r="C17" s="575">
        <v>86.804000000000002</v>
      </c>
      <c r="D17" s="816" t="str">
        <f t="shared" si="0"/>
        <v xml:space="preserve">    ---- </v>
      </c>
      <c r="E17" s="594">
        <v>2593.92</v>
      </c>
      <c r="F17" s="575">
        <v>2798.2040000000002</v>
      </c>
      <c r="G17" s="816">
        <f t="shared" si="1"/>
        <v>7.9</v>
      </c>
      <c r="H17" s="594">
        <v>197.499</v>
      </c>
      <c r="I17" s="575">
        <v>246.10900000000001</v>
      </c>
      <c r="J17" s="816">
        <f t="shared" si="2"/>
        <v>24.6</v>
      </c>
      <c r="K17" s="594">
        <v>340.99599999999998</v>
      </c>
      <c r="L17" s="575">
        <v>1287.348</v>
      </c>
      <c r="M17" s="816">
        <f t="shared" si="3"/>
        <v>277.5</v>
      </c>
      <c r="N17" s="594"/>
      <c r="O17" s="594"/>
      <c r="P17" s="816"/>
      <c r="Q17" s="594"/>
      <c r="R17" s="575"/>
      <c r="S17" s="816"/>
      <c r="T17" s="594"/>
      <c r="U17" s="575"/>
      <c r="V17" s="816"/>
      <c r="W17" s="594">
        <v>468.81332135947588</v>
      </c>
      <c r="X17" s="575">
        <v>484.28825561896645</v>
      </c>
      <c r="Y17" s="816">
        <f t="shared" si="7"/>
        <v>3.3</v>
      </c>
      <c r="Z17" s="594"/>
      <c r="AA17" s="575"/>
      <c r="AB17" s="816"/>
      <c r="AC17" s="594"/>
      <c r="AD17" s="575"/>
      <c r="AE17" s="816"/>
      <c r="AF17" s="594">
        <v>74.572999999999993</v>
      </c>
      <c r="AG17" s="575">
        <v>84.852000000000004</v>
      </c>
      <c r="AH17" s="816">
        <f t="shared" si="9"/>
        <v>13.8</v>
      </c>
      <c r="AI17" s="594"/>
      <c r="AJ17" s="575"/>
      <c r="AK17" s="816"/>
      <c r="AL17" s="594">
        <f t="shared" si="12"/>
        <v>3675.8013213594759</v>
      </c>
      <c r="AM17" s="575">
        <f t="shared" si="12"/>
        <v>4987.6052556189661</v>
      </c>
      <c r="AN17" s="816">
        <f t="shared" si="11"/>
        <v>35.700000000000003</v>
      </c>
      <c r="AO17" s="814"/>
      <c r="AP17" s="814"/>
    </row>
    <row r="18" spans="1:42" s="595" customFormat="1" ht="18.75" customHeight="1" x14ac:dyDescent="0.3">
      <c r="A18" s="567" t="s">
        <v>472</v>
      </c>
      <c r="B18" s="594">
        <v>0.56499999999999995</v>
      </c>
      <c r="C18" s="575"/>
      <c r="D18" s="816">
        <f t="shared" si="0"/>
        <v>-100</v>
      </c>
      <c r="E18" s="594">
        <v>678.44800000000009</v>
      </c>
      <c r="F18" s="575">
        <v>1084.528</v>
      </c>
      <c r="G18" s="816">
        <f t="shared" si="1"/>
        <v>59.9</v>
      </c>
      <c r="H18" s="594">
        <v>42.204000000000001</v>
      </c>
      <c r="I18" s="575">
        <v>46.238999999999997</v>
      </c>
      <c r="J18" s="816">
        <f t="shared" si="2"/>
        <v>9.6</v>
      </c>
      <c r="K18" s="594"/>
      <c r="L18" s="575"/>
      <c r="M18" s="816"/>
      <c r="N18" s="594">
        <v>52</v>
      </c>
      <c r="O18" s="594">
        <v>31.933000000000003</v>
      </c>
      <c r="P18" s="816">
        <f t="shared" si="4"/>
        <v>-38.6</v>
      </c>
      <c r="Q18" s="594">
        <v>2.4028630000000002E-2</v>
      </c>
      <c r="R18" s="575"/>
      <c r="S18" s="816">
        <f t="shared" si="5"/>
        <v>-100</v>
      </c>
      <c r="T18" s="594"/>
      <c r="U18" s="575"/>
      <c r="V18" s="816"/>
      <c r="W18" s="594"/>
      <c r="X18" s="575"/>
      <c r="Y18" s="816"/>
      <c r="Z18" s="594"/>
      <c r="AA18" s="575"/>
      <c r="AB18" s="816"/>
      <c r="AC18" s="594"/>
      <c r="AD18" s="575"/>
      <c r="AE18" s="816"/>
      <c r="AF18" s="594">
        <v>1248.6680000000001</v>
      </c>
      <c r="AG18" s="575">
        <v>120.91500000000001</v>
      </c>
      <c r="AH18" s="816">
        <f t="shared" si="9"/>
        <v>-90.3</v>
      </c>
      <c r="AI18" s="594">
        <v>1325</v>
      </c>
      <c r="AJ18" s="575">
        <v>1425</v>
      </c>
      <c r="AK18" s="816">
        <f t="shared" si="10"/>
        <v>7.5</v>
      </c>
      <c r="AL18" s="594">
        <f t="shared" si="12"/>
        <v>3346.9090286300002</v>
      </c>
      <c r="AM18" s="575">
        <f t="shared" si="12"/>
        <v>2708.6149999999998</v>
      </c>
      <c r="AN18" s="816">
        <f t="shared" si="11"/>
        <v>-19.100000000000001</v>
      </c>
      <c r="AO18" s="814"/>
      <c r="AP18" s="814"/>
    </row>
    <row r="19" spans="1:42" s="595" customFormat="1" ht="18.75" customHeight="1" x14ac:dyDescent="0.3">
      <c r="A19" s="567" t="s">
        <v>473</v>
      </c>
      <c r="B19" s="594">
        <v>478.13100000000003</v>
      </c>
      <c r="C19" s="575">
        <v>547.35799999999995</v>
      </c>
      <c r="D19" s="816">
        <f t="shared" si="0"/>
        <v>14.5</v>
      </c>
      <c r="E19" s="594">
        <v>151484.261</v>
      </c>
      <c r="F19" s="575">
        <v>149704.014</v>
      </c>
      <c r="G19" s="816">
        <f t="shared" si="1"/>
        <v>-1.2</v>
      </c>
      <c r="H19" s="594">
        <v>125.255</v>
      </c>
      <c r="I19" s="575">
        <v>144.86000000000001</v>
      </c>
      <c r="J19" s="816">
        <f t="shared" si="2"/>
        <v>15.7</v>
      </c>
      <c r="K19" s="594">
        <v>4230.5140000000001</v>
      </c>
      <c r="L19" s="575">
        <v>4497.5079999999998</v>
      </c>
      <c r="M19" s="816">
        <f t="shared" si="3"/>
        <v>6.3</v>
      </c>
      <c r="N19" s="594"/>
      <c r="O19" s="575"/>
      <c r="P19" s="816"/>
      <c r="Q19" s="594"/>
      <c r="R19" s="575"/>
      <c r="S19" s="816"/>
      <c r="T19" s="594">
        <v>1426.7</v>
      </c>
      <c r="U19" s="575">
        <v>1476.6</v>
      </c>
      <c r="V19" s="816">
        <f t="shared" si="6"/>
        <v>3.5</v>
      </c>
      <c r="W19" s="594">
        <v>40423</v>
      </c>
      <c r="X19" s="575">
        <v>41096.553120526056</v>
      </c>
      <c r="Y19" s="816">
        <f t="shared" si="7"/>
        <v>1.7</v>
      </c>
      <c r="Z19" s="594"/>
      <c r="AA19" s="575"/>
      <c r="AB19" s="816"/>
      <c r="AC19" s="594"/>
      <c r="AD19" s="575"/>
      <c r="AE19" s="816"/>
      <c r="AF19" s="594">
        <v>10773.689</v>
      </c>
      <c r="AG19" s="575">
        <v>11226.925999999999</v>
      </c>
      <c r="AH19" s="816">
        <f t="shared" si="9"/>
        <v>4.2</v>
      </c>
      <c r="AI19" s="594">
        <v>150172.5</v>
      </c>
      <c r="AJ19" s="575">
        <v>151822</v>
      </c>
      <c r="AK19" s="816">
        <f t="shared" si="10"/>
        <v>1.1000000000000001</v>
      </c>
      <c r="AL19" s="594">
        <f t="shared" si="12"/>
        <v>359114.05000000005</v>
      </c>
      <c r="AM19" s="575">
        <f t="shared" si="12"/>
        <v>360515.81912052608</v>
      </c>
      <c r="AN19" s="816">
        <f t="shared" si="11"/>
        <v>0.4</v>
      </c>
      <c r="AO19" s="814"/>
      <c r="AP19" s="814"/>
    </row>
    <row r="20" spans="1:42" s="595" customFormat="1" ht="18.75" customHeight="1" x14ac:dyDescent="0.3">
      <c r="A20" s="567" t="s">
        <v>474</v>
      </c>
      <c r="B20" s="594">
        <v>25.992000000000001</v>
      </c>
      <c r="C20" s="575">
        <v>28.045000000000002</v>
      </c>
      <c r="D20" s="816">
        <f t="shared" si="0"/>
        <v>7.9</v>
      </c>
      <c r="E20" s="594">
        <v>113597.933</v>
      </c>
      <c r="F20" s="575">
        <v>124259.807</v>
      </c>
      <c r="G20" s="816">
        <f t="shared" si="1"/>
        <v>9.4</v>
      </c>
      <c r="H20" s="594"/>
      <c r="I20" s="575"/>
      <c r="J20" s="816"/>
      <c r="K20" s="594">
        <v>3252.4540000000002</v>
      </c>
      <c r="L20" s="575">
        <v>3778.0070000000001</v>
      </c>
      <c r="M20" s="816">
        <f t="shared" si="3"/>
        <v>16.2</v>
      </c>
      <c r="N20" s="594"/>
      <c r="O20" s="575"/>
      <c r="P20" s="816"/>
      <c r="Q20" s="594"/>
      <c r="R20" s="575"/>
      <c r="S20" s="816"/>
      <c r="T20" s="594">
        <v>750</v>
      </c>
      <c r="U20" s="575">
        <v>910.5</v>
      </c>
      <c r="V20" s="816">
        <f t="shared" si="6"/>
        <v>21.4</v>
      </c>
      <c r="W20" s="594">
        <v>28716</v>
      </c>
      <c r="X20" s="575">
        <v>32672.111011813438</v>
      </c>
      <c r="Y20" s="816">
        <f t="shared" si="7"/>
        <v>13.8</v>
      </c>
      <c r="Z20" s="594"/>
      <c r="AA20" s="575"/>
      <c r="AB20" s="816"/>
      <c r="AC20" s="594"/>
      <c r="AD20" s="575"/>
      <c r="AE20" s="816"/>
      <c r="AF20" s="594">
        <v>5358.7290000000003</v>
      </c>
      <c r="AG20" s="575">
        <v>8142.91</v>
      </c>
      <c r="AH20" s="816">
        <f t="shared" si="9"/>
        <v>52</v>
      </c>
      <c r="AI20" s="594">
        <v>111076.5</v>
      </c>
      <c r="AJ20" s="575">
        <v>121636</v>
      </c>
      <c r="AK20" s="816">
        <f t="shared" si="10"/>
        <v>9.5</v>
      </c>
      <c r="AL20" s="594">
        <f t="shared" si="12"/>
        <v>262777.60800000001</v>
      </c>
      <c r="AM20" s="575">
        <f t="shared" si="12"/>
        <v>291427.38001181348</v>
      </c>
      <c r="AN20" s="816">
        <f t="shared" si="11"/>
        <v>10.9</v>
      </c>
      <c r="AO20" s="814"/>
      <c r="AP20" s="814"/>
    </row>
    <row r="21" spans="1:42" s="595" customFormat="1" ht="18.75" customHeight="1" x14ac:dyDescent="0.3">
      <c r="A21" s="567" t="s">
        <v>475</v>
      </c>
      <c r="B21" s="594"/>
      <c r="C21" s="575"/>
      <c r="D21" s="816"/>
      <c r="E21" s="594">
        <v>27.792999999999999</v>
      </c>
      <c r="F21" s="575">
        <v>0</v>
      </c>
      <c r="G21" s="816">
        <f t="shared" si="1"/>
        <v>-100</v>
      </c>
      <c r="H21" s="594"/>
      <c r="I21" s="575"/>
      <c r="J21" s="816"/>
      <c r="K21" s="594"/>
      <c r="L21" s="575"/>
      <c r="M21" s="816"/>
      <c r="N21" s="594"/>
      <c r="O21" s="575"/>
      <c r="P21" s="816"/>
      <c r="Q21" s="594">
        <v>380658.20666983997</v>
      </c>
      <c r="R21" s="575">
        <v>403901.95449640002</v>
      </c>
      <c r="S21" s="816">
        <f t="shared" si="5"/>
        <v>6.1</v>
      </c>
      <c r="T21" s="594"/>
      <c r="U21" s="575"/>
      <c r="V21" s="816"/>
      <c r="W21" s="594"/>
      <c r="X21" s="575"/>
      <c r="Y21" s="816"/>
      <c r="Z21" s="594">
        <v>57973</v>
      </c>
      <c r="AA21" s="575">
        <v>60973</v>
      </c>
      <c r="AB21" s="816">
        <f t="shared" si="8"/>
        <v>5.2</v>
      </c>
      <c r="AC21" s="594"/>
      <c r="AD21" s="575"/>
      <c r="AE21" s="816"/>
      <c r="AF21" s="594"/>
      <c r="AG21" s="575"/>
      <c r="AH21" s="816"/>
      <c r="AI21" s="594">
        <v>2479.6</v>
      </c>
      <c r="AJ21" s="575">
        <v>2404</v>
      </c>
      <c r="AK21" s="816">
        <f t="shared" si="10"/>
        <v>-3</v>
      </c>
      <c r="AL21" s="594">
        <f t="shared" si="12"/>
        <v>441138.59966983995</v>
      </c>
      <c r="AM21" s="575">
        <f t="shared" si="12"/>
        <v>467278.95449640002</v>
      </c>
      <c r="AN21" s="816">
        <f t="shared" si="11"/>
        <v>5.9</v>
      </c>
      <c r="AO21" s="814"/>
      <c r="AP21" s="814"/>
    </row>
    <row r="22" spans="1:42" s="595" customFormat="1" ht="18.75" customHeight="1" x14ac:dyDescent="0.3">
      <c r="A22" s="567" t="s">
        <v>476</v>
      </c>
      <c r="B22" s="594">
        <v>0</v>
      </c>
      <c r="C22" s="575">
        <v>53.293999999999997</v>
      </c>
      <c r="D22" s="816" t="str">
        <f t="shared" si="0"/>
        <v xml:space="preserve">    ---- </v>
      </c>
      <c r="E22" s="594">
        <v>1657.845</v>
      </c>
      <c r="F22" s="575">
        <v>18692.016</v>
      </c>
      <c r="G22" s="816">
        <f t="shared" si="1"/>
        <v>999</v>
      </c>
      <c r="H22" s="594">
        <v>100.958</v>
      </c>
      <c r="I22" s="575">
        <v>119.682</v>
      </c>
      <c r="J22" s="816">
        <f t="shared" si="2"/>
        <v>18.5</v>
      </c>
      <c r="K22" s="594"/>
      <c r="L22" s="575"/>
      <c r="M22" s="816"/>
      <c r="N22" s="594"/>
      <c r="O22" s="575"/>
      <c r="P22" s="816"/>
      <c r="Q22" s="594"/>
      <c r="R22" s="575"/>
      <c r="S22" s="816"/>
      <c r="T22" s="594"/>
      <c r="U22" s="575"/>
      <c r="V22" s="816"/>
      <c r="W22" s="594">
        <v>260</v>
      </c>
      <c r="X22" s="575">
        <v>266.83886078523886</v>
      </c>
      <c r="Y22" s="816">
        <f t="shared" si="7"/>
        <v>2.6</v>
      </c>
      <c r="Z22" s="594"/>
      <c r="AA22" s="575"/>
      <c r="AB22" s="816"/>
      <c r="AC22" s="594"/>
      <c r="AD22" s="575"/>
      <c r="AE22" s="816"/>
      <c r="AF22" s="594">
        <v>439.24599999999998</v>
      </c>
      <c r="AG22" s="575">
        <v>466.85500000000002</v>
      </c>
      <c r="AH22" s="816">
        <f t="shared" si="9"/>
        <v>6.3</v>
      </c>
      <c r="AI22" s="594"/>
      <c r="AJ22" s="575"/>
      <c r="AK22" s="816"/>
      <c r="AL22" s="594">
        <f t="shared" si="12"/>
        <v>2458.049</v>
      </c>
      <c r="AM22" s="575">
        <f t="shared" si="12"/>
        <v>19598.685860785241</v>
      </c>
      <c r="AN22" s="816">
        <f t="shared" si="11"/>
        <v>697.3</v>
      </c>
      <c r="AO22" s="814"/>
      <c r="AP22" s="814"/>
    </row>
    <row r="23" spans="1:42" s="825" customFormat="1" ht="18.75" customHeight="1" x14ac:dyDescent="0.3">
      <c r="A23" s="819" t="s">
        <v>477</v>
      </c>
      <c r="B23" s="680">
        <v>48.585999999999999</v>
      </c>
      <c r="C23" s="820">
        <f>SUM(C24+C27+C30+C31+C33+C34)</f>
        <v>953.69199999999989</v>
      </c>
      <c r="D23" s="821">
        <f t="shared" si="0"/>
        <v>999</v>
      </c>
      <c r="E23" s="822">
        <v>195217.06300000002</v>
      </c>
      <c r="F23" s="820">
        <f>SUM(F24+F27+F30+F31+F33+F34)</f>
        <v>192378.01700000002</v>
      </c>
      <c r="G23" s="821">
        <f t="shared" si="1"/>
        <v>-1.5</v>
      </c>
      <c r="H23" s="822">
        <v>261.00400000000002</v>
      </c>
      <c r="I23" s="820">
        <f>SUM(I24+I27+I30+I31+I33+I34)</f>
        <v>320.21800000000002</v>
      </c>
      <c r="J23" s="821">
        <f t="shared" si="2"/>
        <v>22.7</v>
      </c>
      <c r="K23" s="822">
        <v>4126.9619999999995</v>
      </c>
      <c r="L23" s="820">
        <f>SUM(L24+L27+L30+L31+L33+L34)</f>
        <v>5784.8559999999998</v>
      </c>
      <c r="M23" s="821">
        <f t="shared" si="3"/>
        <v>40.200000000000003</v>
      </c>
      <c r="N23" s="822"/>
      <c r="O23" s="820"/>
      <c r="P23" s="821"/>
      <c r="Q23" s="822">
        <v>380658.23069846997</v>
      </c>
      <c r="R23" s="820">
        <f>SUM(R24+R27+R30+R31+R33+R34)</f>
        <v>380658.20666983997</v>
      </c>
      <c r="S23" s="821">
        <f t="shared" si="5"/>
        <v>0</v>
      </c>
      <c r="T23" s="822"/>
      <c r="U23" s="820"/>
      <c r="V23" s="821"/>
      <c r="W23" s="822">
        <v>44954.930700299999</v>
      </c>
      <c r="X23" s="820">
        <f>SUM(X24+X27+X30+X31+X33+X34)</f>
        <v>45894.991552869396</v>
      </c>
      <c r="Y23" s="821">
        <f t="shared" si="7"/>
        <v>2.1</v>
      </c>
      <c r="Z23" s="822"/>
      <c r="AA23" s="820"/>
      <c r="AB23" s="821"/>
      <c r="AC23" s="822"/>
      <c r="AD23" s="820"/>
      <c r="AE23" s="821"/>
      <c r="AF23" s="822">
        <v>15430.261</v>
      </c>
      <c r="AG23" s="820">
        <f>SUM(AG24+AG27+AG30+AG31+AG33+AG34)</f>
        <v>17632.095999999998</v>
      </c>
      <c r="AH23" s="821">
        <f t="shared" si="9"/>
        <v>14.3</v>
      </c>
      <c r="AI23" s="822">
        <v>168883.5</v>
      </c>
      <c r="AJ23" s="820">
        <f>SUM(AJ24+AJ27+AJ30+AJ31+AJ33+AJ34)</f>
        <v>169841</v>
      </c>
      <c r="AK23" s="821">
        <f t="shared" si="10"/>
        <v>0.6</v>
      </c>
      <c r="AL23" s="822">
        <f t="shared" si="12"/>
        <v>809580.5373987701</v>
      </c>
      <c r="AM23" s="820">
        <f t="shared" si="12"/>
        <v>813463.07722270943</v>
      </c>
      <c r="AN23" s="821">
        <f t="shared" si="11"/>
        <v>0.5</v>
      </c>
      <c r="AO23" s="823"/>
      <c r="AP23" s="824"/>
    </row>
    <row r="24" spans="1:42" s="595" customFormat="1" ht="18.75" customHeight="1" x14ac:dyDescent="0.3">
      <c r="A24" s="567" t="s">
        <v>468</v>
      </c>
      <c r="B24" s="594">
        <v>22.585999999999999</v>
      </c>
      <c r="C24" s="575">
        <v>265.73399999999998</v>
      </c>
      <c r="D24" s="816">
        <f t="shared" si="0"/>
        <v>999</v>
      </c>
      <c r="E24" s="594">
        <v>16515.153999999999</v>
      </c>
      <c r="F24" s="575">
        <v>14853.341</v>
      </c>
      <c r="G24" s="816">
        <f t="shared" si="1"/>
        <v>-10.1</v>
      </c>
      <c r="H24" s="594"/>
      <c r="I24" s="575"/>
      <c r="J24" s="816"/>
      <c r="K24" s="594"/>
      <c r="L24" s="575"/>
      <c r="M24" s="816"/>
      <c r="N24" s="594"/>
      <c r="O24" s="575"/>
      <c r="P24" s="816"/>
      <c r="Q24" s="594"/>
      <c r="R24" s="575"/>
      <c r="S24" s="816"/>
      <c r="T24" s="594"/>
      <c r="U24" s="575"/>
      <c r="V24" s="816"/>
      <c r="W24" s="594">
        <v>600.27552005999996</v>
      </c>
      <c r="X24" s="575">
        <v>718.07973048077417</v>
      </c>
      <c r="Y24" s="816">
        <f t="shared" si="7"/>
        <v>19.600000000000001</v>
      </c>
      <c r="Z24" s="594"/>
      <c r="AA24" s="575"/>
      <c r="AB24" s="816"/>
      <c r="AC24" s="594"/>
      <c r="AD24" s="575"/>
      <c r="AE24" s="816"/>
      <c r="AF24" s="594">
        <v>535.88599999999997</v>
      </c>
      <c r="AG24" s="575">
        <v>890.74099999999999</v>
      </c>
      <c r="AH24" s="816">
        <f t="shared" si="9"/>
        <v>66.2</v>
      </c>
      <c r="AI24" s="594">
        <v>3960.6000000000004</v>
      </c>
      <c r="AJ24" s="575">
        <v>3911</v>
      </c>
      <c r="AK24" s="816">
        <f t="shared" si="10"/>
        <v>-1.3</v>
      </c>
      <c r="AL24" s="594">
        <f t="shared" si="12"/>
        <v>21634.501520059996</v>
      </c>
      <c r="AM24" s="575">
        <f t="shared" si="12"/>
        <v>20638.895730480777</v>
      </c>
      <c r="AN24" s="816">
        <f t="shared" si="11"/>
        <v>-4.5999999999999996</v>
      </c>
      <c r="AO24" s="814"/>
      <c r="AP24" s="814"/>
    </row>
    <row r="25" spans="1:42" s="595" customFormat="1" ht="18.75" customHeight="1" x14ac:dyDescent="0.3">
      <c r="A25" s="567" t="s">
        <v>469</v>
      </c>
      <c r="B25" s="594"/>
      <c r="C25" s="575"/>
      <c r="D25" s="816"/>
      <c r="E25" s="594">
        <v>4525.9979999999996</v>
      </c>
      <c r="F25" s="575">
        <v>3957.1930000000002</v>
      </c>
      <c r="G25" s="816">
        <f t="shared" si="1"/>
        <v>-12.6</v>
      </c>
      <c r="H25" s="594"/>
      <c r="I25" s="575"/>
      <c r="J25" s="816"/>
      <c r="K25" s="594"/>
      <c r="L25" s="575"/>
      <c r="M25" s="816"/>
      <c r="N25" s="594"/>
      <c r="O25" s="575"/>
      <c r="P25" s="816"/>
      <c r="Q25" s="594"/>
      <c r="R25" s="575"/>
      <c r="S25" s="816"/>
      <c r="T25" s="594"/>
      <c r="U25" s="575"/>
      <c r="V25" s="816"/>
      <c r="W25" s="594">
        <v>429.16235352074648</v>
      </c>
      <c r="X25" s="575">
        <v>527.18433442077412</v>
      </c>
      <c r="Y25" s="816">
        <f t="shared" si="7"/>
        <v>22.8</v>
      </c>
      <c r="Z25" s="594"/>
      <c r="AA25" s="575"/>
      <c r="AB25" s="816"/>
      <c r="AC25" s="594"/>
      <c r="AD25" s="575"/>
      <c r="AE25" s="816"/>
      <c r="AF25" s="594">
        <v>317.37599999999998</v>
      </c>
      <c r="AG25" s="575">
        <v>378.02699999999999</v>
      </c>
      <c r="AH25" s="816">
        <f t="shared" si="9"/>
        <v>19.100000000000001</v>
      </c>
      <c r="AI25" s="594">
        <v>2527</v>
      </c>
      <c r="AJ25" s="575">
        <v>2357</v>
      </c>
      <c r="AK25" s="816">
        <f t="shared" si="10"/>
        <v>-6.7</v>
      </c>
      <c r="AL25" s="594">
        <f t="shared" si="12"/>
        <v>7799.5363535207462</v>
      </c>
      <c r="AM25" s="575">
        <f t="shared" si="12"/>
        <v>7219.4043344207748</v>
      </c>
      <c r="AN25" s="816">
        <f t="shared" si="11"/>
        <v>-7.4</v>
      </c>
      <c r="AO25" s="814"/>
      <c r="AP25" s="814"/>
    </row>
    <row r="26" spans="1:42" s="595" customFormat="1" ht="18.75" customHeight="1" x14ac:dyDescent="0.3">
      <c r="A26" s="567" t="s">
        <v>470</v>
      </c>
      <c r="B26" s="594"/>
      <c r="C26" s="575"/>
      <c r="D26" s="816"/>
      <c r="E26" s="594">
        <v>11989.156999999999</v>
      </c>
      <c r="F26" s="575">
        <v>10896.147999999999</v>
      </c>
      <c r="G26" s="816">
        <f t="shared" si="1"/>
        <v>-9.1</v>
      </c>
      <c r="H26" s="594"/>
      <c r="I26" s="575"/>
      <c r="J26" s="816"/>
      <c r="K26" s="594"/>
      <c r="L26" s="575"/>
      <c r="M26" s="816"/>
      <c r="N26" s="594"/>
      <c r="O26" s="575"/>
      <c r="P26" s="816"/>
      <c r="Q26" s="594"/>
      <c r="R26" s="575"/>
      <c r="S26" s="816"/>
      <c r="T26" s="594"/>
      <c r="U26" s="575"/>
      <c r="V26" s="816"/>
      <c r="W26" s="594">
        <v>60.113166539253498</v>
      </c>
      <c r="X26" s="575">
        <v>80.447146870000012</v>
      </c>
      <c r="Y26" s="816">
        <f t="shared" si="7"/>
        <v>33.799999999999997</v>
      </c>
      <c r="Z26" s="594"/>
      <c r="AA26" s="575"/>
      <c r="AB26" s="816"/>
      <c r="AC26" s="594"/>
      <c r="AD26" s="575"/>
      <c r="AE26" s="816"/>
      <c r="AF26" s="594">
        <v>218.36</v>
      </c>
      <c r="AG26" s="575">
        <v>180.45099999999999</v>
      </c>
      <c r="AH26" s="816">
        <f t="shared" si="9"/>
        <v>-17.399999999999999</v>
      </c>
      <c r="AI26" s="594"/>
      <c r="AJ26" s="575"/>
      <c r="AK26" s="816"/>
      <c r="AL26" s="594">
        <f t="shared" si="12"/>
        <v>12267.630166539253</v>
      </c>
      <c r="AM26" s="575">
        <f t="shared" si="12"/>
        <v>11157.046146869998</v>
      </c>
      <c r="AN26" s="816">
        <f t="shared" si="11"/>
        <v>-9.1</v>
      </c>
      <c r="AO26" s="814"/>
      <c r="AP26" s="814"/>
    </row>
    <row r="27" spans="1:42" s="595" customFormat="1" ht="18.75" customHeight="1" x14ac:dyDescent="0.3">
      <c r="A27" s="567" t="s">
        <v>471</v>
      </c>
      <c r="B27" s="594"/>
      <c r="C27" s="575">
        <v>86.804000000000002</v>
      </c>
      <c r="D27" s="816" t="str">
        <f t="shared" si="0"/>
        <v xml:space="preserve">    ---- </v>
      </c>
      <c r="E27" s="594">
        <v>27134.745999999999</v>
      </c>
      <c r="F27" s="575">
        <v>26182.193000000003</v>
      </c>
      <c r="G27" s="816">
        <f t="shared" si="1"/>
        <v>-3.5</v>
      </c>
      <c r="H27" s="594">
        <v>195.01</v>
      </c>
      <c r="I27" s="575">
        <v>243.303</v>
      </c>
      <c r="J27" s="816">
        <f t="shared" si="2"/>
        <v>24.8</v>
      </c>
      <c r="K27" s="594">
        <v>340.99599999999998</v>
      </c>
      <c r="L27" s="575">
        <v>1287.348</v>
      </c>
      <c r="M27" s="816">
        <f t="shared" si="3"/>
        <v>277.5</v>
      </c>
      <c r="N27" s="594"/>
      <c r="O27" s="575"/>
      <c r="P27" s="816"/>
      <c r="Q27" s="594"/>
      <c r="R27" s="575"/>
      <c r="S27" s="816"/>
      <c r="T27" s="594"/>
      <c r="U27" s="575"/>
      <c r="V27" s="816"/>
      <c r="W27" s="594">
        <v>3870.4491399100002</v>
      </c>
      <c r="X27" s="575">
        <v>3813.5198410773232</v>
      </c>
      <c r="Y27" s="816">
        <f t="shared" si="7"/>
        <v>-1.5</v>
      </c>
      <c r="Z27" s="594"/>
      <c r="AA27" s="575"/>
      <c r="AB27" s="816"/>
      <c r="AC27" s="594"/>
      <c r="AD27" s="575"/>
      <c r="AE27" s="816"/>
      <c r="AF27" s="594">
        <v>4041.9850000000001</v>
      </c>
      <c r="AG27" s="575">
        <v>4926.6589999999997</v>
      </c>
      <c r="AH27" s="816">
        <f t="shared" si="9"/>
        <v>21.9</v>
      </c>
      <c r="AI27" s="594">
        <v>10945.800000000001</v>
      </c>
      <c r="AJ27" s="575">
        <v>10279</v>
      </c>
      <c r="AK27" s="816">
        <f t="shared" si="10"/>
        <v>-6.1</v>
      </c>
      <c r="AL27" s="594">
        <f t="shared" si="12"/>
        <v>46528.986139909997</v>
      </c>
      <c r="AM27" s="575">
        <f t="shared" si="12"/>
        <v>46818.826841077323</v>
      </c>
      <c r="AN27" s="816">
        <f t="shared" si="11"/>
        <v>0.6</v>
      </c>
      <c r="AO27" s="814"/>
      <c r="AP27" s="814"/>
    </row>
    <row r="28" spans="1:42" s="595" customFormat="1" ht="18.75" customHeight="1" x14ac:dyDescent="0.3">
      <c r="A28" s="567" t="s">
        <v>469</v>
      </c>
      <c r="B28" s="594"/>
      <c r="C28" s="575"/>
      <c r="D28" s="816"/>
      <c r="E28" s="594">
        <v>24540.826000000001</v>
      </c>
      <c r="F28" s="575">
        <v>23383.989000000001</v>
      </c>
      <c r="G28" s="816">
        <f t="shared" si="1"/>
        <v>-4.7</v>
      </c>
      <c r="H28" s="594"/>
      <c r="I28" s="575"/>
      <c r="J28" s="816"/>
      <c r="K28" s="594"/>
      <c r="L28" s="575"/>
      <c r="M28" s="816"/>
      <c r="N28" s="594"/>
      <c r="O28" s="575"/>
      <c r="P28" s="816"/>
      <c r="Q28" s="594"/>
      <c r="R28" s="575"/>
      <c r="S28" s="816"/>
      <c r="T28" s="594"/>
      <c r="U28" s="575"/>
      <c r="V28" s="816"/>
      <c r="W28" s="594">
        <v>2990.8834137961348</v>
      </c>
      <c r="X28" s="575">
        <v>2858.672070022335</v>
      </c>
      <c r="Y28" s="816">
        <f t="shared" si="7"/>
        <v>-4.4000000000000004</v>
      </c>
      <c r="Z28" s="594"/>
      <c r="AA28" s="575"/>
      <c r="AB28" s="816"/>
      <c r="AC28" s="594"/>
      <c r="AD28" s="575"/>
      <c r="AE28" s="816"/>
      <c r="AF28" s="594">
        <v>2950.6439999999998</v>
      </c>
      <c r="AG28" s="575">
        <v>2832.2179999999998</v>
      </c>
      <c r="AH28" s="816">
        <f t="shared" si="9"/>
        <v>-4</v>
      </c>
      <c r="AI28" s="594">
        <v>10945.8</v>
      </c>
      <c r="AJ28" s="575">
        <v>10279</v>
      </c>
      <c r="AK28" s="816">
        <f t="shared" si="10"/>
        <v>-6.1</v>
      </c>
      <c r="AL28" s="594">
        <f t="shared" si="12"/>
        <v>41428.153413796135</v>
      </c>
      <c r="AM28" s="575">
        <f t="shared" si="12"/>
        <v>39353.879070022333</v>
      </c>
      <c r="AN28" s="816">
        <f t="shared" si="11"/>
        <v>-5</v>
      </c>
      <c r="AO28" s="814"/>
      <c r="AP28" s="814"/>
    </row>
    <row r="29" spans="1:42" s="595" customFormat="1" ht="18.75" customHeight="1" x14ac:dyDescent="0.3">
      <c r="A29" s="567" t="s">
        <v>470</v>
      </c>
      <c r="B29" s="594"/>
      <c r="C29" s="575"/>
      <c r="D29" s="816"/>
      <c r="E29" s="594">
        <v>2593.92</v>
      </c>
      <c r="F29" s="575">
        <v>2798.2040000000002</v>
      </c>
      <c r="G29" s="816">
        <f t="shared" si="1"/>
        <v>7.9</v>
      </c>
      <c r="H29" s="594">
        <v>195.01</v>
      </c>
      <c r="I29" s="575">
        <v>243.303</v>
      </c>
      <c r="J29" s="816">
        <f t="shared" si="2"/>
        <v>24.8</v>
      </c>
      <c r="K29" s="594">
        <v>340.99599999999998</v>
      </c>
      <c r="L29" s="575">
        <v>1287.348</v>
      </c>
      <c r="M29" s="816">
        <f t="shared" si="3"/>
        <v>277.5</v>
      </c>
      <c r="N29" s="594"/>
      <c r="O29" s="575"/>
      <c r="P29" s="816"/>
      <c r="Q29" s="594"/>
      <c r="R29" s="575"/>
      <c r="S29" s="816"/>
      <c r="T29" s="594"/>
      <c r="U29" s="575"/>
      <c r="V29" s="816"/>
      <c r="W29" s="594">
        <v>468.81332135947588</v>
      </c>
      <c r="X29" s="575">
        <v>484.28825561896645</v>
      </c>
      <c r="Y29" s="816">
        <f t="shared" si="7"/>
        <v>3.3</v>
      </c>
      <c r="Z29" s="594"/>
      <c r="AA29" s="575"/>
      <c r="AB29" s="816"/>
      <c r="AC29" s="594"/>
      <c r="AD29" s="575"/>
      <c r="AE29" s="816"/>
      <c r="AF29" s="594">
        <v>74.572999999999993</v>
      </c>
      <c r="AG29" s="575">
        <v>84.852000000000004</v>
      </c>
      <c r="AH29" s="816">
        <f t="shared" si="9"/>
        <v>13.8</v>
      </c>
      <c r="AI29" s="594"/>
      <c r="AJ29" s="575"/>
      <c r="AK29" s="816"/>
      <c r="AL29" s="594">
        <f t="shared" si="12"/>
        <v>3673.3123213594763</v>
      </c>
      <c r="AM29" s="575">
        <f t="shared" si="12"/>
        <v>4897.9952556189655</v>
      </c>
      <c r="AN29" s="816">
        <f t="shared" si="11"/>
        <v>33.299999999999997</v>
      </c>
      <c r="AO29" s="814"/>
      <c r="AP29" s="814"/>
    </row>
    <row r="30" spans="1:42" s="595" customFormat="1" ht="18.75" customHeight="1" x14ac:dyDescent="0.3">
      <c r="A30" s="567" t="s">
        <v>472</v>
      </c>
      <c r="B30" s="594"/>
      <c r="C30" s="575">
        <v>0.502</v>
      </c>
      <c r="D30" s="816" t="str">
        <f t="shared" si="0"/>
        <v xml:space="preserve">    ---- </v>
      </c>
      <c r="E30" s="594">
        <v>201.12700000000001</v>
      </c>
      <c r="F30" s="575">
        <v>200.99200000000002</v>
      </c>
      <c r="G30" s="816">
        <f t="shared" si="1"/>
        <v>-0.1</v>
      </c>
      <c r="H30" s="594"/>
      <c r="I30" s="575"/>
      <c r="J30" s="816"/>
      <c r="K30" s="594"/>
      <c r="L30" s="575"/>
      <c r="M30" s="816"/>
      <c r="N30" s="594"/>
      <c r="O30" s="575"/>
      <c r="P30" s="816"/>
      <c r="Q30" s="594">
        <v>2.4028630000000002E-2</v>
      </c>
      <c r="R30" s="575"/>
      <c r="S30" s="816">
        <f t="shared" si="5"/>
        <v>-100</v>
      </c>
      <c r="T30" s="594"/>
      <c r="U30" s="575"/>
      <c r="V30" s="816"/>
      <c r="W30" s="594"/>
      <c r="X30" s="575"/>
      <c r="Y30" s="816"/>
      <c r="Z30" s="594"/>
      <c r="AA30" s="575"/>
      <c r="AB30" s="816"/>
      <c r="AC30" s="594"/>
      <c r="AD30" s="575"/>
      <c r="AE30" s="816"/>
      <c r="AF30" s="594">
        <v>535.15700000000004</v>
      </c>
      <c r="AG30" s="575">
        <v>120.91500000000001</v>
      </c>
      <c r="AH30" s="816">
        <f t="shared" si="9"/>
        <v>-77.400000000000006</v>
      </c>
      <c r="AI30" s="594">
        <v>1325</v>
      </c>
      <c r="AJ30" s="575">
        <v>1425</v>
      </c>
      <c r="AK30" s="816">
        <f t="shared" si="10"/>
        <v>7.5</v>
      </c>
      <c r="AL30" s="594">
        <f t="shared" si="12"/>
        <v>2061.3080286300001</v>
      </c>
      <c r="AM30" s="575">
        <f t="shared" si="12"/>
        <v>1747.4090000000001</v>
      </c>
      <c r="AN30" s="816">
        <f t="shared" si="11"/>
        <v>-15.2</v>
      </c>
      <c r="AO30" s="814"/>
      <c r="AP30" s="814"/>
    </row>
    <row r="31" spans="1:42" s="595" customFormat="1" ht="18.75" customHeight="1" x14ac:dyDescent="0.3">
      <c r="A31" s="567" t="s">
        <v>473</v>
      </c>
      <c r="B31" s="594">
        <v>26</v>
      </c>
      <c r="C31" s="575">
        <v>547.35799999999995</v>
      </c>
      <c r="D31" s="816">
        <f t="shared" si="0"/>
        <v>999</v>
      </c>
      <c r="E31" s="594">
        <v>151294.81200000001</v>
      </c>
      <c r="F31" s="575">
        <v>147810.565</v>
      </c>
      <c r="G31" s="816">
        <f t="shared" si="1"/>
        <v>-2.2999999999999998</v>
      </c>
      <c r="H31" s="594">
        <v>65.994</v>
      </c>
      <c r="I31" s="575">
        <v>76.915000000000006</v>
      </c>
      <c r="J31" s="816">
        <f t="shared" si="2"/>
        <v>16.5</v>
      </c>
      <c r="K31" s="594">
        <v>3785.9659999999999</v>
      </c>
      <c r="L31" s="575">
        <v>4497.5079999999998</v>
      </c>
      <c r="M31" s="816">
        <f t="shared" si="3"/>
        <v>18.8</v>
      </c>
      <c r="N31" s="594"/>
      <c r="O31" s="575"/>
      <c r="P31" s="816"/>
      <c r="Q31" s="594"/>
      <c r="R31" s="575"/>
      <c r="S31" s="816"/>
      <c r="T31" s="594"/>
      <c r="U31" s="575"/>
      <c r="V31" s="816"/>
      <c r="W31" s="594">
        <v>40423</v>
      </c>
      <c r="X31" s="575">
        <v>41096.553120526056</v>
      </c>
      <c r="Y31" s="816">
        <f t="shared" si="7"/>
        <v>1.7</v>
      </c>
      <c r="Z31" s="594"/>
      <c r="AA31" s="575"/>
      <c r="AB31" s="816"/>
      <c r="AC31" s="594"/>
      <c r="AD31" s="575"/>
      <c r="AE31" s="816"/>
      <c r="AF31" s="594">
        <v>10317.233</v>
      </c>
      <c r="AG31" s="575">
        <v>11226.925999999999</v>
      </c>
      <c r="AH31" s="816">
        <f t="shared" si="9"/>
        <v>8.8000000000000007</v>
      </c>
      <c r="AI31" s="594">
        <v>150172.5</v>
      </c>
      <c r="AJ31" s="575">
        <v>151822</v>
      </c>
      <c r="AK31" s="816">
        <f t="shared" si="10"/>
        <v>1.1000000000000001</v>
      </c>
      <c r="AL31" s="594">
        <f t="shared" si="12"/>
        <v>356085.505</v>
      </c>
      <c r="AM31" s="575">
        <f t="shared" si="12"/>
        <v>357077.82512052607</v>
      </c>
      <c r="AN31" s="816">
        <f t="shared" si="11"/>
        <v>0.3</v>
      </c>
      <c r="AO31" s="814"/>
      <c r="AP31" s="814"/>
    </row>
    <row r="32" spans="1:42" s="595" customFormat="1" ht="18.75" customHeight="1" x14ac:dyDescent="0.3">
      <c r="A32" s="567" t="s">
        <v>474</v>
      </c>
      <c r="B32" s="594">
        <v>26</v>
      </c>
      <c r="C32" s="575">
        <v>28.045000000000002</v>
      </c>
      <c r="D32" s="816">
        <f t="shared" si="0"/>
        <v>7.9</v>
      </c>
      <c r="E32" s="594">
        <v>113597.933</v>
      </c>
      <c r="F32" s="575">
        <v>124259.807</v>
      </c>
      <c r="G32" s="816">
        <f t="shared" si="1"/>
        <v>9.4</v>
      </c>
      <c r="H32" s="594"/>
      <c r="I32" s="575"/>
      <c r="J32" s="816"/>
      <c r="K32" s="594">
        <v>3252.4540000000002</v>
      </c>
      <c r="L32" s="575">
        <v>3778.0070000000001</v>
      </c>
      <c r="M32" s="816">
        <f t="shared" si="3"/>
        <v>16.2</v>
      </c>
      <c r="N32" s="594"/>
      <c r="O32" s="575"/>
      <c r="P32" s="816"/>
      <c r="Q32" s="594"/>
      <c r="R32" s="575"/>
      <c r="S32" s="816"/>
      <c r="T32" s="594"/>
      <c r="U32" s="575"/>
      <c r="V32" s="816"/>
      <c r="W32" s="594">
        <v>28716</v>
      </c>
      <c r="X32" s="575">
        <v>32672.111011813438</v>
      </c>
      <c r="Y32" s="816">
        <f t="shared" si="7"/>
        <v>13.8</v>
      </c>
      <c r="Z32" s="594"/>
      <c r="AA32" s="575"/>
      <c r="AB32" s="816"/>
      <c r="AC32" s="594"/>
      <c r="AD32" s="575"/>
      <c r="AE32" s="816"/>
      <c r="AF32" s="594">
        <v>5358.7290000000003</v>
      </c>
      <c r="AG32" s="575">
        <v>8142.91</v>
      </c>
      <c r="AH32" s="816">
        <f t="shared" si="9"/>
        <v>52</v>
      </c>
      <c r="AI32" s="594">
        <v>111076.5</v>
      </c>
      <c r="AJ32" s="575">
        <v>121636</v>
      </c>
      <c r="AK32" s="816">
        <f t="shared" si="10"/>
        <v>9.5</v>
      </c>
      <c r="AL32" s="594">
        <f t="shared" si="12"/>
        <v>262027.61599999998</v>
      </c>
      <c r="AM32" s="575">
        <f t="shared" si="12"/>
        <v>290516.88001181348</v>
      </c>
      <c r="AN32" s="816">
        <f t="shared" si="11"/>
        <v>10.9</v>
      </c>
      <c r="AO32" s="814"/>
      <c r="AP32" s="814"/>
    </row>
    <row r="33" spans="1:42" s="595" customFormat="1" ht="18.75" customHeight="1" x14ac:dyDescent="0.3">
      <c r="A33" s="567" t="s">
        <v>475</v>
      </c>
      <c r="B33" s="594"/>
      <c r="C33" s="575"/>
      <c r="D33" s="816"/>
      <c r="E33" s="594">
        <v>27.792999999999999</v>
      </c>
      <c r="F33" s="575">
        <v>0</v>
      </c>
      <c r="G33" s="816">
        <f t="shared" si="1"/>
        <v>-100</v>
      </c>
      <c r="H33" s="594"/>
      <c r="I33" s="575"/>
      <c r="J33" s="816"/>
      <c r="K33" s="594"/>
      <c r="L33" s="575"/>
      <c r="M33" s="816"/>
      <c r="N33" s="594"/>
      <c r="O33" s="575"/>
      <c r="P33" s="816"/>
      <c r="Q33" s="594">
        <v>380658.20666983997</v>
      </c>
      <c r="R33" s="575">
        <v>380658.20666983997</v>
      </c>
      <c r="S33" s="816">
        <f t="shared" si="5"/>
        <v>0</v>
      </c>
      <c r="T33" s="594"/>
      <c r="U33" s="575"/>
      <c r="V33" s="816"/>
      <c r="W33" s="594"/>
      <c r="X33" s="575">
        <v>0</v>
      </c>
      <c r="Y33" s="816"/>
      <c r="Z33" s="594"/>
      <c r="AA33" s="575"/>
      <c r="AB33" s="816"/>
      <c r="AC33" s="594"/>
      <c r="AD33" s="575"/>
      <c r="AE33" s="816"/>
      <c r="AF33" s="594"/>
      <c r="AG33" s="575"/>
      <c r="AH33" s="816"/>
      <c r="AI33" s="594">
        <v>2479.6</v>
      </c>
      <c r="AJ33" s="575">
        <v>2404</v>
      </c>
      <c r="AK33" s="816">
        <f t="shared" si="10"/>
        <v>-3</v>
      </c>
      <c r="AL33" s="594">
        <f t="shared" si="12"/>
        <v>383165.59966983995</v>
      </c>
      <c r="AM33" s="575">
        <f t="shared" si="12"/>
        <v>383062.20666983997</v>
      </c>
      <c r="AN33" s="816">
        <f t="shared" si="11"/>
        <v>0</v>
      </c>
      <c r="AO33" s="814"/>
      <c r="AP33" s="814"/>
    </row>
    <row r="34" spans="1:42" s="595" customFormat="1" ht="18.75" customHeight="1" x14ac:dyDescent="0.3">
      <c r="A34" s="567" t="s">
        <v>476</v>
      </c>
      <c r="B34" s="594"/>
      <c r="C34" s="575">
        <v>53.293999999999997</v>
      </c>
      <c r="D34" s="816" t="str">
        <f>IF(B34=0, "    ---- ", IF(ABS(ROUND(100/B34*C34-100,1))&lt;999,ROUND(100/B34*C34-100,1),IF(ROUND(100/B34*C34-100,1)&gt;999,999,-999)))</f>
        <v xml:space="preserve">    ---- </v>
      </c>
      <c r="E34" s="594">
        <v>43.430999999999997</v>
      </c>
      <c r="F34" s="575">
        <v>3330.9259999999995</v>
      </c>
      <c r="G34" s="816">
        <f>IF(E34=0, "    ---- ", IF(ABS(ROUND(100/E34*F34-100,1))&lt;999,ROUND(100/E34*F34-100,1),IF(ROUND(100/E34*F34-100,1)&gt;999,999,-999)))</f>
        <v>999</v>
      </c>
      <c r="H34" s="594"/>
      <c r="I34" s="575"/>
      <c r="J34" s="816"/>
      <c r="K34" s="594"/>
      <c r="L34" s="575"/>
      <c r="M34" s="816"/>
      <c r="N34" s="594"/>
      <c r="O34" s="575"/>
      <c r="P34" s="816"/>
      <c r="Q34" s="594"/>
      <c r="R34" s="575"/>
      <c r="S34" s="816"/>
      <c r="T34" s="594"/>
      <c r="U34" s="575"/>
      <c r="V34" s="816"/>
      <c r="W34" s="594">
        <v>61.206040330000008</v>
      </c>
      <c r="X34" s="575">
        <v>266.83886078523886</v>
      </c>
      <c r="Y34" s="816">
        <f>IF(W34=0, "    ---- ", IF(ABS(ROUND(100/W34*X34-100,1))&lt;999,ROUND(100/W34*X34-100,1),IF(ROUND(100/W34*X34-100,1)&gt;999,999,-999)))</f>
        <v>336</v>
      </c>
      <c r="Z34" s="594"/>
      <c r="AA34" s="575"/>
      <c r="AB34" s="816"/>
      <c r="AC34" s="594"/>
      <c r="AD34" s="575"/>
      <c r="AE34" s="816"/>
      <c r="AF34" s="594"/>
      <c r="AG34" s="575">
        <v>466.85500000000002</v>
      </c>
      <c r="AH34" s="816"/>
      <c r="AI34" s="594"/>
      <c r="AJ34" s="575"/>
      <c r="AK34" s="816"/>
      <c r="AL34" s="594">
        <f t="shared" si="12"/>
        <v>104.63704033</v>
      </c>
      <c r="AM34" s="575">
        <f t="shared" si="12"/>
        <v>4117.9138607852383</v>
      </c>
      <c r="AN34" s="816">
        <f>IF(AL34=0, "    ---- ", IF(ABS(ROUND(100/AL34*AM34-100,1))&lt;999,ROUND(100/AL34*AM34-100,1),IF(ROUND(100/AL34*AM34-100,1)&gt;999,999,-999)))</f>
        <v>999</v>
      </c>
      <c r="AO34" s="814"/>
      <c r="AP34" s="814"/>
    </row>
    <row r="35" spans="1:42" s="825" customFormat="1" ht="18.75" customHeight="1" x14ac:dyDescent="0.3">
      <c r="A35" s="819" t="s">
        <v>478</v>
      </c>
      <c r="B35" s="680">
        <v>14.471</v>
      </c>
      <c r="C35" s="820">
        <f>SUM(C36:C39)</f>
        <v>14.824999999999999</v>
      </c>
      <c r="D35" s="821">
        <f t="shared" si="0"/>
        <v>2.4</v>
      </c>
      <c r="E35" s="822">
        <v>6751.674</v>
      </c>
      <c r="F35" s="820">
        <f>SUM(F36:F39)</f>
        <v>7664.2340000000004</v>
      </c>
      <c r="G35" s="821">
        <f t="shared" si="1"/>
        <v>13.5</v>
      </c>
      <c r="H35" s="822">
        <v>1.587</v>
      </c>
      <c r="I35" s="820">
        <f>SUM(I36:I39)</f>
        <v>3.5</v>
      </c>
      <c r="J35" s="821">
        <f t="shared" si="2"/>
        <v>120.5</v>
      </c>
      <c r="K35" s="822">
        <v>164.38900000000001</v>
      </c>
      <c r="L35" s="820">
        <f>SUM(L36:L39)</f>
        <v>176.61699999999999</v>
      </c>
      <c r="M35" s="821">
        <f t="shared" si="3"/>
        <v>7.4</v>
      </c>
      <c r="N35" s="822"/>
      <c r="O35" s="820"/>
      <c r="P35" s="821"/>
      <c r="Q35" s="822">
        <v>24291.653251</v>
      </c>
      <c r="R35" s="820">
        <f>SUM(R36:R39)</f>
        <v>25399.371749000002</v>
      </c>
      <c r="S35" s="821">
        <f t="shared" si="5"/>
        <v>4.5999999999999996</v>
      </c>
      <c r="T35" s="822">
        <v>47.6</v>
      </c>
      <c r="U35" s="820">
        <f>SUM(U36:U39)</f>
        <v>106.3</v>
      </c>
      <c r="V35" s="821">
        <f t="shared" si="6"/>
        <v>123.3</v>
      </c>
      <c r="W35" s="822">
        <v>1339</v>
      </c>
      <c r="X35" s="820">
        <f>SUM(X36:X39)</f>
        <v>1640</v>
      </c>
      <c r="Y35" s="821">
        <f t="shared" si="7"/>
        <v>22.5</v>
      </c>
      <c r="Z35" s="822">
        <v>4068</v>
      </c>
      <c r="AA35" s="820">
        <f>SUM(AA36:AA39)</f>
        <v>7101</v>
      </c>
      <c r="AB35" s="821">
        <f t="shared" si="8"/>
        <v>74.599999999999994</v>
      </c>
      <c r="AC35" s="822"/>
      <c r="AD35" s="820"/>
      <c r="AE35" s="821"/>
      <c r="AF35" s="822">
        <v>616.14099999999996</v>
      </c>
      <c r="AG35" s="820">
        <f>SUM(AG36:AG39)</f>
        <v>842.38800000000003</v>
      </c>
      <c r="AH35" s="821">
        <f t="shared" si="9"/>
        <v>36.700000000000003</v>
      </c>
      <c r="AI35" s="822">
        <v>6793.5999999999995</v>
      </c>
      <c r="AJ35" s="820">
        <f>SUM(AJ36:AJ39)</f>
        <v>8255</v>
      </c>
      <c r="AK35" s="821">
        <f t="shared" si="10"/>
        <v>21.5</v>
      </c>
      <c r="AL35" s="822">
        <f t="shared" si="12"/>
        <v>44088.115251000003</v>
      </c>
      <c r="AM35" s="820">
        <f t="shared" si="12"/>
        <v>51203.235749000007</v>
      </c>
      <c r="AN35" s="821">
        <f t="shared" si="11"/>
        <v>16.100000000000001</v>
      </c>
      <c r="AO35" s="823"/>
      <c r="AP35" s="824"/>
    </row>
    <row r="36" spans="1:42" s="595" customFormat="1" ht="18.75" customHeight="1" x14ac:dyDescent="0.3">
      <c r="A36" s="567" t="s">
        <v>468</v>
      </c>
      <c r="B36" s="594"/>
      <c r="C36" s="575"/>
      <c r="D36" s="816"/>
      <c r="E36" s="594">
        <v>745.54499999999996</v>
      </c>
      <c r="F36" s="575">
        <v>657.47</v>
      </c>
      <c r="G36" s="816">
        <f t="shared" si="1"/>
        <v>-11.8</v>
      </c>
      <c r="H36" s="594"/>
      <c r="I36" s="575"/>
      <c r="J36" s="816"/>
      <c r="K36" s="594"/>
      <c r="L36" s="575"/>
      <c r="M36" s="816"/>
      <c r="N36" s="594"/>
      <c r="O36" s="575"/>
      <c r="P36" s="816"/>
      <c r="Q36" s="594"/>
      <c r="R36" s="575"/>
      <c r="S36" s="816"/>
      <c r="T36" s="594"/>
      <c r="U36" s="575"/>
      <c r="V36" s="816"/>
      <c r="W36" s="594">
        <v>28</v>
      </c>
      <c r="X36" s="575">
        <v>33.467334879840401</v>
      </c>
      <c r="Y36" s="816">
        <f t="shared" si="7"/>
        <v>19.5</v>
      </c>
      <c r="Z36" s="594"/>
      <c r="AA36" s="575"/>
      <c r="AB36" s="816"/>
      <c r="AC36" s="594"/>
      <c r="AD36" s="575"/>
      <c r="AE36" s="816"/>
      <c r="AF36" s="594">
        <v>9.0820000000000007</v>
      </c>
      <c r="AG36" s="575">
        <v>7.7649999999999997</v>
      </c>
      <c r="AH36" s="816">
        <f t="shared" si="9"/>
        <v>-14.5</v>
      </c>
      <c r="AI36" s="594">
        <v>213.9</v>
      </c>
      <c r="AJ36" s="575">
        <v>227</v>
      </c>
      <c r="AK36" s="816">
        <f t="shared" si="10"/>
        <v>6.1</v>
      </c>
      <c r="AL36" s="594">
        <f t="shared" si="12"/>
        <v>996.52699999999993</v>
      </c>
      <c r="AM36" s="575">
        <f t="shared" si="12"/>
        <v>925.70233487984046</v>
      </c>
      <c r="AN36" s="816">
        <f t="shared" si="11"/>
        <v>-7.1</v>
      </c>
      <c r="AO36" s="814"/>
      <c r="AP36" s="814"/>
    </row>
    <row r="37" spans="1:42" s="595" customFormat="1" ht="18.75" customHeight="1" x14ac:dyDescent="0.3">
      <c r="A37" s="567" t="s">
        <v>471</v>
      </c>
      <c r="B37" s="594">
        <v>0.52500000000000002</v>
      </c>
      <c r="C37" s="575">
        <v>0.314</v>
      </c>
      <c r="D37" s="575">
        <f t="shared" si="0"/>
        <v>-40.200000000000003</v>
      </c>
      <c r="E37" s="594">
        <v>1063.097</v>
      </c>
      <c r="F37" s="575">
        <v>1043.376</v>
      </c>
      <c r="G37" s="575">
        <f t="shared" si="1"/>
        <v>-1.9</v>
      </c>
      <c r="H37" s="594">
        <v>1.0389999999999999</v>
      </c>
      <c r="I37" s="575">
        <v>1.603</v>
      </c>
      <c r="J37" s="575">
        <f t="shared" si="2"/>
        <v>54.3</v>
      </c>
      <c r="K37" s="594">
        <v>2.4550000000000001</v>
      </c>
      <c r="L37" s="575">
        <v>3.6779999999999999</v>
      </c>
      <c r="M37" s="575">
        <f t="shared" si="3"/>
        <v>49.8</v>
      </c>
      <c r="N37" s="594"/>
      <c r="O37" s="575"/>
      <c r="P37" s="575"/>
      <c r="Q37" s="594"/>
      <c r="R37" s="575"/>
      <c r="S37" s="575"/>
      <c r="T37" s="594"/>
      <c r="U37" s="575"/>
      <c r="V37" s="575"/>
      <c r="W37" s="594">
        <v>147</v>
      </c>
      <c r="X37" s="575">
        <v>173.04074714116163</v>
      </c>
      <c r="Y37" s="575">
        <f t="shared" si="7"/>
        <v>17.7</v>
      </c>
      <c r="Z37" s="594"/>
      <c r="AA37" s="575"/>
      <c r="AB37" s="575"/>
      <c r="AC37" s="594"/>
      <c r="AD37" s="575"/>
      <c r="AE37" s="575"/>
      <c r="AF37" s="594">
        <v>189.374</v>
      </c>
      <c r="AG37" s="575">
        <v>172.72</v>
      </c>
      <c r="AH37" s="575">
        <f t="shared" si="9"/>
        <v>-8.8000000000000007</v>
      </c>
      <c r="AI37" s="594">
        <v>856.8</v>
      </c>
      <c r="AJ37" s="575">
        <v>896</v>
      </c>
      <c r="AK37" s="575">
        <f t="shared" si="10"/>
        <v>4.5999999999999996</v>
      </c>
      <c r="AL37" s="594">
        <f t="shared" si="12"/>
        <v>2260.29</v>
      </c>
      <c r="AM37" s="575">
        <f t="shared" si="12"/>
        <v>2290.7317471411616</v>
      </c>
      <c r="AN37" s="575">
        <f t="shared" si="11"/>
        <v>1.3</v>
      </c>
      <c r="AO37" s="814"/>
      <c r="AP37" s="814"/>
    </row>
    <row r="38" spans="1:42" s="595" customFormat="1" ht="18.75" customHeight="1" x14ac:dyDescent="0.3">
      <c r="A38" s="567" t="s">
        <v>473</v>
      </c>
      <c r="B38" s="594">
        <v>13.946</v>
      </c>
      <c r="C38" s="575">
        <v>14.510999999999999</v>
      </c>
      <c r="D38" s="816">
        <f t="shared" si="0"/>
        <v>4.0999999999999996</v>
      </c>
      <c r="E38" s="594">
        <v>4943.0320000000002</v>
      </c>
      <c r="F38" s="575">
        <v>5963.3879999999999</v>
      </c>
      <c r="G38" s="816">
        <f t="shared" si="1"/>
        <v>20.6</v>
      </c>
      <c r="H38" s="594">
        <v>0.54800000000000004</v>
      </c>
      <c r="I38" s="575">
        <v>1.897</v>
      </c>
      <c r="J38" s="816">
        <f t="shared" si="2"/>
        <v>246.2</v>
      </c>
      <c r="K38" s="594">
        <v>161.934</v>
      </c>
      <c r="L38" s="575">
        <v>172.93899999999999</v>
      </c>
      <c r="M38" s="816">
        <f t="shared" si="3"/>
        <v>6.8</v>
      </c>
      <c r="N38" s="594"/>
      <c r="O38" s="575"/>
      <c r="P38" s="816"/>
      <c r="Q38" s="594"/>
      <c r="R38" s="575"/>
      <c r="S38" s="816"/>
      <c r="T38" s="594">
        <v>47.6</v>
      </c>
      <c r="U38" s="575">
        <v>106.3</v>
      </c>
      <c r="V38" s="816">
        <f t="shared" si="6"/>
        <v>123.3</v>
      </c>
      <c r="W38" s="594">
        <v>1164</v>
      </c>
      <c r="X38" s="575">
        <v>1433.4919179789979</v>
      </c>
      <c r="Y38" s="816">
        <f t="shared" si="7"/>
        <v>23.2</v>
      </c>
      <c r="Z38" s="594"/>
      <c r="AA38" s="575"/>
      <c r="AB38" s="816"/>
      <c r="AC38" s="594"/>
      <c r="AD38" s="575"/>
      <c r="AE38" s="816"/>
      <c r="AF38" s="594">
        <v>417.685</v>
      </c>
      <c r="AG38" s="575">
        <v>661.90300000000002</v>
      </c>
      <c r="AH38" s="816">
        <f t="shared" si="9"/>
        <v>58.5</v>
      </c>
      <c r="AI38" s="594">
        <v>5549.7</v>
      </c>
      <c r="AJ38" s="575">
        <v>6933</v>
      </c>
      <c r="AK38" s="816">
        <f t="shared" si="10"/>
        <v>24.9</v>
      </c>
      <c r="AL38" s="594">
        <f t="shared" si="12"/>
        <v>12298.445</v>
      </c>
      <c r="AM38" s="575">
        <f t="shared" si="12"/>
        <v>15287.429917978998</v>
      </c>
      <c r="AN38" s="816">
        <f t="shared" si="11"/>
        <v>24.3</v>
      </c>
      <c r="AO38" s="814"/>
      <c r="AP38" s="814"/>
    </row>
    <row r="39" spans="1:42" s="595" customFormat="1" ht="18.75" customHeight="1" x14ac:dyDescent="0.3">
      <c r="A39" s="567" t="s">
        <v>475</v>
      </c>
      <c r="B39" s="594"/>
      <c r="C39" s="575"/>
      <c r="D39" s="816"/>
      <c r="E39" s="594"/>
      <c r="F39" s="575"/>
      <c r="G39" s="816"/>
      <c r="H39" s="594"/>
      <c r="I39" s="575"/>
      <c r="J39" s="816"/>
      <c r="K39" s="594"/>
      <c r="L39" s="575"/>
      <c r="M39" s="816"/>
      <c r="N39" s="594"/>
      <c r="O39" s="575"/>
      <c r="P39" s="816"/>
      <c r="Q39" s="594">
        <v>24291.653251</v>
      </c>
      <c r="R39" s="575">
        <v>25399.371749000002</v>
      </c>
      <c r="S39" s="816">
        <f t="shared" si="5"/>
        <v>4.5999999999999996</v>
      </c>
      <c r="T39" s="594"/>
      <c r="U39" s="575"/>
      <c r="V39" s="816"/>
      <c r="W39" s="594"/>
      <c r="X39" s="575"/>
      <c r="Y39" s="816"/>
      <c r="Z39" s="594">
        <v>4068</v>
      </c>
      <c r="AA39" s="575">
        <v>7101</v>
      </c>
      <c r="AB39" s="816">
        <f t="shared" si="8"/>
        <v>74.599999999999994</v>
      </c>
      <c r="AC39" s="594"/>
      <c r="AD39" s="575"/>
      <c r="AE39" s="816"/>
      <c r="AF39" s="594"/>
      <c r="AG39" s="575"/>
      <c r="AH39" s="816"/>
      <c r="AI39" s="594">
        <v>173.2</v>
      </c>
      <c r="AJ39" s="575">
        <v>199</v>
      </c>
      <c r="AK39" s="816">
        <f t="shared" si="10"/>
        <v>14.9</v>
      </c>
      <c r="AL39" s="594">
        <f t="shared" si="12"/>
        <v>28532.853251</v>
      </c>
      <c r="AM39" s="575">
        <f t="shared" si="12"/>
        <v>32699.371749000002</v>
      </c>
      <c r="AN39" s="816">
        <f t="shared" si="11"/>
        <v>14.6</v>
      </c>
      <c r="AO39" s="814"/>
      <c r="AP39" s="814"/>
    </row>
    <row r="40" spans="1:42" s="825" customFormat="1" ht="18.75" customHeight="1" x14ac:dyDescent="0.3">
      <c r="A40" s="819" t="s">
        <v>479</v>
      </c>
      <c r="B40" s="822">
        <v>28.567</v>
      </c>
      <c r="C40" s="820">
        <v>39.386000000000003</v>
      </c>
      <c r="D40" s="821">
        <f t="shared" si="0"/>
        <v>37.9</v>
      </c>
      <c r="E40" s="822">
        <v>2424.2280000000001</v>
      </c>
      <c r="F40" s="820">
        <v>3261.951</v>
      </c>
      <c r="G40" s="821">
        <f t="shared" si="1"/>
        <v>34.6</v>
      </c>
      <c r="H40" s="822"/>
      <c r="I40" s="820"/>
      <c r="J40" s="821"/>
      <c r="K40" s="822">
        <v>26.895</v>
      </c>
      <c r="L40" s="820"/>
      <c r="M40" s="821">
        <f t="shared" si="3"/>
        <v>-100</v>
      </c>
      <c r="N40" s="822"/>
      <c r="O40" s="820"/>
      <c r="P40" s="821"/>
      <c r="Q40" s="822">
        <v>28337.312049</v>
      </c>
      <c r="R40" s="820">
        <v>42277.481306000001</v>
      </c>
      <c r="S40" s="821">
        <f t="shared" si="5"/>
        <v>49.2</v>
      </c>
      <c r="T40" s="822">
        <v>66.8</v>
      </c>
      <c r="U40" s="820">
        <v>31</v>
      </c>
      <c r="V40" s="821">
        <f t="shared" si="6"/>
        <v>-53.6</v>
      </c>
      <c r="W40" s="822">
        <v>1061.3599999999999</v>
      </c>
      <c r="X40" s="820">
        <v>1379</v>
      </c>
      <c r="Y40" s="821">
        <f t="shared" si="7"/>
        <v>29.9</v>
      </c>
      <c r="Z40" s="822">
        <v>9271</v>
      </c>
      <c r="AA40" s="820">
        <v>10932</v>
      </c>
      <c r="AB40" s="821">
        <f t="shared" si="8"/>
        <v>17.899999999999999</v>
      </c>
      <c r="AC40" s="822"/>
      <c r="AD40" s="820"/>
      <c r="AE40" s="821"/>
      <c r="AF40" s="822">
        <v>1892.39</v>
      </c>
      <c r="AG40" s="820">
        <v>2286.9650000000001</v>
      </c>
      <c r="AH40" s="821">
        <f t="shared" si="9"/>
        <v>20.9</v>
      </c>
      <c r="AI40" s="822">
        <v>2683.5</v>
      </c>
      <c r="AJ40" s="820">
        <v>3707</v>
      </c>
      <c r="AK40" s="821">
        <f t="shared" si="10"/>
        <v>38.1</v>
      </c>
      <c r="AL40" s="822">
        <f t="shared" si="12"/>
        <v>45792.052048999998</v>
      </c>
      <c r="AM40" s="820">
        <f t="shared" si="12"/>
        <v>63914.783305999998</v>
      </c>
      <c r="AN40" s="821">
        <f t="shared" si="11"/>
        <v>39.6</v>
      </c>
      <c r="AO40" s="824"/>
      <c r="AP40" s="824"/>
    </row>
    <row r="41" spans="1:42" s="825" customFormat="1" ht="18.75" customHeight="1" x14ac:dyDescent="0.3">
      <c r="A41" s="819" t="s">
        <v>480</v>
      </c>
      <c r="B41" s="680">
        <v>16.712</v>
      </c>
      <c r="C41" s="820">
        <f>SUM(C42:C44)</f>
        <v>15.43</v>
      </c>
      <c r="D41" s="821">
        <f t="shared" si="0"/>
        <v>-7.7</v>
      </c>
      <c r="E41" s="822">
        <v>1152.451</v>
      </c>
      <c r="F41" s="820">
        <f>SUM(F42:F44)</f>
        <v>923.37599999999998</v>
      </c>
      <c r="G41" s="821">
        <f t="shared" si="1"/>
        <v>-19.899999999999999</v>
      </c>
      <c r="H41" s="822"/>
      <c r="I41" s="820"/>
      <c r="J41" s="821"/>
      <c r="K41" s="822">
        <v>1.165</v>
      </c>
      <c r="L41" s="820">
        <f>SUM(L42:L44)</f>
        <v>2.16</v>
      </c>
      <c r="M41" s="821">
        <f t="shared" si="3"/>
        <v>85.4</v>
      </c>
      <c r="N41" s="822"/>
      <c r="O41" s="820"/>
      <c r="P41" s="821"/>
      <c r="Q41" s="822">
        <v>16906.649821999999</v>
      </c>
      <c r="R41" s="820">
        <f>SUM(R42:R44)</f>
        <v>15205.937484</v>
      </c>
      <c r="S41" s="821">
        <f t="shared" si="5"/>
        <v>-10.1</v>
      </c>
      <c r="T41" s="822">
        <v>26.2</v>
      </c>
      <c r="U41" s="820">
        <f>SUM(U42:U44)</f>
        <v>30.3</v>
      </c>
      <c r="V41" s="821">
        <f t="shared" si="6"/>
        <v>15.6</v>
      </c>
      <c r="W41" s="822">
        <v>704</v>
      </c>
      <c r="X41" s="820">
        <f>SUM(X42:X44)</f>
        <v>649</v>
      </c>
      <c r="Y41" s="821">
        <f t="shared" si="7"/>
        <v>-7.8</v>
      </c>
      <c r="Z41" s="822">
        <v>2267</v>
      </c>
      <c r="AA41" s="820">
        <f>SUM(AA42:AA44)</f>
        <v>2302</v>
      </c>
      <c r="AB41" s="821">
        <f t="shared" si="8"/>
        <v>1.5</v>
      </c>
      <c r="AC41" s="822"/>
      <c r="AD41" s="820"/>
      <c r="AE41" s="821"/>
      <c r="AF41" s="822">
        <v>229.089</v>
      </c>
      <c r="AG41" s="820">
        <f>SUM(AG42:AG44)</f>
        <v>246.154</v>
      </c>
      <c r="AH41" s="821">
        <f t="shared" si="9"/>
        <v>7.4</v>
      </c>
      <c r="AI41" s="822">
        <v>2672.1</v>
      </c>
      <c r="AJ41" s="820">
        <f>SUM(AJ42:AJ44)</f>
        <v>2557</v>
      </c>
      <c r="AK41" s="821">
        <f t="shared" si="10"/>
        <v>-4.3</v>
      </c>
      <c r="AL41" s="822">
        <f t="shared" si="12"/>
        <v>23975.366822</v>
      </c>
      <c r="AM41" s="820">
        <f t="shared" si="12"/>
        <v>21931.357483999996</v>
      </c>
      <c r="AN41" s="821">
        <f t="shared" si="11"/>
        <v>-8.5</v>
      </c>
      <c r="AO41" s="823"/>
      <c r="AP41" s="824"/>
    </row>
    <row r="42" spans="1:42" s="595" customFormat="1" ht="18.75" customHeight="1" x14ac:dyDescent="0.3">
      <c r="A42" s="567" t="s">
        <v>471</v>
      </c>
      <c r="B42" s="594"/>
      <c r="C42" s="575"/>
      <c r="D42" s="575"/>
      <c r="E42" s="594">
        <v>93.302999999999997</v>
      </c>
      <c r="F42" s="575">
        <v>77.028000000000006</v>
      </c>
      <c r="G42" s="575">
        <f t="shared" si="1"/>
        <v>-17.399999999999999</v>
      </c>
      <c r="H42" s="594"/>
      <c r="I42" s="575"/>
      <c r="J42" s="575"/>
      <c r="K42" s="594">
        <v>0.40300000000000002</v>
      </c>
      <c r="L42" s="575">
        <v>0.40799999999999997</v>
      </c>
      <c r="M42" s="575">
        <f t="shared" si="3"/>
        <v>1.2</v>
      </c>
      <c r="N42" s="594"/>
      <c r="O42" s="575"/>
      <c r="P42" s="575"/>
      <c r="Q42" s="594"/>
      <c r="R42" s="575"/>
      <c r="S42" s="575"/>
      <c r="T42" s="594"/>
      <c r="U42" s="575"/>
      <c r="V42" s="575"/>
      <c r="W42" s="594">
        <v>1</v>
      </c>
      <c r="X42" s="575">
        <v>0.72747600000000001</v>
      </c>
      <c r="Y42" s="575">
        <f t="shared" si="7"/>
        <v>-27.3</v>
      </c>
      <c r="Z42" s="594"/>
      <c r="AA42" s="575"/>
      <c r="AB42" s="575"/>
      <c r="AC42" s="594"/>
      <c r="AD42" s="575"/>
      <c r="AE42" s="575"/>
      <c r="AF42" s="594"/>
      <c r="AG42" s="575"/>
      <c r="AH42" s="575"/>
      <c r="AI42" s="594"/>
      <c r="AJ42" s="575"/>
      <c r="AK42" s="575"/>
      <c r="AL42" s="594">
        <f t="shared" si="12"/>
        <v>94.706000000000003</v>
      </c>
      <c r="AM42" s="575">
        <f t="shared" si="12"/>
        <v>78.163476000000003</v>
      </c>
      <c r="AN42" s="575">
        <f t="shared" si="11"/>
        <v>-17.5</v>
      </c>
      <c r="AO42" s="814"/>
      <c r="AP42" s="814"/>
    </row>
    <row r="43" spans="1:42" s="595" customFormat="1" ht="18.75" customHeight="1" x14ac:dyDescent="0.3">
      <c r="A43" s="567" t="s">
        <v>473</v>
      </c>
      <c r="B43" s="594">
        <v>16.712</v>
      </c>
      <c r="C43" s="575">
        <v>15.43</v>
      </c>
      <c r="D43" s="816">
        <f t="shared" si="0"/>
        <v>-7.7</v>
      </c>
      <c r="E43" s="594">
        <v>1059.1479999999999</v>
      </c>
      <c r="F43" s="575">
        <v>846.34799999999996</v>
      </c>
      <c r="G43" s="816">
        <f t="shared" si="1"/>
        <v>-20.100000000000001</v>
      </c>
      <c r="H43" s="594"/>
      <c r="I43" s="575"/>
      <c r="J43" s="816"/>
      <c r="K43" s="594">
        <v>0.76200000000000001</v>
      </c>
      <c r="L43" s="575">
        <v>1.752</v>
      </c>
      <c r="M43" s="816">
        <f t="shared" si="3"/>
        <v>129.9</v>
      </c>
      <c r="N43" s="594"/>
      <c r="O43" s="575"/>
      <c r="P43" s="816"/>
      <c r="Q43" s="594"/>
      <c r="R43" s="575"/>
      <c r="S43" s="816"/>
      <c r="T43" s="594">
        <v>26.2</v>
      </c>
      <c r="U43" s="575">
        <v>30.3</v>
      </c>
      <c r="V43" s="816">
        <f t="shared" si="6"/>
        <v>15.6</v>
      </c>
      <c r="W43" s="594">
        <v>703</v>
      </c>
      <c r="X43" s="575">
        <v>648.27252399999998</v>
      </c>
      <c r="Y43" s="816">
        <f t="shared" si="7"/>
        <v>-7.8</v>
      </c>
      <c r="Z43" s="594"/>
      <c r="AA43" s="575"/>
      <c r="AB43" s="816"/>
      <c r="AC43" s="594"/>
      <c r="AD43" s="575"/>
      <c r="AE43" s="816"/>
      <c r="AF43" s="594">
        <v>229.089</v>
      </c>
      <c r="AG43" s="575">
        <v>246.154</v>
      </c>
      <c r="AH43" s="816">
        <f t="shared" si="9"/>
        <v>7.4</v>
      </c>
      <c r="AI43" s="594">
        <v>2564.5</v>
      </c>
      <c r="AJ43" s="575">
        <v>2416</v>
      </c>
      <c r="AK43" s="816">
        <f t="shared" si="10"/>
        <v>-5.8</v>
      </c>
      <c r="AL43" s="594">
        <f t="shared" si="12"/>
        <v>4599.4110000000001</v>
      </c>
      <c r="AM43" s="575">
        <f t="shared" si="12"/>
        <v>4204.2565240000004</v>
      </c>
      <c r="AN43" s="816">
        <f t="shared" si="11"/>
        <v>-8.6</v>
      </c>
      <c r="AO43" s="814"/>
      <c r="AP43" s="814"/>
    </row>
    <row r="44" spans="1:42" s="595" customFormat="1" ht="18.75" customHeight="1" x14ac:dyDescent="0.3">
      <c r="A44" s="567" t="s">
        <v>475</v>
      </c>
      <c r="B44" s="594"/>
      <c r="C44" s="575"/>
      <c r="D44" s="816"/>
      <c r="E44" s="594"/>
      <c r="F44" s="575"/>
      <c r="G44" s="816"/>
      <c r="H44" s="594"/>
      <c r="I44" s="575"/>
      <c r="J44" s="816"/>
      <c r="K44" s="594"/>
      <c r="L44" s="575"/>
      <c r="M44" s="816"/>
      <c r="N44" s="594"/>
      <c r="O44" s="575"/>
      <c r="P44" s="816"/>
      <c r="Q44" s="594">
        <v>16906.649821999999</v>
      </c>
      <c r="R44" s="575">
        <v>15205.937484</v>
      </c>
      <c r="S44" s="816">
        <f t="shared" si="5"/>
        <v>-10.1</v>
      </c>
      <c r="T44" s="594"/>
      <c r="U44" s="575"/>
      <c r="V44" s="816"/>
      <c r="W44" s="594"/>
      <c r="X44" s="575"/>
      <c r="Y44" s="816"/>
      <c r="Z44" s="594">
        <v>2267</v>
      </c>
      <c r="AA44" s="575">
        <v>2302</v>
      </c>
      <c r="AB44" s="816">
        <f t="shared" si="8"/>
        <v>1.5</v>
      </c>
      <c r="AC44" s="594"/>
      <c r="AD44" s="575"/>
      <c r="AE44" s="816"/>
      <c r="AF44" s="594"/>
      <c r="AG44" s="575"/>
      <c r="AH44" s="816"/>
      <c r="AI44" s="594">
        <v>107.6</v>
      </c>
      <c r="AJ44" s="575">
        <v>141</v>
      </c>
      <c r="AK44" s="816">
        <f t="shared" si="10"/>
        <v>31</v>
      </c>
      <c r="AL44" s="594">
        <f t="shared" si="12"/>
        <v>19281.249821999998</v>
      </c>
      <c r="AM44" s="575">
        <f t="shared" si="12"/>
        <v>17648.937484000002</v>
      </c>
      <c r="AN44" s="816">
        <f t="shared" si="11"/>
        <v>-8.5</v>
      </c>
      <c r="AO44" s="814"/>
      <c r="AP44" s="814"/>
    </row>
    <row r="45" spans="1:42" s="825" customFormat="1" ht="18.75" customHeight="1" x14ac:dyDescent="0.3">
      <c r="A45" s="819" t="s">
        <v>481</v>
      </c>
      <c r="B45" s="822">
        <v>47.822000000000003</v>
      </c>
      <c r="C45" s="820"/>
      <c r="D45" s="821">
        <f t="shared" si="0"/>
        <v>-100</v>
      </c>
      <c r="E45" s="822">
        <v>34.835000000000001</v>
      </c>
      <c r="F45" s="820">
        <v>29.43</v>
      </c>
      <c r="G45" s="821">
        <f t="shared" si="1"/>
        <v>-15.5</v>
      </c>
      <c r="H45" s="822">
        <v>19.602</v>
      </c>
      <c r="I45" s="820">
        <v>23.420999999999999</v>
      </c>
      <c r="J45" s="821">
        <f t="shared" si="2"/>
        <v>19.5</v>
      </c>
      <c r="K45" s="822"/>
      <c r="L45" s="820"/>
      <c r="M45" s="821"/>
      <c r="N45" s="822"/>
      <c r="O45" s="820"/>
      <c r="P45" s="821"/>
      <c r="Q45" s="822"/>
      <c r="R45" s="820"/>
      <c r="S45" s="821"/>
      <c r="T45" s="822"/>
      <c r="U45" s="820"/>
      <c r="V45" s="821"/>
      <c r="W45" s="822"/>
      <c r="X45" s="820"/>
      <c r="Y45" s="821"/>
      <c r="Z45" s="822">
        <v>424</v>
      </c>
      <c r="AA45" s="820">
        <v>385</v>
      </c>
      <c r="AB45" s="821">
        <f t="shared" si="8"/>
        <v>-9.1999999999999993</v>
      </c>
      <c r="AC45" s="822"/>
      <c r="AD45" s="820"/>
      <c r="AE45" s="821"/>
      <c r="AF45" s="822"/>
      <c r="AG45" s="820"/>
      <c r="AH45" s="821"/>
      <c r="AI45" s="822">
        <v>683.5</v>
      </c>
      <c r="AJ45" s="820">
        <v>631</v>
      </c>
      <c r="AK45" s="821">
        <f t="shared" si="10"/>
        <v>-7.7</v>
      </c>
      <c r="AL45" s="822">
        <f t="shared" si="12"/>
        <v>1209.759</v>
      </c>
      <c r="AM45" s="820">
        <f t="shared" si="12"/>
        <v>1068.8510000000001</v>
      </c>
      <c r="AN45" s="821">
        <f t="shared" si="11"/>
        <v>-11.6</v>
      </c>
      <c r="AO45" s="823"/>
      <c r="AP45" s="824"/>
    </row>
    <row r="46" spans="1:42" s="825" customFormat="1" ht="18.75" customHeight="1" x14ac:dyDescent="0.3">
      <c r="A46" s="819"/>
      <c r="B46" s="822"/>
      <c r="C46" s="820"/>
      <c r="D46" s="821"/>
      <c r="E46" s="822"/>
      <c r="F46" s="820"/>
      <c r="G46" s="821"/>
      <c r="H46" s="822"/>
      <c r="I46" s="820"/>
      <c r="J46" s="821"/>
      <c r="K46" s="822"/>
      <c r="L46" s="820"/>
      <c r="M46" s="821"/>
      <c r="N46" s="822"/>
      <c r="O46" s="820"/>
      <c r="P46" s="821"/>
      <c r="Q46" s="822"/>
      <c r="R46" s="820"/>
      <c r="S46" s="821"/>
      <c r="T46" s="822"/>
      <c r="U46" s="820"/>
      <c r="V46" s="821"/>
      <c r="W46" s="822"/>
      <c r="X46" s="820"/>
      <c r="Y46" s="821"/>
      <c r="Z46" s="822"/>
      <c r="AA46" s="820"/>
      <c r="AB46" s="821"/>
      <c r="AC46" s="822"/>
      <c r="AD46" s="820"/>
      <c r="AE46" s="821"/>
      <c r="AF46" s="822"/>
      <c r="AG46" s="820"/>
      <c r="AH46" s="821"/>
      <c r="AI46" s="822"/>
      <c r="AJ46" s="820"/>
      <c r="AK46" s="821"/>
      <c r="AL46" s="822"/>
      <c r="AM46" s="820"/>
      <c r="AN46" s="821"/>
      <c r="AO46" s="824"/>
      <c r="AP46" s="824"/>
    </row>
    <row r="47" spans="1:42" s="825" customFormat="1" ht="18.75" customHeight="1" x14ac:dyDescent="0.3">
      <c r="A47" s="819" t="s">
        <v>482</v>
      </c>
      <c r="B47" s="820">
        <f>SUM(B11+B35+B40+B41+B45)</f>
        <v>937.08900000000006</v>
      </c>
      <c r="C47" s="820">
        <f>SUM(C11+C35+C40+C41+C45)</f>
        <v>1022.8309999999999</v>
      </c>
      <c r="D47" s="821">
        <f t="shared" si="0"/>
        <v>9.1</v>
      </c>
      <c r="E47" s="820">
        <f>SUM(E11+E35+E40+E41+E45)</f>
        <v>208159.74400000001</v>
      </c>
      <c r="F47" s="820">
        <f>SUM(F11+F35+F40+F41+F45)</f>
        <v>222668.82299999997</v>
      </c>
      <c r="G47" s="821">
        <f t="shared" si="1"/>
        <v>7</v>
      </c>
      <c r="H47" s="820">
        <f>SUM(H11+H35+H40+H41+H45)</f>
        <v>724.2589999999999</v>
      </c>
      <c r="I47" s="820">
        <f>SUM(I11+I35+I40+I41+I45)</f>
        <v>837.74700000000018</v>
      </c>
      <c r="J47" s="821">
        <f t="shared" si="2"/>
        <v>15.7</v>
      </c>
      <c r="K47" s="820">
        <f>SUM(K11+K35+K40+K41+K45)</f>
        <v>5409.5560000000005</v>
      </c>
      <c r="L47" s="820">
        <f>SUM(L11+L35+L40+L41+L45)</f>
        <v>5963.6329999999998</v>
      </c>
      <c r="M47" s="821">
        <f t="shared" si="3"/>
        <v>10.199999999999999</v>
      </c>
      <c r="N47" s="820">
        <f>SUM(N11+N35+N40+N41+N45)</f>
        <v>79</v>
      </c>
      <c r="O47" s="820">
        <f>SUM(O11+O35+O40+O41+O45)</f>
        <v>58.307000000000002</v>
      </c>
      <c r="P47" s="821">
        <f t="shared" si="4"/>
        <v>-26.2</v>
      </c>
      <c r="Q47" s="820">
        <f>SUM(Q11+Q35+Q40+Q41+Q45)</f>
        <v>450193.84582046996</v>
      </c>
      <c r="R47" s="820">
        <f>SUM(R11+R35+R40+R41+R45)</f>
        <v>486784.74503540003</v>
      </c>
      <c r="S47" s="821">
        <f t="shared" si="5"/>
        <v>8.1</v>
      </c>
      <c r="T47" s="820">
        <f>SUM(T11+T35+T40+T41+T45)</f>
        <v>1567.3</v>
      </c>
      <c r="U47" s="820">
        <f>SUM(U11+U35+U40+U41+U45)</f>
        <v>1644.1999999999998</v>
      </c>
      <c r="V47" s="821">
        <f t="shared" si="6"/>
        <v>4.9000000000000004</v>
      </c>
      <c r="W47" s="820">
        <f>SUM(W11+W35+W40+W41+W45)</f>
        <v>48523.46</v>
      </c>
      <c r="X47" s="820">
        <f>SUM(X11+X35+X40+X41+X45)</f>
        <v>49562.991552869396</v>
      </c>
      <c r="Y47" s="821">
        <f t="shared" si="7"/>
        <v>2.1</v>
      </c>
      <c r="Z47" s="820">
        <f>SUM(Z11+Z35+Z40+Z41+Z45)</f>
        <v>74003</v>
      </c>
      <c r="AA47" s="820">
        <f>SUM(AA11+AA35+AA40+AA41+AA45)</f>
        <v>81693</v>
      </c>
      <c r="AB47" s="821">
        <f t="shared" si="8"/>
        <v>10.4</v>
      </c>
      <c r="AC47" s="820"/>
      <c r="AD47" s="820"/>
      <c r="AE47" s="821"/>
      <c r="AF47" s="820">
        <f>SUM(AF11+AF35+AF40+AF41+AF45)</f>
        <v>20892.832999999999</v>
      </c>
      <c r="AG47" s="820">
        <f>SUM(AG11+AG35+AG40+AG41+AG45)</f>
        <v>21007.602999999996</v>
      </c>
      <c r="AH47" s="821">
        <f t="shared" si="9"/>
        <v>0.5</v>
      </c>
      <c r="AI47" s="822">
        <v>181716.2</v>
      </c>
      <c r="AJ47" s="820">
        <f>SUM(AJ11+AJ35+AJ40+AJ41+AJ45)</f>
        <v>184991</v>
      </c>
      <c r="AK47" s="821">
        <f t="shared" si="10"/>
        <v>1.8</v>
      </c>
      <c r="AL47" s="822">
        <f>+B47+E47+H47+K47+N47+Q47+T47+W47+Z47+AC47+AF47+AI47</f>
        <v>992206.28682046989</v>
      </c>
      <c r="AM47" s="820">
        <f t="shared" si="12"/>
        <v>1056234.8805882693</v>
      </c>
      <c r="AN47" s="821">
        <f t="shared" si="11"/>
        <v>6.5</v>
      </c>
      <c r="AO47" s="823"/>
      <c r="AP47" s="824"/>
    </row>
    <row r="48" spans="1:42" s="595" customFormat="1" ht="18.75" customHeight="1" x14ac:dyDescent="0.3">
      <c r="A48" s="567" t="s">
        <v>468</v>
      </c>
      <c r="B48" s="575">
        <f>SUM(B12+B36)</f>
        <v>287.202</v>
      </c>
      <c r="C48" s="575">
        <f>SUM(C12+C36)</f>
        <v>265.73399999999998</v>
      </c>
      <c r="D48" s="816">
        <f t="shared" si="0"/>
        <v>-7.5</v>
      </c>
      <c r="E48" s="575">
        <f>SUM(E12+E36)</f>
        <v>17435.921999999999</v>
      </c>
      <c r="F48" s="575">
        <f>SUM(F12+F36)</f>
        <v>15672.516</v>
      </c>
      <c r="G48" s="816">
        <f t="shared" si="1"/>
        <v>-10.1</v>
      </c>
      <c r="H48" s="575">
        <f>SUM(H12+H36)</f>
        <v>65.649999999999991</v>
      </c>
      <c r="I48" s="575">
        <f>SUM(I12+I36)</f>
        <v>67.936000000000007</v>
      </c>
      <c r="J48" s="816">
        <f t="shared" si="2"/>
        <v>3.5</v>
      </c>
      <c r="K48" s="575"/>
      <c r="L48" s="575"/>
      <c r="M48" s="816"/>
      <c r="N48" s="575">
        <f>SUM(N12+N36)</f>
        <v>24</v>
      </c>
      <c r="O48" s="575">
        <f>SUM(O12+O36)</f>
        <v>24.041999999999998</v>
      </c>
      <c r="P48" s="816">
        <f t="shared" si="4"/>
        <v>0.2</v>
      </c>
      <c r="Q48" s="575"/>
      <c r="R48" s="575"/>
      <c r="S48" s="816"/>
      <c r="T48" s="575"/>
      <c r="U48" s="575"/>
      <c r="V48" s="816"/>
      <c r="W48" s="575">
        <f>SUM(W12+W36)</f>
        <v>782</v>
      </c>
      <c r="X48" s="575">
        <f>SUM(X12+X36)</f>
        <v>751.54706536061462</v>
      </c>
      <c r="Y48" s="816">
        <f t="shared" si="7"/>
        <v>-3.9</v>
      </c>
      <c r="Z48" s="575"/>
      <c r="AA48" s="575"/>
      <c r="AB48" s="816"/>
      <c r="AC48" s="575"/>
      <c r="AD48" s="575"/>
      <c r="AE48" s="816"/>
      <c r="AF48" s="575">
        <f>SUM(AF12+AF36)</f>
        <v>949.56</v>
      </c>
      <c r="AG48" s="575">
        <f>SUM(AG12+AG36)</f>
        <v>898.50599999999997</v>
      </c>
      <c r="AH48" s="816">
        <f t="shared" si="9"/>
        <v>-5.4</v>
      </c>
      <c r="AI48" s="594">
        <v>4174.5</v>
      </c>
      <c r="AJ48" s="575">
        <f>SUM(AJ12+AJ36)</f>
        <v>4138</v>
      </c>
      <c r="AK48" s="816">
        <f t="shared" si="10"/>
        <v>-0.9</v>
      </c>
      <c r="AL48" s="594">
        <f t="shared" si="12"/>
        <v>23718.834000000003</v>
      </c>
      <c r="AM48" s="575">
        <f t="shared" si="12"/>
        <v>21818.281065360614</v>
      </c>
      <c r="AN48" s="816">
        <f t="shared" si="11"/>
        <v>-8</v>
      </c>
      <c r="AO48" s="814"/>
      <c r="AP48" s="814"/>
    </row>
    <row r="49" spans="1:42" s="595" customFormat="1" ht="18.75" customHeight="1" x14ac:dyDescent="0.3">
      <c r="A49" s="567" t="s">
        <v>471</v>
      </c>
      <c r="B49" s="575">
        <f>SUM(B15+B37+B42)</f>
        <v>64.144000000000005</v>
      </c>
      <c r="C49" s="575">
        <f>SUM(C15+C37+C42)</f>
        <v>87.117999999999995</v>
      </c>
      <c r="D49" s="816">
        <f t="shared" si="0"/>
        <v>35.799999999999997</v>
      </c>
      <c r="E49" s="575">
        <f>SUM(E15+E37+E42)</f>
        <v>28414.232</v>
      </c>
      <c r="F49" s="575">
        <f>SUM(F15+F37+F42)</f>
        <v>27414.632000000001</v>
      </c>
      <c r="G49" s="816">
        <f t="shared" si="1"/>
        <v>-3.5</v>
      </c>
      <c r="H49" s="575">
        <f>SUM(H15+H37+H42)</f>
        <v>370.04199999999997</v>
      </c>
      <c r="I49" s="575">
        <f>SUM(I15+I37+I42)</f>
        <v>433.71200000000005</v>
      </c>
      <c r="J49" s="816">
        <f t="shared" si="2"/>
        <v>17.2</v>
      </c>
      <c r="K49" s="575">
        <f>SUM(K15+K37+K42)</f>
        <v>989.45100000000002</v>
      </c>
      <c r="L49" s="575">
        <f>SUM(L15+L37+L42)</f>
        <v>1291.434</v>
      </c>
      <c r="M49" s="816">
        <f t="shared" si="3"/>
        <v>30.5</v>
      </c>
      <c r="N49" s="575">
        <f>SUM(N15+N37+N42)</f>
        <v>3</v>
      </c>
      <c r="O49" s="575">
        <f>SUM(O15+O37+O42)</f>
        <v>2.3319999999999999</v>
      </c>
      <c r="P49" s="816">
        <f t="shared" si="4"/>
        <v>-22.3</v>
      </c>
      <c r="Q49" s="575"/>
      <c r="R49" s="575"/>
      <c r="S49" s="816"/>
      <c r="T49" s="575"/>
      <c r="U49" s="575"/>
      <c r="V49" s="816"/>
      <c r="W49" s="575">
        <f>SUM(W15+W37+W42)</f>
        <v>4130.1000000000004</v>
      </c>
      <c r="X49" s="575">
        <f>SUM(X15+X37+X42)</f>
        <v>3987.288064218485</v>
      </c>
      <c r="Y49" s="816">
        <f t="shared" si="7"/>
        <v>-3.5</v>
      </c>
      <c r="Z49" s="575"/>
      <c r="AA49" s="575"/>
      <c r="AB49" s="816"/>
      <c r="AC49" s="575"/>
      <c r="AD49" s="575"/>
      <c r="AE49" s="816"/>
      <c r="AF49" s="575">
        <f>SUM(AF15+AF37+AF42)</f>
        <v>4942.5060000000003</v>
      </c>
      <c r="AG49" s="575">
        <f>SUM(AG15+AG37+AG42)</f>
        <v>5099.3789999999999</v>
      </c>
      <c r="AH49" s="816">
        <f t="shared" si="9"/>
        <v>3.2</v>
      </c>
      <c r="AI49" s="594">
        <v>11802.6</v>
      </c>
      <c r="AJ49" s="575">
        <f>SUM(AJ15+AJ37+AJ42)</f>
        <v>11175</v>
      </c>
      <c r="AK49" s="816">
        <f t="shared" si="10"/>
        <v>-5.3</v>
      </c>
      <c r="AL49" s="594">
        <f t="shared" si="12"/>
        <v>50716.075000000004</v>
      </c>
      <c r="AM49" s="575">
        <f t="shared" si="12"/>
        <v>49490.895064218486</v>
      </c>
      <c r="AN49" s="816">
        <f t="shared" si="11"/>
        <v>-2.4</v>
      </c>
      <c r="AO49" s="814"/>
      <c r="AP49" s="814"/>
    </row>
    <row r="50" spans="1:42" s="595" customFormat="1" ht="18.75" customHeight="1" x14ac:dyDescent="0.3">
      <c r="A50" s="567" t="s">
        <v>472</v>
      </c>
      <c r="B50" s="575">
        <f>SUM(B18)</f>
        <v>0.56499999999999995</v>
      </c>
      <c r="C50" s="575">
        <f>SUM(C18)</f>
        <v>0</v>
      </c>
      <c r="D50" s="575">
        <f t="shared" si="0"/>
        <v>-100</v>
      </c>
      <c r="E50" s="575">
        <f>SUM(E18)</f>
        <v>678.44800000000009</v>
      </c>
      <c r="F50" s="575">
        <f>SUM(F18)</f>
        <v>1084.528</v>
      </c>
      <c r="G50" s="575">
        <f t="shared" si="1"/>
        <v>59.9</v>
      </c>
      <c r="H50" s="575">
        <f>SUM(H18)</f>
        <v>42.204000000000001</v>
      </c>
      <c r="I50" s="575">
        <f>SUM(I18)</f>
        <v>46.238999999999997</v>
      </c>
      <c r="J50" s="575">
        <f t="shared" si="2"/>
        <v>9.6</v>
      </c>
      <c r="K50" s="575"/>
      <c r="L50" s="575"/>
      <c r="M50" s="575"/>
      <c r="N50" s="575">
        <f>SUM(N18)</f>
        <v>52</v>
      </c>
      <c r="O50" s="575">
        <f>SUM(O18)</f>
        <v>31.933000000000003</v>
      </c>
      <c r="P50" s="575">
        <f t="shared" si="4"/>
        <v>-38.6</v>
      </c>
      <c r="Q50" s="575">
        <f>SUM(Q18)</f>
        <v>2.4028630000000002E-2</v>
      </c>
      <c r="R50" s="575">
        <f>SUM(R18)</f>
        <v>0</v>
      </c>
      <c r="S50" s="575">
        <f t="shared" si="5"/>
        <v>-100</v>
      </c>
      <c r="T50" s="575"/>
      <c r="U50" s="575"/>
      <c r="V50" s="575"/>
      <c r="W50" s="575"/>
      <c r="X50" s="575"/>
      <c r="Y50" s="575"/>
      <c r="Z50" s="575"/>
      <c r="AA50" s="575"/>
      <c r="AB50" s="575"/>
      <c r="AC50" s="575"/>
      <c r="AD50" s="575"/>
      <c r="AE50" s="575"/>
      <c r="AF50" s="575">
        <f>SUM(AF18)</f>
        <v>1248.6680000000001</v>
      </c>
      <c r="AG50" s="575">
        <f>SUM(AG18)</f>
        <v>120.91500000000001</v>
      </c>
      <c r="AH50" s="575">
        <f t="shared" si="9"/>
        <v>-90.3</v>
      </c>
      <c r="AI50" s="594">
        <v>1325</v>
      </c>
      <c r="AJ50" s="575">
        <f>SUM(AJ18)</f>
        <v>1425</v>
      </c>
      <c r="AK50" s="575">
        <f t="shared" si="10"/>
        <v>7.5</v>
      </c>
      <c r="AL50" s="594">
        <f t="shared" si="12"/>
        <v>3346.9090286300002</v>
      </c>
      <c r="AM50" s="575">
        <f t="shared" si="12"/>
        <v>2708.6149999999998</v>
      </c>
      <c r="AN50" s="575">
        <f t="shared" si="11"/>
        <v>-19.100000000000001</v>
      </c>
      <c r="AO50" s="814"/>
      <c r="AP50" s="814"/>
    </row>
    <row r="51" spans="1:42" s="595" customFormat="1" ht="18.75" customHeight="1" x14ac:dyDescent="0.3">
      <c r="A51" s="567" t="s">
        <v>473</v>
      </c>
      <c r="B51" s="575">
        <f>SUM(B19+B38+B43)</f>
        <v>508.78900000000004</v>
      </c>
      <c r="C51" s="575">
        <f>SUM(C19+C38+C43)</f>
        <v>577.29899999999986</v>
      </c>
      <c r="D51" s="816">
        <f t="shared" si="0"/>
        <v>13.5</v>
      </c>
      <c r="E51" s="575">
        <f>SUM(E19+E38+E43)</f>
        <v>157486.44099999999</v>
      </c>
      <c r="F51" s="575">
        <f>SUM(F19+F38+F43)</f>
        <v>156513.75</v>
      </c>
      <c r="G51" s="816">
        <f t="shared" si="1"/>
        <v>-0.6</v>
      </c>
      <c r="H51" s="575">
        <f>SUM(H19+H38+H43)</f>
        <v>125.803</v>
      </c>
      <c r="I51" s="575">
        <f>SUM(I19+I38+I43)</f>
        <v>146.75700000000001</v>
      </c>
      <c r="J51" s="816">
        <f t="shared" si="2"/>
        <v>16.7</v>
      </c>
      <c r="K51" s="575">
        <f>SUM(K19+K38+K43)</f>
        <v>4393.21</v>
      </c>
      <c r="L51" s="575">
        <f>SUM(L19+L38+L43)</f>
        <v>4672.1990000000005</v>
      </c>
      <c r="M51" s="816">
        <f t="shared" si="3"/>
        <v>6.4</v>
      </c>
      <c r="N51" s="575">
        <f>SUM(N19+N38+N43)</f>
        <v>0</v>
      </c>
      <c r="O51" s="575">
        <f>SUM(O19+O38+O43)</f>
        <v>0</v>
      </c>
      <c r="P51" s="816" t="str">
        <f t="shared" si="4"/>
        <v xml:space="preserve">    ---- </v>
      </c>
      <c r="Q51" s="575"/>
      <c r="R51" s="575"/>
      <c r="S51" s="816"/>
      <c r="T51" s="575">
        <f>SUM(T19+T38+T43)</f>
        <v>1500.5</v>
      </c>
      <c r="U51" s="575">
        <f>SUM(U19+U38+U43)</f>
        <v>1613.1999999999998</v>
      </c>
      <c r="V51" s="816">
        <f t="shared" si="6"/>
        <v>7.5</v>
      </c>
      <c r="W51" s="575">
        <f>SUM(W19+W38+W43)</f>
        <v>42290</v>
      </c>
      <c r="X51" s="575">
        <f>SUM(X19+X38+X43)</f>
        <v>43178.317562505057</v>
      </c>
      <c r="Y51" s="816">
        <f t="shared" si="7"/>
        <v>2.1</v>
      </c>
      <c r="Z51" s="575"/>
      <c r="AA51" s="575"/>
      <c r="AB51" s="816"/>
      <c r="AC51" s="575"/>
      <c r="AD51" s="575"/>
      <c r="AE51" s="816"/>
      <c r="AF51" s="575">
        <f>SUM(AF19+AF38+AF43)</f>
        <v>11420.463</v>
      </c>
      <c r="AG51" s="575">
        <f>SUM(AG19+AG38+AG43)</f>
        <v>12134.983</v>
      </c>
      <c r="AH51" s="816">
        <f t="shared" si="9"/>
        <v>6.3</v>
      </c>
      <c r="AI51" s="594">
        <v>158286.70000000001</v>
      </c>
      <c r="AJ51" s="575">
        <f>SUM(AJ19+AJ38+AJ43)</f>
        <v>161171</v>
      </c>
      <c r="AK51" s="816">
        <f t="shared" si="10"/>
        <v>1.8</v>
      </c>
      <c r="AL51" s="594">
        <f t="shared" si="12"/>
        <v>376011.90599999996</v>
      </c>
      <c r="AM51" s="575">
        <f t="shared" si="12"/>
        <v>380007.5055625051</v>
      </c>
      <c r="AN51" s="816">
        <f t="shared" si="11"/>
        <v>1.1000000000000001</v>
      </c>
      <c r="AO51" s="814"/>
      <c r="AP51" s="814"/>
    </row>
    <row r="52" spans="1:42" s="595" customFormat="1" ht="18.75" customHeight="1" x14ac:dyDescent="0.3">
      <c r="A52" s="567" t="s">
        <v>475</v>
      </c>
      <c r="B52" s="575"/>
      <c r="C52" s="575"/>
      <c r="D52" s="816"/>
      <c r="E52" s="575">
        <f>SUM(E21+E39+E44)</f>
        <v>27.792999999999999</v>
      </c>
      <c r="F52" s="575">
        <f>SUM(F21+F39+F44)</f>
        <v>0</v>
      </c>
      <c r="G52" s="816">
        <f t="shared" si="1"/>
        <v>-100</v>
      </c>
      <c r="H52" s="575"/>
      <c r="I52" s="575"/>
      <c r="J52" s="816"/>
      <c r="K52" s="575"/>
      <c r="L52" s="575"/>
      <c r="M52" s="816"/>
      <c r="N52" s="575"/>
      <c r="O52" s="575"/>
      <c r="P52" s="816"/>
      <c r="Q52" s="575">
        <f>SUM(Q21+Q39+Q44)</f>
        <v>421856.50974283996</v>
      </c>
      <c r="R52" s="575">
        <f>SUM(R21+R39+R44)</f>
        <v>444507.2637294</v>
      </c>
      <c r="S52" s="816">
        <f t="shared" si="5"/>
        <v>5.4</v>
      </c>
      <c r="T52" s="575"/>
      <c r="U52" s="575"/>
      <c r="V52" s="816"/>
      <c r="W52" s="575"/>
      <c r="X52" s="575"/>
      <c r="Y52" s="816"/>
      <c r="Z52" s="575">
        <f>SUM(Z21+Z39+Z44)</f>
        <v>64308</v>
      </c>
      <c r="AA52" s="575">
        <f>SUM(AA21+AA39+AA44)</f>
        <v>70376</v>
      </c>
      <c r="AB52" s="816">
        <f t="shared" si="8"/>
        <v>9.4</v>
      </c>
      <c r="AC52" s="575"/>
      <c r="AD52" s="575"/>
      <c r="AE52" s="816"/>
      <c r="AF52" s="575"/>
      <c r="AG52" s="575"/>
      <c r="AH52" s="816"/>
      <c r="AI52" s="594">
        <v>2760.3999999999996</v>
      </c>
      <c r="AJ52" s="575">
        <f>SUM(AJ21+AJ39+AJ44)</f>
        <v>2744</v>
      </c>
      <c r="AK52" s="816">
        <f t="shared" si="10"/>
        <v>-0.6</v>
      </c>
      <c r="AL52" s="594">
        <f t="shared" si="12"/>
        <v>488952.70274283999</v>
      </c>
      <c r="AM52" s="575">
        <f t="shared" si="12"/>
        <v>517627.2637294</v>
      </c>
      <c r="AN52" s="816">
        <f t="shared" si="11"/>
        <v>5.9</v>
      </c>
      <c r="AO52" s="814"/>
      <c r="AP52" s="814"/>
    </row>
    <row r="53" spans="1:42" s="595" customFormat="1" ht="18.75" customHeight="1" x14ac:dyDescent="0.3">
      <c r="A53" s="567" t="s">
        <v>476</v>
      </c>
      <c r="B53" s="575">
        <f>SUM(B22)</f>
        <v>0</v>
      </c>
      <c r="C53" s="575">
        <f>SUM(C22)</f>
        <v>53.293999999999997</v>
      </c>
      <c r="D53" s="575" t="str">
        <f t="shared" si="0"/>
        <v xml:space="preserve">    ---- </v>
      </c>
      <c r="E53" s="575">
        <f>SUM(E22)</f>
        <v>1657.845</v>
      </c>
      <c r="F53" s="575">
        <f>SUM(F22)</f>
        <v>18692.016</v>
      </c>
      <c r="G53" s="575">
        <f t="shared" si="1"/>
        <v>999</v>
      </c>
      <c r="H53" s="575">
        <f>SUM(H22)</f>
        <v>100.958</v>
      </c>
      <c r="I53" s="575">
        <f>SUM(I22)</f>
        <v>119.682</v>
      </c>
      <c r="J53" s="575">
        <f t="shared" si="2"/>
        <v>18.5</v>
      </c>
      <c r="K53" s="575"/>
      <c r="L53" s="575"/>
      <c r="M53" s="575"/>
      <c r="N53" s="575"/>
      <c r="O53" s="575"/>
      <c r="P53" s="575"/>
      <c r="Q53" s="575"/>
      <c r="R53" s="575"/>
      <c r="S53" s="575"/>
      <c r="T53" s="575"/>
      <c r="U53" s="575"/>
      <c r="V53" s="575"/>
      <c r="W53" s="575">
        <f>SUM(W22)</f>
        <v>260</v>
      </c>
      <c r="X53" s="575">
        <f>SUM(X22)</f>
        <v>266.83886078523886</v>
      </c>
      <c r="Y53" s="575">
        <f t="shared" si="7"/>
        <v>2.6</v>
      </c>
      <c r="Z53" s="575"/>
      <c r="AA53" s="575"/>
      <c r="AB53" s="575"/>
      <c r="AC53" s="575"/>
      <c r="AD53" s="575"/>
      <c r="AE53" s="575"/>
      <c r="AF53" s="575">
        <f>SUM(AF22)</f>
        <v>439.24599999999998</v>
      </c>
      <c r="AG53" s="575">
        <f>SUM(AG22)</f>
        <v>466.85500000000002</v>
      </c>
      <c r="AH53" s="575">
        <f t="shared" si="9"/>
        <v>6.3</v>
      </c>
      <c r="AI53" s="594"/>
      <c r="AJ53" s="575"/>
      <c r="AK53" s="575"/>
      <c r="AL53" s="594">
        <f t="shared" si="12"/>
        <v>2458.049</v>
      </c>
      <c r="AM53" s="575">
        <f t="shared" si="12"/>
        <v>19598.685860785241</v>
      </c>
      <c r="AN53" s="575">
        <f t="shared" si="11"/>
        <v>697.3</v>
      </c>
      <c r="AO53" s="814"/>
      <c r="AP53" s="814"/>
    </row>
    <row r="54" spans="1:42" s="595" customFormat="1" ht="18.75" customHeight="1" x14ac:dyDescent="0.3">
      <c r="A54" s="826" t="s">
        <v>483</v>
      </c>
      <c r="B54" s="827">
        <f>SUM(B40+B45)</f>
        <v>76.38900000000001</v>
      </c>
      <c r="C54" s="827">
        <f>SUM(C40+C45)</f>
        <v>39.386000000000003</v>
      </c>
      <c r="D54" s="827">
        <f t="shared" si="0"/>
        <v>-48.4</v>
      </c>
      <c r="E54" s="827">
        <f>SUM(E40+E45)</f>
        <v>2459.0630000000001</v>
      </c>
      <c r="F54" s="827">
        <f>SUM(F40+F45)</f>
        <v>3291.3809999999999</v>
      </c>
      <c r="G54" s="827">
        <f t="shared" si="1"/>
        <v>33.799999999999997</v>
      </c>
      <c r="H54" s="827">
        <f>SUM(H40+H45)</f>
        <v>19.602</v>
      </c>
      <c r="I54" s="827">
        <f>SUM(I40+I45)</f>
        <v>23.420999999999999</v>
      </c>
      <c r="J54" s="827">
        <f t="shared" si="2"/>
        <v>19.5</v>
      </c>
      <c r="K54" s="827">
        <f>SUM(K40+K45)</f>
        <v>26.895</v>
      </c>
      <c r="L54" s="827">
        <f>SUM(L40+L45)</f>
        <v>0</v>
      </c>
      <c r="M54" s="827">
        <f t="shared" si="3"/>
        <v>-100</v>
      </c>
      <c r="N54" s="827"/>
      <c r="O54" s="827"/>
      <c r="P54" s="827"/>
      <c r="Q54" s="827">
        <f>SUM(Q40+Q45)</f>
        <v>28337.312049</v>
      </c>
      <c r="R54" s="827">
        <f>SUM(R40+R45)</f>
        <v>42277.481306000001</v>
      </c>
      <c r="S54" s="827">
        <f t="shared" si="5"/>
        <v>49.2</v>
      </c>
      <c r="T54" s="827">
        <f>SUM(T40+T45)</f>
        <v>66.8</v>
      </c>
      <c r="U54" s="827">
        <f>SUM(U40+U45)</f>
        <v>31</v>
      </c>
      <c r="V54" s="827">
        <f t="shared" si="6"/>
        <v>-53.6</v>
      </c>
      <c r="W54" s="827">
        <f>SUM(W40+W45)</f>
        <v>1061.3599999999999</v>
      </c>
      <c r="X54" s="827">
        <f>SUM(X40+X45)</f>
        <v>1379</v>
      </c>
      <c r="Y54" s="827">
        <f t="shared" si="7"/>
        <v>29.9</v>
      </c>
      <c r="Z54" s="827">
        <f>SUM(Z40+Z45)</f>
        <v>9695</v>
      </c>
      <c r="AA54" s="827">
        <f>SUM(AA40+AA45)</f>
        <v>11317</v>
      </c>
      <c r="AB54" s="827">
        <f t="shared" si="8"/>
        <v>16.7</v>
      </c>
      <c r="AC54" s="827"/>
      <c r="AD54" s="827"/>
      <c r="AE54" s="827"/>
      <c r="AF54" s="827">
        <f>SUM(AF40+AF45)</f>
        <v>1892.39</v>
      </c>
      <c r="AG54" s="827">
        <f>SUM(AG40+AG45)</f>
        <v>2286.9650000000001</v>
      </c>
      <c r="AH54" s="827">
        <f t="shared" si="9"/>
        <v>20.9</v>
      </c>
      <c r="AI54" s="828">
        <v>3367</v>
      </c>
      <c r="AJ54" s="827">
        <f>SUM(AJ40+AJ45)</f>
        <v>4338</v>
      </c>
      <c r="AK54" s="827">
        <f t="shared" si="10"/>
        <v>28.8</v>
      </c>
      <c r="AL54" s="828">
        <f t="shared" si="12"/>
        <v>47001.811048999996</v>
      </c>
      <c r="AM54" s="827">
        <f t="shared" si="12"/>
        <v>64983.634306000007</v>
      </c>
      <c r="AN54" s="827">
        <f t="shared" si="11"/>
        <v>38.299999999999997</v>
      </c>
      <c r="AO54" s="814"/>
      <c r="AP54" s="814"/>
    </row>
    <row r="55" spans="1:42" s="595" customFormat="1" ht="18.75" customHeight="1" x14ac:dyDescent="0.3">
      <c r="A55" s="636" t="s">
        <v>273</v>
      </c>
      <c r="B55" s="829"/>
      <c r="C55" s="829"/>
      <c r="D55" s="829"/>
      <c r="E55" s="829"/>
      <c r="F55" s="829"/>
      <c r="G55" s="829"/>
      <c r="H55" s="829"/>
      <c r="I55" s="829"/>
      <c r="J55" s="829"/>
      <c r="K55" s="829"/>
      <c r="L55" s="829"/>
      <c r="M55" s="829"/>
      <c r="N55" s="829"/>
      <c r="O55" s="829"/>
      <c r="P55" s="829"/>
      <c r="Q55" s="829"/>
      <c r="R55" s="829"/>
      <c r="S55" s="829"/>
      <c r="T55" s="829"/>
      <c r="U55" s="829"/>
      <c r="V55" s="829"/>
      <c r="W55" s="829"/>
      <c r="X55" s="829"/>
      <c r="Y55" s="829"/>
      <c r="Z55" s="829"/>
      <c r="AA55" s="829"/>
      <c r="AB55" s="829"/>
      <c r="AC55" s="829"/>
      <c r="AD55" s="829"/>
      <c r="AE55" s="829"/>
      <c r="AF55" s="829"/>
      <c r="AG55" s="829"/>
      <c r="AH55" s="829"/>
      <c r="AI55" s="829"/>
      <c r="AJ55" s="829"/>
      <c r="AK55" s="829"/>
      <c r="AL55" s="829"/>
      <c r="AM55" s="829"/>
      <c r="AN55" s="829"/>
      <c r="AO55" s="814"/>
      <c r="AP55" s="814"/>
    </row>
    <row r="56" spans="1:42" s="595" customFormat="1" ht="18.75" customHeight="1" x14ac:dyDescent="0.3">
      <c r="A56" s="636" t="s">
        <v>274</v>
      </c>
      <c r="B56" s="829"/>
      <c r="C56" s="829"/>
      <c r="D56" s="829"/>
      <c r="E56" s="829"/>
      <c r="F56" s="829"/>
      <c r="G56" s="829"/>
      <c r="H56" s="829"/>
      <c r="I56" s="829"/>
      <c r="J56" s="829"/>
      <c r="K56" s="829"/>
      <c r="L56" s="829"/>
      <c r="M56" s="829"/>
      <c r="N56" s="829"/>
      <c r="O56" s="829"/>
      <c r="P56" s="829"/>
      <c r="Q56" s="829"/>
      <c r="R56" s="829"/>
      <c r="S56" s="829"/>
      <c r="T56" s="829"/>
      <c r="U56" s="829"/>
      <c r="V56" s="829"/>
      <c r="W56" s="829"/>
      <c r="X56" s="829"/>
      <c r="Y56" s="829"/>
      <c r="Z56" s="829"/>
      <c r="AA56" s="829"/>
      <c r="AB56" s="829"/>
      <c r="AC56" s="829"/>
      <c r="AD56" s="829"/>
      <c r="AE56" s="829"/>
      <c r="AF56" s="829"/>
      <c r="AG56" s="829"/>
      <c r="AH56" s="829"/>
      <c r="AI56" s="829"/>
      <c r="AJ56" s="829"/>
      <c r="AK56" s="829"/>
      <c r="AL56" s="829"/>
      <c r="AM56" s="829"/>
      <c r="AN56" s="829"/>
      <c r="AO56" s="814"/>
      <c r="AP56" s="814"/>
    </row>
    <row r="57" spans="1:42" s="595" customFormat="1" ht="18.75" customHeight="1" x14ac:dyDescent="0.3">
      <c r="Q57" s="636"/>
      <c r="W57" s="636"/>
      <c r="AI57" s="636"/>
      <c r="AL57" s="636"/>
      <c r="AP57" s="814"/>
    </row>
    <row r="58" spans="1:42" s="773" customFormat="1" ht="18.75" x14ac:dyDescent="0.3">
      <c r="AO58" s="774"/>
      <c r="AP58" s="774"/>
    </row>
    <row r="59" spans="1:42" s="773" customFormat="1" ht="18.75" x14ac:dyDescent="0.3"/>
    <row r="60" spans="1:42" s="773" customFormat="1" ht="18.75" x14ac:dyDescent="0.3"/>
    <row r="61" spans="1:42" s="773" customFormat="1" ht="18.75" x14ac:dyDescent="0.3"/>
    <row r="62" spans="1:42" s="773" customFormat="1" ht="18.75" x14ac:dyDescent="0.3"/>
    <row r="63" spans="1:42" s="773" customFormat="1" ht="18.75" x14ac:dyDescent="0.3"/>
    <row r="64" spans="1:42" s="773" customFormat="1" ht="18.75" x14ac:dyDescent="0.3"/>
    <row r="65" spans="1:40" s="773" customFormat="1" ht="18.75" x14ac:dyDescent="0.3"/>
    <row r="66" spans="1:40" s="773" customFormat="1" ht="18.75" x14ac:dyDescent="0.3"/>
    <row r="67" spans="1:40" s="773" customFormat="1" ht="18.75" x14ac:dyDescent="0.3"/>
    <row r="68" spans="1:40" s="773" customFormat="1" ht="18.75" x14ac:dyDescent="0.3"/>
    <row r="69" spans="1:40" s="773" customFormat="1" ht="18.75" x14ac:dyDescent="0.3"/>
    <row r="70" spans="1:40" s="773" customFormat="1" ht="18.75" x14ac:dyDescent="0.3"/>
    <row r="71" spans="1:40" s="773" customFormat="1" ht="18.75" x14ac:dyDescent="0.3"/>
    <row r="72" spans="1:40" s="773" customFormat="1" ht="18.75" x14ac:dyDescent="0.3"/>
    <row r="73" spans="1:40" s="773" customFormat="1" ht="18.75" x14ac:dyDescent="0.3"/>
    <row r="74" spans="1:40" s="773" customFormat="1" ht="18.75" x14ac:dyDescent="0.3">
      <c r="A74" s="774"/>
      <c r="B74" s="774"/>
      <c r="C74" s="774"/>
      <c r="D74" s="774"/>
      <c r="E74" s="774"/>
      <c r="F74" s="774"/>
      <c r="G74" s="774"/>
      <c r="H74" s="774"/>
      <c r="I74" s="774"/>
      <c r="J74" s="774"/>
      <c r="K74" s="774"/>
      <c r="L74" s="774"/>
      <c r="M74" s="774"/>
      <c r="N74" s="774"/>
      <c r="O74" s="774"/>
      <c r="P74" s="774"/>
      <c r="Q74" s="774"/>
      <c r="R74" s="774"/>
      <c r="S74" s="774"/>
      <c r="T74" s="774"/>
      <c r="U74" s="774"/>
      <c r="V74" s="774"/>
      <c r="W74" s="774"/>
      <c r="X74" s="774"/>
      <c r="Y74" s="774"/>
      <c r="Z74" s="774"/>
      <c r="AA74" s="774"/>
      <c r="AB74" s="774"/>
      <c r="AC74" s="774"/>
      <c r="AD74" s="774"/>
      <c r="AE74" s="774"/>
      <c r="AF74" s="774"/>
      <c r="AG74" s="774"/>
      <c r="AH74" s="774"/>
      <c r="AI74" s="774"/>
      <c r="AJ74" s="774"/>
      <c r="AK74" s="774"/>
      <c r="AL74" s="774"/>
      <c r="AM74" s="774"/>
      <c r="AN74" s="774"/>
    </row>
    <row r="75" spans="1:40" s="773" customFormat="1" ht="18.75" x14ac:dyDescent="0.3">
      <c r="A75" s="774"/>
      <c r="B75" s="774"/>
      <c r="C75" s="774"/>
      <c r="D75" s="774"/>
      <c r="E75" s="774"/>
      <c r="F75" s="774"/>
      <c r="G75" s="774"/>
      <c r="H75" s="774"/>
      <c r="I75" s="774"/>
      <c r="J75" s="774"/>
      <c r="K75" s="774"/>
      <c r="L75" s="774"/>
      <c r="M75" s="774"/>
      <c r="N75" s="774"/>
      <c r="O75" s="774"/>
      <c r="P75" s="774"/>
      <c r="Q75" s="774"/>
      <c r="R75" s="774"/>
      <c r="S75" s="774"/>
      <c r="T75" s="774"/>
      <c r="U75" s="774"/>
      <c r="V75" s="774"/>
      <c r="W75" s="774"/>
      <c r="X75" s="774"/>
      <c r="Y75" s="774"/>
      <c r="Z75" s="774"/>
      <c r="AA75" s="774"/>
      <c r="AB75" s="774"/>
      <c r="AC75" s="774"/>
      <c r="AD75" s="774"/>
      <c r="AE75" s="774"/>
      <c r="AF75" s="774"/>
      <c r="AG75" s="774"/>
      <c r="AH75" s="774"/>
      <c r="AI75" s="774"/>
      <c r="AJ75" s="774"/>
      <c r="AK75" s="774"/>
      <c r="AL75" s="774"/>
      <c r="AM75" s="774"/>
      <c r="AN75" s="774"/>
    </row>
    <row r="76" spans="1:40" s="773" customFormat="1" ht="18.75" x14ac:dyDescent="0.3">
      <c r="A76" s="774"/>
      <c r="B76" s="774"/>
      <c r="C76" s="774"/>
      <c r="D76" s="774"/>
      <c r="E76" s="774"/>
      <c r="F76" s="774"/>
      <c r="G76" s="774"/>
      <c r="H76" s="774"/>
      <c r="I76" s="774"/>
      <c r="J76" s="774"/>
      <c r="K76" s="774"/>
      <c r="L76" s="774"/>
      <c r="M76" s="774"/>
      <c r="N76" s="774"/>
      <c r="O76" s="774"/>
      <c r="P76" s="774"/>
      <c r="Q76" s="774"/>
      <c r="R76" s="774"/>
      <c r="S76" s="774"/>
      <c r="T76" s="774"/>
      <c r="U76" s="774"/>
      <c r="V76" s="774"/>
      <c r="W76" s="774"/>
      <c r="X76" s="774"/>
      <c r="Y76" s="774"/>
      <c r="Z76" s="774"/>
      <c r="AA76" s="774"/>
      <c r="AB76" s="774"/>
      <c r="AC76" s="774"/>
      <c r="AD76" s="774"/>
      <c r="AE76" s="774"/>
      <c r="AF76" s="774"/>
      <c r="AG76" s="774"/>
      <c r="AH76" s="774"/>
      <c r="AI76" s="774"/>
      <c r="AJ76" s="774"/>
      <c r="AK76" s="774"/>
      <c r="AL76" s="774"/>
      <c r="AM76" s="774"/>
      <c r="AN76" s="774"/>
    </row>
    <row r="77" spans="1:40" s="773" customFormat="1" ht="18.75" x14ac:dyDescent="0.3">
      <c r="A77" s="774"/>
      <c r="B77" s="774"/>
      <c r="C77" s="774"/>
      <c r="D77" s="774"/>
      <c r="E77" s="774"/>
      <c r="F77" s="774"/>
      <c r="G77" s="774"/>
      <c r="H77" s="774"/>
      <c r="I77" s="774"/>
      <c r="J77" s="774"/>
      <c r="K77" s="774"/>
      <c r="L77" s="774"/>
      <c r="M77" s="774"/>
      <c r="N77" s="774"/>
      <c r="O77" s="774"/>
      <c r="P77" s="774"/>
      <c r="Q77" s="774"/>
      <c r="R77" s="774"/>
      <c r="S77" s="774"/>
      <c r="T77" s="774"/>
      <c r="U77" s="774"/>
      <c r="V77" s="774"/>
      <c r="W77" s="774"/>
      <c r="X77" s="774"/>
      <c r="Y77" s="774"/>
      <c r="Z77" s="774"/>
      <c r="AA77" s="774"/>
      <c r="AB77" s="774"/>
      <c r="AC77" s="774"/>
      <c r="AD77" s="774"/>
      <c r="AE77" s="774"/>
      <c r="AF77" s="774"/>
      <c r="AG77" s="774"/>
      <c r="AH77" s="774"/>
      <c r="AI77" s="774"/>
      <c r="AJ77" s="774"/>
      <c r="AK77" s="774"/>
      <c r="AL77" s="774"/>
      <c r="AM77" s="774"/>
      <c r="AN77" s="774"/>
    </row>
    <row r="78" spans="1:40" s="773" customFormat="1" ht="18.75" x14ac:dyDescent="0.3"/>
    <row r="79" spans="1:40" s="773" customFormat="1" ht="18.75" x14ac:dyDescent="0.3"/>
    <row r="80" spans="1:40" s="773" customFormat="1" ht="18.75" x14ac:dyDescent="0.3"/>
    <row r="81" s="773" customFormat="1" ht="18.75" x14ac:dyDescent="0.3"/>
    <row r="82" s="773" customFormat="1" ht="18.75" x14ac:dyDescent="0.3"/>
    <row r="83" s="773" customFormat="1" ht="18.75" x14ac:dyDescent="0.3"/>
    <row r="84" s="773" customFormat="1" ht="18.75" x14ac:dyDescent="0.3"/>
    <row r="85" s="773" customFormat="1" ht="18.75" x14ac:dyDescent="0.3"/>
    <row r="86" s="773" customFormat="1" ht="18.75" x14ac:dyDescent="0.3"/>
    <row r="87" s="773" customFormat="1" ht="18.75" x14ac:dyDescent="0.3"/>
    <row r="88" s="773" customFormat="1" ht="18.75" x14ac:dyDescent="0.3"/>
    <row r="89" s="773" customFormat="1" ht="18.75" x14ac:dyDescent="0.3"/>
  </sheetData>
  <mergeCells count="34">
    <mergeCell ref="T5:V5"/>
    <mergeCell ref="B5:D5"/>
    <mergeCell ref="E5:G5"/>
    <mergeCell ref="H5:J5"/>
    <mergeCell ref="K5:M5"/>
    <mergeCell ref="N5:P5"/>
    <mergeCell ref="AT5:AV5"/>
    <mergeCell ref="AW5:AY5"/>
    <mergeCell ref="AZ5:BB5"/>
    <mergeCell ref="BC5:BE5"/>
    <mergeCell ref="B6:D6"/>
    <mergeCell ref="E6:G6"/>
    <mergeCell ref="H6:J6"/>
    <mergeCell ref="K6:M6"/>
    <mergeCell ref="N6:P6"/>
    <mergeCell ref="Q6:S6"/>
    <mergeCell ref="Z5:AB5"/>
    <mergeCell ref="AC5:AE5"/>
    <mergeCell ref="AF5:AH5"/>
    <mergeCell ref="AI5:AK5"/>
    <mergeCell ref="AL5:AN5"/>
    <mergeCell ref="AQ5:AS5"/>
    <mergeCell ref="BC6:BE6"/>
    <mergeCell ref="T6:V6"/>
    <mergeCell ref="W6:Y6"/>
    <mergeCell ref="Z6:AB6"/>
    <mergeCell ref="AC6:AE6"/>
    <mergeCell ref="AF6:AH6"/>
    <mergeCell ref="AI6:AK6"/>
    <mergeCell ref="AL6:AN6"/>
    <mergeCell ref="AQ6:AS6"/>
    <mergeCell ref="AT6:AV6"/>
    <mergeCell ref="AW6:AY6"/>
    <mergeCell ref="AZ6:BB6"/>
  </mergeCells>
  <conditionalFormatting sqref="Q11:R11 T11:U11 Z11:AA11 AC11:AD11 AI11:AJ11 AL11:AM11 B11:C11 E11:F11 H11:I11 K11:L11 N11:O11 W11:X11 AF11:AG11">
    <cfRule type="expression" dxfId="20" priority="782">
      <formula>#REF!="11≠12+15+18+19+21+22"</formula>
    </cfRule>
  </conditionalFormatting>
  <conditionalFormatting sqref="B23:C23 E23:F23 H23:I23 K23:L23 N23:O23 Q23:R23 T23:U23 W23:X23 Z23:AA23 AC23:AD23 AF23:AG23 AI23:AJ23 AL23:AM23">
    <cfRule type="expression" dxfId="19" priority="795">
      <formula>#REF!="23≠24+27+30+31+33+34"</formula>
    </cfRule>
  </conditionalFormatting>
  <conditionalFormatting sqref="B35:C35 E35:F35 H35:I35 K35:L35 N35:O35 Q35:R35 T35:U35 W35:X35 Z35:AA35 AC35:AD35 AF35:AG35 AI35:AJ35 AL35:AM35">
    <cfRule type="expression" dxfId="18" priority="808">
      <formula>#REF!="35≠36+37+38+39"</formula>
    </cfRule>
  </conditionalFormatting>
  <conditionalFormatting sqref="B41:C41 E41:F41 H41:I41 K41:L41 N41:O41 Q41:R41 T41:U41 W41:X41 Z41:AA41 AC41:AD41 AF41:AG41 AI41:AJ41 AL41:AM41">
    <cfRule type="expression" dxfId="17" priority="821">
      <formula>#REF!="48≠49+50+51"</formula>
    </cfRule>
  </conditionalFormatting>
  <conditionalFormatting sqref="B47:C47 E47:F47 H47:I47 K47:L47 N47:O47 Q47:R47 T47:U47 W47:X47 Z47:AA47 AC47:AD47 AF47:AG47 AI47:AJ47 AL47:AM47">
    <cfRule type="expression" dxfId="16" priority="834">
      <formula>#REF!="54≠55+56+57+58+59+60+61"</formula>
    </cfRule>
  </conditionalFormatting>
  <hyperlinks>
    <hyperlink ref="B1" location="Innhold!A1" display="Tilbake"/>
  </hyperlinks>
  <pageMargins left="0.78740157480314965" right="0.78740157480314965" top="1.5748031496062993" bottom="0.98425196850393704" header="0.51181102362204722" footer="0.51181102362204722"/>
  <pageSetup paperSize="9" scale="45" fitToWidth="4" orientation="portrait" r:id="rId1"/>
  <headerFooter alignWithMargins="0"/>
  <colBreaks count="4" manualBreakCount="4">
    <brk id="10" min="1" max="63" man="1"/>
    <brk id="19" min="1" max="63" man="1"/>
    <brk id="28" min="1" max="63" man="1"/>
    <brk id="37" min="1" max="63"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0"/>
  <dimension ref="A1:AP77"/>
  <sheetViews>
    <sheetView showGridLines="0" zoomScale="60" zoomScaleNormal="60" workbookViewId="0">
      <pane xSplit="1" ySplit="8" topLeftCell="J9" activePane="bottomRight" state="frozen"/>
      <selection activeCell="AU39" sqref="AU39"/>
      <selection pane="topRight" activeCell="AU39" sqref="AU39"/>
      <selection pane="bottomLeft" activeCell="AU39" sqref="AU39"/>
      <selection pane="bottomRight" activeCell="AN31" sqref="AN31"/>
    </sheetView>
  </sheetViews>
  <sheetFormatPr baseColWidth="10" defaultColWidth="12.5703125" defaultRowHeight="15.75" x14ac:dyDescent="0.25"/>
  <cols>
    <col min="1" max="1" width="77.7109375" style="830" customWidth="1"/>
    <col min="2" max="37" width="11.7109375" style="830" customWidth="1"/>
    <col min="38" max="38" width="13" style="830" customWidth="1"/>
    <col min="39" max="39" width="13.140625" style="830" customWidth="1"/>
    <col min="40" max="42" width="11.7109375" style="830" customWidth="1"/>
    <col min="43" max="43" width="7.7109375" style="830" customWidth="1"/>
    <col min="44" max="45" width="11.7109375" style="830" customWidth="1"/>
    <col min="46" max="46" width="7.7109375" style="830" customWidth="1"/>
    <col min="47" max="16384" width="12.5703125" style="830"/>
  </cols>
  <sheetData>
    <row r="1" spans="1:42" ht="20.25" customHeight="1" x14ac:dyDescent="0.3">
      <c r="A1" s="793" t="s">
        <v>189</v>
      </c>
      <c r="B1" s="495" t="s">
        <v>55</v>
      </c>
    </row>
    <row r="2" spans="1:42" ht="20.100000000000001" customHeight="1" x14ac:dyDescent="0.3">
      <c r="A2" s="831" t="s">
        <v>484</v>
      </c>
    </row>
    <row r="3" spans="1:42" ht="20.100000000000001" customHeight="1" x14ac:dyDescent="0.3">
      <c r="A3" s="832" t="s">
        <v>485</v>
      </c>
      <c r="AO3" s="833"/>
    </row>
    <row r="4" spans="1:42" ht="18.75" customHeight="1" x14ac:dyDescent="0.25">
      <c r="A4" s="834" t="s">
        <v>414</v>
      </c>
      <c r="B4" s="835"/>
      <c r="C4" s="836"/>
      <c r="D4" s="837"/>
      <c r="E4" s="836"/>
      <c r="F4" s="836"/>
      <c r="G4" s="836"/>
      <c r="H4" s="836"/>
      <c r="I4" s="836"/>
      <c r="J4" s="837"/>
      <c r="K4" s="836"/>
      <c r="L4" s="836"/>
      <c r="M4" s="837"/>
      <c r="N4" s="836"/>
      <c r="O4" s="836"/>
      <c r="P4" s="837"/>
      <c r="Q4" s="835"/>
      <c r="R4" s="836"/>
      <c r="S4" s="837"/>
      <c r="T4" s="835"/>
      <c r="U4" s="836"/>
      <c r="V4" s="837"/>
      <c r="W4" s="835"/>
      <c r="X4" s="836"/>
      <c r="Y4" s="837"/>
      <c r="Z4" s="836"/>
      <c r="AA4" s="836"/>
      <c r="AB4" s="837"/>
      <c r="AC4" s="835"/>
      <c r="AD4" s="836"/>
      <c r="AE4" s="837"/>
      <c r="AF4" s="835"/>
      <c r="AG4" s="836"/>
      <c r="AH4" s="837"/>
      <c r="AI4" s="835"/>
      <c r="AJ4" s="836"/>
      <c r="AK4" s="837"/>
      <c r="AL4" s="835"/>
      <c r="AM4" s="836"/>
      <c r="AN4" s="837"/>
      <c r="AO4" s="833"/>
      <c r="AP4" s="833"/>
    </row>
    <row r="5" spans="1:42" ht="18.75" customHeight="1" x14ac:dyDescent="0.3">
      <c r="A5" s="838" t="s">
        <v>486</v>
      </c>
      <c r="B5" s="1005" t="s">
        <v>192</v>
      </c>
      <c r="C5" s="1006"/>
      <c r="D5" s="1007"/>
      <c r="E5" s="973" t="s">
        <v>193</v>
      </c>
      <c r="F5" s="974"/>
      <c r="G5" s="975"/>
      <c r="H5" s="973" t="s">
        <v>194</v>
      </c>
      <c r="I5" s="974"/>
      <c r="J5" s="975"/>
      <c r="K5" s="1005" t="s">
        <v>195</v>
      </c>
      <c r="L5" s="1006"/>
      <c r="M5" s="1007"/>
      <c r="N5" s="839"/>
      <c r="O5" s="839"/>
      <c r="P5" s="840"/>
      <c r="Q5" s="973" t="s">
        <v>67</v>
      </c>
      <c r="R5" s="974"/>
      <c r="S5" s="975"/>
      <c r="T5" s="1005" t="s">
        <v>196</v>
      </c>
      <c r="U5" s="1006"/>
      <c r="V5" s="1007"/>
      <c r="W5" s="1005"/>
      <c r="X5" s="1006"/>
      <c r="Y5" s="1007"/>
      <c r="Z5" s="973" t="s">
        <v>79</v>
      </c>
      <c r="AA5" s="974"/>
      <c r="AB5" s="975"/>
      <c r="AC5" s="973"/>
      <c r="AD5" s="974"/>
      <c r="AE5" s="975"/>
      <c r="AF5" s="1005" t="s">
        <v>80</v>
      </c>
      <c r="AG5" s="1006"/>
      <c r="AH5" s="1007"/>
      <c r="AI5" s="1005" t="s">
        <v>463</v>
      </c>
      <c r="AJ5" s="1006"/>
      <c r="AK5" s="1007"/>
      <c r="AL5" s="1005" t="s">
        <v>332</v>
      </c>
      <c r="AM5" s="1006"/>
      <c r="AN5" s="1007"/>
      <c r="AO5" s="833"/>
      <c r="AP5" s="833"/>
    </row>
    <row r="6" spans="1:42" ht="18.75" customHeight="1" x14ac:dyDescent="0.3">
      <c r="A6" s="841" t="s">
        <v>464</v>
      </c>
      <c r="B6" s="1002" t="s">
        <v>198</v>
      </c>
      <c r="C6" s="1003"/>
      <c r="D6" s="1004"/>
      <c r="E6" s="967" t="s">
        <v>199</v>
      </c>
      <c r="F6" s="968"/>
      <c r="G6" s="969"/>
      <c r="H6" s="967" t="s">
        <v>199</v>
      </c>
      <c r="I6" s="968"/>
      <c r="J6" s="969"/>
      <c r="K6" s="1002" t="s">
        <v>200</v>
      </c>
      <c r="L6" s="1003"/>
      <c r="M6" s="1004"/>
      <c r="N6" s="842"/>
      <c r="O6" s="842" t="s">
        <v>67</v>
      </c>
      <c r="P6" s="843"/>
      <c r="Q6" s="967" t="s">
        <v>201</v>
      </c>
      <c r="R6" s="968"/>
      <c r="S6" s="969"/>
      <c r="T6" s="1002" t="s">
        <v>72</v>
      </c>
      <c r="U6" s="1003"/>
      <c r="V6" s="1004"/>
      <c r="W6" s="1002" t="s">
        <v>78</v>
      </c>
      <c r="X6" s="1003"/>
      <c r="Y6" s="1004"/>
      <c r="Z6" s="967" t="s">
        <v>202</v>
      </c>
      <c r="AA6" s="968"/>
      <c r="AB6" s="969"/>
      <c r="AC6" s="967" t="s">
        <v>74</v>
      </c>
      <c r="AD6" s="968"/>
      <c r="AE6" s="969"/>
      <c r="AF6" s="1002" t="s">
        <v>199</v>
      </c>
      <c r="AG6" s="1003"/>
      <c r="AH6" s="1004"/>
      <c r="AI6" s="1002" t="s">
        <v>487</v>
      </c>
      <c r="AJ6" s="1003"/>
      <c r="AK6" s="1004"/>
      <c r="AL6" s="1002" t="s">
        <v>488</v>
      </c>
      <c r="AM6" s="1003"/>
      <c r="AN6" s="1004"/>
      <c r="AO6" s="833"/>
      <c r="AP6" s="833"/>
    </row>
    <row r="7" spans="1:42" ht="18.75" customHeight="1" x14ac:dyDescent="0.3">
      <c r="A7" s="841"/>
      <c r="B7" s="806"/>
      <c r="C7" s="806"/>
      <c r="D7" s="556" t="s">
        <v>89</v>
      </c>
      <c r="E7" s="806"/>
      <c r="F7" s="806"/>
      <c r="G7" s="556" t="s">
        <v>89</v>
      </c>
      <c r="H7" s="806"/>
      <c r="I7" s="806"/>
      <c r="J7" s="556" t="s">
        <v>89</v>
      </c>
      <c r="K7" s="806"/>
      <c r="L7" s="806"/>
      <c r="M7" s="556" t="s">
        <v>89</v>
      </c>
      <c r="N7" s="806"/>
      <c r="O7" s="806"/>
      <c r="P7" s="556" t="s">
        <v>89</v>
      </c>
      <c r="Q7" s="806"/>
      <c r="R7" s="806"/>
      <c r="S7" s="556" t="s">
        <v>89</v>
      </c>
      <c r="T7" s="806"/>
      <c r="U7" s="806"/>
      <c r="V7" s="556" t="s">
        <v>89</v>
      </c>
      <c r="W7" s="806"/>
      <c r="X7" s="806"/>
      <c r="Y7" s="556" t="s">
        <v>89</v>
      </c>
      <c r="Z7" s="806"/>
      <c r="AA7" s="806"/>
      <c r="AB7" s="556" t="s">
        <v>89</v>
      </c>
      <c r="AC7" s="806"/>
      <c r="AD7" s="806"/>
      <c r="AE7" s="556" t="s">
        <v>89</v>
      </c>
      <c r="AF7" s="806"/>
      <c r="AG7" s="806"/>
      <c r="AH7" s="556" t="s">
        <v>89</v>
      </c>
      <c r="AI7" s="806"/>
      <c r="AJ7" s="806"/>
      <c r="AK7" s="556" t="s">
        <v>89</v>
      </c>
      <c r="AL7" s="806"/>
      <c r="AM7" s="806"/>
      <c r="AN7" s="556" t="s">
        <v>89</v>
      </c>
      <c r="AO7" s="833"/>
      <c r="AP7" s="833"/>
    </row>
    <row r="8" spans="1:42" ht="18.75" customHeight="1" x14ac:dyDescent="0.25">
      <c r="A8" s="844" t="s">
        <v>335</v>
      </c>
      <c r="B8" s="808">
        <v>2016</v>
      </c>
      <c r="C8" s="808">
        <v>2017</v>
      </c>
      <c r="D8" s="559" t="s">
        <v>91</v>
      </c>
      <c r="E8" s="808">
        <v>2016</v>
      </c>
      <c r="F8" s="808">
        <v>2017</v>
      </c>
      <c r="G8" s="559" t="s">
        <v>91</v>
      </c>
      <c r="H8" s="808">
        <v>2016</v>
      </c>
      <c r="I8" s="808">
        <v>2017</v>
      </c>
      <c r="J8" s="559" t="s">
        <v>91</v>
      </c>
      <c r="K8" s="808">
        <v>2016</v>
      </c>
      <c r="L8" s="808">
        <v>2017</v>
      </c>
      <c r="M8" s="559" t="s">
        <v>91</v>
      </c>
      <c r="N8" s="808">
        <v>2016</v>
      </c>
      <c r="O8" s="808">
        <v>2017</v>
      </c>
      <c r="P8" s="559" t="s">
        <v>91</v>
      </c>
      <c r="Q8" s="808">
        <v>2016</v>
      </c>
      <c r="R8" s="808">
        <v>2017</v>
      </c>
      <c r="S8" s="559" t="s">
        <v>91</v>
      </c>
      <c r="T8" s="808">
        <v>2016</v>
      </c>
      <c r="U8" s="808">
        <v>2017</v>
      </c>
      <c r="V8" s="559" t="s">
        <v>91</v>
      </c>
      <c r="W8" s="808">
        <v>2016</v>
      </c>
      <c r="X8" s="808">
        <v>2017</v>
      </c>
      <c r="Y8" s="559" t="s">
        <v>91</v>
      </c>
      <c r="Z8" s="808">
        <v>2016</v>
      </c>
      <c r="AA8" s="808">
        <v>2017</v>
      </c>
      <c r="AB8" s="559" t="s">
        <v>91</v>
      </c>
      <c r="AC8" s="808">
        <v>2016</v>
      </c>
      <c r="AD8" s="808">
        <v>2017</v>
      </c>
      <c r="AE8" s="559" t="s">
        <v>91</v>
      </c>
      <c r="AF8" s="808">
        <v>2016</v>
      </c>
      <c r="AG8" s="808">
        <v>2017</v>
      </c>
      <c r="AH8" s="559" t="s">
        <v>91</v>
      </c>
      <c r="AI8" s="808">
        <v>2016</v>
      </c>
      <c r="AJ8" s="808">
        <v>2017</v>
      </c>
      <c r="AK8" s="559" t="s">
        <v>91</v>
      </c>
      <c r="AL8" s="808">
        <v>2016</v>
      </c>
      <c r="AM8" s="808">
        <v>2017</v>
      </c>
      <c r="AN8" s="559" t="s">
        <v>91</v>
      </c>
      <c r="AO8" s="833"/>
      <c r="AP8" s="833"/>
    </row>
    <row r="9" spans="1:42" s="854" customFormat="1" ht="18.75" customHeight="1" x14ac:dyDescent="0.3">
      <c r="A9" s="845"/>
      <c r="B9" s="846"/>
      <c r="C9" s="457"/>
      <c r="D9" s="457"/>
      <c r="E9" s="846"/>
      <c r="F9" s="457"/>
      <c r="G9" s="457"/>
      <c r="H9" s="846"/>
      <c r="I9" s="457"/>
      <c r="J9" s="457"/>
      <c r="K9" s="846"/>
      <c r="L9" s="457"/>
      <c r="M9" s="457"/>
      <c r="N9" s="846"/>
      <c r="O9" s="457"/>
      <c r="P9" s="457"/>
      <c r="Q9" s="846"/>
      <c r="R9" s="457"/>
      <c r="S9" s="457"/>
      <c r="T9" s="847"/>
      <c r="U9" s="848"/>
      <c r="V9" s="849"/>
      <c r="W9" s="847"/>
      <c r="X9" s="848"/>
      <c r="Y9" s="849"/>
      <c r="Z9" s="850"/>
      <c r="AA9" s="849"/>
      <c r="AB9" s="849"/>
      <c r="AC9" s="851"/>
      <c r="AD9" s="852"/>
      <c r="AE9" s="849"/>
      <c r="AF9" s="846"/>
      <c r="AG9" s="457"/>
      <c r="AH9" s="849"/>
      <c r="AI9" s="847"/>
      <c r="AJ9" s="848"/>
      <c r="AK9" s="457"/>
      <c r="AL9" s="848"/>
      <c r="AM9" s="848"/>
      <c r="AN9" s="457"/>
      <c r="AO9" s="853"/>
      <c r="AP9" s="853"/>
    </row>
    <row r="10" spans="1:42" s="864" customFormat="1" ht="18.75" customHeight="1" x14ac:dyDescent="0.3">
      <c r="A10" s="602" t="s">
        <v>489</v>
      </c>
      <c r="B10" s="855"/>
      <c r="C10" s="856"/>
      <c r="D10" s="856"/>
      <c r="E10" s="855"/>
      <c r="F10" s="856"/>
      <c r="G10" s="856"/>
      <c r="H10" s="855"/>
      <c r="I10" s="856"/>
      <c r="J10" s="856"/>
      <c r="K10" s="855"/>
      <c r="L10" s="856"/>
      <c r="M10" s="856"/>
      <c r="N10" s="855"/>
      <c r="O10" s="856"/>
      <c r="P10" s="856"/>
      <c r="Q10" s="855"/>
      <c r="R10" s="856"/>
      <c r="S10" s="856"/>
      <c r="T10" s="857"/>
      <c r="U10" s="858"/>
      <c r="V10" s="859"/>
      <c r="W10" s="857"/>
      <c r="X10" s="858"/>
      <c r="Y10" s="859"/>
      <c r="Z10" s="860"/>
      <c r="AA10" s="859"/>
      <c r="AB10" s="859"/>
      <c r="AC10" s="861"/>
      <c r="AD10" s="862"/>
      <c r="AE10" s="859"/>
      <c r="AF10" s="855"/>
      <c r="AG10" s="856"/>
      <c r="AH10" s="859"/>
      <c r="AI10" s="857"/>
      <c r="AJ10" s="858"/>
      <c r="AK10" s="856"/>
      <c r="AL10" s="858"/>
      <c r="AM10" s="858"/>
      <c r="AN10" s="856"/>
      <c r="AO10" s="863"/>
      <c r="AP10" s="863"/>
    </row>
    <row r="11" spans="1:42" s="864" customFormat="1" ht="18.75" customHeight="1" x14ac:dyDescent="0.3">
      <c r="A11" s="819" t="s">
        <v>490</v>
      </c>
      <c r="B11" s="680">
        <v>13937.968000000001</v>
      </c>
      <c r="C11" s="856">
        <f>SUM(C12:C15)</f>
        <v>16874.417999999998</v>
      </c>
      <c r="D11" s="856">
        <f>IF(B11=0, "    ---- ", IF(ABS(ROUND(100/B11*C11-100,1))&lt;999,ROUND(100/B11*C11-100,1),IF(ROUND(100/B11*C11-100,1)&gt;999,999,-999)))</f>
        <v>21.1</v>
      </c>
      <c r="E11" s="855">
        <v>59589.592000000004</v>
      </c>
      <c r="F11" s="856">
        <f>SUM(F12:F15)</f>
        <v>74543.31</v>
      </c>
      <c r="G11" s="856">
        <f>IF(E11=0, "    ---- ", IF(ABS(ROUND(100/E11*F11-100,1))&lt;999,ROUND(100/E11*F11-100,1),IF(ROUND(100/E11*F11-100,1)&gt;999,999,-999)))</f>
        <v>25.1</v>
      </c>
      <c r="H11" s="855">
        <v>2680.7449999999999</v>
      </c>
      <c r="I11" s="856">
        <f>SUM(I12:I15)</f>
        <v>3251.4210000000003</v>
      </c>
      <c r="J11" s="856">
        <f>IF(H11=0, "    ---- ", IF(ABS(ROUND(100/H11*I11-100,1))&lt;999,ROUND(100/H11*I11-100,1),IF(ROUND(100/H11*I11-100,1)&gt;999,999,-999)))</f>
        <v>21.3</v>
      </c>
      <c r="K11" s="855">
        <v>17513.424999999999</v>
      </c>
      <c r="L11" s="856">
        <f>SUM(L12:L15)</f>
        <v>22361.592999999997</v>
      </c>
      <c r="M11" s="856">
        <f>IF(K11=0, "    ---- ", IF(ABS(ROUND(100/K11*L11-100,1))&lt;999,ROUND(100/K11*L11-100,1),IF(ROUND(100/K11*L11-100,1)&gt;999,999,-999)))</f>
        <v>27.7</v>
      </c>
      <c r="N11" s="855">
        <v>1765.96595215</v>
      </c>
      <c r="O11" s="856">
        <f>SUM(O12:O15)</f>
        <v>1848.8795671500002</v>
      </c>
      <c r="P11" s="856">
        <f>IF(N11=0, "    ---- ", IF(ABS(ROUND(100/N11*O11-100,1))&lt;999,ROUND(100/N11*O11-100,1),IF(ROUND(100/N11*O11-100,1)&gt;999,999,-999)))</f>
        <v>4.7</v>
      </c>
      <c r="Q11" s="855">
        <v>1665.3</v>
      </c>
      <c r="R11" s="856">
        <f>SUM(R12:R15)</f>
        <v>2675</v>
      </c>
      <c r="S11" s="856">
        <f>IF(Q11=0, "    ---- ", IF(ABS(ROUND(100/Q11*R11-100,1))&lt;999,ROUND(100/Q11*R11-100,1),IF(ROUND(100/Q11*R11-100,1)&gt;999,999,-999)))</f>
        <v>60.6</v>
      </c>
      <c r="T11" s="855">
        <v>47301.16</v>
      </c>
      <c r="U11" s="856">
        <f>SUM(U12:U15)</f>
        <v>58646.140138300005</v>
      </c>
      <c r="V11" s="865">
        <f>IF(T11=0, "    ---- ", IF(ABS(ROUND(100/T11*U11-100,1))&lt;999,ROUND(100/T11*U11-100,1),IF(ROUND(100/T11*U11-100,1)&gt;999,999,-999)))</f>
        <v>24</v>
      </c>
      <c r="W11" s="855">
        <v>1764</v>
      </c>
      <c r="X11" s="856">
        <f>SUM(X12:X15)</f>
        <v>2082.1870000000004</v>
      </c>
      <c r="Y11" s="859">
        <f>IF(W11=0, "    ---- ", IF(ABS(ROUND(100/W11*X11-100,1))&lt;999,ROUND(100/W11*X11-100,1),IF(ROUND(100/W11*X11-100,1)&gt;999,999,-999)))</f>
        <v>18</v>
      </c>
      <c r="Z11" s="855"/>
      <c r="AA11" s="856"/>
      <c r="AB11" s="859"/>
      <c r="AC11" s="855">
        <v>18759.542999999998</v>
      </c>
      <c r="AD11" s="856">
        <f>SUM(AD12:AD15)</f>
        <v>25001.972000000002</v>
      </c>
      <c r="AE11" s="865">
        <f>IF(AC11=0, "    ---- ", IF(ABS(ROUND(100/AC11*AD11-100,1))&lt;999,ROUND(100/AC11*AD11-100,1),IF(ROUND(100/AC11*AD11-100,1)&gt;999,999,-999)))</f>
        <v>33.299999999999997</v>
      </c>
      <c r="AF11" s="855">
        <v>65143.6</v>
      </c>
      <c r="AG11" s="856">
        <f>SUM(AG12:AG15)</f>
        <v>80376</v>
      </c>
      <c r="AH11" s="865">
        <f t="shared" ref="AH11:AH39" si="0">IF(AF11=0, "    ---- ", IF(ABS(ROUND(100/AF11*AG11-100,1))&lt;999,ROUND(100/AF11*AG11-100,1),IF(ROUND(100/AF11*AG11-100,1)&gt;999,999,-999)))</f>
        <v>23.4</v>
      </c>
      <c r="AI11" s="855">
        <f>+B11+E11+H11+K11+N11+Q11+T11+W11+Z11+AC11+AF11</f>
        <v>230121.29895215001</v>
      </c>
      <c r="AJ11" s="856">
        <f>+C11+F11+I11+L11+O11+R11+U11+X11+AA11+AD11+AG11</f>
        <v>287660.92070545</v>
      </c>
      <c r="AK11" s="856">
        <f>IF(AI11=0, "    ---- ", IF(ABS(ROUND(100/AI11*AJ11-100,1))&lt;999,ROUND(100/AI11*AJ11-100,1),IF(ROUND(100/AI11*AJ11-100,1)&gt;999,999,-999)))</f>
        <v>25</v>
      </c>
      <c r="AL11" s="866"/>
      <c r="AM11" s="866"/>
      <c r="AN11" s="866"/>
      <c r="AO11" s="823"/>
      <c r="AP11" s="863"/>
    </row>
    <row r="12" spans="1:42" s="870" customFormat="1" ht="18.75" customHeight="1" x14ac:dyDescent="0.3">
      <c r="A12" s="567" t="s">
        <v>468</v>
      </c>
      <c r="B12" s="846">
        <v>2021.1969999999999</v>
      </c>
      <c r="C12" s="457">
        <v>2516.9319999999998</v>
      </c>
      <c r="D12" s="457">
        <f>IF(B12=0, "    ---- ", IF(ABS(ROUND(100/B12*C12-100,1))&lt;999,ROUND(100/B12*C12-100,1),IF(ROUND(100/B12*C12-100,1)&gt;999,999,-999)))</f>
        <v>24.5</v>
      </c>
      <c r="E12" s="846">
        <v>5213.616</v>
      </c>
      <c r="F12" s="457">
        <v>5982.4639999999999</v>
      </c>
      <c r="G12" s="457">
        <f>IF(E12=0, "    ---- ", IF(ABS(ROUND(100/E12*F12-100,1))&lt;999,ROUND(100/E12*F12-100,1),IF(ROUND(100/E12*F12-100,1)&gt;999,999,-999)))</f>
        <v>14.7</v>
      </c>
      <c r="H12" s="846"/>
      <c r="I12" s="457"/>
      <c r="J12" s="457"/>
      <c r="K12" s="846">
        <v>352.39400000000001</v>
      </c>
      <c r="L12" s="457">
        <v>517.63099999999997</v>
      </c>
      <c r="M12" s="457">
        <f>IF(K12=0, "    ---- ", IF(ABS(ROUND(100/K12*L12-100,1))&lt;999,ROUND(100/K12*L12-100,1),IF(ROUND(100/K12*L12-100,1)&gt;999,999,-999)))</f>
        <v>46.9</v>
      </c>
      <c r="N12" s="846"/>
      <c r="O12" s="457"/>
      <c r="P12" s="457"/>
      <c r="Q12" s="846"/>
      <c r="R12" s="457"/>
      <c r="S12" s="457"/>
      <c r="T12" s="846">
        <v>18017.36</v>
      </c>
      <c r="U12" s="457">
        <v>23826.602273592416</v>
      </c>
      <c r="V12" s="867">
        <f>IF(T12=0, "    ---- ", IF(ABS(ROUND(100/T12*U12-100,1))&lt;999,ROUND(100/T12*U12-100,1),IF(ROUND(100/T12*U12-100,1)&gt;999,999,-999)))</f>
        <v>32.200000000000003</v>
      </c>
      <c r="W12" s="846">
        <v>670</v>
      </c>
      <c r="X12" s="457">
        <v>785.11300000000006</v>
      </c>
      <c r="Y12" s="849">
        <f>IF(W12=0, "    ---- ", IF(ABS(ROUND(100/W12*X12-100,1))&lt;999,ROUND(100/W12*X12-100,1),IF(ROUND(100/W12*X12-100,1)&gt;999,999,-999)))</f>
        <v>17.2</v>
      </c>
      <c r="Z12" s="846"/>
      <c r="AA12" s="457"/>
      <c r="AB12" s="849"/>
      <c r="AC12" s="846">
        <v>1779.548</v>
      </c>
      <c r="AD12" s="457">
        <v>2183.145</v>
      </c>
      <c r="AE12" s="867">
        <f>IF(AC12=0, "    ---- ", IF(ABS(ROUND(100/AC12*AD12-100,1))&lt;999,ROUND(100/AC12*AD12-100,1),IF(ROUND(100/AC12*AD12-100,1)&gt;999,999,-999)))</f>
        <v>22.7</v>
      </c>
      <c r="AF12" s="846">
        <v>4982.6000000000004</v>
      </c>
      <c r="AG12" s="457">
        <v>6482</v>
      </c>
      <c r="AH12" s="867">
        <f t="shared" si="0"/>
        <v>30.1</v>
      </c>
      <c r="AI12" s="846">
        <f t="shared" ref="AI12:AJ40" si="1">+B12+E12+H12+K12+N12+Q12+T12+W12+Z12+AC12+AF12</f>
        <v>33036.715000000004</v>
      </c>
      <c r="AJ12" s="457">
        <f t="shared" si="1"/>
        <v>42293.887273592409</v>
      </c>
      <c r="AK12" s="457">
        <f>IF(AI12=0, "    ---- ", IF(ABS(ROUND(100/AI12*AJ12-100,1))&lt;999,ROUND(100/AI12*AJ12-100,1),IF(ROUND(100/AI12*AJ12-100,1)&gt;999,999,-999)))</f>
        <v>28</v>
      </c>
      <c r="AL12" s="868"/>
      <c r="AM12" s="868"/>
      <c r="AN12" s="868"/>
      <c r="AO12" s="869"/>
      <c r="AP12" s="869"/>
    </row>
    <row r="13" spans="1:42" s="870" customFormat="1" ht="18.75" customHeight="1" x14ac:dyDescent="0.3">
      <c r="A13" s="567" t="s">
        <v>471</v>
      </c>
      <c r="B13" s="846">
        <v>2244.4250000000002</v>
      </c>
      <c r="C13" s="457">
        <v>2315.1280000000002</v>
      </c>
      <c r="D13" s="457">
        <f>IF(B13=0, "    ---- ", IF(ABS(ROUND(100/B13*C13-100,1))&lt;999,ROUND(100/B13*C13-100,1),IF(ROUND(100/B13*C13-100,1)&gt;999,999,-999)))</f>
        <v>3.2</v>
      </c>
      <c r="E13" s="846">
        <v>5589.7449999999999</v>
      </c>
      <c r="F13" s="457">
        <v>5853.7629999999999</v>
      </c>
      <c r="G13" s="457">
        <f>IF(E13=0, "    ---- ", IF(ABS(ROUND(100/E13*F13-100,1))&lt;999,ROUND(100/E13*F13-100,1),IF(ROUND(100/E13*F13-100,1)&gt;999,999,-999)))</f>
        <v>4.7</v>
      </c>
      <c r="H13" s="846">
        <v>97.623000000000005</v>
      </c>
      <c r="I13" s="457">
        <v>115.92700000000001</v>
      </c>
      <c r="J13" s="457">
        <f>IF(H13=0, "    ---- ", IF(ABS(ROUND(100/H13*I13-100,1))&lt;999,ROUND(100/H13*I13-100,1),IF(ROUND(100/H13*I13-100,1)&gt;999,999,-999)))</f>
        <v>18.7</v>
      </c>
      <c r="K13" s="846">
        <v>1593.1569999999999</v>
      </c>
      <c r="L13" s="457">
        <v>1599.558</v>
      </c>
      <c r="M13" s="457">
        <f>IF(K13=0, "    ---- ", IF(ABS(ROUND(100/K13*L13-100,1))&lt;999,ROUND(100/K13*L13-100,1),IF(ROUND(100/K13*L13-100,1)&gt;999,999,-999)))</f>
        <v>0.4</v>
      </c>
      <c r="N13" s="846"/>
      <c r="O13" s="457"/>
      <c r="P13" s="457"/>
      <c r="Q13" s="846"/>
      <c r="R13" s="457"/>
      <c r="S13" s="457"/>
      <c r="T13" s="846">
        <v>3260.8</v>
      </c>
      <c r="U13" s="457">
        <v>3613.1504856800079</v>
      </c>
      <c r="V13" s="457">
        <f>IF(T13=0, "    ---- ", IF(ABS(ROUND(100/T13*U13-100,1))&lt;999,ROUND(100/T13*U13-100,1),IF(ROUND(100/T13*U13-100,1)&gt;999,999,-999)))</f>
        <v>10.8</v>
      </c>
      <c r="W13" s="846">
        <v>849</v>
      </c>
      <c r="X13" s="457">
        <v>912.52200000000005</v>
      </c>
      <c r="Y13" s="457">
        <f>IF(W13=0, "    ---- ", IF(ABS(ROUND(100/W13*X13-100,1))&lt;999,ROUND(100/W13*X13-100,1),IF(ROUND(100/W13*X13-100,1)&gt;999,999,-999)))</f>
        <v>7.5</v>
      </c>
      <c r="Z13" s="846"/>
      <c r="AA13" s="457"/>
      <c r="AB13" s="457"/>
      <c r="AC13" s="846">
        <v>1919.175</v>
      </c>
      <c r="AD13" s="457">
        <v>2183.145</v>
      </c>
      <c r="AE13" s="457">
        <f>IF(AC13=0, "    ---- ", IF(ABS(ROUND(100/AC13*AD13-100,1))&lt;999,ROUND(100/AC13*AD13-100,1),IF(ROUND(100/AC13*AD13-100,1)&gt;999,999,-999)))</f>
        <v>13.8</v>
      </c>
      <c r="AF13" s="846">
        <f>3579.3</f>
        <v>3579.3</v>
      </c>
      <c r="AG13" s="457">
        <v>4100</v>
      </c>
      <c r="AH13" s="457">
        <f t="shared" si="0"/>
        <v>14.5</v>
      </c>
      <c r="AI13" s="846">
        <f t="shared" si="1"/>
        <v>19133.224999999999</v>
      </c>
      <c r="AJ13" s="457">
        <f t="shared" si="1"/>
        <v>20693.193485680007</v>
      </c>
      <c r="AK13" s="457">
        <f>IF(AI13=0, "    ---- ", IF(ABS(ROUND(100/AI13*AJ13-100,1))&lt;999,ROUND(100/AI13*AJ13-100,1),IF(ROUND(100/AI13*AJ13-100,1)&gt;999,999,-999)))</f>
        <v>8.1999999999999993</v>
      </c>
      <c r="AL13" s="868"/>
      <c r="AM13" s="868"/>
      <c r="AN13" s="868"/>
      <c r="AO13" s="869"/>
      <c r="AP13" s="869"/>
    </row>
    <row r="14" spans="1:42" s="870" customFormat="1" ht="18.75" customHeight="1" x14ac:dyDescent="0.3">
      <c r="A14" s="567" t="s">
        <v>473</v>
      </c>
      <c r="B14" s="846">
        <v>9672.3459999999995</v>
      </c>
      <c r="C14" s="457">
        <v>12042.358</v>
      </c>
      <c r="D14" s="457">
        <f>IF(B14=0, "    ---- ", IF(ABS(ROUND(100/B14*C14-100,1))&lt;999,ROUND(100/B14*C14-100,1),IF(ROUND(100/B14*C14-100,1)&gt;999,999,-999)))</f>
        <v>24.5</v>
      </c>
      <c r="E14" s="846">
        <v>48786.231</v>
      </c>
      <c r="F14" s="457">
        <v>62707.083000000006</v>
      </c>
      <c r="G14" s="457">
        <f>IF(E14=0, "    ---- ", IF(ABS(ROUND(100/E14*F14-100,1))&lt;999,ROUND(100/E14*F14-100,1),IF(ROUND(100/E14*F14-100,1)&gt;999,999,-999)))</f>
        <v>28.5</v>
      </c>
      <c r="H14" s="846">
        <v>2583.1219999999998</v>
      </c>
      <c r="I14" s="457">
        <v>3135.4940000000001</v>
      </c>
      <c r="J14" s="457">
        <f>IF(H14=0, "    ---- ", IF(ABS(ROUND(100/H14*I14-100,1))&lt;999,ROUND(100/H14*I14-100,1),IF(ROUND(100/H14*I14-100,1)&gt;999,999,-999)))</f>
        <v>21.4</v>
      </c>
      <c r="K14" s="846">
        <v>15567.874</v>
      </c>
      <c r="L14" s="457">
        <v>20244.403999999999</v>
      </c>
      <c r="M14" s="457">
        <f>IF(K14=0, "    ---- ", IF(ABS(ROUND(100/K14*L14-100,1))&lt;999,ROUND(100/K14*L14-100,1),IF(ROUND(100/K14*L14-100,1)&gt;999,999,-999)))</f>
        <v>30</v>
      </c>
      <c r="N14" s="846"/>
      <c r="O14" s="457"/>
      <c r="P14" s="457"/>
      <c r="Q14" s="846">
        <v>1665.3</v>
      </c>
      <c r="R14" s="457">
        <v>2675</v>
      </c>
      <c r="S14" s="457">
        <f t="shared" ref="S14:S39" si="2">IF(Q14=0, "    ---- ", IF(ABS(ROUND(100/Q14*R14-100,1))&lt;999,ROUND(100/Q14*R14-100,1),IF(ROUND(100/Q14*R14-100,1)&gt;999,999,-999)))</f>
        <v>60.6</v>
      </c>
      <c r="T14" s="846">
        <v>26023</v>
      </c>
      <c r="U14" s="457">
        <v>31206.387379027583</v>
      </c>
      <c r="V14" s="457">
        <f>IF(T14=0, "    ---- ", IF(ABS(ROUND(100/T14*U14-100,1))&lt;999,ROUND(100/T14*U14-100,1),IF(ROUND(100/T14*U14-100,1)&gt;999,999,-999)))</f>
        <v>19.899999999999999</v>
      </c>
      <c r="W14" s="846">
        <v>245</v>
      </c>
      <c r="X14" s="457">
        <v>384.55200000000002</v>
      </c>
      <c r="Y14" s="457">
        <f>IF(W14=0, "    ---- ", IF(ABS(ROUND(100/W14*X14-100,1))&lt;999,ROUND(100/W14*X14-100,1),IF(ROUND(100/W14*X14-100,1)&gt;999,999,-999)))</f>
        <v>57</v>
      </c>
      <c r="Z14" s="846"/>
      <c r="AA14" s="457"/>
      <c r="AB14" s="457"/>
      <c r="AC14" s="846">
        <v>15060.82</v>
      </c>
      <c r="AD14" s="457">
        <v>20635.682000000001</v>
      </c>
      <c r="AE14" s="457">
        <f>IF(AC14=0, "    ---- ", IF(ABS(ROUND(100/AC14*AD14-100,1))&lt;999,ROUND(100/AC14*AD14-100,1),IF(ROUND(100/AC14*AD14-100,1)&gt;999,999,-999)))</f>
        <v>37</v>
      </c>
      <c r="AF14" s="846">
        <v>56581.7</v>
      </c>
      <c r="AG14" s="457">
        <v>69794</v>
      </c>
      <c r="AH14" s="457">
        <f t="shared" si="0"/>
        <v>23.4</v>
      </c>
      <c r="AI14" s="846">
        <f t="shared" si="1"/>
        <v>176185.39299999998</v>
      </c>
      <c r="AJ14" s="457">
        <f t="shared" si="1"/>
        <v>222824.96037902759</v>
      </c>
      <c r="AK14" s="457">
        <f t="shared" ref="AK14:AK40" si="3">IF(AI14=0, "    ---- ", IF(ABS(ROUND(100/AI14*AJ14-100,1))&lt;999,ROUND(100/AI14*AJ14-100,1),IF(ROUND(100/AI14*AJ14-100,1)&gt;999,999,-999)))</f>
        <v>26.5</v>
      </c>
      <c r="AL14" s="868"/>
      <c r="AM14" s="868"/>
      <c r="AN14" s="868"/>
      <c r="AO14" s="869"/>
      <c r="AP14" s="869"/>
    </row>
    <row r="15" spans="1:42" s="870" customFormat="1" ht="18.75" customHeight="1" x14ac:dyDescent="0.3">
      <c r="A15" s="567" t="s">
        <v>475</v>
      </c>
      <c r="B15" s="846"/>
      <c r="C15" s="457"/>
      <c r="D15" s="457"/>
      <c r="E15" s="846"/>
      <c r="F15" s="457"/>
      <c r="G15" s="457"/>
      <c r="H15" s="846"/>
      <c r="I15" s="457"/>
      <c r="J15" s="457"/>
      <c r="K15" s="846"/>
      <c r="L15" s="457"/>
      <c r="M15" s="457"/>
      <c r="N15" s="846">
        <v>1765.96595215</v>
      </c>
      <c r="O15" s="457">
        <v>1848.8795671500002</v>
      </c>
      <c r="P15" s="457">
        <f>IF(N15=0, "    ---- ", IF(ABS(ROUND(100/N15*O15-100,1))&lt;999,ROUND(100/N15*O15-100,1),IF(ROUND(100/N15*O15-100,1)&gt;999,999,-999)))</f>
        <v>4.7</v>
      </c>
      <c r="Q15" s="846"/>
      <c r="R15" s="457"/>
      <c r="S15" s="457"/>
      <c r="T15" s="846"/>
      <c r="U15" s="457"/>
      <c r="V15" s="457"/>
      <c r="W15" s="846"/>
      <c r="X15" s="457"/>
      <c r="Y15" s="457"/>
      <c r="Z15" s="846"/>
      <c r="AA15" s="457"/>
      <c r="AB15" s="457"/>
      <c r="AC15" s="846"/>
      <c r="AD15" s="457"/>
      <c r="AE15" s="457"/>
      <c r="AF15" s="846"/>
      <c r="AG15" s="457"/>
      <c r="AH15" s="457" t="str">
        <f t="shared" si="0"/>
        <v xml:space="preserve">    ---- </v>
      </c>
      <c r="AI15" s="846">
        <f t="shared" si="1"/>
        <v>1765.96595215</v>
      </c>
      <c r="AJ15" s="457">
        <f t="shared" si="1"/>
        <v>1848.8795671500002</v>
      </c>
      <c r="AK15" s="457">
        <f t="shared" si="3"/>
        <v>4.7</v>
      </c>
      <c r="AL15" s="868"/>
      <c r="AM15" s="868"/>
      <c r="AN15" s="868"/>
      <c r="AO15" s="869"/>
      <c r="AP15" s="869"/>
    </row>
    <row r="16" spans="1:42" s="864" customFormat="1" ht="18.75" customHeight="1" x14ac:dyDescent="0.3">
      <c r="A16" s="819" t="s">
        <v>477</v>
      </c>
      <c r="B16" s="680"/>
      <c r="C16" s="856"/>
      <c r="D16" s="856"/>
      <c r="E16" s="855"/>
      <c r="F16" s="856"/>
      <c r="G16" s="856"/>
      <c r="H16" s="855"/>
      <c r="I16" s="856"/>
      <c r="J16" s="856"/>
      <c r="K16" s="855">
        <v>17513.424999999999</v>
      </c>
      <c r="L16" s="856">
        <f>SUM(L17:L20)</f>
        <v>22361.592999999997</v>
      </c>
      <c r="M16" s="856">
        <f>IF(K16=0, "    ---- ", IF(ABS(ROUND(100/K16*L16-100,1))&lt;999,ROUND(100/K16*L16-100,1),IF(ROUND(100/K16*L16-100,1)&gt;999,999,-999)))</f>
        <v>27.7</v>
      </c>
      <c r="N16" s="855">
        <v>1765.96595215</v>
      </c>
      <c r="O16" s="856">
        <f>SUM(O17:O20)</f>
        <v>1848.8795671500002</v>
      </c>
      <c r="P16" s="856">
        <f>IF(N16=0, "    ---- ", IF(ABS(ROUND(100/N16*O16-100,1))&lt;999,ROUND(100/N16*O16-100,1),IF(ROUND(100/N16*O16-100,1)&gt;999,999,-999)))</f>
        <v>4.7</v>
      </c>
      <c r="Q16" s="855"/>
      <c r="R16" s="856"/>
      <c r="S16" s="856"/>
      <c r="T16" s="855">
        <v>47301.16</v>
      </c>
      <c r="U16" s="856">
        <f>SUM(U17:U20)</f>
        <v>58646.140138300005</v>
      </c>
      <c r="V16" s="856">
        <f>IF(T16=0, "    ---- ", IF(ABS(ROUND(100/T16*U16-100,1))&lt;999,ROUND(100/T16*U16-100,1),IF(ROUND(100/T16*U16-100,1)&gt;999,999,-999)))</f>
        <v>24</v>
      </c>
      <c r="W16" s="855"/>
      <c r="X16" s="856"/>
      <c r="Y16" s="856"/>
      <c r="Z16" s="855"/>
      <c r="AA16" s="856"/>
      <c r="AB16" s="856"/>
      <c r="AC16" s="855"/>
      <c r="AD16" s="856"/>
      <c r="AE16" s="856"/>
      <c r="AF16" s="855"/>
      <c r="AG16" s="856">
        <f>SUM(AG17:AG20)</f>
        <v>80376</v>
      </c>
      <c r="AH16" s="856" t="str">
        <f t="shared" si="0"/>
        <v xml:space="preserve">    ---- </v>
      </c>
      <c r="AI16" s="855">
        <f t="shared" si="1"/>
        <v>66580.550952150006</v>
      </c>
      <c r="AJ16" s="871">
        <f t="shared" si="1"/>
        <v>163232.61270545001</v>
      </c>
      <c r="AK16" s="856">
        <f t="shared" si="3"/>
        <v>145.19999999999999</v>
      </c>
      <c r="AL16" s="866"/>
      <c r="AM16" s="866"/>
      <c r="AN16" s="866"/>
      <c r="AO16" s="823"/>
      <c r="AP16" s="863"/>
    </row>
    <row r="17" spans="1:42" s="870" customFormat="1" ht="18.75" customHeight="1" x14ac:dyDescent="0.3">
      <c r="A17" s="567" t="s">
        <v>468</v>
      </c>
      <c r="B17" s="846"/>
      <c r="C17" s="457"/>
      <c r="D17" s="457"/>
      <c r="E17" s="846"/>
      <c r="F17" s="457"/>
      <c r="G17" s="457"/>
      <c r="H17" s="846"/>
      <c r="I17" s="457"/>
      <c r="J17" s="457"/>
      <c r="K17" s="846">
        <v>352.39400000000001</v>
      </c>
      <c r="L17" s="457">
        <v>517.63099999999997</v>
      </c>
      <c r="M17" s="457">
        <f>IF(K17=0, "    ---- ", IF(ABS(ROUND(100/K17*L17-100,1))&lt;999,ROUND(100/K17*L17-100,1),IF(ROUND(100/K17*L17-100,1)&gt;999,999,-999)))</f>
        <v>46.9</v>
      </c>
      <c r="N17" s="846"/>
      <c r="O17" s="457"/>
      <c r="P17" s="457"/>
      <c r="Q17" s="846"/>
      <c r="R17" s="457"/>
      <c r="S17" s="457"/>
      <c r="T17" s="846">
        <v>18017.36</v>
      </c>
      <c r="U17" s="457">
        <v>23826.602273592416</v>
      </c>
      <c r="V17" s="457">
        <f>IF(T17=0, "    ---- ", IF(ABS(ROUND(100/T17*U17-100,1))&lt;999,ROUND(100/T17*U17-100,1),IF(ROUND(100/T17*U17-100,1)&gt;999,999,-999)))</f>
        <v>32.200000000000003</v>
      </c>
      <c r="W17" s="846"/>
      <c r="X17" s="457"/>
      <c r="Y17" s="457"/>
      <c r="Z17" s="846"/>
      <c r="AA17" s="457"/>
      <c r="AB17" s="457"/>
      <c r="AC17" s="846"/>
      <c r="AD17" s="457"/>
      <c r="AE17" s="457"/>
      <c r="AF17" s="846"/>
      <c r="AG17" s="457">
        <v>6482</v>
      </c>
      <c r="AH17" s="457" t="str">
        <f t="shared" si="0"/>
        <v xml:space="preserve">    ---- </v>
      </c>
      <c r="AI17" s="846">
        <f t="shared" si="1"/>
        <v>18369.754000000001</v>
      </c>
      <c r="AJ17" s="457">
        <f t="shared" si="1"/>
        <v>30826.233273592417</v>
      </c>
      <c r="AK17" s="457">
        <f t="shared" si="3"/>
        <v>67.8</v>
      </c>
      <c r="AL17" s="868"/>
      <c r="AM17" s="868"/>
      <c r="AN17" s="868"/>
      <c r="AO17" s="869"/>
      <c r="AP17" s="869"/>
    </row>
    <row r="18" spans="1:42" s="870" customFormat="1" ht="18.75" customHeight="1" x14ac:dyDescent="0.3">
      <c r="A18" s="567" t="s">
        <v>471</v>
      </c>
      <c r="B18" s="846"/>
      <c r="C18" s="457"/>
      <c r="D18" s="457"/>
      <c r="E18" s="846"/>
      <c r="F18" s="457"/>
      <c r="G18" s="457"/>
      <c r="H18" s="846"/>
      <c r="I18" s="457"/>
      <c r="J18" s="457"/>
      <c r="K18" s="846">
        <v>1593.1569999999999</v>
      </c>
      <c r="L18" s="457">
        <v>1599.558</v>
      </c>
      <c r="M18" s="457">
        <f>IF(K18=0, "    ---- ", IF(ABS(ROUND(100/K18*L18-100,1))&lt;999,ROUND(100/K18*L18-100,1),IF(ROUND(100/K18*L18-100,1)&gt;999,999,-999)))</f>
        <v>0.4</v>
      </c>
      <c r="N18" s="846"/>
      <c r="O18" s="457"/>
      <c r="P18" s="457"/>
      <c r="Q18" s="846"/>
      <c r="R18" s="457"/>
      <c r="S18" s="457"/>
      <c r="T18" s="846">
        <v>3260.8</v>
      </c>
      <c r="U18" s="457">
        <v>3613.1504856800079</v>
      </c>
      <c r="V18" s="457">
        <f>IF(T18=0, "    ---- ", IF(ABS(ROUND(100/T18*U18-100,1))&lt;999,ROUND(100/T18*U18-100,1),IF(ROUND(100/T18*U18-100,1)&gt;999,999,-999)))</f>
        <v>10.8</v>
      </c>
      <c r="W18" s="846"/>
      <c r="X18" s="457"/>
      <c r="Y18" s="457"/>
      <c r="Z18" s="846"/>
      <c r="AA18" s="457"/>
      <c r="AB18" s="457"/>
      <c r="AC18" s="846"/>
      <c r="AD18" s="457"/>
      <c r="AE18" s="457"/>
      <c r="AF18" s="846"/>
      <c r="AG18" s="457">
        <v>4100</v>
      </c>
      <c r="AH18" s="457" t="str">
        <f t="shared" si="0"/>
        <v xml:space="preserve">    ---- </v>
      </c>
      <c r="AI18" s="846">
        <f t="shared" si="1"/>
        <v>4853.9570000000003</v>
      </c>
      <c r="AJ18" s="872">
        <f t="shared" si="1"/>
        <v>9312.7084856800084</v>
      </c>
      <c r="AK18" s="457">
        <f t="shared" si="3"/>
        <v>91.9</v>
      </c>
      <c r="AL18" s="868"/>
      <c r="AM18" s="868"/>
      <c r="AN18" s="868"/>
      <c r="AO18" s="869"/>
      <c r="AP18" s="869"/>
    </row>
    <row r="19" spans="1:42" s="870" customFormat="1" ht="18.75" customHeight="1" x14ac:dyDescent="0.3">
      <c r="A19" s="567" t="s">
        <v>473</v>
      </c>
      <c r="B19" s="846"/>
      <c r="C19" s="457"/>
      <c r="D19" s="457"/>
      <c r="E19" s="846"/>
      <c r="F19" s="457"/>
      <c r="G19" s="457"/>
      <c r="H19" s="846"/>
      <c r="I19" s="457"/>
      <c r="J19" s="457"/>
      <c r="K19" s="846">
        <v>15567.874</v>
      </c>
      <c r="L19" s="457">
        <v>20244.403999999999</v>
      </c>
      <c r="M19" s="457">
        <f>IF(K19=0, "    ---- ", IF(ABS(ROUND(100/K19*L19-100,1))&lt;999,ROUND(100/K19*L19-100,1),IF(ROUND(100/K19*L19-100,1)&gt;999,999,-999)))</f>
        <v>30</v>
      </c>
      <c r="N19" s="846"/>
      <c r="O19" s="457"/>
      <c r="P19" s="457"/>
      <c r="Q19" s="846"/>
      <c r="R19" s="457"/>
      <c r="S19" s="457"/>
      <c r="T19" s="846">
        <v>26023</v>
      </c>
      <c r="U19" s="457">
        <v>31206.387379027583</v>
      </c>
      <c r="V19" s="457">
        <f>IF(T19=0, "    ---- ", IF(ABS(ROUND(100/T19*U19-100,1))&lt;999,ROUND(100/T19*U19-100,1),IF(ROUND(100/T19*U19-100,1)&gt;999,999,-999)))</f>
        <v>19.899999999999999</v>
      </c>
      <c r="W19" s="846"/>
      <c r="X19" s="457"/>
      <c r="Y19" s="457"/>
      <c r="Z19" s="846"/>
      <c r="AA19" s="457"/>
      <c r="AB19" s="457"/>
      <c r="AC19" s="846"/>
      <c r="AD19" s="457"/>
      <c r="AE19" s="457"/>
      <c r="AF19" s="846"/>
      <c r="AG19" s="457">
        <v>69794</v>
      </c>
      <c r="AH19" s="457" t="str">
        <f t="shared" si="0"/>
        <v xml:space="preserve">    ---- </v>
      </c>
      <c r="AI19" s="846">
        <f t="shared" si="1"/>
        <v>41590.873999999996</v>
      </c>
      <c r="AJ19" s="872">
        <f t="shared" si="1"/>
        <v>121244.79137902758</v>
      </c>
      <c r="AK19" s="457">
        <f t="shared" si="3"/>
        <v>191.5</v>
      </c>
      <c r="AL19" s="868"/>
      <c r="AM19" s="868"/>
      <c r="AN19" s="868"/>
      <c r="AO19" s="869"/>
      <c r="AP19" s="869"/>
    </row>
    <row r="20" spans="1:42" s="870" customFormat="1" ht="18.75" customHeight="1" x14ac:dyDescent="0.3">
      <c r="A20" s="567" t="s">
        <v>475</v>
      </c>
      <c r="B20" s="846"/>
      <c r="C20" s="457"/>
      <c r="D20" s="457"/>
      <c r="E20" s="846"/>
      <c r="F20" s="457"/>
      <c r="G20" s="457"/>
      <c r="H20" s="846"/>
      <c r="I20" s="457"/>
      <c r="J20" s="457"/>
      <c r="K20" s="846"/>
      <c r="L20" s="457"/>
      <c r="M20" s="457"/>
      <c r="N20" s="846">
        <v>1765.96595215</v>
      </c>
      <c r="O20" s="457">
        <v>1848.8795671500002</v>
      </c>
      <c r="P20" s="457">
        <f>IF(N20=0, "    ---- ", IF(ABS(ROUND(100/N20*O20-100,1))&lt;999,ROUND(100/N20*O20-100,1),IF(ROUND(100/N20*O20-100,1)&gt;999,999,-999)))</f>
        <v>4.7</v>
      </c>
      <c r="Q20" s="846"/>
      <c r="R20" s="457"/>
      <c r="S20" s="457"/>
      <c r="T20" s="846"/>
      <c r="U20" s="457"/>
      <c r="V20" s="457"/>
      <c r="W20" s="846"/>
      <c r="X20" s="457"/>
      <c r="Y20" s="457"/>
      <c r="Z20" s="846"/>
      <c r="AA20" s="457"/>
      <c r="AB20" s="457"/>
      <c r="AC20" s="846"/>
      <c r="AD20" s="457"/>
      <c r="AE20" s="457"/>
      <c r="AF20" s="846"/>
      <c r="AG20" s="457"/>
      <c r="AH20" s="457" t="str">
        <f t="shared" si="0"/>
        <v xml:space="preserve">    ---- </v>
      </c>
      <c r="AI20" s="846">
        <f t="shared" si="1"/>
        <v>1765.96595215</v>
      </c>
      <c r="AJ20" s="872">
        <f t="shared" si="1"/>
        <v>1848.8795671500002</v>
      </c>
      <c r="AK20" s="457">
        <f t="shared" si="3"/>
        <v>4.7</v>
      </c>
      <c r="AL20" s="868"/>
      <c r="AM20" s="868"/>
      <c r="AN20" s="868"/>
      <c r="AO20" s="869"/>
      <c r="AP20" s="869"/>
    </row>
    <row r="21" spans="1:42" s="864" customFormat="1" ht="18.75" customHeight="1" x14ac:dyDescent="0.3">
      <c r="A21" s="819" t="s">
        <v>491</v>
      </c>
      <c r="B21" s="680"/>
      <c r="C21" s="856"/>
      <c r="D21" s="856"/>
      <c r="E21" s="855"/>
      <c r="F21" s="856"/>
      <c r="G21" s="856"/>
      <c r="H21" s="855"/>
      <c r="I21" s="856"/>
      <c r="J21" s="856"/>
      <c r="K21" s="855"/>
      <c r="L21" s="856"/>
      <c r="M21" s="856"/>
      <c r="N21" s="855"/>
      <c r="O21" s="856"/>
      <c r="P21" s="856"/>
      <c r="Q21" s="855"/>
      <c r="R21" s="856"/>
      <c r="S21" s="856"/>
      <c r="T21" s="855"/>
      <c r="U21" s="856"/>
      <c r="V21" s="856"/>
      <c r="W21" s="855"/>
      <c r="X21" s="856"/>
      <c r="Y21" s="856"/>
      <c r="Z21" s="855"/>
      <c r="AA21" s="856"/>
      <c r="AB21" s="856"/>
      <c r="AC21" s="855"/>
      <c r="AD21" s="856"/>
      <c r="AE21" s="856"/>
      <c r="AF21" s="855"/>
      <c r="AG21" s="856"/>
      <c r="AH21" s="856"/>
      <c r="AI21" s="855"/>
      <c r="AJ21" s="856"/>
      <c r="AK21" s="856"/>
      <c r="AL21" s="866"/>
      <c r="AM21" s="866"/>
      <c r="AN21" s="866"/>
      <c r="AO21" s="823"/>
      <c r="AP21" s="863"/>
    </row>
    <row r="22" spans="1:42" s="870" customFormat="1" ht="18.75" customHeight="1" x14ac:dyDescent="0.3">
      <c r="A22" s="567" t="s">
        <v>468</v>
      </c>
      <c r="B22" s="846"/>
      <c r="C22" s="457"/>
      <c r="D22" s="457"/>
      <c r="E22" s="846"/>
      <c r="F22" s="457"/>
      <c r="G22" s="457"/>
      <c r="H22" s="846"/>
      <c r="I22" s="457"/>
      <c r="J22" s="457"/>
      <c r="K22" s="846"/>
      <c r="L22" s="457"/>
      <c r="M22" s="457"/>
      <c r="N22" s="846"/>
      <c r="O22" s="457"/>
      <c r="P22" s="457"/>
      <c r="Q22" s="846"/>
      <c r="R22" s="457"/>
      <c r="S22" s="457"/>
      <c r="T22" s="846"/>
      <c r="U22" s="457"/>
      <c r="V22" s="457"/>
      <c r="W22" s="846"/>
      <c r="X22" s="457"/>
      <c r="Y22" s="457"/>
      <c r="Z22" s="846"/>
      <c r="AA22" s="457"/>
      <c r="AB22" s="457"/>
      <c r="AC22" s="846"/>
      <c r="AD22" s="457"/>
      <c r="AE22" s="457"/>
      <c r="AF22" s="846"/>
      <c r="AG22" s="457"/>
      <c r="AH22" s="457"/>
      <c r="AI22" s="846"/>
      <c r="AJ22" s="457"/>
      <c r="AK22" s="457"/>
      <c r="AL22" s="868"/>
      <c r="AM22" s="868"/>
      <c r="AN22" s="868"/>
      <c r="AO22" s="869"/>
      <c r="AP22" s="869"/>
    </row>
    <row r="23" spans="1:42" s="870" customFormat="1" ht="18.75" customHeight="1" x14ac:dyDescent="0.3">
      <c r="A23" s="567" t="s">
        <v>471</v>
      </c>
      <c r="B23" s="846"/>
      <c r="C23" s="457"/>
      <c r="D23" s="457"/>
      <c r="E23" s="846"/>
      <c r="F23" s="457"/>
      <c r="G23" s="457"/>
      <c r="H23" s="846"/>
      <c r="I23" s="457"/>
      <c r="J23" s="457"/>
      <c r="K23" s="846"/>
      <c r="L23" s="457"/>
      <c r="M23" s="457"/>
      <c r="N23" s="846"/>
      <c r="O23" s="457"/>
      <c r="P23" s="457"/>
      <c r="Q23" s="846"/>
      <c r="R23" s="457"/>
      <c r="S23" s="457"/>
      <c r="T23" s="846"/>
      <c r="U23" s="457"/>
      <c r="V23" s="457"/>
      <c r="W23" s="846"/>
      <c r="X23" s="457"/>
      <c r="Y23" s="457"/>
      <c r="Z23" s="846"/>
      <c r="AA23" s="457"/>
      <c r="AB23" s="457"/>
      <c r="AC23" s="846"/>
      <c r="AD23" s="457"/>
      <c r="AE23" s="457"/>
      <c r="AF23" s="846"/>
      <c r="AG23" s="457"/>
      <c r="AH23" s="457"/>
      <c r="AI23" s="846"/>
      <c r="AJ23" s="457"/>
      <c r="AK23" s="457"/>
      <c r="AL23" s="868"/>
      <c r="AM23" s="868"/>
      <c r="AN23" s="868"/>
      <c r="AO23" s="869"/>
      <c r="AP23" s="869"/>
    </row>
    <row r="24" spans="1:42" s="870" customFormat="1" ht="18.75" customHeight="1" x14ac:dyDescent="0.3">
      <c r="A24" s="567" t="s">
        <v>473</v>
      </c>
      <c r="B24" s="846"/>
      <c r="C24" s="457"/>
      <c r="D24" s="457"/>
      <c r="E24" s="846"/>
      <c r="F24" s="457"/>
      <c r="G24" s="457"/>
      <c r="H24" s="846"/>
      <c r="I24" s="457"/>
      <c r="J24" s="457"/>
      <c r="K24" s="846"/>
      <c r="L24" s="457"/>
      <c r="M24" s="457"/>
      <c r="N24" s="846"/>
      <c r="O24" s="457"/>
      <c r="P24" s="457"/>
      <c r="Q24" s="846"/>
      <c r="R24" s="457"/>
      <c r="S24" s="457"/>
      <c r="T24" s="846"/>
      <c r="U24" s="457"/>
      <c r="V24" s="457"/>
      <c r="W24" s="846"/>
      <c r="X24" s="457"/>
      <c r="Y24" s="457"/>
      <c r="Z24" s="846"/>
      <c r="AA24" s="457"/>
      <c r="AB24" s="457"/>
      <c r="AC24" s="846"/>
      <c r="AD24" s="457"/>
      <c r="AE24" s="457"/>
      <c r="AF24" s="846"/>
      <c r="AG24" s="457"/>
      <c r="AH24" s="457"/>
      <c r="AI24" s="846"/>
      <c r="AJ24" s="872"/>
      <c r="AK24" s="457"/>
      <c r="AL24" s="868"/>
      <c r="AM24" s="868"/>
      <c r="AN24" s="868"/>
      <c r="AO24" s="869"/>
      <c r="AP24" s="869"/>
    </row>
    <row r="25" spans="1:42" s="870" customFormat="1" ht="18.75" customHeight="1" x14ac:dyDescent="0.3">
      <c r="A25" s="567" t="s">
        <v>475</v>
      </c>
      <c r="B25" s="846"/>
      <c r="C25" s="457"/>
      <c r="D25" s="457"/>
      <c r="E25" s="846"/>
      <c r="F25" s="457"/>
      <c r="G25" s="457"/>
      <c r="H25" s="846"/>
      <c r="I25" s="457"/>
      <c r="J25" s="457"/>
      <c r="K25" s="846"/>
      <c r="L25" s="457"/>
      <c r="M25" s="457"/>
      <c r="N25" s="846"/>
      <c r="O25" s="457"/>
      <c r="P25" s="457"/>
      <c r="Q25" s="846"/>
      <c r="R25" s="457"/>
      <c r="S25" s="457"/>
      <c r="T25" s="846"/>
      <c r="U25" s="457"/>
      <c r="V25" s="457"/>
      <c r="W25" s="846"/>
      <c r="X25" s="457"/>
      <c r="Y25" s="457"/>
      <c r="Z25" s="846"/>
      <c r="AA25" s="457"/>
      <c r="AB25" s="457"/>
      <c r="AC25" s="846"/>
      <c r="AD25" s="457"/>
      <c r="AE25" s="457"/>
      <c r="AF25" s="846"/>
      <c r="AG25" s="457"/>
      <c r="AH25" s="457"/>
      <c r="AI25" s="846"/>
      <c r="AJ25" s="457"/>
      <c r="AK25" s="457"/>
      <c r="AL25" s="868"/>
      <c r="AM25" s="868"/>
      <c r="AN25" s="868"/>
      <c r="AO25" s="869"/>
      <c r="AP25" s="869"/>
    </row>
    <row r="26" spans="1:42" s="864" customFormat="1" ht="18.75" customHeight="1" x14ac:dyDescent="0.3">
      <c r="A26" s="873" t="s">
        <v>492</v>
      </c>
      <c r="B26" s="680"/>
      <c r="C26" s="856"/>
      <c r="D26" s="856"/>
      <c r="E26" s="855"/>
      <c r="F26" s="856"/>
      <c r="G26" s="856"/>
      <c r="H26" s="855"/>
      <c r="I26" s="856"/>
      <c r="J26" s="856"/>
      <c r="K26" s="855"/>
      <c r="L26" s="856"/>
      <c r="M26" s="856"/>
      <c r="N26" s="855">
        <v>132.679419</v>
      </c>
      <c r="O26" s="856">
        <f>SUM(O27:O30)</f>
        <v>140.04001199999999</v>
      </c>
      <c r="P26" s="856">
        <f>IF(N26=0, "    ---- ", IF(ABS(ROUND(100/N26*O26-100,1))&lt;999,ROUND(100/N26*O26-100,1),IF(ROUND(100/N26*O26-100,1)&gt;999,999,-999)))</f>
        <v>5.5</v>
      </c>
      <c r="Q26" s="855"/>
      <c r="R26" s="856"/>
      <c r="S26" s="856"/>
      <c r="T26" s="855"/>
      <c r="U26" s="856"/>
      <c r="V26" s="856"/>
      <c r="W26" s="855"/>
      <c r="X26" s="856"/>
      <c r="Y26" s="856"/>
      <c r="Z26" s="855"/>
      <c r="AA26" s="856"/>
      <c r="AB26" s="856"/>
      <c r="AC26" s="855"/>
      <c r="AD26" s="856"/>
      <c r="AE26" s="856"/>
      <c r="AF26" s="855"/>
      <c r="AG26" s="856"/>
      <c r="AH26" s="856"/>
      <c r="AI26" s="855">
        <f t="shared" si="1"/>
        <v>132.679419</v>
      </c>
      <c r="AJ26" s="871">
        <f t="shared" si="1"/>
        <v>140.04001199999999</v>
      </c>
      <c r="AK26" s="856">
        <f t="shared" si="3"/>
        <v>5.5</v>
      </c>
      <c r="AL26" s="866"/>
      <c r="AM26" s="866"/>
      <c r="AN26" s="866"/>
      <c r="AO26" s="823"/>
      <c r="AP26" s="863"/>
    </row>
    <row r="27" spans="1:42" s="870" customFormat="1" ht="18.75" customHeight="1" x14ac:dyDescent="0.3">
      <c r="A27" s="567" t="s">
        <v>468</v>
      </c>
      <c r="B27" s="846"/>
      <c r="C27" s="457"/>
      <c r="D27" s="457"/>
      <c r="E27" s="846"/>
      <c r="F27" s="457"/>
      <c r="G27" s="457"/>
      <c r="H27" s="846"/>
      <c r="I27" s="457"/>
      <c r="J27" s="457"/>
      <c r="K27" s="846"/>
      <c r="L27" s="457"/>
      <c r="M27" s="457"/>
      <c r="N27" s="846"/>
      <c r="O27" s="457"/>
      <c r="P27" s="457"/>
      <c r="Q27" s="846"/>
      <c r="R27" s="457"/>
      <c r="S27" s="457"/>
      <c r="T27" s="846"/>
      <c r="U27" s="457"/>
      <c r="V27" s="457"/>
      <c r="W27" s="846"/>
      <c r="X27" s="457"/>
      <c r="Y27" s="457"/>
      <c r="Z27" s="846"/>
      <c r="AA27" s="457"/>
      <c r="AB27" s="457"/>
      <c r="AC27" s="846"/>
      <c r="AD27" s="457"/>
      <c r="AE27" s="457"/>
      <c r="AF27" s="846"/>
      <c r="AG27" s="457"/>
      <c r="AH27" s="457"/>
      <c r="AI27" s="846"/>
      <c r="AJ27" s="872"/>
      <c r="AK27" s="457"/>
      <c r="AL27" s="868"/>
      <c r="AM27" s="868"/>
      <c r="AN27" s="868"/>
      <c r="AO27" s="869"/>
      <c r="AP27" s="869"/>
    </row>
    <row r="28" spans="1:42" s="870" customFormat="1" ht="18.75" customHeight="1" x14ac:dyDescent="0.3">
      <c r="A28" s="567" t="s">
        <v>471</v>
      </c>
      <c r="B28" s="846"/>
      <c r="C28" s="457"/>
      <c r="D28" s="457"/>
      <c r="E28" s="846"/>
      <c r="F28" s="457"/>
      <c r="G28" s="457"/>
      <c r="H28" s="846"/>
      <c r="I28" s="457"/>
      <c r="J28" s="457"/>
      <c r="K28" s="846"/>
      <c r="L28" s="457"/>
      <c r="M28" s="457"/>
      <c r="N28" s="846"/>
      <c r="O28" s="457"/>
      <c r="P28" s="457"/>
      <c r="Q28" s="846"/>
      <c r="R28" s="457"/>
      <c r="S28" s="457"/>
      <c r="T28" s="846"/>
      <c r="U28" s="457"/>
      <c r="V28" s="457"/>
      <c r="W28" s="846"/>
      <c r="X28" s="457"/>
      <c r="Y28" s="457"/>
      <c r="Z28" s="846"/>
      <c r="AA28" s="457"/>
      <c r="AB28" s="457"/>
      <c r="AC28" s="846"/>
      <c r="AD28" s="457"/>
      <c r="AE28" s="457"/>
      <c r="AF28" s="846"/>
      <c r="AG28" s="457"/>
      <c r="AH28" s="457"/>
      <c r="AI28" s="846"/>
      <c r="AJ28" s="457"/>
      <c r="AK28" s="457"/>
      <c r="AL28" s="868"/>
      <c r="AM28" s="868"/>
      <c r="AN28" s="868"/>
      <c r="AO28" s="869"/>
      <c r="AP28" s="869"/>
    </row>
    <row r="29" spans="1:42" s="870" customFormat="1" ht="18.75" customHeight="1" x14ac:dyDescent="0.3">
      <c r="A29" s="567" t="s">
        <v>473</v>
      </c>
      <c r="B29" s="846"/>
      <c r="C29" s="457"/>
      <c r="D29" s="457"/>
      <c r="E29" s="846"/>
      <c r="F29" s="457"/>
      <c r="G29" s="457"/>
      <c r="H29" s="846"/>
      <c r="I29" s="457"/>
      <c r="J29" s="457"/>
      <c r="K29" s="846"/>
      <c r="L29" s="457"/>
      <c r="M29" s="457"/>
      <c r="N29" s="846"/>
      <c r="O29" s="457"/>
      <c r="P29" s="457"/>
      <c r="Q29" s="846"/>
      <c r="R29" s="457"/>
      <c r="S29" s="457"/>
      <c r="T29" s="846"/>
      <c r="U29" s="457"/>
      <c r="V29" s="457"/>
      <c r="W29" s="846"/>
      <c r="X29" s="457"/>
      <c r="Y29" s="457"/>
      <c r="Z29" s="846"/>
      <c r="AA29" s="457"/>
      <c r="AB29" s="457"/>
      <c r="AC29" s="846"/>
      <c r="AD29" s="457"/>
      <c r="AE29" s="457"/>
      <c r="AF29" s="846"/>
      <c r="AG29" s="457"/>
      <c r="AH29" s="457"/>
      <c r="AI29" s="846"/>
      <c r="AJ29" s="457"/>
      <c r="AK29" s="457"/>
      <c r="AL29" s="868"/>
      <c r="AM29" s="868"/>
      <c r="AN29" s="868"/>
      <c r="AO29" s="869"/>
      <c r="AP29" s="869"/>
    </row>
    <row r="30" spans="1:42" s="870" customFormat="1" ht="18.75" customHeight="1" x14ac:dyDescent="0.3">
      <c r="A30" s="567" t="s">
        <v>475</v>
      </c>
      <c r="B30" s="846"/>
      <c r="C30" s="457"/>
      <c r="D30" s="457"/>
      <c r="E30" s="846"/>
      <c r="F30" s="457"/>
      <c r="G30" s="457"/>
      <c r="H30" s="846"/>
      <c r="I30" s="457"/>
      <c r="J30" s="457"/>
      <c r="K30" s="846"/>
      <c r="L30" s="457"/>
      <c r="M30" s="457"/>
      <c r="N30" s="846">
        <v>132.679419</v>
      </c>
      <c r="O30" s="457">
        <v>140.04001199999999</v>
      </c>
      <c r="P30" s="457">
        <f>IF(N30=0, "    ---- ", IF(ABS(ROUND(100/N30*O30-100,1))&lt;999,ROUND(100/N30*O30-100,1),IF(ROUND(100/N30*O30-100,1)&gt;999,999,-999)))</f>
        <v>5.5</v>
      </c>
      <c r="Q30" s="846"/>
      <c r="R30" s="457"/>
      <c r="S30" s="457"/>
      <c r="T30" s="846"/>
      <c r="U30" s="457"/>
      <c r="V30" s="457"/>
      <c r="W30" s="846"/>
      <c r="X30" s="457"/>
      <c r="Y30" s="457"/>
      <c r="Z30" s="846"/>
      <c r="AA30" s="457"/>
      <c r="AB30" s="457"/>
      <c r="AC30" s="846"/>
      <c r="AD30" s="457"/>
      <c r="AE30" s="457"/>
      <c r="AF30" s="846"/>
      <c r="AG30" s="457"/>
      <c r="AH30" s="457"/>
      <c r="AI30" s="846">
        <f t="shared" si="1"/>
        <v>132.679419</v>
      </c>
      <c r="AJ30" s="457">
        <f t="shared" si="1"/>
        <v>140.04001199999999</v>
      </c>
      <c r="AK30" s="457">
        <f t="shared" si="3"/>
        <v>5.5</v>
      </c>
      <c r="AL30" s="868"/>
      <c r="AM30" s="868"/>
      <c r="AN30" s="868"/>
      <c r="AO30" s="869"/>
      <c r="AP30" s="869"/>
    </row>
    <row r="31" spans="1:42" s="864" customFormat="1" ht="18.75" customHeight="1" x14ac:dyDescent="0.3">
      <c r="A31" s="873" t="s">
        <v>493</v>
      </c>
      <c r="B31" s="680">
        <v>99.378</v>
      </c>
      <c r="C31" s="856">
        <f>SUM(C32:C34)</f>
        <v>74.31</v>
      </c>
      <c r="D31" s="856">
        <f>IF(B31=0, "    ---- ", IF(ABS(ROUND(100/B31*C31-100,1))&lt;999,ROUND(100/B31*C31-100,1),IF(ROUND(100/B31*C31-100,1)&gt;999,999,-999)))</f>
        <v>-25.2</v>
      </c>
      <c r="E31" s="855">
        <v>630.601</v>
      </c>
      <c r="F31" s="856">
        <f>SUM(F32:F34)</f>
        <v>662.77</v>
      </c>
      <c r="G31" s="856">
        <f>IF(E31=0, "    ---- ", IF(ABS(ROUND(100/E31*F31-100,1))&lt;999,ROUND(100/E31*F31-100,1),IF(ROUND(100/E31*F31-100,1)&gt;999,999,-999)))</f>
        <v>5.0999999999999996</v>
      </c>
      <c r="H31" s="855"/>
      <c r="I31" s="856"/>
      <c r="J31" s="856"/>
      <c r="K31" s="855">
        <v>314.27199999999999</v>
      </c>
      <c r="L31" s="856">
        <f>SUM(L32:L34)</f>
        <v>319</v>
      </c>
      <c r="M31" s="856">
        <f>IF(K31=0, "    ---- ", IF(ABS(ROUND(100/K31*L31-100,1))&lt;999,ROUND(100/K31*L31-100,1),IF(ROUND(100/K31*L31-100,1)&gt;999,999,-999)))</f>
        <v>1.5</v>
      </c>
      <c r="N31" s="855">
        <v>282.82383499999997</v>
      </c>
      <c r="O31" s="856">
        <f>SUM(O32:O34)</f>
        <v>385.03601700000002</v>
      </c>
      <c r="P31" s="856">
        <f>IF(N31=0, "    ---- ", IF(ABS(ROUND(100/N31*O31-100,1))&lt;999,ROUND(100/N31*O31-100,1),IF(ROUND(100/N31*O31-100,1)&gt;999,999,-999)))</f>
        <v>36.1</v>
      </c>
      <c r="Q31" s="855">
        <v>8.4</v>
      </c>
      <c r="R31" s="856">
        <f>SUM(R32:R34)</f>
        <v>8.6999999999999993</v>
      </c>
      <c r="S31" s="856">
        <f t="shared" si="2"/>
        <v>3.6</v>
      </c>
      <c r="T31" s="855"/>
      <c r="U31" s="856"/>
      <c r="V31" s="856"/>
      <c r="W31" s="855"/>
      <c r="X31" s="856"/>
      <c r="Y31" s="856"/>
      <c r="Z31" s="855"/>
      <c r="AA31" s="856"/>
      <c r="AB31" s="856"/>
      <c r="AC31" s="855">
        <v>396.9</v>
      </c>
      <c r="AD31" s="856">
        <f>SUM(AD32:AD34)</f>
        <v>417.935</v>
      </c>
      <c r="AE31" s="856">
        <f>IF(AC31=0, "    ---- ", IF(ABS(ROUND(100/AC31*AD31-100,1))&lt;999,ROUND(100/AC31*AD31-100,1),IF(ROUND(100/AC31*AD31-100,1)&gt;999,999,-999)))</f>
        <v>5.3</v>
      </c>
      <c r="AF31" s="855"/>
      <c r="AG31" s="856"/>
      <c r="AH31" s="856"/>
      <c r="AI31" s="855">
        <f t="shared" si="1"/>
        <v>1732.3748350000001</v>
      </c>
      <c r="AJ31" s="856">
        <f t="shared" si="1"/>
        <v>1867.7510169999998</v>
      </c>
      <c r="AK31" s="856">
        <f t="shared" si="3"/>
        <v>7.8</v>
      </c>
      <c r="AL31" s="866"/>
      <c r="AM31" s="866"/>
      <c r="AN31" s="866"/>
      <c r="AO31" s="823"/>
      <c r="AP31" s="863"/>
    </row>
    <row r="32" spans="1:42" s="870" customFormat="1" ht="18.75" customHeight="1" x14ac:dyDescent="0.3">
      <c r="A32" s="567" t="s">
        <v>471</v>
      </c>
      <c r="B32" s="846"/>
      <c r="C32" s="457"/>
      <c r="D32" s="457"/>
      <c r="E32" s="846"/>
      <c r="F32" s="457"/>
      <c r="G32" s="457"/>
      <c r="H32" s="846"/>
      <c r="I32" s="457"/>
      <c r="J32" s="457"/>
      <c r="K32" s="846"/>
      <c r="L32" s="457"/>
      <c r="M32" s="457"/>
      <c r="N32" s="846"/>
      <c r="O32" s="457"/>
      <c r="P32" s="457"/>
      <c r="Q32" s="846"/>
      <c r="R32" s="457"/>
      <c r="S32" s="457"/>
      <c r="T32" s="846"/>
      <c r="U32" s="457"/>
      <c r="V32" s="457"/>
      <c r="W32" s="846"/>
      <c r="X32" s="457"/>
      <c r="Y32" s="457"/>
      <c r="Z32" s="846"/>
      <c r="AA32" s="457"/>
      <c r="AB32" s="457"/>
      <c r="AC32" s="846"/>
      <c r="AD32" s="457"/>
      <c r="AE32" s="457"/>
      <c r="AF32" s="846"/>
      <c r="AG32" s="457"/>
      <c r="AH32" s="457"/>
      <c r="AI32" s="846"/>
      <c r="AJ32" s="457"/>
      <c r="AK32" s="457"/>
      <c r="AL32" s="868"/>
      <c r="AM32" s="868"/>
      <c r="AN32" s="868"/>
      <c r="AO32" s="869"/>
      <c r="AP32" s="869"/>
    </row>
    <row r="33" spans="1:42" s="870" customFormat="1" ht="18.75" customHeight="1" x14ac:dyDescent="0.3">
      <c r="A33" s="567" t="s">
        <v>473</v>
      </c>
      <c r="B33" s="846">
        <v>99.378</v>
      </c>
      <c r="C33" s="457">
        <v>74.31</v>
      </c>
      <c r="D33" s="457">
        <f>IF(B33=0, "    ---- ", IF(ABS(ROUND(100/B33*C33-100,1))&lt;999,ROUND(100/B33*C33-100,1),IF(ROUND(100/B33*C33-100,1)&gt;999,999,-999)))</f>
        <v>-25.2</v>
      </c>
      <c r="E33" s="846">
        <v>630.601</v>
      </c>
      <c r="F33" s="457">
        <v>662.77</v>
      </c>
      <c r="G33" s="457">
        <f>IF(E33=0, "    ---- ", IF(ABS(ROUND(100/E33*F33-100,1))&lt;999,ROUND(100/E33*F33-100,1),IF(ROUND(100/E33*F33-100,1)&gt;999,999,-999)))</f>
        <v>5.0999999999999996</v>
      </c>
      <c r="H33" s="846"/>
      <c r="I33" s="457"/>
      <c r="J33" s="457"/>
      <c r="K33" s="846">
        <v>314.27199999999999</v>
      </c>
      <c r="L33" s="457">
        <v>319</v>
      </c>
      <c r="M33" s="457">
        <f>IF(K33=0, "    ---- ", IF(ABS(ROUND(100/K33*L33-100,1))&lt;999,ROUND(100/K33*L33-100,1),IF(ROUND(100/K33*L33-100,1)&gt;999,999,-999)))</f>
        <v>1.5</v>
      </c>
      <c r="N33" s="846"/>
      <c r="O33" s="457"/>
      <c r="P33" s="457"/>
      <c r="Q33" s="846">
        <v>8.4</v>
      </c>
      <c r="R33" s="457">
        <v>8.6999999999999993</v>
      </c>
      <c r="S33" s="457">
        <f t="shared" si="2"/>
        <v>3.6</v>
      </c>
      <c r="T33" s="846"/>
      <c r="U33" s="457"/>
      <c r="V33" s="457"/>
      <c r="W33" s="846"/>
      <c r="X33" s="457"/>
      <c r="Y33" s="457"/>
      <c r="Z33" s="846"/>
      <c r="AA33" s="457"/>
      <c r="AB33" s="457"/>
      <c r="AC33" s="846">
        <v>396.9</v>
      </c>
      <c r="AD33" s="457">
        <v>417.935</v>
      </c>
      <c r="AE33" s="457">
        <f>IF(AC33=0, "    ---- ", IF(ABS(ROUND(100/AC33*AD33-100,1))&lt;999,ROUND(100/AC33*AD33-100,1),IF(ROUND(100/AC33*AD33-100,1)&gt;999,999,-999)))</f>
        <v>5.3</v>
      </c>
      <c r="AF33" s="846"/>
      <c r="AG33" s="457"/>
      <c r="AH33" s="457"/>
      <c r="AI33" s="846">
        <f t="shared" si="1"/>
        <v>1449.5509999999999</v>
      </c>
      <c r="AJ33" s="457">
        <f t="shared" si="1"/>
        <v>1482.7149999999999</v>
      </c>
      <c r="AK33" s="457">
        <f t="shared" si="3"/>
        <v>2.2999999999999998</v>
      </c>
      <c r="AL33" s="868"/>
      <c r="AM33" s="868"/>
      <c r="AN33" s="868"/>
      <c r="AO33" s="869"/>
      <c r="AP33" s="869"/>
    </row>
    <row r="34" spans="1:42" s="870" customFormat="1" ht="18.75" customHeight="1" x14ac:dyDescent="0.3">
      <c r="A34" s="567" t="s">
        <v>475</v>
      </c>
      <c r="B34" s="846"/>
      <c r="C34" s="457"/>
      <c r="D34" s="457"/>
      <c r="E34" s="846"/>
      <c r="F34" s="457"/>
      <c r="G34" s="457"/>
      <c r="H34" s="846"/>
      <c r="I34" s="457"/>
      <c r="J34" s="457"/>
      <c r="K34" s="846"/>
      <c r="L34" s="457"/>
      <c r="M34" s="457"/>
      <c r="N34" s="846">
        <v>282.82383499999997</v>
      </c>
      <c r="O34" s="457">
        <v>385.03601700000002</v>
      </c>
      <c r="P34" s="457">
        <f>IF(N34=0, "    ---- ", IF(ABS(ROUND(100/N34*O34-100,1))&lt;999,ROUND(100/N34*O34-100,1),IF(ROUND(100/N34*O34-100,1)&gt;999,999,-999)))</f>
        <v>36.1</v>
      </c>
      <c r="Q34" s="846"/>
      <c r="R34" s="457"/>
      <c r="S34" s="457"/>
      <c r="T34" s="846"/>
      <c r="U34" s="457"/>
      <c r="V34" s="457"/>
      <c r="W34" s="846"/>
      <c r="X34" s="457"/>
      <c r="Y34" s="457"/>
      <c r="Z34" s="846"/>
      <c r="AA34" s="457"/>
      <c r="AB34" s="457"/>
      <c r="AC34" s="846"/>
      <c r="AD34" s="457"/>
      <c r="AE34" s="457"/>
      <c r="AF34" s="846"/>
      <c r="AG34" s="457"/>
      <c r="AH34" s="457"/>
      <c r="AI34" s="846">
        <f t="shared" si="1"/>
        <v>282.82383499999997</v>
      </c>
      <c r="AJ34" s="872">
        <f t="shared" si="1"/>
        <v>385.03601700000002</v>
      </c>
      <c r="AK34" s="457">
        <f t="shared" si="3"/>
        <v>36.1</v>
      </c>
      <c r="AL34" s="874"/>
      <c r="AM34" s="868"/>
      <c r="AN34" s="868"/>
      <c r="AO34" s="869"/>
      <c r="AP34" s="869"/>
    </row>
    <row r="35" spans="1:42" s="864" customFormat="1" ht="18.75" customHeight="1" x14ac:dyDescent="0.3">
      <c r="A35" s="873" t="s">
        <v>494</v>
      </c>
      <c r="B35" s="856">
        <f>SUM(B11+B21+B26+B31)</f>
        <v>14037.346000000001</v>
      </c>
      <c r="C35" s="856">
        <f>SUM(C11+C21+C26+C31)</f>
        <v>16948.727999999999</v>
      </c>
      <c r="D35" s="856">
        <f>IF(B35=0, "    ---- ", IF(ABS(ROUND(100/B35*C35-100,1))&lt;999,ROUND(100/B35*C35-100,1),IF(ROUND(100/B35*C35-100,1)&gt;999,999,-999)))</f>
        <v>20.7</v>
      </c>
      <c r="E35" s="856">
        <f>SUM(E11+E21+E26+E31)</f>
        <v>60220.193000000007</v>
      </c>
      <c r="F35" s="856">
        <f>SUM(F11+F21+F26+F31)</f>
        <v>75206.080000000002</v>
      </c>
      <c r="G35" s="856">
        <f>IF(E35=0, "    ---- ", IF(ABS(ROUND(100/E35*F35-100,1))&lt;999,ROUND(100/E35*F35-100,1),IF(ROUND(100/E35*F35-100,1)&gt;999,999,-999)))</f>
        <v>24.9</v>
      </c>
      <c r="H35" s="856">
        <f>SUM(H11+H21+H26+H31)</f>
        <v>2680.7449999999999</v>
      </c>
      <c r="I35" s="856">
        <f>SUM(I11+I21+I26+I31)</f>
        <v>3251.4210000000003</v>
      </c>
      <c r="J35" s="856">
        <f>IF(H35=0, "    ---- ", IF(ABS(ROUND(100/H35*I35-100,1))&lt;999,ROUND(100/H35*I35-100,1),IF(ROUND(100/H35*I35-100,1)&gt;999,999,-999)))</f>
        <v>21.3</v>
      </c>
      <c r="K35" s="856">
        <f>SUM(K11+K21+K26+K31)</f>
        <v>17827.697</v>
      </c>
      <c r="L35" s="856">
        <f>SUM(L11+L21+L26+L31)</f>
        <v>22680.592999999997</v>
      </c>
      <c r="M35" s="856">
        <f>IF(K35=0, "    ---- ", IF(ABS(ROUND(100/K35*L35-100,1))&lt;999,ROUND(100/K35*L35-100,1),IF(ROUND(100/K35*L35-100,1)&gt;999,999,-999)))</f>
        <v>27.2</v>
      </c>
      <c r="N35" s="856">
        <f>SUM(N11+N21+N26+N31)</f>
        <v>2181.46920615</v>
      </c>
      <c r="O35" s="856">
        <f>SUM(O11+O21+O26+O31)</f>
        <v>2373.95559615</v>
      </c>
      <c r="P35" s="856">
        <f>IF(N35=0, "    ---- ", IF(ABS(ROUND(100/N35*O35-100,1))&lt;999,ROUND(100/N35*O35-100,1),IF(ROUND(100/N35*O35-100,1)&gt;999,999,-999)))</f>
        <v>8.8000000000000007</v>
      </c>
      <c r="Q35" s="856">
        <f>SUM(Q11+Q21+Q26+Q31)</f>
        <v>1673.7</v>
      </c>
      <c r="R35" s="856">
        <f>SUM(R11+R21+R26+R31)</f>
        <v>2683.7</v>
      </c>
      <c r="S35" s="856">
        <f t="shared" si="2"/>
        <v>60.3</v>
      </c>
      <c r="T35" s="856">
        <f>SUM(T11+T21+T26+T31)</f>
        <v>47301.16</v>
      </c>
      <c r="U35" s="856">
        <f>SUM(U11+U21+U26+U31)</f>
        <v>58646.140138300005</v>
      </c>
      <c r="V35" s="856">
        <f>IF(T35=0, "    ---- ", IF(ABS(ROUND(100/T35*U35-100,1))&lt;999,ROUND(100/T35*U35-100,1),IF(ROUND(100/T35*U35-100,1)&gt;999,999,-999)))</f>
        <v>24</v>
      </c>
      <c r="W35" s="856">
        <f>SUM(W11+W21+W26+W31)</f>
        <v>1764</v>
      </c>
      <c r="X35" s="856">
        <f>SUM(X11+X21+X26+X31)</f>
        <v>2082.1870000000004</v>
      </c>
      <c r="Y35" s="856">
        <f>IF(W35=0, "    ---- ", IF(ABS(ROUND(100/W35*X35-100,1))&lt;999,ROUND(100/W35*X35-100,1),IF(ROUND(100/W35*X35-100,1)&gt;999,999,-999)))</f>
        <v>18</v>
      </c>
      <c r="Z35" s="856"/>
      <c r="AA35" s="856"/>
      <c r="AB35" s="856"/>
      <c r="AC35" s="856">
        <f>SUM(AC11+AC21+AC26+AC31)</f>
        <v>19156.442999999999</v>
      </c>
      <c r="AD35" s="856">
        <f>SUM(AD11+AD21+AD26+AD31)</f>
        <v>25419.907000000003</v>
      </c>
      <c r="AE35" s="856">
        <f>IF(AC35=0, "    ---- ", IF(ABS(ROUND(100/AC35*AD35-100,1))&lt;999,ROUND(100/AC35*AD35-100,1),IF(ROUND(100/AC35*AD35-100,1)&gt;999,999,-999)))</f>
        <v>32.700000000000003</v>
      </c>
      <c r="AF35" s="856">
        <f>SUM(AF11+AF21+AF26+AF31)</f>
        <v>65143.6</v>
      </c>
      <c r="AG35" s="856">
        <f>SUM(AG11+AG21+AG26+AG31)</f>
        <v>80376</v>
      </c>
      <c r="AH35" s="856">
        <f t="shared" si="0"/>
        <v>23.4</v>
      </c>
      <c r="AI35" s="855">
        <f>+B35+E35+H35+K35+N35+Q35+T35+W35+Z35+AC35+AF35</f>
        <v>231986.35320615</v>
      </c>
      <c r="AJ35" s="871">
        <f t="shared" si="1"/>
        <v>289668.71173445001</v>
      </c>
      <c r="AK35" s="856">
        <f t="shared" si="3"/>
        <v>24.9</v>
      </c>
      <c r="AL35" s="855">
        <f>AI35+'Tabell 7a'!AL47</f>
        <v>1224192.6400266199</v>
      </c>
      <c r="AM35" s="856">
        <f>AJ35+'Tabell 7a'!AM47</f>
        <v>1345903.5923227193</v>
      </c>
      <c r="AN35" s="856">
        <f t="shared" ref="AN35:AN42" si="4">IF(AL35=0, "    ---- ", IF(ABS(ROUND(100/AL35*AM35-100,1))&lt;999,ROUND(100/AL35*AM35-100,1),IF(ROUND(100/AL35*AM35-100,1)&gt;999,999,-999)))</f>
        <v>9.9</v>
      </c>
      <c r="AO35" s="823"/>
      <c r="AP35" s="863"/>
    </row>
    <row r="36" spans="1:42" s="870" customFormat="1" ht="18.75" customHeight="1" x14ac:dyDescent="0.3">
      <c r="A36" s="567" t="s">
        <v>468</v>
      </c>
      <c r="B36" s="457">
        <f>SUM(B12+B22+B27)</f>
        <v>2021.1969999999999</v>
      </c>
      <c r="C36" s="457">
        <f>SUM(C12+C22+C27)</f>
        <v>2516.9319999999998</v>
      </c>
      <c r="D36" s="457">
        <f>IF(B36=0, "    ---- ", IF(ABS(ROUND(100/B36*C36-100,1))&lt;999,ROUND(100/B36*C36-100,1),IF(ROUND(100/B36*C36-100,1)&gt;999,999,-999)))</f>
        <v>24.5</v>
      </c>
      <c r="E36" s="457">
        <f>SUM(E12+E22+E27)</f>
        <v>5213.616</v>
      </c>
      <c r="F36" s="457">
        <f>SUM(F12+F22+F27)</f>
        <v>5982.4639999999999</v>
      </c>
      <c r="G36" s="457">
        <f>IF(E36=0, "    ---- ", IF(ABS(ROUND(100/E36*F36-100,1))&lt;999,ROUND(100/E36*F36-100,1),IF(ROUND(100/E36*F36-100,1)&gt;999,999,-999)))</f>
        <v>14.7</v>
      </c>
      <c r="H36" s="457">
        <f>SUM(H12+H22+H27)</f>
        <v>0</v>
      </c>
      <c r="I36" s="457">
        <f>SUM(I12+I22+I27)</f>
        <v>0</v>
      </c>
      <c r="J36" s="457"/>
      <c r="K36" s="457">
        <f>SUM(K12+K22+K27)</f>
        <v>352.39400000000001</v>
      </c>
      <c r="L36" s="457">
        <f>SUM(L12+L22+L27)</f>
        <v>517.63099999999997</v>
      </c>
      <c r="M36" s="457">
        <f>IF(K36=0, "    ---- ", IF(ABS(ROUND(100/K36*L36-100,1))&lt;999,ROUND(100/K36*L36-100,1),IF(ROUND(100/K36*L36-100,1)&gt;999,999,-999)))</f>
        <v>46.9</v>
      </c>
      <c r="N36" s="457"/>
      <c r="O36" s="457"/>
      <c r="P36" s="457"/>
      <c r="Q36" s="457"/>
      <c r="R36" s="457"/>
      <c r="S36" s="457"/>
      <c r="T36" s="457">
        <f>SUM(T12+T22+T27)</f>
        <v>18017.36</v>
      </c>
      <c r="U36" s="457">
        <f>SUM(U12+U22+U27)</f>
        <v>23826.602273592416</v>
      </c>
      <c r="V36" s="457">
        <f>IF(T36=0, "    ---- ", IF(ABS(ROUND(100/T36*U36-100,1))&lt;999,ROUND(100/T36*U36-100,1),IF(ROUND(100/T36*U36-100,1)&gt;999,999,-999)))</f>
        <v>32.200000000000003</v>
      </c>
      <c r="W36" s="457">
        <f>SUM(W12+W22+W27)</f>
        <v>670</v>
      </c>
      <c r="X36" s="457">
        <f>SUM(X12+X22+X27)</f>
        <v>785.11300000000006</v>
      </c>
      <c r="Y36" s="457">
        <f>IF(W36=0, "    ---- ", IF(ABS(ROUND(100/W36*X36-100,1))&lt;999,ROUND(100/W36*X36-100,1),IF(ROUND(100/W36*X36-100,1)&gt;999,999,-999)))</f>
        <v>17.2</v>
      </c>
      <c r="Z36" s="457"/>
      <c r="AA36" s="457"/>
      <c r="AB36" s="457"/>
      <c r="AC36" s="457">
        <f>SUM(AC12+AC22+AC27)</f>
        <v>1779.548</v>
      </c>
      <c r="AD36" s="457">
        <f>SUM(AD12+AD22+AD27)</f>
        <v>2183.145</v>
      </c>
      <c r="AE36" s="457">
        <f>IF(AC36=0, "    ---- ", IF(ABS(ROUND(100/AC36*AD36-100,1))&lt;999,ROUND(100/AC36*AD36-100,1),IF(ROUND(100/AC36*AD36-100,1)&gt;999,999,-999)))</f>
        <v>22.7</v>
      </c>
      <c r="AF36" s="457">
        <f>SUM(AF12+AF22+AF27)</f>
        <v>4982.6000000000004</v>
      </c>
      <c r="AG36" s="457">
        <f>SUM(AG12+AG22+AG27)</f>
        <v>6482</v>
      </c>
      <c r="AH36" s="457">
        <f t="shared" si="0"/>
        <v>30.1</v>
      </c>
      <c r="AI36" s="846">
        <f t="shared" si="1"/>
        <v>33036.715000000004</v>
      </c>
      <c r="AJ36" s="457">
        <f t="shared" si="1"/>
        <v>42293.887273592409</v>
      </c>
      <c r="AK36" s="457">
        <f t="shared" si="3"/>
        <v>28</v>
      </c>
      <c r="AL36" s="846">
        <f>AI36+'Tabell 7a'!AL48</f>
        <v>56755.549000000006</v>
      </c>
      <c r="AM36" s="457">
        <f>AJ36+'Tabell 7a'!AM48</f>
        <v>64112.168338953023</v>
      </c>
      <c r="AN36" s="457">
        <f t="shared" si="4"/>
        <v>13</v>
      </c>
      <c r="AO36" s="869"/>
      <c r="AP36" s="869"/>
    </row>
    <row r="37" spans="1:42" s="870" customFormat="1" ht="18.75" customHeight="1" x14ac:dyDescent="0.3">
      <c r="A37" s="567" t="s">
        <v>471</v>
      </c>
      <c r="B37" s="457">
        <f>SUM(B13+B23+B28+B32)</f>
        <v>2244.4250000000002</v>
      </c>
      <c r="C37" s="457">
        <f>SUM(C13+C23+C28+C32)</f>
        <v>2315.1280000000002</v>
      </c>
      <c r="D37" s="457">
        <f>IF(B37=0, "    ---- ", IF(ABS(ROUND(100/B37*C37-100,1))&lt;999,ROUND(100/B37*C37-100,1),IF(ROUND(100/B37*C37-100,1)&gt;999,999,-999)))</f>
        <v>3.2</v>
      </c>
      <c r="E37" s="457">
        <f>SUM(E13+E23+E28+E32)</f>
        <v>5589.7449999999999</v>
      </c>
      <c r="F37" s="457">
        <f>SUM(F13+F23+F28+F32)</f>
        <v>5853.7629999999999</v>
      </c>
      <c r="G37" s="457">
        <f>IF(E37=0, "    ---- ", IF(ABS(ROUND(100/E37*F37-100,1))&lt;999,ROUND(100/E37*F37-100,1),IF(ROUND(100/E37*F37-100,1)&gt;999,999,-999)))</f>
        <v>4.7</v>
      </c>
      <c r="H37" s="457">
        <f>SUM(H13+H23+H28+H32)</f>
        <v>97.623000000000005</v>
      </c>
      <c r="I37" s="457">
        <f>SUM(I13+I23+I28+I32)</f>
        <v>115.92700000000001</v>
      </c>
      <c r="J37" s="457">
        <f>IF(H37=0, "    ---- ", IF(ABS(ROUND(100/H37*I37-100,1))&lt;999,ROUND(100/H37*I37-100,1),IF(ROUND(100/H37*I37-100,1)&gt;999,999,-999)))</f>
        <v>18.7</v>
      </c>
      <c r="K37" s="457">
        <f>SUM(K13+K23+K28+K32)</f>
        <v>1593.1569999999999</v>
      </c>
      <c r="L37" s="457">
        <f>SUM(L13+L23+L28+L32)</f>
        <v>1599.558</v>
      </c>
      <c r="M37" s="457">
        <f>IF(K37=0, "    ---- ", IF(ABS(ROUND(100/K37*L37-100,1))&lt;999,ROUND(100/K37*L37-100,1),IF(ROUND(100/K37*L37-100,1)&gt;999,999,-999)))</f>
        <v>0.4</v>
      </c>
      <c r="N37" s="457"/>
      <c r="O37" s="457"/>
      <c r="P37" s="457"/>
      <c r="Q37" s="457"/>
      <c r="R37" s="457"/>
      <c r="S37" s="457"/>
      <c r="T37" s="457">
        <f>SUM(T13+T23+T28+T32)</f>
        <v>3260.8</v>
      </c>
      <c r="U37" s="457">
        <f>SUM(U13+U23+U28+U32)</f>
        <v>3613.1504856800079</v>
      </c>
      <c r="V37" s="457">
        <f>IF(T37=0, "    ---- ", IF(ABS(ROUND(100/T37*U37-100,1))&lt;999,ROUND(100/T37*U37-100,1),IF(ROUND(100/T37*U37-100,1)&gt;999,999,-999)))</f>
        <v>10.8</v>
      </c>
      <c r="W37" s="457">
        <f>SUM(W13+W23+W28+W32)</f>
        <v>849</v>
      </c>
      <c r="X37" s="457">
        <f>SUM(X13+X23+X28+X32)</f>
        <v>912.52200000000005</v>
      </c>
      <c r="Y37" s="457">
        <f>IF(W37=0, "    ---- ", IF(ABS(ROUND(100/W37*X37-100,1))&lt;999,ROUND(100/W37*X37-100,1),IF(ROUND(100/W37*X37-100,1)&gt;999,999,-999)))</f>
        <v>7.5</v>
      </c>
      <c r="Z37" s="457"/>
      <c r="AA37" s="457"/>
      <c r="AB37" s="457"/>
      <c r="AC37" s="457">
        <f>SUM(AC13+AC23+AC28+AC32)</f>
        <v>1919.175</v>
      </c>
      <c r="AD37" s="457">
        <f>SUM(AD13+AD23+AD28+AD32)</f>
        <v>2183.145</v>
      </c>
      <c r="AE37" s="457">
        <f>IF(AC37=0, "    ---- ", IF(ABS(ROUND(100/AC37*AD37-100,1))&lt;999,ROUND(100/AC37*AD37-100,1),IF(ROUND(100/AC37*AD37-100,1)&gt;999,999,-999)))</f>
        <v>13.8</v>
      </c>
      <c r="AF37" s="457">
        <f>SUM(AF13+AF23+AF28+AF32)</f>
        <v>3579.3</v>
      </c>
      <c r="AG37" s="457">
        <f>SUM(AG13+AG23+AG28+AG32)</f>
        <v>4100</v>
      </c>
      <c r="AH37" s="457">
        <f t="shared" si="0"/>
        <v>14.5</v>
      </c>
      <c r="AI37" s="846">
        <f t="shared" si="1"/>
        <v>19133.224999999999</v>
      </c>
      <c r="AJ37" s="457">
        <f t="shared" si="1"/>
        <v>20693.193485680007</v>
      </c>
      <c r="AK37" s="457">
        <f t="shared" si="3"/>
        <v>8.1999999999999993</v>
      </c>
      <c r="AL37" s="846">
        <f>AI37+'Tabell 7a'!AL49</f>
        <v>69849.3</v>
      </c>
      <c r="AM37" s="457">
        <f>AJ37+'Tabell 7a'!AM49</f>
        <v>70184.088549898501</v>
      </c>
      <c r="AN37" s="457">
        <f t="shared" si="4"/>
        <v>0.5</v>
      </c>
      <c r="AO37" s="869"/>
      <c r="AP37" s="869"/>
    </row>
    <row r="38" spans="1:42" s="870" customFormat="1" ht="18.75" customHeight="1" x14ac:dyDescent="0.3">
      <c r="A38" s="631" t="s">
        <v>472</v>
      </c>
      <c r="B38" s="457"/>
      <c r="C38" s="457"/>
      <c r="D38" s="457"/>
      <c r="E38" s="457"/>
      <c r="F38" s="457"/>
      <c r="G38" s="457"/>
      <c r="H38" s="457"/>
      <c r="I38" s="457"/>
      <c r="J38" s="457"/>
      <c r="K38" s="457"/>
      <c r="L38" s="457"/>
      <c r="M38" s="457"/>
      <c r="N38" s="457"/>
      <c r="O38" s="457"/>
      <c r="P38" s="457"/>
      <c r="Q38" s="457"/>
      <c r="R38" s="457"/>
      <c r="S38" s="457"/>
      <c r="T38" s="457"/>
      <c r="U38" s="457"/>
      <c r="V38" s="457"/>
      <c r="W38" s="457"/>
      <c r="X38" s="457"/>
      <c r="Y38" s="457"/>
      <c r="Z38" s="457"/>
      <c r="AA38" s="457"/>
      <c r="AB38" s="457"/>
      <c r="AC38" s="457"/>
      <c r="AD38" s="457"/>
      <c r="AE38" s="457"/>
      <c r="AF38" s="457"/>
      <c r="AG38" s="457"/>
      <c r="AH38" s="457"/>
      <c r="AI38" s="846"/>
      <c r="AJ38" s="457"/>
      <c r="AK38" s="457"/>
      <c r="AL38" s="846">
        <f>AI38+'Tabell 7a'!AL50</f>
        <v>3346.9090286300002</v>
      </c>
      <c r="AM38" s="457">
        <f>AJ38+'Tabell 7a'!AM50</f>
        <v>2708.6149999999998</v>
      </c>
      <c r="AN38" s="457">
        <f t="shared" si="4"/>
        <v>-19.100000000000001</v>
      </c>
      <c r="AO38" s="869"/>
      <c r="AP38" s="869"/>
    </row>
    <row r="39" spans="1:42" s="870" customFormat="1" ht="18.75" customHeight="1" x14ac:dyDescent="0.3">
      <c r="A39" s="567" t="s">
        <v>473</v>
      </c>
      <c r="B39" s="457">
        <f>SUM(B14+B24+B29+B33)</f>
        <v>9771.7240000000002</v>
      </c>
      <c r="C39" s="457">
        <f>SUM(C14+C24+C29+C33)</f>
        <v>12116.668</v>
      </c>
      <c r="D39" s="457">
        <f>IF(B39=0, "    ---- ", IF(ABS(ROUND(100/B39*C39-100,1))&lt;999,ROUND(100/B39*C39-100,1),IF(ROUND(100/B39*C39-100,1)&gt;999,999,-999)))</f>
        <v>24</v>
      </c>
      <c r="E39" s="457">
        <f>SUM(E14+E24+E29+E33)</f>
        <v>49416.832000000002</v>
      </c>
      <c r="F39" s="457">
        <f>SUM(F14+F24+F29+F33)</f>
        <v>63369.853000000003</v>
      </c>
      <c r="G39" s="457">
        <f>IF(E39=0, "    ---- ", IF(ABS(ROUND(100/E39*F39-100,1))&lt;999,ROUND(100/E39*F39-100,1),IF(ROUND(100/E39*F39-100,1)&gt;999,999,-999)))</f>
        <v>28.2</v>
      </c>
      <c r="H39" s="457">
        <f>SUM(H14+H24+H29+H33)</f>
        <v>2583.1219999999998</v>
      </c>
      <c r="I39" s="457">
        <f>SUM(I14+I24+I29+I33)</f>
        <v>3135.4940000000001</v>
      </c>
      <c r="J39" s="457">
        <f>IF(H39=0, "    ---- ", IF(ABS(ROUND(100/H39*I39-100,1))&lt;999,ROUND(100/H39*I39-100,1),IF(ROUND(100/H39*I39-100,1)&gt;999,999,-999)))</f>
        <v>21.4</v>
      </c>
      <c r="K39" s="457">
        <f>SUM(K14+K24+K29+K33)</f>
        <v>15882.146000000001</v>
      </c>
      <c r="L39" s="457">
        <f>SUM(L14+L24+L29+L33)</f>
        <v>20563.403999999999</v>
      </c>
      <c r="M39" s="457">
        <f>IF(K39=0, "    ---- ", IF(ABS(ROUND(100/K39*L39-100,1))&lt;999,ROUND(100/K39*L39-100,1),IF(ROUND(100/K39*L39-100,1)&gt;999,999,-999)))</f>
        <v>29.5</v>
      </c>
      <c r="N39" s="457"/>
      <c r="O39" s="457"/>
      <c r="P39" s="457"/>
      <c r="Q39" s="457">
        <f>SUM(Q14+Q24+Q29+Q33)</f>
        <v>1673.7</v>
      </c>
      <c r="R39" s="457">
        <f>SUM(R14+R24+R29+R33)</f>
        <v>2683.7</v>
      </c>
      <c r="S39" s="457">
        <f t="shared" si="2"/>
        <v>60.3</v>
      </c>
      <c r="T39" s="457">
        <f>SUM(T14+T24+T29+T33)</f>
        <v>26023</v>
      </c>
      <c r="U39" s="457">
        <f>SUM(U14+U24+U29+U33)</f>
        <v>31206.387379027583</v>
      </c>
      <c r="V39" s="457">
        <f>IF(T39=0, "    ---- ", IF(ABS(ROUND(100/T39*U39-100,1))&lt;999,ROUND(100/T39*U39-100,1),IF(ROUND(100/T39*U39-100,1)&gt;999,999,-999)))</f>
        <v>19.899999999999999</v>
      </c>
      <c r="W39" s="457">
        <f>SUM(W14+W24+W29+W33)</f>
        <v>245</v>
      </c>
      <c r="X39" s="457">
        <f>SUM(X14+X24+X29+X33)</f>
        <v>384.55200000000002</v>
      </c>
      <c r="Y39" s="457">
        <f>IF(W39=0, "    ---- ", IF(ABS(ROUND(100/W39*X39-100,1))&lt;999,ROUND(100/W39*X39-100,1),IF(ROUND(100/W39*X39-100,1)&gt;999,999,-999)))</f>
        <v>57</v>
      </c>
      <c r="Z39" s="457"/>
      <c r="AA39" s="457"/>
      <c r="AB39" s="457"/>
      <c r="AC39" s="457">
        <f>SUM(AC14+AC24+AC29+AC33)</f>
        <v>15457.72</v>
      </c>
      <c r="AD39" s="457">
        <f>SUM(AD14+AD24+AD29+AD33)</f>
        <v>21053.617000000002</v>
      </c>
      <c r="AE39" s="457">
        <f>IF(AC39=0, "    ---- ", IF(ABS(ROUND(100/AC39*AD39-100,1))&lt;999,ROUND(100/AC39*AD39-100,1),IF(ROUND(100/AC39*AD39-100,1)&gt;999,999,-999)))</f>
        <v>36.200000000000003</v>
      </c>
      <c r="AF39" s="457">
        <f>SUM(AF14+AF24+AF29+AF33)</f>
        <v>56581.7</v>
      </c>
      <c r="AG39" s="457">
        <f>SUM(AG14+AG24+AG29+AG33)</f>
        <v>69794</v>
      </c>
      <c r="AH39" s="457">
        <f t="shared" si="0"/>
        <v>23.4</v>
      </c>
      <c r="AI39" s="846">
        <f t="shared" si="1"/>
        <v>177634.94400000002</v>
      </c>
      <c r="AJ39" s="457">
        <f t="shared" si="1"/>
        <v>224307.67537902758</v>
      </c>
      <c r="AK39" s="457">
        <f t="shared" si="3"/>
        <v>26.3</v>
      </c>
      <c r="AL39" s="846">
        <f>AI39+'Tabell 7a'!AL51</f>
        <v>553646.85</v>
      </c>
      <c r="AM39" s="457">
        <f>AJ39+'Tabell 7a'!AM51</f>
        <v>604315.18094153272</v>
      </c>
      <c r="AN39" s="457">
        <f t="shared" si="4"/>
        <v>9.1999999999999993</v>
      </c>
      <c r="AO39" s="869"/>
      <c r="AP39" s="869"/>
    </row>
    <row r="40" spans="1:42" s="870" customFormat="1" ht="18.75" customHeight="1" x14ac:dyDescent="0.3">
      <c r="A40" s="567" t="s">
        <v>475</v>
      </c>
      <c r="B40" s="457"/>
      <c r="C40" s="457"/>
      <c r="D40" s="457"/>
      <c r="E40" s="457"/>
      <c r="F40" s="457"/>
      <c r="G40" s="457"/>
      <c r="H40" s="457"/>
      <c r="I40" s="457"/>
      <c r="J40" s="457"/>
      <c r="K40" s="457"/>
      <c r="L40" s="457"/>
      <c r="M40" s="457"/>
      <c r="N40" s="457">
        <f>SUM(N15+N25+N30+N34)</f>
        <v>2181.46920615</v>
      </c>
      <c r="O40" s="457">
        <f>SUM(O15+O25+O30+O34)</f>
        <v>2373.95559615</v>
      </c>
      <c r="P40" s="457">
        <f>IF(N40=0, "    ---- ", IF(ABS(ROUND(100/N40*O40-100,1))&lt;999,ROUND(100/N40*O40-100,1),IF(ROUND(100/N40*O40-100,1)&gt;999,999,-999)))</f>
        <v>8.8000000000000007</v>
      </c>
      <c r="Q40" s="457"/>
      <c r="R40" s="457"/>
      <c r="S40" s="457"/>
      <c r="T40" s="457"/>
      <c r="U40" s="457"/>
      <c r="V40" s="457"/>
      <c r="W40" s="457"/>
      <c r="X40" s="457"/>
      <c r="Y40" s="457"/>
      <c r="Z40" s="457"/>
      <c r="AA40" s="457"/>
      <c r="AB40" s="457"/>
      <c r="AC40" s="457"/>
      <c r="AD40" s="457"/>
      <c r="AE40" s="457"/>
      <c r="AF40" s="457"/>
      <c r="AG40" s="457"/>
      <c r="AH40" s="457"/>
      <c r="AI40" s="846">
        <f t="shared" si="1"/>
        <v>2181.46920615</v>
      </c>
      <c r="AJ40" s="872">
        <f t="shared" si="1"/>
        <v>2373.95559615</v>
      </c>
      <c r="AK40" s="457">
        <f t="shared" si="3"/>
        <v>8.8000000000000007</v>
      </c>
      <c r="AL40" s="846">
        <f>AI40+'Tabell 7a'!AL52</f>
        <v>491134.17194898997</v>
      </c>
      <c r="AM40" s="457">
        <f>AJ40+'Tabell 7a'!AM52</f>
        <v>520001.21932555002</v>
      </c>
      <c r="AN40" s="457">
        <f t="shared" si="4"/>
        <v>5.9</v>
      </c>
      <c r="AO40" s="869"/>
      <c r="AP40" s="869"/>
    </row>
    <row r="41" spans="1:42" s="870" customFormat="1" ht="18.75" customHeight="1" x14ac:dyDescent="0.3">
      <c r="A41" s="631" t="s">
        <v>476</v>
      </c>
      <c r="B41" s="457"/>
      <c r="C41" s="457"/>
      <c r="D41" s="457"/>
      <c r="E41" s="457"/>
      <c r="F41" s="457"/>
      <c r="G41" s="457"/>
      <c r="H41" s="457"/>
      <c r="I41" s="457"/>
      <c r="J41" s="457"/>
      <c r="K41" s="457"/>
      <c r="L41" s="457"/>
      <c r="M41" s="457"/>
      <c r="N41" s="457"/>
      <c r="O41" s="457"/>
      <c r="P41" s="457"/>
      <c r="Q41" s="457"/>
      <c r="R41" s="457"/>
      <c r="S41" s="457"/>
      <c r="T41" s="457"/>
      <c r="U41" s="457"/>
      <c r="V41" s="457"/>
      <c r="W41" s="457"/>
      <c r="X41" s="457"/>
      <c r="Y41" s="457"/>
      <c r="Z41" s="457"/>
      <c r="AA41" s="457"/>
      <c r="AB41" s="457"/>
      <c r="AC41" s="457"/>
      <c r="AD41" s="457"/>
      <c r="AE41" s="457"/>
      <c r="AF41" s="457"/>
      <c r="AG41" s="457"/>
      <c r="AH41" s="457"/>
      <c r="AI41" s="846"/>
      <c r="AJ41" s="872"/>
      <c r="AK41" s="457"/>
      <c r="AL41" s="846">
        <f>AI41+'Tabell 7a'!AL53</f>
        <v>2458.049</v>
      </c>
      <c r="AM41" s="457">
        <f>AJ41+'Tabell 7a'!AM53</f>
        <v>19598.685860785241</v>
      </c>
      <c r="AN41" s="457">
        <f t="shared" si="4"/>
        <v>697.3</v>
      </c>
      <c r="AO41" s="869"/>
      <c r="AP41" s="869"/>
    </row>
    <row r="42" spans="1:42" s="870" customFormat="1" ht="18.75" customHeight="1" x14ac:dyDescent="0.3">
      <c r="A42" s="644" t="s">
        <v>495</v>
      </c>
      <c r="B42" s="876"/>
      <c r="C42" s="876"/>
      <c r="D42" s="876"/>
      <c r="E42" s="876"/>
      <c r="F42" s="876"/>
      <c r="G42" s="876"/>
      <c r="H42" s="876"/>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6"/>
      <c r="AF42" s="876"/>
      <c r="AG42" s="876"/>
      <c r="AH42" s="876"/>
      <c r="AI42" s="875"/>
      <c r="AJ42" s="877"/>
      <c r="AK42" s="876"/>
      <c r="AL42" s="875">
        <f>AI42+'Tabell 7a'!AL54</f>
        <v>47001.811048999996</v>
      </c>
      <c r="AM42" s="876">
        <f>AJ42+'Tabell 7a'!AM54</f>
        <v>64983.634306000007</v>
      </c>
      <c r="AN42" s="876">
        <f t="shared" si="4"/>
        <v>38.299999999999997</v>
      </c>
      <c r="AO42" s="869"/>
      <c r="AP42" s="869"/>
    </row>
    <row r="43" spans="1:42" s="878" customFormat="1" ht="18.75" customHeight="1" x14ac:dyDescent="0.3">
      <c r="A43" s="636" t="s">
        <v>273</v>
      </c>
      <c r="B43" s="636"/>
      <c r="K43" s="636"/>
      <c r="T43" s="879"/>
      <c r="X43" s="880"/>
      <c r="Y43" s="880"/>
      <c r="Z43" s="880"/>
      <c r="AA43" s="880"/>
      <c r="AB43" s="880"/>
      <c r="AC43" s="636"/>
      <c r="AI43" s="636"/>
      <c r="AL43" s="636"/>
      <c r="AO43" s="881"/>
      <c r="AP43" s="881"/>
    </row>
    <row r="44" spans="1:42" s="878" customFormat="1" ht="18.75" customHeight="1" x14ac:dyDescent="0.3">
      <c r="A44" s="636" t="s">
        <v>275</v>
      </c>
      <c r="B44" s="882"/>
      <c r="K44" s="636"/>
      <c r="X44" s="880"/>
      <c r="Y44" s="880"/>
      <c r="Z44" s="880"/>
      <c r="AA44" s="880"/>
      <c r="AB44" s="880"/>
      <c r="AC44" s="636"/>
      <c r="AL44" s="636"/>
      <c r="AO44" s="881"/>
      <c r="AP44" s="881"/>
    </row>
    <row r="45" spans="1:42" s="878" customFormat="1" ht="18.75" x14ac:dyDescent="0.3">
      <c r="AP45" s="881"/>
    </row>
    <row r="46" spans="1:42" s="878" customFormat="1" ht="18.75" x14ac:dyDescent="0.3">
      <c r="A46" s="881"/>
      <c r="B46" s="774"/>
      <c r="C46" s="774"/>
      <c r="D46" s="881"/>
      <c r="E46" s="881"/>
      <c r="F46" s="881"/>
      <c r="G46" s="881"/>
      <c r="H46" s="881"/>
      <c r="I46" s="881"/>
      <c r="J46" s="881"/>
      <c r="K46" s="774"/>
      <c r="L46" s="774"/>
      <c r="M46" s="881"/>
      <c r="N46" s="881"/>
      <c r="O46" s="881"/>
      <c r="P46" s="881"/>
      <c r="Q46" s="881"/>
      <c r="R46" s="881"/>
      <c r="S46" s="881"/>
      <c r="T46" s="774"/>
      <c r="U46" s="774"/>
      <c r="V46" s="881"/>
      <c r="W46" s="774"/>
      <c r="X46" s="774"/>
      <c r="Y46" s="881"/>
      <c r="Z46" s="881"/>
      <c r="AA46" s="881"/>
      <c r="AB46" s="881"/>
      <c r="AC46" s="774"/>
      <c r="AD46" s="774"/>
      <c r="AE46" s="881"/>
      <c r="AF46" s="774"/>
      <c r="AG46" s="774"/>
      <c r="AH46" s="881"/>
      <c r="AI46" s="774"/>
      <c r="AJ46" s="774"/>
      <c r="AK46" s="881"/>
      <c r="AL46" s="774"/>
      <c r="AM46" s="774"/>
      <c r="AN46" s="881"/>
    </row>
    <row r="47" spans="1:42" s="878" customFormat="1" ht="18.75" x14ac:dyDescent="0.3">
      <c r="B47" s="773"/>
      <c r="C47" s="773"/>
      <c r="K47" s="773"/>
      <c r="L47" s="773"/>
      <c r="T47" s="773"/>
      <c r="U47" s="773"/>
      <c r="W47" s="773"/>
      <c r="X47" s="773"/>
      <c r="AC47" s="773"/>
      <c r="AD47" s="773"/>
      <c r="AF47" s="773"/>
      <c r="AG47" s="773"/>
      <c r="AI47" s="773"/>
      <c r="AJ47" s="773"/>
      <c r="AL47" s="773"/>
      <c r="AM47" s="773"/>
    </row>
    <row r="48" spans="1:42" s="878" customFormat="1" ht="18.75" x14ac:dyDescent="0.3">
      <c r="B48" s="773"/>
      <c r="C48" s="773"/>
      <c r="K48" s="773"/>
      <c r="L48" s="773"/>
      <c r="T48" s="773"/>
      <c r="U48" s="773"/>
      <c r="W48" s="773"/>
      <c r="X48" s="773"/>
      <c r="AC48" s="773"/>
      <c r="AD48" s="773"/>
      <c r="AF48" s="773"/>
      <c r="AG48" s="773"/>
      <c r="AI48" s="773"/>
      <c r="AJ48" s="773"/>
      <c r="AL48" s="773"/>
      <c r="AM48" s="773"/>
    </row>
    <row r="49" spans="1:40" s="878" customFormat="1" ht="18.75" x14ac:dyDescent="0.3">
      <c r="B49" s="773"/>
      <c r="C49" s="773"/>
      <c r="K49" s="773"/>
      <c r="L49" s="773"/>
      <c r="T49" s="773"/>
      <c r="U49" s="773"/>
      <c r="W49" s="773"/>
      <c r="X49" s="773"/>
      <c r="AC49" s="773"/>
      <c r="AD49" s="773"/>
      <c r="AF49" s="773"/>
      <c r="AG49" s="773"/>
      <c r="AI49" s="773"/>
      <c r="AJ49" s="773"/>
      <c r="AL49" s="773"/>
      <c r="AM49" s="773"/>
    </row>
    <row r="50" spans="1:40" s="878" customFormat="1" ht="18.75" x14ac:dyDescent="0.3">
      <c r="B50" s="773"/>
      <c r="C50" s="773"/>
      <c r="K50" s="773"/>
      <c r="L50" s="773"/>
      <c r="T50" s="773"/>
      <c r="U50" s="773"/>
      <c r="W50" s="773"/>
      <c r="X50" s="773"/>
      <c r="AC50" s="773"/>
      <c r="AD50" s="773"/>
      <c r="AF50" s="773"/>
      <c r="AG50" s="773"/>
      <c r="AI50" s="773"/>
      <c r="AJ50" s="773"/>
      <c r="AL50" s="773"/>
      <c r="AM50" s="773"/>
    </row>
    <row r="51" spans="1:40" s="878" customFormat="1" ht="18.75" x14ac:dyDescent="0.3">
      <c r="B51" s="773"/>
      <c r="C51" s="773"/>
      <c r="K51" s="773"/>
      <c r="L51" s="773"/>
      <c r="T51" s="773"/>
      <c r="U51" s="773"/>
      <c r="W51" s="773"/>
      <c r="X51" s="773"/>
      <c r="AC51" s="773"/>
      <c r="AD51" s="773"/>
      <c r="AF51" s="773"/>
      <c r="AG51" s="773"/>
      <c r="AI51" s="773"/>
      <c r="AJ51" s="773"/>
      <c r="AL51" s="773"/>
      <c r="AM51" s="773"/>
    </row>
    <row r="52" spans="1:40" s="878" customFormat="1" ht="18.75" x14ac:dyDescent="0.3">
      <c r="B52" s="773"/>
      <c r="C52" s="773"/>
      <c r="K52" s="773"/>
      <c r="L52" s="773"/>
      <c r="T52" s="773"/>
      <c r="U52" s="773"/>
      <c r="W52" s="773"/>
      <c r="X52" s="773"/>
      <c r="AC52" s="773"/>
      <c r="AD52" s="773"/>
      <c r="AF52" s="773"/>
      <c r="AG52" s="773"/>
      <c r="AI52" s="773"/>
      <c r="AJ52" s="773"/>
      <c r="AL52" s="773"/>
      <c r="AM52" s="773"/>
    </row>
    <row r="53" spans="1:40" s="878" customFormat="1" ht="18.75" x14ac:dyDescent="0.3">
      <c r="A53" s="881"/>
      <c r="B53" s="773"/>
      <c r="C53" s="773"/>
      <c r="D53" s="881"/>
      <c r="E53" s="881"/>
      <c r="F53" s="881"/>
      <c r="G53" s="881"/>
      <c r="H53" s="881"/>
      <c r="I53" s="881"/>
      <c r="J53" s="881"/>
      <c r="K53" s="773"/>
      <c r="L53" s="773"/>
      <c r="M53" s="881"/>
      <c r="N53" s="881"/>
      <c r="O53" s="881"/>
      <c r="P53" s="881"/>
      <c r="Q53" s="881"/>
      <c r="R53" s="881"/>
      <c r="S53" s="881"/>
      <c r="T53" s="773"/>
      <c r="U53" s="773"/>
      <c r="V53" s="881"/>
      <c r="W53" s="773"/>
      <c r="X53" s="773"/>
      <c r="Y53" s="881"/>
      <c r="Z53" s="881"/>
      <c r="AA53" s="881"/>
      <c r="AB53" s="881"/>
      <c r="AC53" s="773"/>
      <c r="AD53" s="773"/>
      <c r="AE53" s="881"/>
      <c r="AF53" s="773"/>
      <c r="AG53" s="773"/>
      <c r="AH53" s="881"/>
      <c r="AI53" s="773"/>
      <c r="AJ53" s="773"/>
      <c r="AK53" s="881"/>
      <c r="AL53" s="773"/>
      <c r="AM53" s="773"/>
      <c r="AN53" s="881"/>
    </row>
    <row r="54" spans="1:40" s="881" customFormat="1" ht="18.75" x14ac:dyDescent="0.3"/>
    <row r="55" spans="1:40" s="881" customFormat="1" ht="18.75" x14ac:dyDescent="0.3"/>
    <row r="56" spans="1:40" s="878" customFormat="1" ht="18.75" x14ac:dyDescent="0.3"/>
    <row r="57" spans="1:40" s="878" customFormat="1" ht="18.75" x14ac:dyDescent="0.3"/>
    <row r="58" spans="1:40" s="878" customFormat="1" ht="18.75" x14ac:dyDescent="0.3"/>
    <row r="59" spans="1:40" s="878" customFormat="1" ht="18.75" x14ac:dyDescent="0.3"/>
    <row r="60" spans="1:40" s="878" customFormat="1" ht="18.75" x14ac:dyDescent="0.3"/>
    <row r="61" spans="1:40" s="878" customFormat="1" ht="18.75" x14ac:dyDescent="0.3"/>
    <row r="62" spans="1:40" s="878" customFormat="1" ht="18.75" x14ac:dyDescent="0.3"/>
    <row r="63" spans="1:40" s="878" customFormat="1" ht="18.75" x14ac:dyDescent="0.3"/>
    <row r="64" spans="1:40" s="878" customFormat="1" ht="18.75" x14ac:dyDescent="0.3"/>
    <row r="65" s="878" customFormat="1" ht="18.75" x14ac:dyDescent="0.3"/>
    <row r="66" s="878" customFormat="1" ht="18.75" x14ac:dyDescent="0.3"/>
    <row r="67" s="878" customFormat="1" ht="18.75" x14ac:dyDescent="0.3"/>
    <row r="68" s="878" customFormat="1" ht="18.75" x14ac:dyDescent="0.3"/>
    <row r="69" s="878" customFormat="1" ht="18.75" x14ac:dyDescent="0.3"/>
    <row r="70" s="878" customFormat="1" ht="18.75" x14ac:dyDescent="0.3"/>
    <row r="71" s="878" customFormat="1" ht="18.75" x14ac:dyDescent="0.3"/>
    <row r="72" s="878" customFormat="1" ht="18.75" x14ac:dyDescent="0.3"/>
    <row r="73" s="878" customFormat="1" ht="18.75" x14ac:dyDescent="0.3"/>
    <row r="74" s="878" customFormat="1" ht="18.75" x14ac:dyDescent="0.3"/>
    <row r="75" s="878" customFormat="1" ht="18.75" x14ac:dyDescent="0.3"/>
    <row r="76" s="878" customFormat="1" ht="18.75" x14ac:dyDescent="0.3"/>
    <row r="77" s="878" customFormat="1" ht="18.75" x14ac:dyDescent="0.3"/>
  </sheetData>
  <mergeCells count="24">
    <mergeCell ref="AL5:AN5"/>
    <mergeCell ref="B5:D5"/>
    <mergeCell ref="E5:G5"/>
    <mergeCell ref="H5:J5"/>
    <mergeCell ref="K5:M5"/>
    <mergeCell ref="Q5:S5"/>
    <mergeCell ref="T5:V5"/>
    <mergeCell ref="W5:Y5"/>
    <mergeCell ref="Z5:AB5"/>
    <mergeCell ref="AC5:AE5"/>
    <mergeCell ref="AF5:AH5"/>
    <mergeCell ref="AI5:AK5"/>
    <mergeCell ref="AL6:AN6"/>
    <mergeCell ref="B6:D6"/>
    <mergeCell ref="E6:G6"/>
    <mergeCell ref="H6:J6"/>
    <mergeCell ref="K6:M6"/>
    <mergeCell ref="Q6:S6"/>
    <mergeCell ref="T6:V6"/>
    <mergeCell ref="W6:Y6"/>
    <mergeCell ref="Z6:AB6"/>
    <mergeCell ref="AC6:AE6"/>
    <mergeCell ref="AF6:AH6"/>
    <mergeCell ref="AI6:AK6"/>
  </mergeCells>
  <conditionalFormatting sqref="B11:C11 E11:F11 H11:I11 K11:L11 N11:O11 Q11:R11 T11:U11 W11:X11 Z11:AA11 AC11:AD11 AF11:AG11 AI11:AJ11 AL11:AM11">
    <cfRule type="expression" dxfId="15" priority="845">
      <formula>#REF!="11≠12+13+14+15"</formula>
    </cfRule>
  </conditionalFormatting>
  <conditionalFormatting sqref="B16:C16 E16:F16 H16:I16 K16:L16 N16:O16 Q16:R16 T16:U16 W16:X16 Z16:AA16 AC16:AD16 AF16:AG16 AI16:AJ16 AL16:AM16">
    <cfRule type="expression" dxfId="14" priority="858">
      <formula>#REF!="16≠17+18+19+20"</formula>
    </cfRule>
  </conditionalFormatting>
  <conditionalFormatting sqref="B21:C21 E21:F21 H21:I21 K21:L21 N21:O21 Q21:R21 T21:U21 W21:X21 Z21:AA21 AC21:AD21 AF21:AG21 AI21:AJ21 AL21:AM21">
    <cfRule type="expression" dxfId="13" priority="871">
      <formula>#REF!="21≠22+23+24+25"</formula>
    </cfRule>
  </conditionalFormatting>
  <conditionalFormatting sqref="B26:C26 E26:F26 H26:I26 K26:L26 N26:O26 Q26:R26 T26:U26 W26:X26 Z26:AA26 AC26:AD26 AF26:AG26 AI26:AJ26 AL26:AM26">
    <cfRule type="expression" dxfId="12" priority="884">
      <formula>#REF!="26≠27+28+29+30"</formula>
    </cfRule>
  </conditionalFormatting>
  <conditionalFormatting sqref="B31:C31 E31:F31 H31:I31 K31:L31 N31:O31 Q31:R31 T31:U31 W31:X31 Z31:AA31 AC31:AD31 AF31:AG31 AI31:AJ31 AL31:AM31">
    <cfRule type="expression" dxfId="11" priority="897">
      <formula>#REF!="36≠37+38+39"</formula>
    </cfRule>
  </conditionalFormatting>
  <conditionalFormatting sqref="AI35:AJ35 AL35:AM35 B35:C35">
    <cfRule type="expression" dxfId="10" priority="910">
      <formula>#REF!="40≠41+42+43+44+45+46+47"</formula>
    </cfRule>
  </conditionalFormatting>
  <conditionalFormatting sqref="E35:F35">
    <cfRule type="expression" dxfId="9" priority="10">
      <formula>#REF!="40≠41+42+43+44+45+46+47"</formula>
    </cfRule>
  </conditionalFormatting>
  <conditionalFormatting sqref="H35:I35">
    <cfRule type="expression" dxfId="8" priority="9">
      <formula>#REF!="40≠41+42+43+44+45+46+47"</formula>
    </cfRule>
  </conditionalFormatting>
  <conditionalFormatting sqref="K35:L35">
    <cfRule type="expression" dxfId="7" priority="8">
      <formula>#REF!="40≠41+42+43+44+45+46+47"</formula>
    </cfRule>
  </conditionalFormatting>
  <conditionalFormatting sqref="N35:O35">
    <cfRule type="expression" dxfId="6" priority="7">
      <formula>#REF!="40≠41+42+43+44+45+46+47"</formula>
    </cfRule>
  </conditionalFormatting>
  <conditionalFormatting sqref="Q35:R35">
    <cfRule type="expression" dxfId="5" priority="6">
      <formula>#REF!="40≠41+42+43+44+45+46+47"</formula>
    </cfRule>
  </conditionalFormatting>
  <conditionalFormatting sqref="T35:U35">
    <cfRule type="expression" dxfId="4" priority="5">
      <formula>#REF!="40≠41+42+43+44+45+46+47"</formula>
    </cfRule>
  </conditionalFormatting>
  <conditionalFormatting sqref="W35:X35">
    <cfRule type="expression" dxfId="3" priority="4">
      <formula>#REF!="40≠41+42+43+44+45+46+47"</formula>
    </cfRule>
  </conditionalFormatting>
  <conditionalFormatting sqref="Z35:AA35">
    <cfRule type="expression" dxfId="2" priority="3">
      <formula>#REF!="40≠41+42+43+44+45+46+47"</formula>
    </cfRule>
  </conditionalFormatting>
  <conditionalFormatting sqref="AC35:AD35">
    <cfRule type="expression" dxfId="1" priority="2">
      <formula>#REF!="40≠41+42+43+44+45+46+47"</formula>
    </cfRule>
  </conditionalFormatting>
  <conditionalFormatting sqref="AF35:AG35">
    <cfRule type="expression" dxfId="0" priority="1">
      <formula>#REF!="40≠41+42+43+44+45+46+47"</formula>
    </cfRule>
  </conditionalFormatting>
  <hyperlinks>
    <hyperlink ref="B1" location="Innhold!A1" display="Tilbake"/>
  </hyperlinks>
  <pageMargins left="0.78740157480314965" right="0.78740157480314965" top="1.5748031496062993" bottom="0.98425196850393704" header="0.51181102362204722" footer="0.51181102362204722"/>
  <pageSetup paperSize="9" scale="45" fitToWidth="4" orientation="portrait" r:id="rId1"/>
  <headerFooter alignWithMargins="0"/>
  <colBreaks count="4" manualBreakCount="4">
    <brk id="10" min="1" max="48" man="1"/>
    <brk id="19" min="1" max="48" man="1"/>
    <brk id="28" min="1" max="48" man="1"/>
    <brk id="37" min="1" max="48"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1"/>
  <dimension ref="A1:BB59"/>
  <sheetViews>
    <sheetView showGridLines="0" zoomScale="60" zoomScaleNormal="60" workbookViewId="0">
      <pane xSplit="1" ySplit="6" topLeftCell="B7" activePane="bottomRight" state="frozen"/>
      <selection activeCell="AU39" sqref="AU39"/>
      <selection pane="topRight" activeCell="AU39" sqref="AU39"/>
      <selection pane="bottomLeft" activeCell="AU39" sqref="AU39"/>
      <selection pane="bottomRight" activeCell="A4" sqref="A4"/>
    </sheetView>
  </sheetViews>
  <sheetFormatPr baseColWidth="10" defaultColWidth="11.42578125" defaultRowHeight="12.75" x14ac:dyDescent="0.2"/>
  <cols>
    <col min="1" max="1" width="62" style="536" customWidth="1"/>
    <col min="2" max="37" width="11.7109375" style="536" customWidth="1"/>
    <col min="38" max="256" width="11.42578125" style="536"/>
    <col min="257" max="257" width="62" style="536" customWidth="1"/>
    <col min="258" max="293" width="11.7109375" style="536" customWidth="1"/>
    <col min="294" max="512" width="11.42578125" style="536"/>
    <col min="513" max="513" width="62" style="536" customWidth="1"/>
    <col min="514" max="549" width="11.7109375" style="536" customWidth="1"/>
    <col min="550" max="768" width="11.42578125" style="536"/>
    <col min="769" max="769" width="62" style="536" customWidth="1"/>
    <col min="770" max="805" width="11.7109375" style="536" customWidth="1"/>
    <col min="806" max="1024" width="11.42578125" style="536"/>
    <col min="1025" max="1025" width="62" style="536" customWidth="1"/>
    <col min="1026" max="1061" width="11.7109375" style="536" customWidth="1"/>
    <col min="1062" max="1280" width="11.42578125" style="536"/>
    <col min="1281" max="1281" width="62" style="536" customWidth="1"/>
    <col min="1282" max="1317" width="11.7109375" style="536" customWidth="1"/>
    <col min="1318" max="1536" width="11.42578125" style="536"/>
    <col min="1537" max="1537" width="62" style="536" customWidth="1"/>
    <col min="1538" max="1573" width="11.7109375" style="536" customWidth="1"/>
    <col min="1574" max="1792" width="11.42578125" style="536"/>
    <col min="1793" max="1793" width="62" style="536" customWidth="1"/>
    <col min="1794" max="1829" width="11.7109375" style="536" customWidth="1"/>
    <col min="1830" max="2048" width="11.42578125" style="536"/>
    <col min="2049" max="2049" width="62" style="536" customWidth="1"/>
    <col min="2050" max="2085" width="11.7109375" style="536" customWidth="1"/>
    <col min="2086" max="2304" width="11.42578125" style="536"/>
    <col min="2305" max="2305" width="62" style="536" customWidth="1"/>
    <col min="2306" max="2341" width="11.7109375" style="536" customWidth="1"/>
    <col min="2342" max="2560" width="11.42578125" style="536"/>
    <col min="2561" max="2561" width="62" style="536" customWidth="1"/>
    <col min="2562" max="2597" width="11.7109375" style="536" customWidth="1"/>
    <col min="2598" max="2816" width="11.42578125" style="536"/>
    <col min="2817" max="2817" width="62" style="536" customWidth="1"/>
    <col min="2818" max="2853" width="11.7109375" style="536" customWidth="1"/>
    <col min="2854" max="3072" width="11.42578125" style="536"/>
    <col min="3073" max="3073" width="62" style="536" customWidth="1"/>
    <col min="3074" max="3109" width="11.7109375" style="536" customWidth="1"/>
    <col min="3110" max="3328" width="11.42578125" style="536"/>
    <col min="3329" max="3329" width="62" style="536" customWidth="1"/>
    <col min="3330" max="3365" width="11.7109375" style="536" customWidth="1"/>
    <col min="3366" max="3584" width="11.42578125" style="536"/>
    <col min="3585" max="3585" width="62" style="536" customWidth="1"/>
    <col min="3586" max="3621" width="11.7109375" style="536" customWidth="1"/>
    <col min="3622" max="3840" width="11.42578125" style="536"/>
    <col min="3841" max="3841" width="62" style="536" customWidth="1"/>
    <col min="3842" max="3877" width="11.7109375" style="536" customWidth="1"/>
    <col min="3878" max="4096" width="11.42578125" style="536"/>
    <col min="4097" max="4097" width="62" style="536" customWidth="1"/>
    <col min="4098" max="4133" width="11.7109375" style="536" customWidth="1"/>
    <col min="4134" max="4352" width="11.42578125" style="536"/>
    <col min="4353" max="4353" width="62" style="536" customWidth="1"/>
    <col min="4354" max="4389" width="11.7109375" style="536" customWidth="1"/>
    <col min="4390" max="4608" width="11.42578125" style="536"/>
    <col min="4609" max="4609" width="62" style="536" customWidth="1"/>
    <col min="4610" max="4645" width="11.7109375" style="536" customWidth="1"/>
    <col min="4646" max="4864" width="11.42578125" style="536"/>
    <col min="4865" max="4865" width="62" style="536" customWidth="1"/>
    <col min="4866" max="4901" width="11.7109375" style="536" customWidth="1"/>
    <col min="4902" max="5120" width="11.42578125" style="536"/>
    <col min="5121" max="5121" width="62" style="536" customWidth="1"/>
    <col min="5122" max="5157" width="11.7109375" style="536" customWidth="1"/>
    <col min="5158" max="5376" width="11.42578125" style="536"/>
    <col min="5377" max="5377" width="62" style="536" customWidth="1"/>
    <col min="5378" max="5413" width="11.7109375" style="536" customWidth="1"/>
    <col min="5414" max="5632" width="11.42578125" style="536"/>
    <col min="5633" max="5633" width="62" style="536" customWidth="1"/>
    <col min="5634" max="5669" width="11.7109375" style="536" customWidth="1"/>
    <col min="5670" max="5888" width="11.42578125" style="536"/>
    <col min="5889" max="5889" width="62" style="536" customWidth="1"/>
    <col min="5890" max="5925" width="11.7109375" style="536" customWidth="1"/>
    <col min="5926" max="6144" width="11.42578125" style="536"/>
    <col min="6145" max="6145" width="62" style="536" customWidth="1"/>
    <col min="6146" max="6181" width="11.7109375" style="536" customWidth="1"/>
    <col min="6182" max="6400" width="11.42578125" style="536"/>
    <col min="6401" max="6401" width="62" style="536" customWidth="1"/>
    <col min="6402" max="6437" width="11.7109375" style="536" customWidth="1"/>
    <col min="6438" max="6656" width="11.42578125" style="536"/>
    <col min="6657" max="6657" width="62" style="536" customWidth="1"/>
    <col min="6658" max="6693" width="11.7109375" style="536" customWidth="1"/>
    <col min="6694" max="6912" width="11.42578125" style="536"/>
    <col min="6913" max="6913" width="62" style="536" customWidth="1"/>
    <col min="6914" max="6949" width="11.7109375" style="536" customWidth="1"/>
    <col min="6950" max="7168" width="11.42578125" style="536"/>
    <col min="7169" max="7169" width="62" style="536" customWidth="1"/>
    <col min="7170" max="7205" width="11.7109375" style="536" customWidth="1"/>
    <col min="7206" max="7424" width="11.42578125" style="536"/>
    <col min="7425" max="7425" width="62" style="536" customWidth="1"/>
    <col min="7426" max="7461" width="11.7109375" style="536" customWidth="1"/>
    <col min="7462" max="7680" width="11.42578125" style="536"/>
    <col min="7681" max="7681" width="62" style="536" customWidth="1"/>
    <col min="7682" max="7717" width="11.7109375" style="536" customWidth="1"/>
    <col min="7718" max="7936" width="11.42578125" style="536"/>
    <col min="7937" max="7937" width="62" style="536" customWidth="1"/>
    <col min="7938" max="7973" width="11.7109375" style="536" customWidth="1"/>
    <col min="7974" max="8192" width="11.42578125" style="536"/>
    <col min="8193" max="8193" width="62" style="536" customWidth="1"/>
    <col min="8194" max="8229" width="11.7109375" style="536" customWidth="1"/>
    <col min="8230" max="8448" width="11.42578125" style="536"/>
    <col min="8449" max="8449" width="62" style="536" customWidth="1"/>
    <col min="8450" max="8485" width="11.7109375" style="536" customWidth="1"/>
    <col min="8486" max="8704" width="11.42578125" style="536"/>
    <col min="8705" max="8705" width="62" style="536" customWidth="1"/>
    <col min="8706" max="8741" width="11.7109375" style="536" customWidth="1"/>
    <col min="8742" max="8960" width="11.42578125" style="536"/>
    <col min="8961" max="8961" width="62" style="536" customWidth="1"/>
    <col min="8962" max="8997" width="11.7109375" style="536" customWidth="1"/>
    <col min="8998" max="9216" width="11.42578125" style="536"/>
    <col min="9217" max="9217" width="62" style="536" customWidth="1"/>
    <col min="9218" max="9253" width="11.7109375" style="536" customWidth="1"/>
    <col min="9254" max="9472" width="11.42578125" style="536"/>
    <col min="9473" max="9473" width="62" style="536" customWidth="1"/>
    <col min="9474" max="9509" width="11.7109375" style="536" customWidth="1"/>
    <col min="9510" max="9728" width="11.42578125" style="536"/>
    <col min="9729" max="9729" width="62" style="536" customWidth="1"/>
    <col min="9730" max="9765" width="11.7109375" style="536" customWidth="1"/>
    <col min="9766" max="9984" width="11.42578125" style="536"/>
    <col min="9985" max="9985" width="62" style="536" customWidth="1"/>
    <col min="9986" max="10021" width="11.7109375" style="536" customWidth="1"/>
    <col min="10022" max="10240" width="11.42578125" style="536"/>
    <col min="10241" max="10241" width="62" style="536" customWidth="1"/>
    <col min="10242" max="10277" width="11.7109375" style="536" customWidth="1"/>
    <col min="10278" max="10496" width="11.42578125" style="536"/>
    <col min="10497" max="10497" width="62" style="536" customWidth="1"/>
    <col min="10498" max="10533" width="11.7109375" style="536" customWidth="1"/>
    <col min="10534" max="10752" width="11.42578125" style="536"/>
    <col min="10753" max="10753" width="62" style="536" customWidth="1"/>
    <col min="10754" max="10789" width="11.7109375" style="536" customWidth="1"/>
    <col min="10790" max="11008" width="11.42578125" style="536"/>
    <col min="11009" max="11009" width="62" style="536" customWidth="1"/>
    <col min="11010" max="11045" width="11.7109375" style="536" customWidth="1"/>
    <col min="11046" max="11264" width="11.42578125" style="536"/>
    <col min="11265" max="11265" width="62" style="536" customWidth="1"/>
    <col min="11266" max="11301" width="11.7109375" style="536" customWidth="1"/>
    <col min="11302" max="11520" width="11.42578125" style="536"/>
    <col min="11521" max="11521" width="62" style="536" customWidth="1"/>
    <col min="11522" max="11557" width="11.7109375" style="536" customWidth="1"/>
    <col min="11558" max="11776" width="11.42578125" style="536"/>
    <col min="11777" max="11777" width="62" style="536" customWidth="1"/>
    <col min="11778" max="11813" width="11.7109375" style="536" customWidth="1"/>
    <col min="11814" max="12032" width="11.42578125" style="536"/>
    <col min="12033" max="12033" width="62" style="536" customWidth="1"/>
    <col min="12034" max="12069" width="11.7109375" style="536" customWidth="1"/>
    <col min="12070" max="12288" width="11.42578125" style="536"/>
    <col min="12289" max="12289" width="62" style="536" customWidth="1"/>
    <col min="12290" max="12325" width="11.7109375" style="536" customWidth="1"/>
    <col min="12326" max="12544" width="11.42578125" style="536"/>
    <col min="12545" max="12545" width="62" style="536" customWidth="1"/>
    <col min="12546" max="12581" width="11.7109375" style="536" customWidth="1"/>
    <col min="12582" max="12800" width="11.42578125" style="536"/>
    <col min="12801" max="12801" width="62" style="536" customWidth="1"/>
    <col min="12802" max="12837" width="11.7109375" style="536" customWidth="1"/>
    <col min="12838" max="13056" width="11.42578125" style="536"/>
    <col min="13057" max="13057" width="62" style="536" customWidth="1"/>
    <col min="13058" max="13093" width="11.7109375" style="536" customWidth="1"/>
    <col min="13094" max="13312" width="11.42578125" style="536"/>
    <col min="13313" max="13313" width="62" style="536" customWidth="1"/>
    <col min="13314" max="13349" width="11.7109375" style="536" customWidth="1"/>
    <col min="13350" max="13568" width="11.42578125" style="536"/>
    <col min="13569" max="13569" width="62" style="536" customWidth="1"/>
    <col min="13570" max="13605" width="11.7109375" style="536" customWidth="1"/>
    <col min="13606" max="13824" width="11.42578125" style="536"/>
    <col min="13825" max="13825" width="62" style="536" customWidth="1"/>
    <col min="13826" max="13861" width="11.7109375" style="536" customWidth="1"/>
    <col min="13862" max="14080" width="11.42578125" style="536"/>
    <col min="14081" max="14081" width="62" style="536" customWidth="1"/>
    <col min="14082" max="14117" width="11.7109375" style="536" customWidth="1"/>
    <col min="14118" max="14336" width="11.42578125" style="536"/>
    <col min="14337" max="14337" width="62" style="536" customWidth="1"/>
    <col min="14338" max="14373" width="11.7109375" style="536" customWidth="1"/>
    <col min="14374" max="14592" width="11.42578125" style="536"/>
    <col min="14593" max="14593" width="62" style="536" customWidth="1"/>
    <col min="14594" max="14629" width="11.7109375" style="536" customWidth="1"/>
    <col min="14630" max="14848" width="11.42578125" style="536"/>
    <col min="14849" max="14849" width="62" style="536" customWidth="1"/>
    <col min="14850" max="14885" width="11.7109375" style="536" customWidth="1"/>
    <col min="14886" max="15104" width="11.42578125" style="536"/>
    <col min="15105" max="15105" width="62" style="536" customWidth="1"/>
    <col min="15106" max="15141" width="11.7109375" style="536" customWidth="1"/>
    <col min="15142" max="15360" width="11.42578125" style="536"/>
    <col min="15361" max="15361" width="62" style="536" customWidth="1"/>
    <col min="15362" max="15397" width="11.7109375" style="536" customWidth="1"/>
    <col min="15398" max="15616" width="11.42578125" style="536"/>
    <col min="15617" max="15617" width="62" style="536" customWidth="1"/>
    <col min="15618" max="15653" width="11.7109375" style="536" customWidth="1"/>
    <col min="15654" max="15872" width="11.42578125" style="536"/>
    <col min="15873" max="15873" width="62" style="536" customWidth="1"/>
    <col min="15874" max="15909" width="11.7109375" style="536" customWidth="1"/>
    <col min="15910" max="16128" width="11.42578125" style="536"/>
    <col min="16129" max="16129" width="62" style="536" customWidth="1"/>
    <col min="16130" max="16165" width="11.7109375" style="536" customWidth="1"/>
    <col min="16166" max="16384" width="11.42578125" style="536"/>
  </cols>
  <sheetData>
    <row r="1" spans="1:54" ht="20.25" customHeight="1" x14ac:dyDescent="0.3">
      <c r="A1" s="534" t="s">
        <v>189</v>
      </c>
      <c r="B1" s="495" t="s">
        <v>55</v>
      </c>
      <c r="AL1" s="883"/>
    </row>
    <row r="2" spans="1:54" ht="20.100000000000001" customHeight="1" x14ac:dyDescent="0.3">
      <c r="A2" s="534" t="s">
        <v>290</v>
      </c>
      <c r="AL2" s="883"/>
    </row>
    <row r="3" spans="1:54" ht="20.100000000000001" customHeight="1" x14ac:dyDescent="0.3">
      <c r="A3" s="884" t="s">
        <v>382</v>
      </c>
      <c r="AL3" s="885"/>
    </row>
    <row r="4" spans="1:54" ht="20.100000000000001" customHeight="1" x14ac:dyDescent="0.3">
      <c r="A4" s="540" t="s">
        <v>414</v>
      </c>
      <c r="B4" s="545"/>
      <c r="C4" s="544"/>
      <c r="D4" s="546"/>
      <c r="E4" s="545"/>
      <c r="F4" s="544"/>
      <c r="G4" s="546"/>
      <c r="H4" s="544"/>
      <c r="I4" s="544"/>
      <c r="J4" s="546"/>
      <c r="K4" s="545"/>
      <c r="L4" s="544"/>
      <c r="M4" s="546"/>
      <c r="N4" s="545"/>
      <c r="O4" s="544"/>
      <c r="P4" s="546"/>
      <c r="Q4" s="545"/>
      <c r="R4" s="544"/>
      <c r="S4" s="546"/>
      <c r="T4" s="545"/>
      <c r="U4" s="544"/>
      <c r="V4" s="546"/>
      <c r="W4" s="545"/>
      <c r="X4" s="544"/>
      <c r="Y4" s="546"/>
      <c r="Z4" s="545"/>
      <c r="AA4" s="544"/>
      <c r="AB4" s="546"/>
      <c r="AC4" s="545"/>
      <c r="AD4" s="544"/>
      <c r="AE4" s="546"/>
      <c r="AF4" s="545"/>
      <c r="AG4" s="544"/>
      <c r="AH4" s="546"/>
      <c r="AI4" s="545"/>
      <c r="AJ4" s="886"/>
      <c r="AK4" s="546"/>
      <c r="AL4" s="887"/>
      <c r="AM4" s="888"/>
      <c r="AN4" s="888"/>
      <c r="AO4" s="888"/>
      <c r="AP4" s="888"/>
      <c r="AQ4" s="888"/>
      <c r="AR4" s="888"/>
      <c r="AS4" s="888"/>
      <c r="AT4" s="888"/>
      <c r="AU4" s="888"/>
      <c r="AV4" s="888"/>
      <c r="AW4" s="888"/>
      <c r="AX4" s="888"/>
      <c r="AY4" s="888"/>
      <c r="AZ4" s="888"/>
      <c r="BA4" s="888"/>
      <c r="BB4" s="888"/>
    </row>
    <row r="5" spans="1:54" ht="20.100000000000001" customHeight="1" x14ac:dyDescent="0.3">
      <c r="A5" s="551"/>
      <c r="B5" s="973" t="s">
        <v>192</v>
      </c>
      <c r="C5" s="974"/>
      <c r="D5" s="975"/>
      <c r="E5" s="973" t="s">
        <v>193</v>
      </c>
      <c r="F5" s="974"/>
      <c r="G5" s="975"/>
      <c r="H5" s="974" t="s">
        <v>194</v>
      </c>
      <c r="I5" s="974"/>
      <c r="J5" s="975"/>
      <c r="K5" s="973" t="s">
        <v>195</v>
      </c>
      <c r="L5" s="974"/>
      <c r="M5" s="975"/>
      <c r="N5" s="552" t="s">
        <v>196</v>
      </c>
      <c r="O5" s="553"/>
      <c r="P5" s="554"/>
      <c r="Q5" s="973" t="s">
        <v>67</v>
      </c>
      <c r="R5" s="974"/>
      <c r="S5" s="975"/>
      <c r="T5" s="552"/>
      <c r="U5" s="553"/>
      <c r="V5" s="554"/>
      <c r="W5" s="973" t="s">
        <v>197</v>
      </c>
      <c r="X5" s="974"/>
      <c r="Y5" s="975"/>
      <c r="Z5" s="973" t="s">
        <v>79</v>
      </c>
      <c r="AA5" s="974"/>
      <c r="AB5" s="975"/>
      <c r="AC5" s="973"/>
      <c r="AD5" s="974"/>
      <c r="AE5" s="975"/>
      <c r="AF5" s="973" t="s">
        <v>80</v>
      </c>
      <c r="AG5" s="974"/>
      <c r="AH5" s="975"/>
      <c r="AI5" s="973" t="s">
        <v>332</v>
      </c>
      <c r="AJ5" s="974"/>
      <c r="AK5" s="975"/>
      <c r="AL5" s="649"/>
      <c r="AM5" s="889"/>
      <c r="AN5" s="1008"/>
      <c r="AO5" s="1008"/>
      <c r="AP5" s="1008"/>
      <c r="AQ5" s="1008"/>
      <c r="AR5" s="1008"/>
      <c r="AS5" s="1008"/>
      <c r="AT5" s="1008"/>
      <c r="AU5" s="1008"/>
      <c r="AV5" s="1008"/>
      <c r="AW5" s="1008"/>
      <c r="AX5" s="1008"/>
      <c r="AY5" s="1008"/>
      <c r="AZ5" s="1008"/>
      <c r="BA5" s="1008"/>
      <c r="BB5" s="1008"/>
    </row>
    <row r="6" spans="1:54" ht="20.100000000000001" customHeight="1" x14ac:dyDescent="0.3">
      <c r="A6" s="555"/>
      <c r="B6" s="967" t="s">
        <v>198</v>
      </c>
      <c r="C6" s="968"/>
      <c r="D6" s="969"/>
      <c r="E6" s="967" t="s">
        <v>199</v>
      </c>
      <c r="F6" s="968"/>
      <c r="G6" s="969"/>
      <c r="H6" s="968" t="s">
        <v>199</v>
      </c>
      <c r="I6" s="968"/>
      <c r="J6" s="969"/>
      <c r="K6" s="967" t="s">
        <v>200</v>
      </c>
      <c r="L6" s="968"/>
      <c r="M6" s="969"/>
      <c r="N6" s="967" t="s">
        <v>67</v>
      </c>
      <c r="O6" s="968"/>
      <c r="P6" s="969"/>
      <c r="Q6" s="967" t="s">
        <v>201</v>
      </c>
      <c r="R6" s="968"/>
      <c r="S6" s="969"/>
      <c r="T6" s="967" t="s">
        <v>72</v>
      </c>
      <c r="U6" s="968"/>
      <c r="V6" s="969"/>
      <c r="W6" s="967" t="s">
        <v>198</v>
      </c>
      <c r="X6" s="968"/>
      <c r="Y6" s="969"/>
      <c r="Z6" s="967" t="s">
        <v>202</v>
      </c>
      <c r="AA6" s="968"/>
      <c r="AB6" s="969"/>
      <c r="AC6" s="967" t="s">
        <v>74</v>
      </c>
      <c r="AD6" s="968"/>
      <c r="AE6" s="969"/>
      <c r="AF6" s="967" t="s">
        <v>199</v>
      </c>
      <c r="AG6" s="968"/>
      <c r="AH6" s="969"/>
      <c r="AI6" s="967" t="s">
        <v>333</v>
      </c>
      <c r="AJ6" s="968"/>
      <c r="AK6" s="969"/>
      <c r="AL6" s="649"/>
      <c r="AM6" s="889"/>
      <c r="AN6" s="1008"/>
      <c r="AO6" s="1008"/>
      <c r="AP6" s="1008"/>
      <c r="AQ6" s="1008"/>
      <c r="AR6" s="1008"/>
      <c r="AS6" s="1008"/>
      <c r="AT6" s="1008"/>
      <c r="AU6" s="1008"/>
      <c r="AV6" s="1008"/>
      <c r="AW6" s="1008"/>
      <c r="AX6" s="1008"/>
      <c r="AY6" s="1008"/>
      <c r="AZ6" s="1008"/>
      <c r="BA6" s="1008"/>
      <c r="BB6" s="1008"/>
    </row>
    <row r="7" spans="1:54" ht="20.100000000000001" customHeight="1" x14ac:dyDescent="0.3">
      <c r="A7" s="555"/>
      <c r="B7" s="806"/>
      <c r="C7" s="806"/>
      <c r="D7" s="556" t="s">
        <v>89</v>
      </c>
      <c r="E7" s="806"/>
      <c r="F7" s="806"/>
      <c r="G7" s="556" t="s">
        <v>89</v>
      </c>
      <c r="H7" s="806"/>
      <c r="I7" s="806"/>
      <c r="J7" s="556" t="s">
        <v>89</v>
      </c>
      <c r="K7" s="806"/>
      <c r="L7" s="806"/>
      <c r="M7" s="556" t="s">
        <v>89</v>
      </c>
      <c r="N7" s="806"/>
      <c r="O7" s="806"/>
      <c r="P7" s="556" t="s">
        <v>89</v>
      </c>
      <c r="Q7" s="806"/>
      <c r="R7" s="806"/>
      <c r="S7" s="556" t="s">
        <v>89</v>
      </c>
      <c r="T7" s="806"/>
      <c r="U7" s="806"/>
      <c r="V7" s="556" t="s">
        <v>89</v>
      </c>
      <c r="W7" s="806"/>
      <c r="X7" s="806"/>
      <c r="Y7" s="556" t="s">
        <v>89</v>
      </c>
      <c r="Z7" s="806"/>
      <c r="AA7" s="806"/>
      <c r="AB7" s="556" t="s">
        <v>89</v>
      </c>
      <c r="AC7" s="806"/>
      <c r="AD7" s="806"/>
      <c r="AE7" s="556" t="s">
        <v>89</v>
      </c>
      <c r="AF7" s="806"/>
      <c r="AG7" s="806"/>
      <c r="AH7" s="556" t="s">
        <v>89</v>
      </c>
      <c r="AI7" s="806"/>
      <c r="AJ7" s="806"/>
      <c r="AK7" s="556" t="s">
        <v>89</v>
      </c>
      <c r="AL7" s="649"/>
      <c r="AM7" s="889"/>
      <c r="AN7" s="889"/>
      <c r="AO7" s="889"/>
      <c r="AP7" s="889"/>
      <c r="AQ7" s="889"/>
      <c r="AR7" s="889"/>
      <c r="AS7" s="889"/>
      <c r="AT7" s="889"/>
      <c r="AU7" s="889"/>
      <c r="AV7" s="889"/>
      <c r="AW7" s="889"/>
      <c r="AX7" s="889"/>
      <c r="AY7" s="889"/>
      <c r="AZ7" s="889"/>
      <c r="BA7" s="889"/>
      <c r="BB7" s="889"/>
    </row>
    <row r="8" spans="1:54" ht="20.100000000000001" customHeight="1" x14ac:dyDescent="0.25">
      <c r="A8" s="890" t="s">
        <v>335</v>
      </c>
      <c r="B8" s="808">
        <v>2016</v>
      </c>
      <c r="C8" s="808">
        <v>2017</v>
      </c>
      <c r="D8" s="559" t="s">
        <v>91</v>
      </c>
      <c r="E8" s="808">
        <v>2016</v>
      </c>
      <c r="F8" s="808">
        <v>2017</v>
      </c>
      <c r="G8" s="559" t="s">
        <v>91</v>
      </c>
      <c r="H8" s="808">
        <v>2016</v>
      </c>
      <c r="I8" s="808">
        <v>2017</v>
      </c>
      <c r="J8" s="559" t="s">
        <v>91</v>
      </c>
      <c r="K8" s="808">
        <v>2016</v>
      </c>
      <c r="L8" s="808">
        <v>2017</v>
      </c>
      <c r="M8" s="559" t="s">
        <v>91</v>
      </c>
      <c r="N8" s="808">
        <v>2016</v>
      </c>
      <c r="O8" s="808">
        <v>2017</v>
      </c>
      <c r="P8" s="559" t="s">
        <v>91</v>
      </c>
      <c r="Q8" s="808">
        <v>2016</v>
      </c>
      <c r="R8" s="808">
        <v>2017</v>
      </c>
      <c r="S8" s="559" t="s">
        <v>91</v>
      </c>
      <c r="T8" s="808">
        <v>2016</v>
      </c>
      <c r="U8" s="808">
        <v>2017</v>
      </c>
      <c r="V8" s="559" t="s">
        <v>91</v>
      </c>
      <c r="W8" s="808">
        <v>2016</v>
      </c>
      <c r="X8" s="808">
        <v>2017</v>
      </c>
      <c r="Y8" s="559" t="s">
        <v>91</v>
      </c>
      <c r="Z8" s="808">
        <v>2016</v>
      </c>
      <c r="AA8" s="808">
        <v>2017</v>
      </c>
      <c r="AB8" s="559" t="s">
        <v>91</v>
      </c>
      <c r="AC8" s="808">
        <v>2016</v>
      </c>
      <c r="AD8" s="808">
        <v>2017</v>
      </c>
      <c r="AE8" s="559" t="s">
        <v>91</v>
      </c>
      <c r="AF8" s="808">
        <v>2016</v>
      </c>
      <c r="AG8" s="808">
        <v>2017</v>
      </c>
      <c r="AH8" s="559" t="s">
        <v>91</v>
      </c>
      <c r="AI8" s="808">
        <v>2016</v>
      </c>
      <c r="AJ8" s="808">
        <v>2017</v>
      </c>
      <c r="AK8" s="559" t="s">
        <v>91</v>
      </c>
      <c r="AL8" s="649"/>
      <c r="AM8" s="891"/>
      <c r="AN8" s="892"/>
      <c r="AO8" s="892"/>
      <c r="AP8" s="891"/>
      <c r="AQ8" s="892"/>
      <c r="AR8" s="892"/>
      <c r="AS8" s="891"/>
      <c r="AT8" s="892"/>
      <c r="AU8" s="892"/>
      <c r="AV8" s="891"/>
      <c r="AW8" s="892"/>
      <c r="AX8" s="892"/>
      <c r="AY8" s="891"/>
      <c r="AZ8" s="892"/>
      <c r="BA8" s="892"/>
      <c r="BB8" s="891"/>
    </row>
    <row r="9" spans="1:54" s="902" customFormat="1" ht="20.100000000000001" customHeight="1" x14ac:dyDescent="0.3">
      <c r="A9" s="893"/>
      <c r="B9" s="894"/>
      <c r="C9" s="895"/>
      <c r="D9" s="895"/>
      <c r="E9" s="894"/>
      <c r="F9" s="895"/>
      <c r="G9" s="895"/>
      <c r="H9" s="896"/>
      <c r="I9" s="895"/>
      <c r="J9" s="895"/>
      <c r="K9" s="897"/>
      <c r="L9" s="898"/>
      <c r="M9" s="895"/>
      <c r="N9" s="899"/>
      <c r="O9" s="895"/>
      <c r="P9" s="895"/>
      <c r="Q9" s="897"/>
      <c r="R9" s="898"/>
      <c r="S9" s="895"/>
      <c r="T9" s="897"/>
      <c r="U9" s="898"/>
      <c r="V9" s="895"/>
      <c r="W9" s="894"/>
      <c r="X9" s="895"/>
      <c r="Y9" s="895"/>
      <c r="Z9" s="894"/>
      <c r="AA9" s="895"/>
      <c r="AB9" s="895"/>
      <c r="AC9" s="894"/>
      <c r="AD9" s="895"/>
      <c r="AE9" s="900"/>
      <c r="AF9" s="899"/>
      <c r="AG9" s="895"/>
      <c r="AH9" s="895"/>
      <c r="AI9" s="894"/>
      <c r="AJ9" s="895"/>
      <c r="AK9" s="895"/>
      <c r="AL9" s="901"/>
      <c r="AM9" s="901"/>
    </row>
    <row r="10" spans="1:54" s="906" customFormat="1" ht="20.100000000000001" customHeight="1" x14ac:dyDescent="0.3">
      <c r="A10" s="567" t="s">
        <v>496</v>
      </c>
      <c r="B10" s="894"/>
      <c r="C10" s="895"/>
      <c r="D10" s="895"/>
      <c r="E10" s="894">
        <v>22.95</v>
      </c>
      <c r="F10" s="895">
        <v>24.37</v>
      </c>
      <c r="G10" s="895"/>
      <c r="H10" s="896"/>
      <c r="I10" s="895"/>
      <c r="J10" s="895"/>
      <c r="K10" s="897">
        <v>19.86</v>
      </c>
      <c r="L10" s="898">
        <v>19.98</v>
      </c>
      <c r="M10" s="895"/>
      <c r="N10" s="894">
        <v>24.74</v>
      </c>
      <c r="O10" s="895">
        <v>27.69</v>
      </c>
      <c r="P10" s="895"/>
      <c r="Q10" s="897"/>
      <c r="R10" s="898">
        <v>47.6</v>
      </c>
      <c r="S10" s="895" t="str">
        <f>IF(Q10=0, "    ---- ", IF(ABS(ROUND(100/Q10*R10-100,1))&lt;999,ROUND(100/Q10*R10-100,1),IF(ROUND(100/Q10*R10-100,1)&gt;999,999,-999)))</f>
        <v xml:space="preserve">    ---- </v>
      </c>
      <c r="T10" s="894">
        <v>29.7</v>
      </c>
      <c r="U10" s="895">
        <v>32.1</v>
      </c>
      <c r="V10" s="895"/>
      <c r="W10" s="894">
        <v>37.797144754316072</v>
      </c>
      <c r="X10" s="895">
        <v>45.260939670173535</v>
      </c>
      <c r="Y10" s="895"/>
      <c r="Z10" s="894"/>
      <c r="AA10" s="895"/>
      <c r="AB10" s="895"/>
      <c r="AC10" s="903">
        <v>35.43522938034873</v>
      </c>
      <c r="AD10" s="904">
        <v>35.620465584001529</v>
      </c>
      <c r="AE10" s="895"/>
      <c r="AF10" s="903">
        <v>24</v>
      </c>
      <c r="AG10" s="904">
        <v>25</v>
      </c>
      <c r="AH10" s="895"/>
      <c r="AI10" s="894"/>
      <c r="AJ10" s="895"/>
      <c r="AK10" s="895"/>
      <c r="AL10" s="905"/>
      <c r="AM10" s="905"/>
    </row>
    <row r="11" spans="1:54" s="906" customFormat="1" ht="20.100000000000001" customHeight="1" x14ac:dyDescent="0.3">
      <c r="A11" s="567" t="s">
        <v>391</v>
      </c>
      <c r="B11" s="573">
        <v>28.567</v>
      </c>
      <c r="C11" s="577">
        <v>39.386000000000003</v>
      </c>
      <c r="D11" s="570">
        <f>IF(B11=0, "    ---- ", IF(ABS(ROUND(100/B11*C11-100,1))&lt;999,ROUND(100/B11*C11-100,1),IF(ROUND(100/B11*C11-100,1)&gt;999,999,-999)))</f>
        <v>37.9</v>
      </c>
      <c r="E11" s="573">
        <v>2124.2280000000001</v>
      </c>
      <c r="F11" s="570">
        <v>3261.951</v>
      </c>
      <c r="G11" s="570">
        <f>IF(E11=0, "    ---- ", IF(ABS(ROUND(100/E11*F11-100,1))&lt;999,ROUND(100/E11*F11-100,1),IF(ROUND(100/E11*F11-100,1)&gt;999,999,-999)))</f>
        <v>53.6</v>
      </c>
      <c r="H11" s="907"/>
      <c r="I11" s="570"/>
      <c r="J11" s="570"/>
      <c r="K11" s="568">
        <v>26.895</v>
      </c>
      <c r="L11" s="569">
        <v>54.73</v>
      </c>
      <c r="M11" s="570">
        <f>IF(K11=0, "    ---- ", IF(ABS(ROUND(100/K11*L11-100,1))&lt;999,ROUND(100/K11*L11-100,1),IF(ROUND(100/K11*L11-100,1)&gt;999,999,-999)))</f>
        <v>103.5</v>
      </c>
      <c r="N11" s="573">
        <v>28337.312049</v>
      </c>
      <c r="O11" s="570">
        <v>42277.481306000001</v>
      </c>
      <c r="P11" s="570">
        <f>IF(N11=0, "    ---- ", IF(ABS(ROUND(100/N11*O11-100,1))&lt;999,ROUND(100/N11*O11-100,1),IF(ROUND(100/N11*O11-100,1)&gt;999,999,-999)))</f>
        <v>49.2</v>
      </c>
      <c r="Q11" s="568"/>
      <c r="R11" s="569">
        <v>31</v>
      </c>
      <c r="S11" s="570"/>
      <c r="T11" s="573">
        <v>1061</v>
      </c>
      <c r="U11" s="570">
        <v>1379</v>
      </c>
      <c r="V11" s="570">
        <f>IF(T11=0, "    ---- ", IF(ABS(ROUND(100/T11*U11-100,1))&lt;999,ROUND(100/T11*U11-100,1),IF(ROUND(100/T11*U11-100,1)&gt;999,999,-999)))</f>
        <v>30</v>
      </c>
      <c r="W11" s="573">
        <v>9270</v>
      </c>
      <c r="X11" s="570">
        <v>10933</v>
      </c>
      <c r="Y11" s="570">
        <f>IF(W11=0, "    ---- ", IF(ABS(ROUND(100/W11*X11-100,1))&lt;999,ROUND(100/W11*X11-100,1),IF(ROUND(100/W11*X11-100,1)&gt;999,999,-999)))</f>
        <v>17.899999999999999</v>
      </c>
      <c r="Z11" s="573"/>
      <c r="AA11" s="570"/>
      <c r="AB11" s="570" t="str">
        <f>IF(Z11=0, "    ---- ", IF(ABS(ROUND(100/Z11*AA11-100,1))&lt;999,ROUND(100/Z11*AA11-100,1),IF(ROUND(100/Z11*AA11-100,1)&gt;999,999,-999)))</f>
        <v xml:space="preserve">    ---- </v>
      </c>
      <c r="AC11" s="594">
        <v>1892.39</v>
      </c>
      <c r="AD11" s="575">
        <v>2286.9650000000001</v>
      </c>
      <c r="AE11" s="570">
        <f>IF(AC11=0, "    ---- ", IF(ABS(ROUND(100/AC11*AD11-100,1))&lt;999,ROUND(100/AC11*AD11-100,1),IF(ROUND(100/AC11*AD11-100,1)&gt;999,999,-999)))</f>
        <v>20.9</v>
      </c>
      <c r="AF11" s="594">
        <v>2684</v>
      </c>
      <c r="AG11" s="575">
        <v>3707</v>
      </c>
      <c r="AH11" s="570">
        <f>IF(AF11=0, "    ---- ", IF(ABS(ROUND(100/AF11*AG11-100,1))&lt;999,ROUND(100/AF11*AG11-100,1),IF(ROUND(100/AF11*AG11-100,1)&gt;999,999,-999)))</f>
        <v>38.1</v>
      </c>
      <c r="AI11" s="573">
        <f>B11+E11+H11+K11+N11+Q11+T11+W11+Z11+AC11+AF11</f>
        <v>45424.392049000002</v>
      </c>
      <c r="AJ11" s="570">
        <f>C11+F11+I11+L11+O11+R11+U11+X11+AA11+AD11+AG11</f>
        <v>63970.513306000008</v>
      </c>
      <c r="AK11" s="570">
        <f>IF(AI11=0, "    ---- ", IF(ABS(ROUND(100/AI11*AJ11-100,1))&lt;999,ROUND(100/AI11*AJ11-100,1),IF(ROUND(100/AI11*AJ11-100,1)&gt;999,999,-999)))</f>
        <v>40.799999999999997</v>
      </c>
      <c r="AL11" s="905"/>
      <c r="AM11" s="905"/>
    </row>
    <row r="12" spans="1:54" s="906" customFormat="1" ht="20.100000000000001" customHeight="1" x14ac:dyDescent="0.3">
      <c r="A12" s="826" t="s">
        <v>497</v>
      </c>
      <c r="B12" s="908"/>
      <c r="C12" s="909"/>
      <c r="D12" s="909"/>
      <c r="E12" s="908">
        <v>8975.1139999999996</v>
      </c>
      <c r="F12" s="909">
        <v>7862.6270000000004</v>
      </c>
      <c r="G12" s="909">
        <f>IF(E12=0, "    ---- ", IF(ABS(ROUND(100/E12*F12-100,1))&lt;999,ROUND(100/E12*F12-100,1),IF(ROUND(100/E12*F12-100,1)&gt;999,999,-999)))</f>
        <v>-12.4</v>
      </c>
      <c r="H12" s="910"/>
      <c r="I12" s="909"/>
      <c r="J12" s="909"/>
      <c r="K12" s="911"/>
      <c r="L12" s="912"/>
      <c r="M12" s="909"/>
      <c r="N12" s="908">
        <v>760</v>
      </c>
      <c r="O12" s="909">
        <v>729</v>
      </c>
      <c r="P12" s="909">
        <f>IF(N12=0, "    ---- ", IF(ABS(ROUND(100/N12*O12-100,1))&lt;999,ROUND(100/N12*O12-100,1),IF(ROUND(100/N12*O12-100,1)&gt;999,999,-999)))</f>
        <v>-4.0999999999999996</v>
      </c>
      <c r="Q12" s="911"/>
      <c r="R12" s="912">
        <v>61</v>
      </c>
      <c r="S12" s="909" t="str">
        <f>IF(Q12=0, "    ---- ", IF(ABS(ROUND(100/Q12*R12-100,1))&lt;999,ROUND(100/Q12*R12-100,1),IF(ROUND(100/Q12*R12-100,1)&gt;999,999,-999)))</f>
        <v xml:space="preserve">    ---- </v>
      </c>
      <c r="T12" s="911">
        <v>1724</v>
      </c>
      <c r="U12" s="912">
        <v>1764</v>
      </c>
      <c r="V12" s="909">
        <f>IF(T12=0, "    ---- ", IF(ABS(ROUND(100/T12*U12-100,1))&lt;999,ROUND(100/T12*U12-100,1),IF(ROUND(100/T12*U12-100,1)&gt;999,999,-999)))</f>
        <v>2.2999999999999998</v>
      </c>
      <c r="W12" s="908">
        <v>1172</v>
      </c>
      <c r="X12" s="909">
        <v>1063</v>
      </c>
      <c r="Y12" s="909">
        <f>IF(W12=0, "    ---- ", IF(ABS(ROUND(100/W12*X12-100,1))&lt;999,ROUND(100/W12*X12-100,1),IF(ROUND(100/W12*X12-100,1)&gt;999,999,-999)))</f>
        <v>-9.3000000000000007</v>
      </c>
      <c r="Z12" s="908"/>
      <c r="AA12" s="909"/>
      <c r="AB12" s="909" t="str">
        <f>IF(Z12=0, "    ---- ", IF(ABS(ROUND(100/Z12*AA12-100,1))&lt;999,ROUND(100/Z12*AA12-100,1),IF(ROUND(100/Z12*AA12-100,1)&gt;999,999,-999)))</f>
        <v xml:space="preserve">    ---- </v>
      </c>
      <c r="AC12" s="828">
        <v>46.994999999999997</v>
      </c>
      <c r="AD12" s="827">
        <v>48.545000000000002</v>
      </c>
      <c r="AE12" s="909">
        <f>IF(AC12=0, "    ---- ", IF(ABS(ROUND(100/AC12*AD12-100,1))&lt;999,ROUND(100/AC12*AD12-100,1),IF(ROUND(100/AC12*AD12-100,1)&gt;999,999,-999)))</f>
        <v>3.3</v>
      </c>
      <c r="AF12" s="828">
        <v>8785</v>
      </c>
      <c r="AG12" s="827">
        <v>8531</v>
      </c>
      <c r="AH12" s="909">
        <f>IF(AF12=0, "    ---- ", IF(ABS(ROUND(100/AF12*AG12-100,1))&lt;999,ROUND(100/AF12*AG12-100,1),IF(ROUND(100/AF12*AG12-100,1)&gt;999,999,-999)))</f>
        <v>-2.9</v>
      </c>
      <c r="AI12" s="908">
        <f>B12+E12+H12+K12+N12+Q12+T12+W12+Z12+AC12+AF12</f>
        <v>21463.109</v>
      </c>
      <c r="AJ12" s="909">
        <f>C12+F12+I12+L12+O12+R12+U12+X12+AA12+AD12+AG12</f>
        <v>20059.171999999999</v>
      </c>
      <c r="AK12" s="909">
        <f>IF(AI12=0, "    ---- ", IF(ABS(ROUND(100/AI12*AJ12-100,1))&lt;999,ROUND(100/AI12*AJ12-100,1),IF(ROUND(100/AI12*AJ12-100,1)&gt;999,999,-999)))</f>
        <v>-6.5</v>
      </c>
      <c r="AL12" s="905"/>
      <c r="AM12" s="905"/>
    </row>
    <row r="13" spans="1:54" s="906" customFormat="1" ht="20.100000000000001" customHeight="1" x14ac:dyDescent="0.3">
      <c r="A13" s="602"/>
      <c r="B13" s="904"/>
      <c r="C13" s="904"/>
      <c r="D13" s="904"/>
      <c r="E13" s="904"/>
      <c r="F13" s="904"/>
      <c r="G13" s="904"/>
      <c r="H13" s="913"/>
      <c r="I13" s="904"/>
      <c r="J13" s="904"/>
      <c r="K13" s="914"/>
      <c r="L13" s="914"/>
      <c r="M13" s="904"/>
      <c r="N13" s="904"/>
      <c r="O13" s="904"/>
      <c r="P13" s="904"/>
      <c r="Q13" s="914"/>
      <c r="R13" s="914"/>
      <c r="S13" s="904"/>
      <c r="T13" s="914"/>
      <c r="U13" s="914"/>
      <c r="V13" s="904"/>
      <c r="W13" s="904"/>
      <c r="X13" s="904"/>
      <c r="Y13" s="904"/>
      <c r="Z13" s="904"/>
      <c r="AA13" s="904"/>
      <c r="AB13" s="904"/>
      <c r="AC13" s="904"/>
      <c r="AD13" s="904"/>
      <c r="AE13" s="904"/>
      <c r="AF13" s="904"/>
      <c r="AG13" s="904"/>
      <c r="AH13" s="904"/>
      <c r="AI13" s="904"/>
      <c r="AJ13" s="904"/>
      <c r="AK13" s="904"/>
      <c r="AL13" s="905"/>
      <c r="AM13" s="905"/>
    </row>
    <row r="14" spans="1:54" s="906" customFormat="1" ht="20.100000000000001" customHeight="1" x14ac:dyDescent="0.3">
      <c r="A14" s="602" t="s">
        <v>498</v>
      </c>
      <c r="B14" s="915"/>
      <c r="C14" s="915"/>
      <c r="D14" s="915"/>
      <c r="E14" s="915"/>
      <c r="F14" s="915"/>
      <c r="G14" s="915"/>
      <c r="H14" s="916"/>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820"/>
      <c r="AJ14" s="915"/>
      <c r="AK14" s="915"/>
      <c r="AL14" s="905"/>
      <c r="AM14" s="905"/>
    </row>
    <row r="15" spans="1:54" s="906" customFormat="1" ht="20.100000000000001" customHeight="1" x14ac:dyDescent="0.3">
      <c r="A15" s="602" t="s">
        <v>499</v>
      </c>
      <c r="B15" s="915"/>
      <c r="C15" s="915"/>
      <c r="D15" s="915"/>
      <c r="E15" s="915"/>
      <c r="F15" s="915"/>
      <c r="G15" s="915"/>
      <c r="H15" s="916"/>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820"/>
      <c r="AJ15" s="915"/>
      <c r="AK15" s="915"/>
      <c r="AL15" s="905"/>
      <c r="AM15" s="905"/>
    </row>
    <row r="16" spans="1:54" s="906" customFormat="1" ht="20.100000000000001" customHeight="1" x14ac:dyDescent="0.3">
      <c r="A16" s="917" t="s">
        <v>500</v>
      </c>
      <c r="B16" s="915"/>
      <c r="C16" s="915">
        <f>AVERAGE(C17:C21)</f>
        <v>3.21</v>
      </c>
      <c r="D16" s="915"/>
      <c r="E16" s="915"/>
      <c r="F16" s="915">
        <f>AVERAGE(F17:F21)</f>
        <v>4.7440000000000007</v>
      </c>
      <c r="G16" s="915"/>
      <c r="H16" s="915"/>
      <c r="I16" s="915"/>
      <c r="J16" s="915"/>
      <c r="K16" s="915"/>
      <c r="L16" s="915">
        <f>AVERAGE(L17:L21)</f>
        <v>4.2117999999999993</v>
      </c>
      <c r="M16" s="915"/>
      <c r="N16" s="915"/>
      <c r="O16" s="915">
        <f>AVERAGE(O17:O21)</f>
        <v>4.5519999999999996</v>
      </c>
      <c r="P16" s="915"/>
      <c r="Q16" s="915"/>
      <c r="R16" s="915">
        <f>AVERAGE(R17:R21)</f>
        <v>5.4</v>
      </c>
      <c r="S16" s="915"/>
      <c r="T16" s="915"/>
      <c r="U16" s="915">
        <f>AVERAGE(U17:U21)</f>
        <v>4.4249999999999998</v>
      </c>
      <c r="V16" s="915"/>
      <c r="W16" s="915"/>
      <c r="X16" s="915">
        <f>AVERAGE(X17:X21)</f>
        <v>5.0299999999999994</v>
      </c>
      <c r="Y16" s="915"/>
      <c r="Z16" s="915"/>
      <c r="AA16" s="915">
        <f>AVERAGE(AA17:AA21)</f>
        <v>4.6233333333333331</v>
      </c>
      <c r="AB16" s="915"/>
      <c r="AC16" s="915"/>
      <c r="AD16" s="915">
        <f>AVERAGE(AD17:AD21)</f>
        <v>4.4979089209214944</v>
      </c>
      <c r="AE16" s="915"/>
      <c r="AF16" s="915"/>
      <c r="AG16" s="915">
        <f>AVERAGE(AG17:AG21)</f>
        <v>4.8520000000000003</v>
      </c>
      <c r="AH16" s="915"/>
      <c r="AI16" s="820"/>
      <c r="AJ16" s="915"/>
      <c r="AK16" s="915"/>
      <c r="AL16" s="905"/>
      <c r="AM16" s="905"/>
    </row>
    <row r="17" spans="1:39" s="906" customFormat="1" ht="20.100000000000001" customHeight="1" x14ac:dyDescent="0.3">
      <c r="A17" s="918">
        <v>2017</v>
      </c>
      <c r="B17" s="915"/>
      <c r="C17" s="915">
        <v>1.99</v>
      </c>
      <c r="D17" s="915"/>
      <c r="E17" s="915"/>
      <c r="F17" s="915">
        <v>4.57</v>
      </c>
      <c r="G17" s="915"/>
      <c r="H17" s="916"/>
      <c r="I17" s="915"/>
      <c r="J17" s="915"/>
      <c r="K17" s="915"/>
      <c r="L17" s="915">
        <v>3.68</v>
      </c>
      <c r="M17" s="915"/>
      <c r="N17" s="915"/>
      <c r="O17" s="915">
        <v>3.94</v>
      </c>
      <c r="P17" s="915"/>
      <c r="Q17" s="915"/>
      <c r="R17" s="915">
        <v>8.3000000000000007</v>
      </c>
      <c r="S17" s="915"/>
      <c r="T17" s="915"/>
      <c r="U17" s="915"/>
      <c r="V17" s="915"/>
      <c r="W17" s="915"/>
      <c r="X17" s="915">
        <v>7.91</v>
      </c>
      <c r="Y17" s="915"/>
      <c r="Z17" s="915"/>
      <c r="AA17" s="915"/>
      <c r="AB17" s="915"/>
      <c r="AC17" s="915"/>
      <c r="AD17" s="915">
        <v>6.0806192431269102</v>
      </c>
      <c r="AE17" s="915"/>
      <c r="AF17" s="915"/>
      <c r="AG17" s="915">
        <v>4.8099999999999996</v>
      </c>
      <c r="AH17" s="915"/>
      <c r="AI17" s="820"/>
      <c r="AJ17" s="915"/>
      <c r="AK17" s="915"/>
      <c r="AL17" s="905"/>
      <c r="AM17" s="905"/>
    </row>
    <row r="18" spans="1:39" s="902" customFormat="1" ht="20.100000000000001" customHeight="1" x14ac:dyDescent="0.3">
      <c r="A18" s="918">
        <v>2016</v>
      </c>
      <c r="B18" s="903"/>
      <c r="C18" s="903">
        <v>1.93</v>
      </c>
      <c r="D18" s="903"/>
      <c r="E18" s="903"/>
      <c r="F18" s="903">
        <v>4.26</v>
      </c>
      <c r="G18" s="903"/>
      <c r="H18" s="919"/>
      <c r="I18" s="903"/>
      <c r="J18" s="903"/>
      <c r="K18" s="903"/>
      <c r="L18" s="903">
        <v>3.76</v>
      </c>
      <c r="M18" s="903"/>
      <c r="N18" s="903"/>
      <c r="O18" s="903">
        <v>4.45</v>
      </c>
      <c r="P18" s="903"/>
      <c r="Q18" s="903"/>
      <c r="R18" s="903">
        <v>5.3</v>
      </c>
      <c r="S18" s="903"/>
      <c r="T18" s="903"/>
      <c r="U18" s="903">
        <v>4.1500000000000004</v>
      </c>
      <c r="V18" s="903"/>
      <c r="W18" s="903"/>
      <c r="X18" s="903">
        <v>6.28</v>
      </c>
      <c r="Y18" s="903"/>
      <c r="Z18" s="903"/>
      <c r="AA18" s="903"/>
      <c r="AB18" s="903"/>
      <c r="AC18" s="903"/>
      <c r="AD18" s="903">
        <v>3.99</v>
      </c>
      <c r="AE18" s="903"/>
      <c r="AF18" s="903"/>
      <c r="AG18" s="903">
        <v>6.01</v>
      </c>
      <c r="AH18" s="904"/>
      <c r="AI18" s="575"/>
      <c r="AJ18" s="904"/>
      <c r="AK18" s="904"/>
      <c r="AL18" s="901"/>
      <c r="AM18" s="901"/>
    </row>
    <row r="19" spans="1:39" s="906" customFormat="1" ht="20.100000000000001" customHeight="1" x14ac:dyDescent="0.3">
      <c r="A19" s="918">
        <v>2015</v>
      </c>
      <c r="B19" s="903"/>
      <c r="C19" s="903">
        <v>2.12</v>
      </c>
      <c r="D19" s="903"/>
      <c r="E19" s="903"/>
      <c r="F19" s="903">
        <v>5.05</v>
      </c>
      <c r="G19" s="903"/>
      <c r="H19" s="919"/>
      <c r="I19" s="903"/>
      <c r="J19" s="903"/>
      <c r="K19" s="903"/>
      <c r="L19" s="903">
        <v>4.6719999999999997</v>
      </c>
      <c r="M19" s="903"/>
      <c r="N19" s="903"/>
      <c r="O19" s="903">
        <v>3.63</v>
      </c>
      <c r="P19" s="903"/>
      <c r="Q19" s="903"/>
      <c r="R19" s="903">
        <v>4.8</v>
      </c>
      <c r="S19" s="903"/>
      <c r="T19" s="903"/>
      <c r="U19" s="903">
        <v>3.92</v>
      </c>
      <c r="V19" s="903"/>
      <c r="W19" s="903"/>
      <c r="X19" s="903">
        <v>2.9</v>
      </c>
      <c r="Y19" s="903"/>
      <c r="Z19" s="903"/>
      <c r="AA19" s="903">
        <v>5.6</v>
      </c>
      <c r="AB19" s="903"/>
      <c r="AC19" s="903"/>
      <c r="AD19" s="903">
        <v>2.53314578688892</v>
      </c>
      <c r="AE19" s="903"/>
      <c r="AF19" s="903"/>
      <c r="AG19" s="903">
        <v>5.24</v>
      </c>
      <c r="AH19" s="904"/>
      <c r="AI19" s="575"/>
      <c r="AJ19" s="904"/>
      <c r="AK19" s="904"/>
      <c r="AL19" s="905"/>
      <c r="AM19" s="905"/>
    </row>
    <row r="20" spans="1:39" s="906" customFormat="1" ht="20.100000000000001" customHeight="1" x14ac:dyDescent="0.3">
      <c r="A20" s="918">
        <v>2014</v>
      </c>
      <c r="B20" s="903"/>
      <c r="C20" s="903">
        <v>4.76</v>
      </c>
      <c r="D20" s="903"/>
      <c r="E20" s="903"/>
      <c r="F20" s="903">
        <v>5.4</v>
      </c>
      <c r="G20" s="903"/>
      <c r="H20" s="919"/>
      <c r="I20" s="903"/>
      <c r="J20" s="903"/>
      <c r="K20" s="903"/>
      <c r="L20" s="903">
        <v>4.4669999999999996</v>
      </c>
      <c r="M20" s="903"/>
      <c r="N20" s="903"/>
      <c r="O20" s="903">
        <v>4.34</v>
      </c>
      <c r="P20" s="903"/>
      <c r="Q20" s="903"/>
      <c r="R20" s="903">
        <v>4.5999999999999996</v>
      </c>
      <c r="S20" s="903"/>
      <c r="T20" s="903"/>
      <c r="U20" s="903">
        <v>5.36</v>
      </c>
      <c r="V20" s="903"/>
      <c r="W20" s="903"/>
      <c r="X20" s="903">
        <v>3.99</v>
      </c>
      <c r="Y20" s="903"/>
      <c r="Z20" s="903"/>
      <c r="AA20" s="903">
        <v>4.5</v>
      </c>
      <c r="AB20" s="903"/>
      <c r="AC20" s="903"/>
      <c r="AD20" s="903">
        <v>4.20349548147367</v>
      </c>
      <c r="AE20" s="903"/>
      <c r="AF20" s="903"/>
      <c r="AG20" s="903">
        <v>5.2</v>
      </c>
      <c r="AH20" s="904"/>
      <c r="AI20" s="575"/>
      <c r="AJ20" s="904"/>
      <c r="AK20" s="904"/>
      <c r="AL20" s="905"/>
      <c r="AM20" s="905"/>
    </row>
    <row r="21" spans="1:39" s="906" customFormat="1" ht="20.100000000000001" customHeight="1" x14ac:dyDescent="0.3">
      <c r="A21" s="918">
        <v>2013</v>
      </c>
      <c r="B21" s="903"/>
      <c r="C21" s="903">
        <v>5.25</v>
      </c>
      <c r="D21" s="903"/>
      <c r="E21" s="903"/>
      <c r="F21" s="903">
        <v>4.4400000000000004</v>
      </c>
      <c r="G21" s="903"/>
      <c r="H21" s="919"/>
      <c r="I21" s="903"/>
      <c r="J21" s="903"/>
      <c r="K21" s="903"/>
      <c r="L21" s="903">
        <v>4.4800000000000004</v>
      </c>
      <c r="M21" s="903"/>
      <c r="N21" s="903"/>
      <c r="O21" s="903">
        <v>6.4</v>
      </c>
      <c r="P21" s="903"/>
      <c r="Q21" s="903"/>
      <c r="R21" s="903">
        <v>4</v>
      </c>
      <c r="S21" s="903"/>
      <c r="T21" s="903"/>
      <c r="U21" s="903">
        <v>4.2699999999999996</v>
      </c>
      <c r="V21" s="903"/>
      <c r="W21" s="903"/>
      <c r="X21" s="903">
        <v>4.07</v>
      </c>
      <c r="Y21" s="903"/>
      <c r="Z21" s="903"/>
      <c r="AA21" s="903">
        <v>3.77</v>
      </c>
      <c r="AB21" s="903"/>
      <c r="AC21" s="903"/>
      <c r="AD21" s="903">
        <v>5.6822840931179703</v>
      </c>
      <c r="AE21" s="903"/>
      <c r="AF21" s="903"/>
      <c r="AG21" s="903">
        <v>3</v>
      </c>
      <c r="AH21" s="904"/>
      <c r="AI21" s="575"/>
      <c r="AJ21" s="904"/>
      <c r="AK21" s="904"/>
      <c r="AL21" s="905"/>
      <c r="AM21" s="905"/>
    </row>
    <row r="22" spans="1:39" s="906" customFormat="1" ht="20.100000000000001" customHeight="1" x14ac:dyDescent="0.3">
      <c r="A22" s="920" t="s">
        <v>501</v>
      </c>
      <c r="B22" s="904"/>
      <c r="C22" s="904"/>
      <c r="D22" s="904"/>
      <c r="E22" s="904"/>
      <c r="F22" s="904"/>
      <c r="G22" s="904"/>
      <c r="H22" s="913"/>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575"/>
      <c r="AJ22" s="904"/>
      <c r="AK22" s="904"/>
      <c r="AL22" s="905"/>
      <c r="AM22" s="905"/>
    </row>
    <row r="23" spans="1:39" s="906" customFormat="1" ht="20.100000000000001" customHeight="1" x14ac:dyDescent="0.3">
      <c r="A23" s="918">
        <v>2017</v>
      </c>
      <c r="B23" s="904"/>
      <c r="C23" s="904"/>
      <c r="D23" s="904"/>
      <c r="E23" s="904"/>
      <c r="F23" s="904">
        <v>5.0199999999999996</v>
      </c>
      <c r="G23" s="904"/>
      <c r="H23" s="913"/>
      <c r="I23" s="904"/>
      <c r="J23" s="904"/>
      <c r="K23" s="904"/>
      <c r="L23" s="904"/>
      <c r="M23" s="904"/>
      <c r="N23" s="904"/>
      <c r="O23" s="904"/>
      <c r="P23" s="904"/>
      <c r="Q23" s="904"/>
      <c r="R23" s="904"/>
      <c r="S23" s="904"/>
      <c r="T23" s="904"/>
      <c r="U23" s="904"/>
      <c r="V23" s="904"/>
      <c r="W23" s="904"/>
      <c r="X23" s="904"/>
      <c r="Y23" s="904"/>
      <c r="Z23" s="904"/>
      <c r="AA23" s="904"/>
      <c r="AB23" s="904"/>
      <c r="AC23" s="904"/>
      <c r="AD23" s="904">
        <v>7.2430320850932501</v>
      </c>
      <c r="AE23" s="904"/>
      <c r="AF23" s="904"/>
      <c r="AG23" s="904"/>
      <c r="AH23" s="904"/>
      <c r="AI23" s="575"/>
      <c r="AJ23" s="904"/>
      <c r="AK23" s="904"/>
      <c r="AL23" s="905"/>
      <c r="AM23" s="905"/>
    </row>
    <row r="24" spans="1:39" s="906" customFormat="1" ht="20.100000000000001" customHeight="1" x14ac:dyDescent="0.3">
      <c r="A24" s="918">
        <v>2016</v>
      </c>
      <c r="B24" s="903"/>
      <c r="C24" s="903"/>
      <c r="D24" s="903"/>
      <c r="E24" s="903"/>
      <c r="F24" s="903">
        <v>4.3499999999999996</v>
      </c>
      <c r="G24" s="903"/>
      <c r="H24" s="919"/>
      <c r="I24" s="903"/>
      <c r="J24" s="903"/>
      <c r="K24" s="903"/>
      <c r="L24" s="903"/>
      <c r="M24" s="903"/>
      <c r="N24" s="903"/>
      <c r="O24" s="903"/>
      <c r="P24" s="903"/>
      <c r="Q24" s="903"/>
      <c r="R24" s="903"/>
      <c r="S24" s="903"/>
      <c r="T24" s="903"/>
      <c r="U24" s="903">
        <v>4.1500000000000004</v>
      </c>
      <c r="V24" s="903"/>
      <c r="W24" s="903"/>
      <c r="X24" s="903"/>
      <c r="Y24" s="903"/>
      <c r="Z24" s="903"/>
      <c r="AA24" s="903"/>
      <c r="AB24" s="903"/>
      <c r="AC24" s="903"/>
      <c r="AD24" s="903"/>
      <c r="AE24" s="903"/>
      <c r="AF24" s="903"/>
      <c r="AG24" s="903"/>
      <c r="AH24" s="904"/>
      <c r="AI24" s="575"/>
      <c r="AJ24" s="904"/>
      <c r="AK24" s="904"/>
      <c r="AL24" s="905"/>
      <c r="AM24" s="905"/>
    </row>
    <row r="25" spans="1:39" s="906" customFormat="1" ht="20.100000000000001" customHeight="1" x14ac:dyDescent="0.3">
      <c r="A25" s="918">
        <v>2015</v>
      </c>
      <c r="B25" s="903"/>
      <c r="C25" s="903"/>
      <c r="D25" s="903"/>
      <c r="E25" s="903"/>
      <c r="F25" s="903">
        <v>5.26</v>
      </c>
      <c r="G25" s="903"/>
      <c r="H25" s="919"/>
      <c r="I25" s="903"/>
      <c r="J25" s="903"/>
      <c r="K25" s="903"/>
      <c r="L25" s="903"/>
      <c r="M25" s="903"/>
      <c r="N25" s="903"/>
      <c r="O25" s="903"/>
      <c r="P25" s="903"/>
      <c r="Q25" s="903"/>
      <c r="R25" s="903"/>
      <c r="S25" s="903"/>
      <c r="T25" s="903"/>
      <c r="U25" s="903">
        <v>3.92</v>
      </c>
      <c r="V25" s="903"/>
      <c r="W25" s="903"/>
      <c r="X25" s="903"/>
      <c r="Y25" s="903"/>
      <c r="Z25" s="903"/>
      <c r="AA25" s="903"/>
      <c r="AB25" s="903"/>
      <c r="AC25" s="903"/>
      <c r="AD25" s="903">
        <v>4.8899999999999997</v>
      </c>
      <c r="AE25" s="903"/>
      <c r="AF25" s="903"/>
      <c r="AG25" s="903"/>
      <c r="AH25" s="904"/>
      <c r="AI25" s="575"/>
      <c r="AJ25" s="904"/>
      <c r="AK25" s="904"/>
      <c r="AL25" s="905"/>
      <c r="AM25" s="905"/>
    </row>
    <row r="26" spans="1:39" s="906" customFormat="1" ht="20.100000000000001" customHeight="1" x14ac:dyDescent="0.3">
      <c r="A26" s="918">
        <v>2014</v>
      </c>
      <c r="B26" s="903"/>
      <c r="C26" s="903"/>
      <c r="D26" s="903"/>
      <c r="E26" s="903"/>
      <c r="F26" s="903">
        <v>5.2889999999999997</v>
      </c>
      <c r="G26" s="903"/>
      <c r="H26" s="919"/>
      <c r="I26" s="903"/>
      <c r="J26" s="903"/>
      <c r="K26" s="903"/>
      <c r="L26" s="903"/>
      <c r="M26" s="903"/>
      <c r="N26" s="903"/>
      <c r="O26" s="903"/>
      <c r="P26" s="903"/>
      <c r="Q26" s="903"/>
      <c r="R26" s="903"/>
      <c r="S26" s="903"/>
      <c r="T26" s="903"/>
      <c r="U26" s="903">
        <v>5.36</v>
      </c>
      <c r="V26" s="903"/>
      <c r="W26" s="903"/>
      <c r="X26" s="903"/>
      <c r="Y26" s="903"/>
      <c r="Z26" s="903"/>
      <c r="AA26" s="903"/>
      <c r="AB26" s="903"/>
      <c r="AC26" s="903"/>
      <c r="AD26" s="903">
        <v>4.8026267404587903</v>
      </c>
      <c r="AE26" s="903"/>
      <c r="AF26" s="903"/>
      <c r="AG26" s="903">
        <v>4.05</v>
      </c>
      <c r="AH26" s="904"/>
      <c r="AI26" s="575"/>
      <c r="AJ26" s="904"/>
      <c r="AK26" s="904"/>
      <c r="AL26" s="905"/>
      <c r="AM26" s="905"/>
    </row>
    <row r="27" spans="1:39" s="906" customFormat="1" ht="20.100000000000001" customHeight="1" x14ac:dyDescent="0.3">
      <c r="A27" s="918">
        <v>2013</v>
      </c>
      <c r="B27" s="903"/>
      <c r="C27" s="903"/>
      <c r="D27" s="903"/>
      <c r="E27" s="903"/>
      <c r="F27" s="903">
        <v>4.6399999999999997</v>
      </c>
      <c r="G27" s="903"/>
      <c r="H27" s="919"/>
      <c r="I27" s="903"/>
      <c r="J27" s="903"/>
      <c r="K27" s="903"/>
      <c r="L27" s="903"/>
      <c r="M27" s="903"/>
      <c r="N27" s="903"/>
      <c r="O27" s="903"/>
      <c r="P27" s="903"/>
      <c r="Q27" s="903"/>
      <c r="R27" s="903"/>
      <c r="S27" s="903"/>
      <c r="T27" s="903"/>
      <c r="U27" s="903">
        <v>4.2699999999999996</v>
      </c>
      <c r="V27" s="903"/>
      <c r="W27" s="903"/>
      <c r="X27" s="903"/>
      <c r="Y27" s="903"/>
      <c r="Z27" s="903"/>
      <c r="AA27" s="903"/>
      <c r="AB27" s="903"/>
      <c r="AC27" s="903"/>
      <c r="AD27" s="903">
        <v>5.5574282071782202</v>
      </c>
      <c r="AE27" s="903"/>
      <c r="AF27" s="903"/>
      <c r="AG27" s="903">
        <v>4.9000000000000004</v>
      </c>
      <c r="AH27" s="904"/>
      <c r="AI27" s="575"/>
      <c r="AJ27" s="904"/>
      <c r="AK27" s="904"/>
      <c r="AL27" s="905"/>
      <c r="AM27" s="905"/>
    </row>
    <row r="28" spans="1:39" s="906" customFormat="1" ht="20.100000000000001" customHeight="1" x14ac:dyDescent="0.3">
      <c r="A28" s="920" t="s">
        <v>502</v>
      </c>
      <c r="B28" s="904"/>
      <c r="C28" s="904"/>
      <c r="D28" s="904"/>
      <c r="E28" s="904"/>
      <c r="F28" s="904"/>
      <c r="G28" s="904"/>
      <c r="H28" s="913"/>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575"/>
      <c r="AJ28" s="904"/>
      <c r="AK28" s="904"/>
      <c r="AL28" s="905"/>
      <c r="AM28" s="905"/>
    </row>
    <row r="29" spans="1:39" s="906" customFormat="1" ht="20.100000000000001" customHeight="1" x14ac:dyDescent="0.3">
      <c r="A29" s="918">
        <v>2017</v>
      </c>
      <c r="B29" s="904"/>
      <c r="C29" s="904">
        <v>1.99</v>
      </c>
      <c r="D29" s="904"/>
      <c r="E29" s="904"/>
      <c r="F29" s="904">
        <v>4.74</v>
      </c>
      <c r="G29" s="904"/>
      <c r="H29" s="913"/>
      <c r="I29" s="921"/>
      <c r="J29" s="904"/>
      <c r="K29" s="904"/>
      <c r="L29" s="904">
        <v>3.75</v>
      </c>
      <c r="M29" s="904"/>
      <c r="N29" s="904"/>
      <c r="O29" s="904">
        <v>3.94</v>
      </c>
      <c r="P29" s="904"/>
      <c r="Q29" s="904"/>
      <c r="R29" s="904">
        <v>8.3000000000000007</v>
      </c>
      <c r="S29" s="904"/>
      <c r="T29" s="904"/>
      <c r="U29" s="904"/>
      <c r="V29" s="904"/>
      <c r="W29" s="904"/>
      <c r="X29" s="904"/>
      <c r="Y29" s="904"/>
      <c r="Z29" s="904"/>
      <c r="AA29" s="904"/>
      <c r="AB29" s="904"/>
      <c r="AC29" s="904"/>
      <c r="AD29" s="904">
        <v>5.7183720533544404</v>
      </c>
      <c r="AE29" s="904"/>
      <c r="AF29" s="904"/>
      <c r="AG29" s="904"/>
      <c r="AH29" s="904"/>
      <c r="AI29" s="575"/>
      <c r="AJ29" s="904"/>
      <c r="AK29" s="904"/>
      <c r="AL29" s="905"/>
      <c r="AM29" s="905"/>
    </row>
    <row r="30" spans="1:39" s="906" customFormat="1" ht="20.100000000000001" customHeight="1" x14ac:dyDescent="0.3">
      <c r="A30" s="918">
        <v>2016</v>
      </c>
      <c r="B30" s="904"/>
      <c r="C30" s="903">
        <v>1.93</v>
      </c>
      <c r="D30" s="903"/>
      <c r="E30" s="903"/>
      <c r="F30" s="903">
        <v>3.54</v>
      </c>
      <c r="G30" s="903"/>
      <c r="H30" s="919"/>
      <c r="I30" s="922"/>
      <c r="J30" s="903"/>
      <c r="K30" s="903"/>
      <c r="L30" s="903">
        <v>4.08</v>
      </c>
      <c r="M30" s="903"/>
      <c r="N30" s="903"/>
      <c r="O30" s="903">
        <v>4.45</v>
      </c>
      <c r="P30" s="903"/>
      <c r="Q30" s="903"/>
      <c r="R30" s="903">
        <v>5.3</v>
      </c>
      <c r="S30" s="903"/>
      <c r="T30" s="903"/>
      <c r="U30" s="903">
        <v>4.1500000000000004</v>
      </c>
      <c r="V30" s="903"/>
      <c r="W30" s="903"/>
      <c r="X30" s="903"/>
      <c r="Y30" s="903"/>
      <c r="Z30" s="903"/>
      <c r="AA30" s="903"/>
      <c r="AB30" s="903"/>
      <c r="AC30" s="903"/>
      <c r="AD30" s="903">
        <v>3.46</v>
      </c>
      <c r="AE30" s="903"/>
      <c r="AF30" s="903"/>
      <c r="AG30" s="903"/>
      <c r="AH30" s="904"/>
      <c r="AI30" s="575"/>
      <c r="AJ30" s="904"/>
      <c r="AK30" s="904"/>
      <c r="AL30" s="905"/>
      <c r="AM30" s="905"/>
    </row>
    <row r="31" spans="1:39" s="906" customFormat="1" ht="20.100000000000001" customHeight="1" x14ac:dyDescent="0.3">
      <c r="A31" s="918">
        <v>2015</v>
      </c>
      <c r="B31" s="904"/>
      <c r="C31" s="903">
        <v>2.12</v>
      </c>
      <c r="D31" s="903"/>
      <c r="E31" s="903"/>
      <c r="F31" s="903">
        <v>4.79</v>
      </c>
      <c r="G31" s="903"/>
      <c r="H31" s="919"/>
      <c r="I31" s="922"/>
      <c r="J31" s="903"/>
      <c r="K31" s="903"/>
      <c r="L31" s="903">
        <v>5.43</v>
      </c>
      <c r="M31" s="903"/>
      <c r="N31" s="903"/>
      <c r="O31" s="903">
        <v>3.63</v>
      </c>
      <c r="P31" s="903"/>
      <c r="Q31" s="903"/>
      <c r="R31" s="903">
        <v>4.8</v>
      </c>
      <c r="S31" s="903"/>
      <c r="T31" s="903"/>
      <c r="U31" s="903">
        <v>3.92</v>
      </c>
      <c r="V31" s="903"/>
      <c r="W31" s="903"/>
      <c r="X31" s="903"/>
      <c r="Y31" s="903"/>
      <c r="Z31" s="903"/>
      <c r="AA31" s="903">
        <v>5.6</v>
      </c>
      <c r="AB31" s="903"/>
      <c r="AC31" s="903"/>
      <c r="AD31" s="903">
        <v>1.9026112643808699</v>
      </c>
      <c r="AE31" s="903"/>
      <c r="AF31" s="903"/>
      <c r="AG31" s="903"/>
      <c r="AH31" s="904"/>
      <c r="AI31" s="575"/>
      <c r="AJ31" s="904"/>
      <c r="AK31" s="904"/>
      <c r="AL31" s="905"/>
      <c r="AM31" s="905"/>
    </row>
    <row r="32" spans="1:39" s="906" customFormat="1" ht="20.100000000000001" customHeight="1" x14ac:dyDescent="0.3">
      <c r="A32" s="918">
        <v>2014</v>
      </c>
      <c r="B32" s="904"/>
      <c r="C32" s="903">
        <v>4.76</v>
      </c>
      <c r="D32" s="903"/>
      <c r="E32" s="903"/>
      <c r="F32" s="903">
        <v>5.93</v>
      </c>
      <c r="G32" s="903"/>
      <c r="H32" s="919"/>
      <c r="I32" s="922"/>
      <c r="J32" s="903"/>
      <c r="K32" s="903"/>
      <c r="L32" s="903">
        <v>4.63</v>
      </c>
      <c r="M32" s="903"/>
      <c r="N32" s="903"/>
      <c r="O32" s="903">
        <v>4.34</v>
      </c>
      <c r="P32" s="903"/>
      <c r="Q32" s="903"/>
      <c r="R32" s="903">
        <v>4.5999999999999996</v>
      </c>
      <c r="S32" s="903"/>
      <c r="T32" s="903"/>
      <c r="U32" s="903">
        <v>5.36</v>
      </c>
      <c r="V32" s="903"/>
      <c r="W32" s="903"/>
      <c r="X32" s="903"/>
      <c r="Y32" s="903"/>
      <c r="Z32" s="903"/>
      <c r="AA32" s="903">
        <v>4.5</v>
      </c>
      <c r="AB32" s="903"/>
      <c r="AC32" s="903"/>
      <c r="AD32" s="903">
        <v>3.8015995325596501</v>
      </c>
      <c r="AE32" s="903"/>
      <c r="AF32" s="903"/>
      <c r="AG32" s="903">
        <v>5.39</v>
      </c>
      <c r="AH32" s="904"/>
      <c r="AI32" s="575"/>
      <c r="AJ32" s="904"/>
      <c r="AK32" s="904"/>
      <c r="AL32" s="905"/>
      <c r="AM32" s="905"/>
    </row>
    <row r="33" spans="1:47" s="906" customFormat="1" ht="20.100000000000001" customHeight="1" x14ac:dyDescent="0.3">
      <c r="A33" s="918">
        <v>2013</v>
      </c>
      <c r="B33" s="904"/>
      <c r="C33" s="903">
        <v>5.25</v>
      </c>
      <c r="D33" s="903"/>
      <c r="E33" s="903"/>
      <c r="F33" s="903">
        <v>5.65</v>
      </c>
      <c r="G33" s="903"/>
      <c r="H33" s="919"/>
      <c r="I33" s="922"/>
      <c r="J33" s="903"/>
      <c r="K33" s="903"/>
      <c r="L33" s="903">
        <v>4.57</v>
      </c>
      <c r="M33" s="903"/>
      <c r="N33" s="903"/>
      <c r="O33" s="903">
        <v>6.4</v>
      </c>
      <c r="P33" s="903"/>
      <c r="Q33" s="903"/>
      <c r="R33" s="903">
        <v>4</v>
      </c>
      <c r="S33" s="903"/>
      <c r="T33" s="903"/>
      <c r="U33" s="903">
        <v>4.2699999999999996</v>
      </c>
      <c r="V33" s="903"/>
      <c r="W33" s="903"/>
      <c r="X33" s="903"/>
      <c r="Y33" s="903"/>
      <c r="Z33" s="903"/>
      <c r="AA33" s="903">
        <v>3.77</v>
      </c>
      <c r="AB33" s="903"/>
      <c r="AC33" s="903"/>
      <c r="AD33" s="903">
        <v>6.6529708347937904</v>
      </c>
      <c r="AE33" s="903"/>
      <c r="AF33" s="903"/>
      <c r="AG33" s="903">
        <v>2.21</v>
      </c>
      <c r="AH33" s="904"/>
      <c r="AI33" s="575"/>
      <c r="AJ33" s="904"/>
      <c r="AK33" s="904"/>
      <c r="AL33" s="905"/>
      <c r="AM33" s="905"/>
    </row>
    <row r="34" spans="1:47" s="906" customFormat="1" ht="20.100000000000001" customHeight="1" x14ac:dyDescent="0.3">
      <c r="A34" s="602" t="s">
        <v>503</v>
      </c>
      <c r="B34" s="915"/>
      <c r="C34" s="915"/>
      <c r="D34" s="915"/>
      <c r="E34" s="915"/>
      <c r="F34" s="915"/>
      <c r="G34" s="915"/>
      <c r="H34" s="916"/>
      <c r="I34" s="915"/>
      <c r="J34" s="915"/>
      <c r="K34" s="915"/>
      <c r="L34" s="915"/>
      <c r="M34" s="915"/>
      <c r="N34" s="915"/>
      <c r="O34" s="915"/>
      <c r="P34" s="915"/>
      <c r="Q34" s="915"/>
      <c r="R34" s="915"/>
      <c r="S34" s="915"/>
      <c r="T34" s="915"/>
      <c r="U34" s="915"/>
      <c r="V34" s="915"/>
      <c r="W34" s="915"/>
      <c r="X34" s="915"/>
      <c r="Y34" s="915"/>
      <c r="Z34" s="915"/>
      <c r="AA34" s="915"/>
      <c r="AB34" s="915"/>
      <c r="AC34" s="915"/>
      <c r="AD34" s="915"/>
      <c r="AE34" s="915"/>
      <c r="AF34" s="915"/>
      <c r="AG34" s="915"/>
      <c r="AH34" s="915"/>
      <c r="AI34" s="820"/>
      <c r="AJ34" s="915"/>
      <c r="AK34" s="915"/>
      <c r="AL34" s="905"/>
      <c r="AM34" s="905"/>
    </row>
    <row r="35" spans="1:47" s="906" customFormat="1" ht="20.100000000000001" customHeight="1" x14ac:dyDescent="0.3">
      <c r="A35" s="917" t="s">
        <v>500</v>
      </c>
      <c r="B35" s="923"/>
      <c r="C35" s="915">
        <f>AVERAGE(C36:C40)</f>
        <v>4.4459999999999997</v>
      </c>
      <c r="D35" s="915"/>
      <c r="E35" s="923"/>
      <c r="F35" s="915">
        <f>AVERAGE(F36:F40)</f>
        <v>4.8890599999999997</v>
      </c>
      <c r="G35" s="915"/>
      <c r="H35" s="915"/>
      <c r="I35" s="915"/>
      <c r="J35" s="915"/>
      <c r="K35" s="915"/>
      <c r="L35" s="915">
        <f>AVERAGE(L36:L40)</f>
        <v>4.5144000000000002</v>
      </c>
      <c r="M35" s="915"/>
      <c r="N35" s="923"/>
      <c r="O35" s="915">
        <f>AVERAGE(O36:O40)</f>
        <v>5.8550000000000004</v>
      </c>
      <c r="P35" s="915"/>
      <c r="Q35" s="915"/>
      <c r="R35" s="915">
        <f>AVERAGE(R36:R40)</f>
        <v>5.6859999999999991</v>
      </c>
      <c r="S35" s="915"/>
      <c r="T35" s="915"/>
      <c r="U35" s="915">
        <f>AVERAGE(U36:U40)</f>
        <v>4.7350000000000003</v>
      </c>
      <c r="V35" s="915"/>
      <c r="W35" s="923"/>
      <c r="X35" s="915">
        <f>AVERAGE(X36:X40)</f>
        <v>7.2</v>
      </c>
      <c r="Y35" s="915"/>
      <c r="Z35" s="923"/>
      <c r="AA35" s="915">
        <f>AVERAGE(AA36:AA40)</f>
        <v>5.2666666666666666</v>
      </c>
      <c r="AB35" s="915"/>
      <c r="AC35" s="923"/>
      <c r="AD35" s="915">
        <f>AVERAGE(AD36:AD40)</f>
        <v>6.3589724883307372</v>
      </c>
      <c r="AE35" s="915"/>
      <c r="AF35" s="923"/>
      <c r="AG35" s="915">
        <f>AVERAGE(AG36:AG40)</f>
        <v>5.0619999999999994</v>
      </c>
      <c r="AH35" s="915"/>
      <c r="AI35" s="820"/>
      <c r="AJ35" s="915"/>
      <c r="AK35" s="915"/>
      <c r="AL35" s="905"/>
      <c r="AM35" s="905"/>
    </row>
    <row r="36" spans="1:47" s="906" customFormat="1" ht="20.100000000000001" customHeight="1" x14ac:dyDescent="0.3">
      <c r="A36" s="918">
        <v>2017</v>
      </c>
      <c r="B36" s="923"/>
      <c r="C36" s="923">
        <v>4.1500000000000004</v>
      </c>
      <c r="D36" s="915"/>
      <c r="E36" s="923"/>
      <c r="F36" s="923">
        <v>4.92</v>
      </c>
      <c r="G36" s="915"/>
      <c r="H36" s="924"/>
      <c r="I36" s="923"/>
      <c r="J36" s="915"/>
      <c r="K36" s="915"/>
      <c r="L36" s="915">
        <v>4.22</v>
      </c>
      <c r="M36" s="915"/>
      <c r="N36" s="923"/>
      <c r="O36" s="923"/>
      <c r="P36" s="915"/>
      <c r="Q36" s="915"/>
      <c r="R36" s="915">
        <v>5.6</v>
      </c>
      <c r="S36" s="915"/>
      <c r="T36" s="915"/>
      <c r="U36" s="915"/>
      <c r="V36" s="915"/>
      <c r="W36" s="923"/>
      <c r="X36" s="923">
        <v>9.17</v>
      </c>
      <c r="Y36" s="915"/>
      <c r="Z36" s="923"/>
      <c r="AA36" s="923"/>
      <c r="AB36" s="915"/>
      <c r="AC36" s="923"/>
      <c r="AD36" s="923">
        <v>8.0327444650206896</v>
      </c>
      <c r="AE36" s="915"/>
      <c r="AF36" s="923"/>
      <c r="AG36" s="923">
        <v>5.32</v>
      </c>
      <c r="AH36" s="915"/>
      <c r="AI36" s="820"/>
      <c r="AJ36" s="915"/>
      <c r="AK36" s="915"/>
      <c r="AL36" s="905"/>
      <c r="AM36" s="905"/>
    </row>
    <row r="37" spans="1:47" s="902" customFormat="1" ht="20.100000000000001" customHeight="1" x14ac:dyDescent="0.3">
      <c r="A37" s="918">
        <v>2016</v>
      </c>
      <c r="B37" s="925"/>
      <c r="C37" s="925">
        <v>4.18</v>
      </c>
      <c r="D37" s="903"/>
      <c r="E37" s="925"/>
      <c r="F37" s="925">
        <v>4.2699999999999996</v>
      </c>
      <c r="G37" s="903"/>
      <c r="H37" s="922"/>
      <c r="I37" s="925"/>
      <c r="J37" s="903"/>
      <c r="K37" s="903"/>
      <c r="L37" s="903">
        <v>4.66</v>
      </c>
      <c r="M37" s="903"/>
      <c r="N37" s="925"/>
      <c r="O37" s="925">
        <v>5.83</v>
      </c>
      <c r="P37" s="903"/>
      <c r="Q37" s="903"/>
      <c r="R37" s="903">
        <v>5.83</v>
      </c>
      <c r="S37" s="903"/>
      <c r="T37" s="903"/>
      <c r="U37" s="903">
        <v>4.42</v>
      </c>
      <c r="V37" s="903"/>
      <c r="W37" s="925"/>
      <c r="X37" s="925">
        <v>5.35</v>
      </c>
      <c r="Y37" s="903"/>
      <c r="Z37" s="925"/>
      <c r="AA37" s="925"/>
      <c r="AB37" s="903"/>
      <c r="AC37" s="925"/>
      <c r="AD37" s="925">
        <v>4.8899999999999997</v>
      </c>
      <c r="AE37" s="903"/>
      <c r="AF37" s="925"/>
      <c r="AG37" s="925">
        <v>4.8099999999999996</v>
      </c>
      <c r="AH37" s="904"/>
      <c r="AI37" s="575"/>
      <c r="AJ37" s="904"/>
      <c r="AK37" s="904"/>
      <c r="AL37" s="901"/>
      <c r="AM37" s="901"/>
    </row>
    <row r="38" spans="1:47" s="906" customFormat="1" ht="20.100000000000001" customHeight="1" x14ac:dyDescent="0.3">
      <c r="A38" s="918">
        <v>2015</v>
      </c>
      <c r="B38" s="925"/>
      <c r="C38" s="925">
        <v>0.69</v>
      </c>
      <c r="D38" s="903"/>
      <c r="E38" s="925"/>
      <c r="F38" s="925">
        <v>4.66</v>
      </c>
      <c r="G38" s="903"/>
      <c r="H38" s="922"/>
      <c r="I38" s="925"/>
      <c r="J38" s="903"/>
      <c r="K38" s="903"/>
      <c r="L38" s="903">
        <v>4.6790000000000003</v>
      </c>
      <c r="M38" s="903"/>
      <c r="N38" s="925"/>
      <c r="O38" s="925">
        <v>3.95</v>
      </c>
      <c r="P38" s="903"/>
      <c r="Q38" s="903"/>
      <c r="R38" s="903">
        <v>4.7</v>
      </c>
      <c r="S38" s="903"/>
      <c r="T38" s="903"/>
      <c r="U38" s="903">
        <v>3.55</v>
      </c>
      <c r="V38" s="903"/>
      <c r="W38" s="925"/>
      <c r="X38" s="925">
        <v>5.0999999999999996</v>
      </c>
      <c r="Y38" s="903"/>
      <c r="Z38" s="925"/>
      <c r="AA38" s="925">
        <v>3.39</v>
      </c>
      <c r="AB38" s="903"/>
      <c r="AC38" s="925"/>
      <c r="AD38" s="925">
        <v>3.5837826760902098</v>
      </c>
      <c r="AE38" s="903"/>
      <c r="AF38" s="925"/>
      <c r="AG38" s="925">
        <v>4.34</v>
      </c>
      <c r="AH38" s="904"/>
      <c r="AI38" s="575"/>
      <c r="AJ38" s="904"/>
      <c r="AK38" s="904"/>
      <c r="AL38" s="905"/>
      <c r="AM38" s="905"/>
    </row>
    <row r="39" spans="1:47" s="906" customFormat="1" ht="20.100000000000001" customHeight="1" x14ac:dyDescent="0.3">
      <c r="A39" s="918">
        <v>2014</v>
      </c>
      <c r="B39" s="925"/>
      <c r="C39" s="925">
        <v>6.81</v>
      </c>
      <c r="D39" s="903"/>
      <c r="E39" s="925"/>
      <c r="F39" s="925">
        <v>5.45</v>
      </c>
      <c r="G39" s="903"/>
      <c r="H39" s="922"/>
      <c r="I39" s="925"/>
      <c r="J39" s="903"/>
      <c r="K39" s="903"/>
      <c r="L39" s="903">
        <v>4.4630000000000001</v>
      </c>
      <c r="M39" s="903"/>
      <c r="N39" s="925"/>
      <c r="O39" s="925">
        <v>6.94</v>
      </c>
      <c r="P39" s="903"/>
      <c r="Q39" s="903"/>
      <c r="R39" s="903">
        <v>6.1</v>
      </c>
      <c r="S39" s="903"/>
      <c r="T39" s="903"/>
      <c r="U39" s="903">
        <v>5.1100000000000003</v>
      </c>
      <c r="V39" s="903"/>
      <c r="W39" s="925"/>
      <c r="X39" s="925">
        <v>7.56</v>
      </c>
      <c r="Y39" s="903"/>
      <c r="Z39" s="925"/>
      <c r="AA39" s="925">
        <v>6.01</v>
      </c>
      <c r="AB39" s="903"/>
      <c r="AC39" s="925"/>
      <c r="AD39" s="925">
        <v>7.2163751507943399</v>
      </c>
      <c r="AE39" s="903"/>
      <c r="AF39" s="925"/>
      <c r="AG39" s="925">
        <v>6.25</v>
      </c>
      <c r="AH39" s="904"/>
      <c r="AI39" s="575"/>
      <c r="AJ39" s="904"/>
      <c r="AK39" s="904"/>
      <c r="AL39" s="905"/>
      <c r="AM39" s="905"/>
      <c r="AU39" s="930"/>
    </row>
    <row r="40" spans="1:47" s="906" customFormat="1" ht="20.100000000000001" customHeight="1" x14ac:dyDescent="0.3">
      <c r="A40" s="918">
        <v>2013</v>
      </c>
      <c r="B40" s="925"/>
      <c r="C40" s="925">
        <v>6.4</v>
      </c>
      <c r="D40" s="903"/>
      <c r="E40" s="925"/>
      <c r="F40" s="925">
        <v>5.1452999999999998</v>
      </c>
      <c r="G40" s="903"/>
      <c r="H40" s="922"/>
      <c r="I40" s="925"/>
      <c r="J40" s="903"/>
      <c r="K40" s="903"/>
      <c r="L40" s="903">
        <v>4.55</v>
      </c>
      <c r="M40" s="903"/>
      <c r="N40" s="925"/>
      <c r="O40" s="925">
        <v>6.7</v>
      </c>
      <c r="P40" s="903"/>
      <c r="Q40" s="903"/>
      <c r="R40" s="903">
        <v>6.2</v>
      </c>
      <c r="S40" s="903"/>
      <c r="T40" s="903"/>
      <c r="U40" s="903">
        <v>5.86</v>
      </c>
      <c r="V40" s="903"/>
      <c r="W40" s="925"/>
      <c r="X40" s="925">
        <v>8.82</v>
      </c>
      <c r="Y40" s="903"/>
      <c r="Z40" s="925"/>
      <c r="AA40" s="925">
        <v>6.4</v>
      </c>
      <c r="AB40" s="903"/>
      <c r="AC40" s="925"/>
      <c r="AD40" s="925">
        <v>8.0719601497484508</v>
      </c>
      <c r="AE40" s="903"/>
      <c r="AF40" s="925"/>
      <c r="AG40" s="925">
        <v>4.59</v>
      </c>
      <c r="AH40" s="904"/>
      <c r="AI40" s="575"/>
      <c r="AJ40" s="904"/>
      <c r="AK40" s="904"/>
      <c r="AL40" s="905"/>
      <c r="AM40" s="905"/>
    </row>
    <row r="41" spans="1:47" s="906" customFormat="1" ht="20.100000000000001" customHeight="1" x14ac:dyDescent="0.3">
      <c r="A41" s="920" t="s">
        <v>501</v>
      </c>
      <c r="B41" s="904"/>
      <c r="C41" s="904"/>
      <c r="D41" s="904"/>
      <c r="E41" s="904"/>
      <c r="F41" s="904"/>
      <c r="G41" s="904"/>
      <c r="H41" s="913"/>
      <c r="I41" s="904"/>
      <c r="J41" s="904"/>
      <c r="K41" s="904"/>
      <c r="L41" s="904"/>
      <c r="M41" s="904"/>
      <c r="N41" s="904"/>
      <c r="O41" s="904"/>
      <c r="P41" s="904"/>
      <c r="Q41" s="904"/>
      <c r="R41" s="904"/>
      <c r="S41" s="904"/>
      <c r="T41" s="904"/>
      <c r="U41" s="904"/>
      <c r="V41" s="904"/>
      <c r="W41" s="904"/>
      <c r="X41" s="904"/>
      <c r="Y41" s="904"/>
      <c r="Z41" s="904"/>
      <c r="AA41" s="904"/>
      <c r="AB41" s="904"/>
      <c r="AC41" s="904"/>
      <c r="AD41" s="904"/>
      <c r="AE41" s="904"/>
      <c r="AF41" s="904"/>
      <c r="AG41" s="904"/>
      <c r="AH41" s="904"/>
      <c r="AI41" s="575"/>
      <c r="AJ41" s="904"/>
      <c r="AK41" s="904"/>
      <c r="AL41" s="905"/>
      <c r="AM41" s="905"/>
    </row>
    <row r="42" spans="1:47" s="906" customFormat="1" ht="20.100000000000001" customHeight="1" x14ac:dyDescent="0.3">
      <c r="A42" s="918">
        <v>2017</v>
      </c>
      <c r="B42" s="904"/>
      <c r="C42" s="904"/>
      <c r="D42" s="904"/>
      <c r="E42" s="904"/>
      <c r="F42" s="904">
        <v>5.69</v>
      </c>
      <c r="G42" s="904"/>
      <c r="H42" s="913"/>
      <c r="I42" s="904"/>
      <c r="J42" s="904"/>
      <c r="K42" s="904"/>
      <c r="L42" s="904"/>
      <c r="M42" s="904"/>
      <c r="N42" s="904"/>
      <c r="O42" s="904"/>
      <c r="P42" s="904"/>
      <c r="Q42" s="904"/>
      <c r="R42" s="904"/>
      <c r="S42" s="904"/>
      <c r="T42" s="904"/>
      <c r="U42" s="904"/>
      <c r="V42" s="904"/>
      <c r="W42" s="904"/>
      <c r="X42" s="904"/>
      <c r="Y42" s="904"/>
      <c r="Z42" s="904"/>
      <c r="AA42" s="904"/>
      <c r="AB42" s="904"/>
      <c r="AC42" s="904"/>
      <c r="AD42" s="904">
        <v>8.5075958174620503</v>
      </c>
      <c r="AE42" s="904"/>
      <c r="AF42" s="904"/>
      <c r="AG42" s="904"/>
      <c r="AH42" s="904"/>
      <c r="AI42" s="575"/>
      <c r="AJ42" s="904"/>
      <c r="AK42" s="904"/>
      <c r="AL42" s="905"/>
      <c r="AM42" s="905"/>
    </row>
    <row r="43" spans="1:47" s="906" customFormat="1" ht="20.100000000000001" customHeight="1" x14ac:dyDescent="0.3">
      <c r="A43" s="918">
        <v>2016</v>
      </c>
      <c r="B43" s="903"/>
      <c r="C43" s="903"/>
      <c r="D43" s="903"/>
      <c r="E43" s="903"/>
      <c r="F43" s="903">
        <v>4.62</v>
      </c>
      <c r="G43" s="903"/>
      <c r="H43" s="919"/>
      <c r="I43" s="903"/>
      <c r="J43" s="903"/>
      <c r="K43" s="903"/>
      <c r="L43" s="903"/>
      <c r="M43" s="903"/>
      <c r="N43" s="903"/>
      <c r="O43" s="903"/>
      <c r="P43" s="903"/>
      <c r="Q43" s="903"/>
      <c r="R43" s="903"/>
      <c r="S43" s="903"/>
      <c r="T43" s="903"/>
      <c r="U43" s="903">
        <v>4.42</v>
      </c>
      <c r="V43" s="903"/>
      <c r="W43" s="903"/>
      <c r="X43" s="903"/>
      <c r="Y43" s="903"/>
      <c r="Z43" s="903"/>
      <c r="AA43" s="903"/>
      <c r="AB43" s="903"/>
      <c r="AC43" s="903"/>
      <c r="AD43" s="903">
        <v>5.23</v>
      </c>
      <c r="AE43" s="903"/>
      <c r="AF43" s="903"/>
      <c r="AG43" s="903"/>
      <c r="AH43" s="904"/>
      <c r="AI43" s="575"/>
      <c r="AJ43" s="904"/>
      <c r="AK43" s="904"/>
      <c r="AL43" s="905"/>
      <c r="AM43" s="905"/>
    </row>
    <row r="44" spans="1:47" s="906" customFormat="1" ht="20.100000000000001" customHeight="1" x14ac:dyDescent="0.3">
      <c r="A44" s="918">
        <v>2015</v>
      </c>
      <c r="B44" s="903"/>
      <c r="C44" s="903"/>
      <c r="D44" s="903"/>
      <c r="E44" s="903"/>
      <c r="F44" s="903">
        <v>4.29</v>
      </c>
      <c r="G44" s="903"/>
      <c r="H44" s="919"/>
      <c r="I44" s="903"/>
      <c r="J44" s="903"/>
      <c r="K44" s="903"/>
      <c r="L44" s="903"/>
      <c r="M44" s="903"/>
      <c r="N44" s="903"/>
      <c r="O44" s="903"/>
      <c r="P44" s="903"/>
      <c r="Q44" s="903"/>
      <c r="R44" s="903"/>
      <c r="S44" s="903"/>
      <c r="T44" s="903"/>
      <c r="U44" s="903">
        <v>3.55</v>
      </c>
      <c r="V44" s="903"/>
      <c r="W44" s="903"/>
      <c r="X44" s="903"/>
      <c r="Y44" s="903"/>
      <c r="Z44" s="903"/>
      <c r="AA44" s="903"/>
      <c r="AB44" s="903"/>
      <c r="AC44" s="903"/>
      <c r="AD44" s="903">
        <v>4.00108762548372</v>
      </c>
      <c r="AE44" s="903"/>
      <c r="AF44" s="903"/>
      <c r="AG44" s="903">
        <v>4.41</v>
      </c>
      <c r="AH44" s="904"/>
      <c r="AI44" s="575"/>
      <c r="AJ44" s="904"/>
      <c r="AK44" s="904"/>
      <c r="AL44" s="905"/>
      <c r="AM44" s="905"/>
    </row>
    <row r="45" spans="1:47" s="906" customFormat="1" ht="19.5" customHeight="1" x14ac:dyDescent="0.3">
      <c r="A45" s="918">
        <v>2014</v>
      </c>
      <c r="B45" s="903"/>
      <c r="C45" s="903"/>
      <c r="D45" s="903"/>
      <c r="E45" s="903"/>
      <c r="F45" s="903">
        <v>5.56</v>
      </c>
      <c r="G45" s="903"/>
      <c r="H45" s="919"/>
      <c r="I45" s="903"/>
      <c r="J45" s="903"/>
      <c r="K45" s="903"/>
      <c r="L45" s="903"/>
      <c r="M45" s="903"/>
      <c r="N45" s="903"/>
      <c r="O45" s="903"/>
      <c r="P45" s="903"/>
      <c r="Q45" s="903"/>
      <c r="R45" s="903"/>
      <c r="S45" s="903"/>
      <c r="T45" s="903"/>
      <c r="U45" s="903">
        <v>5.1100000000000003</v>
      </c>
      <c r="V45" s="903"/>
      <c r="W45" s="903"/>
      <c r="X45" s="903"/>
      <c r="Y45" s="903"/>
      <c r="Z45" s="903"/>
      <c r="AA45" s="903"/>
      <c r="AB45" s="903"/>
      <c r="AC45" s="903"/>
      <c r="AD45" s="903">
        <v>7.9419173659891698</v>
      </c>
      <c r="AE45" s="903"/>
      <c r="AF45" s="903"/>
      <c r="AG45" s="903">
        <v>5.75</v>
      </c>
      <c r="AH45" s="904"/>
      <c r="AI45" s="575"/>
      <c r="AJ45" s="904"/>
      <c r="AK45" s="904"/>
      <c r="AL45" s="905"/>
      <c r="AM45" s="905"/>
    </row>
    <row r="46" spans="1:47" ht="19.5" customHeight="1" x14ac:dyDescent="0.3">
      <c r="A46" s="918">
        <v>2013</v>
      </c>
      <c r="B46" s="903"/>
      <c r="C46" s="903"/>
      <c r="D46" s="903"/>
      <c r="E46" s="903"/>
      <c r="F46" s="903">
        <v>5.2495000000000003</v>
      </c>
      <c r="G46" s="903"/>
      <c r="H46" s="919"/>
      <c r="I46" s="903"/>
      <c r="J46" s="903"/>
      <c r="K46" s="903"/>
      <c r="L46" s="903"/>
      <c r="M46" s="903"/>
      <c r="N46" s="903"/>
      <c r="O46" s="903"/>
      <c r="P46" s="903"/>
      <c r="Q46" s="903"/>
      <c r="R46" s="903"/>
      <c r="S46" s="903"/>
      <c r="T46" s="903"/>
      <c r="U46" s="903">
        <v>5.86</v>
      </c>
      <c r="V46" s="903"/>
      <c r="W46" s="903"/>
      <c r="X46" s="903"/>
      <c r="Y46" s="903"/>
      <c r="Z46" s="903"/>
      <c r="AA46" s="903"/>
      <c r="AB46" s="903"/>
      <c r="AC46" s="903"/>
      <c r="AD46" s="903">
        <v>8.8568235755330598</v>
      </c>
      <c r="AE46" s="903"/>
      <c r="AF46" s="903"/>
      <c r="AG46" s="903">
        <v>5.43</v>
      </c>
      <c r="AH46" s="904"/>
      <c r="AI46" s="575"/>
      <c r="AJ46" s="904"/>
      <c r="AK46" s="904"/>
      <c r="AM46" s="649"/>
    </row>
    <row r="47" spans="1:47" s="614" customFormat="1" ht="18.75" x14ac:dyDescent="0.3">
      <c r="A47" s="920" t="s">
        <v>502</v>
      </c>
      <c r="B47" s="904"/>
      <c r="C47" s="904"/>
      <c r="D47" s="904"/>
      <c r="E47" s="904"/>
      <c r="F47" s="904"/>
      <c r="G47" s="904"/>
      <c r="H47" s="913"/>
      <c r="I47" s="904"/>
      <c r="J47" s="904"/>
      <c r="K47" s="904"/>
      <c r="L47" s="904"/>
      <c r="M47" s="904"/>
      <c r="N47" s="904"/>
      <c r="O47" s="904"/>
      <c r="P47" s="904"/>
      <c r="Q47" s="904"/>
      <c r="R47" s="904"/>
      <c r="S47" s="904"/>
      <c r="T47" s="904"/>
      <c r="U47" s="904"/>
      <c r="V47" s="904"/>
      <c r="W47" s="914"/>
      <c r="X47" s="914"/>
      <c r="Y47" s="904"/>
      <c r="Z47" s="914"/>
      <c r="AA47" s="914"/>
      <c r="AB47" s="904"/>
      <c r="AC47" s="914"/>
      <c r="AD47" s="914"/>
      <c r="AE47" s="904"/>
      <c r="AF47" s="904"/>
      <c r="AG47" s="904"/>
      <c r="AH47" s="904"/>
      <c r="AI47" s="575"/>
      <c r="AJ47" s="904"/>
      <c r="AK47" s="904"/>
    </row>
    <row r="48" spans="1:47" s="614" customFormat="1" ht="18.75" x14ac:dyDescent="0.3">
      <c r="A48" s="918">
        <v>2017</v>
      </c>
      <c r="B48" s="904"/>
      <c r="C48" s="904">
        <v>4.1500000000000004</v>
      </c>
      <c r="D48" s="904"/>
      <c r="E48" s="904"/>
      <c r="F48" s="904">
        <v>5.43</v>
      </c>
      <c r="G48" s="904"/>
      <c r="H48" s="913"/>
      <c r="I48" s="904"/>
      <c r="J48" s="904"/>
      <c r="K48" s="904"/>
      <c r="L48" s="904">
        <v>4.47</v>
      </c>
      <c r="M48" s="904"/>
      <c r="N48" s="904"/>
      <c r="O48" s="904">
        <v>6.74</v>
      </c>
      <c r="P48" s="904"/>
      <c r="Q48" s="904"/>
      <c r="R48" s="904">
        <v>5.6</v>
      </c>
      <c r="S48" s="904"/>
      <c r="T48" s="904"/>
      <c r="U48" s="904"/>
      <c r="V48" s="904"/>
      <c r="W48" s="914"/>
      <c r="X48" s="914"/>
      <c r="Y48" s="904"/>
      <c r="Z48" s="914"/>
      <c r="AA48" s="914"/>
      <c r="AB48" s="904"/>
      <c r="AC48" s="914"/>
      <c r="AD48" s="914">
        <v>7.7392028099042101</v>
      </c>
      <c r="AE48" s="904"/>
      <c r="AF48" s="904"/>
      <c r="AG48" s="904"/>
      <c r="AH48" s="904"/>
      <c r="AI48" s="575"/>
      <c r="AJ48" s="904"/>
      <c r="AK48" s="904"/>
    </row>
    <row r="49" spans="1:37" s="614" customFormat="1" ht="18.75" x14ac:dyDescent="0.3">
      <c r="A49" s="918">
        <v>2016</v>
      </c>
      <c r="B49" s="904"/>
      <c r="C49" s="904">
        <v>4.18</v>
      </c>
      <c r="D49" s="904"/>
      <c r="E49" s="903"/>
      <c r="F49" s="903">
        <v>4.3499999999999996</v>
      </c>
      <c r="G49" s="903"/>
      <c r="H49" s="919"/>
      <c r="I49" s="903"/>
      <c r="J49" s="903"/>
      <c r="K49" s="903"/>
      <c r="L49" s="903">
        <v>4.87</v>
      </c>
      <c r="M49" s="903"/>
      <c r="N49" s="903"/>
      <c r="O49" s="903">
        <v>5.83</v>
      </c>
      <c r="P49" s="903"/>
      <c r="Q49" s="903"/>
      <c r="R49" s="903">
        <v>5.83</v>
      </c>
      <c r="S49" s="903"/>
      <c r="T49" s="903"/>
      <c r="U49" s="903">
        <v>4.42</v>
      </c>
      <c r="V49" s="903"/>
      <c r="W49" s="925"/>
      <c r="X49" s="925"/>
      <c r="Y49" s="903"/>
      <c r="Z49" s="925"/>
      <c r="AA49" s="925"/>
      <c r="AB49" s="903"/>
      <c r="AC49" s="925"/>
      <c r="AD49" s="925">
        <v>4.6399999999999997</v>
      </c>
      <c r="AE49" s="903"/>
      <c r="AF49" s="903"/>
      <c r="AG49" s="903"/>
      <c r="AH49" s="904"/>
      <c r="AI49" s="575"/>
      <c r="AJ49" s="904"/>
      <c r="AK49" s="904"/>
    </row>
    <row r="50" spans="1:37" s="614" customFormat="1" ht="18.75" x14ac:dyDescent="0.3">
      <c r="A50" s="918">
        <v>2015</v>
      </c>
      <c r="B50" s="904"/>
      <c r="C50" s="904">
        <v>0.69</v>
      </c>
      <c r="D50" s="904"/>
      <c r="E50" s="903"/>
      <c r="F50" s="903">
        <v>4.34</v>
      </c>
      <c r="G50" s="903"/>
      <c r="H50" s="919"/>
      <c r="I50" s="903"/>
      <c r="J50" s="903"/>
      <c r="K50" s="903"/>
      <c r="L50" s="903">
        <v>5.4189999999999996</v>
      </c>
      <c r="M50" s="903"/>
      <c r="N50" s="903"/>
      <c r="O50" s="903">
        <v>3.95</v>
      </c>
      <c r="P50" s="903"/>
      <c r="Q50" s="903"/>
      <c r="R50" s="903">
        <v>4.7</v>
      </c>
      <c r="S50" s="903"/>
      <c r="T50" s="903"/>
      <c r="U50" s="903">
        <v>3.55</v>
      </c>
      <c r="V50" s="903"/>
      <c r="W50" s="925"/>
      <c r="X50" s="925"/>
      <c r="Y50" s="903"/>
      <c r="Z50" s="925"/>
      <c r="AA50" s="925">
        <v>3.39</v>
      </c>
      <c r="AB50" s="903"/>
      <c r="AC50" s="925"/>
      <c r="AD50" s="925">
        <v>3.6594227914219499</v>
      </c>
      <c r="AE50" s="903"/>
      <c r="AF50" s="903"/>
      <c r="AG50" s="903">
        <v>4.7699999999999996</v>
      </c>
      <c r="AH50" s="904"/>
      <c r="AI50" s="575"/>
      <c r="AJ50" s="904"/>
      <c r="AK50" s="904"/>
    </row>
    <row r="51" spans="1:37" s="614" customFormat="1" ht="18.75" x14ac:dyDescent="0.3">
      <c r="A51" s="918">
        <v>2014</v>
      </c>
      <c r="B51" s="904"/>
      <c r="C51" s="904">
        <v>6.81</v>
      </c>
      <c r="D51" s="904"/>
      <c r="E51" s="903"/>
      <c r="F51" s="903">
        <v>5.87</v>
      </c>
      <c r="G51" s="903"/>
      <c r="H51" s="919"/>
      <c r="I51" s="903"/>
      <c r="J51" s="903"/>
      <c r="K51" s="903"/>
      <c r="L51" s="903">
        <v>4.625</v>
      </c>
      <c r="M51" s="903"/>
      <c r="N51" s="903"/>
      <c r="O51" s="903">
        <v>6.94</v>
      </c>
      <c r="P51" s="903"/>
      <c r="Q51" s="903"/>
      <c r="R51" s="903">
        <v>6.1</v>
      </c>
      <c r="S51" s="903"/>
      <c r="T51" s="903"/>
      <c r="U51" s="903">
        <v>5.1100000000000003</v>
      </c>
      <c r="V51" s="903"/>
      <c r="W51" s="925"/>
      <c r="X51" s="925"/>
      <c r="Y51" s="903"/>
      <c r="Z51" s="925"/>
      <c r="AA51" s="925">
        <v>6.01</v>
      </c>
      <c r="AB51" s="903"/>
      <c r="AC51" s="925"/>
      <c r="AD51" s="925">
        <v>6.9696881004068096</v>
      </c>
      <c r="AE51" s="903"/>
      <c r="AF51" s="903"/>
      <c r="AG51" s="903">
        <v>6.41</v>
      </c>
      <c r="AH51" s="904"/>
      <c r="AI51" s="575"/>
      <c r="AJ51" s="904"/>
      <c r="AK51" s="904"/>
    </row>
    <row r="52" spans="1:37" s="614" customFormat="1" ht="18.75" x14ac:dyDescent="0.3">
      <c r="A52" s="918">
        <v>2013</v>
      </c>
      <c r="B52" s="926"/>
      <c r="C52" s="926">
        <v>6.4</v>
      </c>
      <c r="D52" s="926"/>
      <c r="E52" s="927"/>
      <c r="F52" s="927">
        <v>6.6056999999999997</v>
      </c>
      <c r="G52" s="927"/>
      <c r="H52" s="928"/>
      <c r="I52" s="927"/>
      <c r="J52" s="927"/>
      <c r="K52" s="927"/>
      <c r="L52" s="927">
        <v>4.67</v>
      </c>
      <c r="M52" s="927"/>
      <c r="N52" s="927"/>
      <c r="O52" s="927">
        <v>6.7</v>
      </c>
      <c r="P52" s="927"/>
      <c r="Q52" s="927"/>
      <c r="R52" s="927">
        <v>6.2</v>
      </c>
      <c r="S52" s="927"/>
      <c r="T52" s="927"/>
      <c r="U52" s="927">
        <v>5.86</v>
      </c>
      <c r="V52" s="927"/>
      <c r="W52" s="929"/>
      <c r="X52" s="929"/>
      <c r="Y52" s="927"/>
      <c r="Z52" s="929"/>
      <c r="AA52" s="929">
        <v>6.4</v>
      </c>
      <c r="AB52" s="927"/>
      <c r="AC52" s="929"/>
      <c r="AD52" s="929">
        <v>8.1266643674760903</v>
      </c>
      <c r="AE52" s="927"/>
      <c r="AF52" s="927"/>
      <c r="AG52" s="927">
        <v>4.0199999999999996</v>
      </c>
      <c r="AH52" s="926"/>
      <c r="AI52" s="827"/>
      <c r="AJ52" s="926"/>
      <c r="AK52" s="926"/>
    </row>
    <row r="53" spans="1:37" s="614" customFormat="1" ht="18.75" x14ac:dyDescent="0.3">
      <c r="A53" s="614" t="s">
        <v>273</v>
      </c>
    </row>
    <row r="54" spans="1:37" s="614" customFormat="1" ht="18.75" x14ac:dyDescent="0.3"/>
    <row r="55" spans="1:37" s="614" customFormat="1" ht="18.75" x14ac:dyDescent="0.3"/>
    <row r="56" spans="1:37" s="614" customFormat="1" ht="18.75" x14ac:dyDescent="0.3"/>
    <row r="57" spans="1:37" s="614" customFormat="1" ht="18.75" x14ac:dyDescent="0.3"/>
    <row r="58" spans="1:37" s="614" customFormat="1" ht="18.75" x14ac:dyDescent="0.3"/>
    <row r="59" spans="1:37" s="614" customFormat="1" ht="18.75" x14ac:dyDescent="0.3"/>
  </sheetData>
  <mergeCells count="32">
    <mergeCell ref="W5:Y5"/>
    <mergeCell ref="B5:D5"/>
    <mergeCell ref="E5:G5"/>
    <mergeCell ref="H5:J5"/>
    <mergeCell ref="K5:M5"/>
    <mergeCell ref="Q5:S5"/>
    <mergeCell ref="AT5:AV5"/>
    <mergeCell ref="AW5:AY5"/>
    <mergeCell ref="AZ5:BB5"/>
    <mergeCell ref="B6:D6"/>
    <mergeCell ref="E6:G6"/>
    <mergeCell ref="H6:J6"/>
    <mergeCell ref="K6:M6"/>
    <mergeCell ref="N6:P6"/>
    <mergeCell ref="Q6:S6"/>
    <mergeCell ref="T6:V6"/>
    <mergeCell ref="Z5:AB5"/>
    <mergeCell ref="AC5:AE5"/>
    <mergeCell ref="AF5:AH5"/>
    <mergeCell ref="AI5:AK5"/>
    <mergeCell ref="AN5:AP5"/>
    <mergeCell ref="AQ5:AS5"/>
    <mergeCell ref="AQ6:AS6"/>
    <mergeCell ref="AT6:AV6"/>
    <mergeCell ref="AW6:AY6"/>
    <mergeCell ref="AZ6:BB6"/>
    <mergeCell ref="W6:Y6"/>
    <mergeCell ref="Z6:AB6"/>
    <mergeCell ref="AC6:AE6"/>
    <mergeCell ref="AF6:AH6"/>
    <mergeCell ref="AI6:AK6"/>
    <mergeCell ref="AN6:AP6"/>
  </mergeCells>
  <hyperlinks>
    <hyperlink ref="B1" location="Innhold!A1" display="Tilbake"/>
  </hyperlinks>
  <pageMargins left="0.78740157480314965" right="0.78740157480314965" top="1.5748031496062993" bottom="0.98425196850393704" header="0.51181102362204722" footer="0.51181102362204722"/>
  <pageSetup paperSize="9" scale="45" fitToWidth="4" orientation="portrait" r:id="rId1"/>
  <headerFooter alignWithMargins="0"/>
  <colBreaks count="4" manualBreakCount="4">
    <brk id="10" min="1" max="72" man="1"/>
    <brk id="19" min="1" max="72" man="1"/>
    <brk id="28" min="1" max="72" man="1"/>
    <brk id="40"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dimension ref="A2:Q65"/>
  <sheetViews>
    <sheetView showGridLines="0" topLeftCell="A2" zoomScale="90" zoomScaleNormal="90" workbookViewId="0"/>
  </sheetViews>
  <sheetFormatPr baseColWidth="10" defaultColWidth="11.42578125" defaultRowHeight="12.75" x14ac:dyDescent="0.2"/>
  <cols>
    <col min="1" max="1" width="66.28515625" style="1" customWidth="1"/>
    <col min="2" max="2" width="4.28515625" style="49" customWidth="1"/>
    <col min="3" max="3" width="105.140625" style="1" customWidth="1"/>
    <col min="4" max="8" width="12.7109375" style="1" customWidth="1"/>
    <col min="9" max="257" width="11.42578125" style="1"/>
    <col min="258" max="258" width="2.7109375" style="1" customWidth="1"/>
    <col min="259" max="259" width="176.7109375" style="1" customWidth="1"/>
    <col min="260" max="260" width="11.42578125" style="1"/>
    <col min="261" max="261" width="176.7109375" style="1" customWidth="1"/>
    <col min="262" max="262" width="11.42578125" style="1"/>
    <col min="263" max="263" width="88.7109375" style="1" customWidth="1"/>
    <col min="264" max="513" width="11.42578125" style="1"/>
    <col min="514" max="514" width="2.7109375" style="1" customWidth="1"/>
    <col min="515" max="515" width="176.7109375" style="1" customWidth="1"/>
    <col min="516" max="516" width="11.42578125" style="1"/>
    <col min="517" max="517" width="176.7109375" style="1" customWidth="1"/>
    <col min="518" max="518" width="11.42578125" style="1"/>
    <col min="519" max="519" width="88.7109375" style="1" customWidth="1"/>
    <col min="520" max="769" width="11.42578125" style="1"/>
    <col min="770" max="770" width="2.7109375" style="1" customWidth="1"/>
    <col min="771" max="771" width="176.7109375" style="1" customWidth="1"/>
    <col min="772" max="772" width="11.42578125" style="1"/>
    <col min="773" max="773" width="176.7109375" style="1" customWidth="1"/>
    <col min="774" max="774" width="11.42578125" style="1"/>
    <col min="775" max="775" width="88.7109375" style="1" customWidth="1"/>
    <col min="776" max="1025" width="11.42578125" style="1"/>
    <col min="1026" max="1026" width="2.7109375" style="1" customWidth="1"/>
    <col min="1027" max="1027" width="176.7109375" style="1" customWidth="1"/>
    <col min="1028" max="1028" width="11.42578125" style="1"/>
    <col min="1029" max="1029" width="176.7109375" style="1" customWidth="1"/>
    <col min="1030" max="1030" width="11.42578125" style="1"/>
    <col min="1031" max="1031" width="88.7109375" style="1" customWidth="1"/>
    <col min="1032" max="1281" width="11.42578125" style="1"/>
    <col min="1282" max="1282" width="2.7109375" style="1" customWidth="1"/>
    <col min="1283" max="1283" width="176.7109375" style="1" customWidth="1"/>
    <col min="1284" max="1284" width="11.42578125" style="1"/>
    <col min="1285" max="1285" width="176.7109375" style="1" customWidth="1"/>
    <col min="1286" max="1286" width="11.42578125" style="1"/>
    <col min="1287" max="1287" width="88.7109375" style="1" customWidth="1"/>
    <col min="1288" max="1537" width="11.42578125" style="1"/>
    <col min="1538" max="1538" width="2.7109375" style="1" customWidth="1"/>
    <col min="1539" max="1539" width="176.7109375" style="1" customWidth="1"/>
    <col min="1540" max="1540" width="11.42578125" style="1"/>
    <col min="1541" max="1541" width="176.7109375" style="1" customWidth="1"/>
    <col min="1542" max="1542" width="11.42578125" style="1"/>
    <col min="1543" max="1543" width="88.7109375" style="1" customWidth="1"/>
    <col min="1544" max="1793" width="11.42578125" style="1"/>
    <col min="1794" max="1794" width="2.7109375" style="1" customWidth="1"/>
    <col min="1795" max="1795" width="176.7109375" style="1" customWidth="1"/>
    <col min="1796" max="1796" width="11.42578125" style="1"/>
    <col min="1797" max="1797" width="176.7109375" style="1" customWidth="1"/>
    <col min="1798" max="1798" width="11.42578125" style="1"/>
    <col min="1799" max="1799" width="88.7109375" style="1" customWidth="1"/>
    <col min="1800" max="2049" width="11.42578125" style="1"/>
    <col min="2050" max="2050" width="2.7109375" style="1" customWidth="1"/>
    <col min="2051" max="2051" width="176.7109375" style="1" customWidth="1"/>
    <col min="2052" max="2052" width="11.42578125" style="1"/>
    <col min="2053" max="2053" width="176.7109375" style="1" customWidth="1"/>
    <col min="2054" max="2054" width="11.42578125" style="1"/>
    <col min="2055" max="2055" width="88.7109375" style="1" customWidth="1"/>
    <col min="2056" max="2305" width="11.42578125" style="1"/>
    <col min="2306" max="2306" width="2.7109375" style="1" customWidth="1"/>
    <col min="2307" max="2307" width="176.7109375" style="1" customWidth="1"/>
    <col min="2308" max="2308" width="11.42578125" style="1"/>
    <col min="2309" max="2309" width="176.7109375" style="1" customWidth="1"/>
    <col min="2310" max="2310" width="11.42578125" style="1"/>
    <col min="2311" max="2311" width="88.7109375" style="1" customWidth="1"/>
    <col min="2312" max="2561" width="11.42578125" style="1"/>
    <col min="2562" max="2562" width="2.7109375" style="1" customWidth="1"/>
    <col min="2563" max="2563" width="176.7109375" style="1" customWidth="1"/>
    <col min="2564" max="2564" width="11.42578125" style="1"/>
    <col min="2565" max="2565" width="176.7109375" style="1" customWidth="1"/>
    <col min="2566" max="2566" width="11.42578125" style="1"/>
    <col min="2567" max="2567" width="88.7109375" style="1" customWidth="1"/>
    <col min="2568" max="2817" width="11.42578125" style="1"/>
    <col min="2818" max="2818" width="2.7109375" style="1" customWidth="1"/>
    <col min="2819" max="2819" width="176.7109375" style="1" customWidth="1"/>
    <col min="2820" max="2820" width="11.42578125" style="1"/>
    <col min="2821" max="2821" width="176.7109375" style="1" customWidth="1"/>
    <col min="2822" max="2822" width="11.42578125" style="1"/>
    <col min="2823" max="2823" width="88.7109375" style="1" customWidth="1"/>
    <col min="2824" max="3073" width="11.42578125" style="1"/>
    <col min="3074" max="3074" width="2.7109375" style="1" customWidth="1"/>
    <col min="3075" max="3075" width="176.7109375" style="1" customWidth="1"/>
    <col min="3076" max="3076" width="11.42578125" style="1"/>
    <col min="3077" max="3077" width="176.7109375" style="1" customWidth="1"/>
    <col min="3078" max="3078" width="11.42578125" style="1"/>
    <col min="3079" max="3079" width="88.7109375" style="1" customWidth="1"/>
    <col min="3080" max="3329" width="11.42578125" style="1"/>
    <col min="3330" max="3330" width="2.7109375" style="1" customWidth="1"/>
    <col min="3331" max="3331" width="176.7109375" style="1" customWidth="1"/>
    <col min="3332" max="3332" width="11.42578125" style="1"/>
    <col min="3333" max="3333" width="176.7109375" style="1" customWidth="1"/>
    <col min="3334" max="3334" width="11.42578125" style="1"/>
    <col min="3335" max="3335" width="88.7109375" style="1" customWidth="1"/>
    <col min="3336" max="3585" width="11.42578125" style="1"/>
    <col min="3586" max="3586" width="2.7109375" style="1" customWidth="1"/>
    <col min="3587" max="3587" width="176.7109375" style="1" customWidth="1"/>
    <col min="3588" max="3588" width="11.42578125" style="1"/>
    <col min="3589" max="3589" width="176.7109375" style="1" customWidth="1"/>
    <col min="3590" max="3590" width="11.42578125" style="1"/>
    <col min="3591" max="3591" width="88.7109375" style="1" customWidth="1"/>
    <col min="3592" max="3841" width="11.42578125" style="1"/>
    <col min="3842" max="3842" width="2.7109375" style="1" customWidth="1"/>
    <col min="3843" max="3843" width="176.7109375" style="1" customWidth="1"/>
    <col min="3844" max="3844" width="11.42578125" style="1"/>
    <col min="3845" max="3845" width="176.7109375" style="1" customWidth="1"/>
    <col min="3846" max="3846" width="11.42578125" style="1"/>
    <col min="3847" max="3847" width="88.7109375" style="1" customWidth="1"/>
    <col min="3848" max="4097" width="11.42578125" style="1"/>
    <col min="4098" max="4098" width="2.7109375" style="1" customWidth="1"/>
    <col min="4099" max="4099" width="176.7109375" style="1" customWidth="1"/>
    <col min="4100" max="4100" width="11.42578125" style="1"/>
    <col min="4101" max="4101" width="176.7109375" style="1" customWidth="1"/>
    <col min="4102" max="4102" width="11.42578125" style="1"/>
    <col min="4103" max="4103" width="88.7109375" style="1" customWidth="1"/>
    <col min="4104" max="4353" width="11.42578125" style="1"/>
    <col min="4354" max="4354" width="2.7109375" style="1" customWidth="1"/>
    <col min="4355" max="4355" width="176.7109375" style="1" customWidth="1"/>
    <col min="4356" max="4356" width="11.42578125" style="1"/>
    <col min="4357" max="4357" width="176.7109375" style="1" customWidth="1"/>
    <col min="4358" max="4358" width="11.42578125" style="1"/>
    <col min="4359" max="4359" width="88.7109375" style="1" customWidth="1"/>
    <col min="4360" max="4609" width="11.42578125" style="1"/>
    <col min="4610" max="4610" width="2.7109375" style="1" customWidth="1"/>
    <col min="4611" max="4611" width="176.7109375" style="1" customWidth="1"/>
    <col min="4612" max="4612" width="11.42578125" style="1"/>
    <col min="4613" max="4613" width="176.7109375" style="1" customWidth="1"/>
    <col min="4614" max="4614" width="11.42578125" style="1"/>
    <col min="4615" max="4615" width="88.7109375" style="1" customWidth="1"/>
    <col min="4616" max="4865" width="11.42578125" style="1"/>
    <col min="4866" max="4866" width="2.7109375" style="1" customWidth="1"/>
    <col min="4867" max="4867" width="176.7109375" style="1" customWidth="1"/>
    <col min="4868" max="4868" width="11.42578125" style="1"/>
    <col min="4869" max="4869" width="176.7109375" style="1" customWidth="1"/>
    <col min="4870" max="4870" width="11.42578125" style="1"/>
    <col min="4871" max="4871" width="88.7109375" style="1" customWidth="1"/>
    <col min="4872" max="5121" width="11.42578125" style="1"/>
    <col min="5122" max="5122" width="2.7109375" style="1" customWidth="1"/>
    <col min="5123" max="5123" width="176.7109375" style="1" customWidth="1"/>
    <col min="5124" max="5124" width="11.42578125" style="1"/>
    <col min="5125" max="5125" width="176.7109375" style="1" customWidth="1"/>
    <col min="5126" max="5126" width="11.42578125" style="1"/>
    <col min="5127" max="5127" width="88.7109375" style="1" customWidth="1"/>
    <col min="5128" max="5377" width="11.42578125" style="1"/>
    <col min="5378" max="5378" width="2.7109375" style="1" customWidth="1"/>
    <col min="5379" max="5379" width="176.7109375" style="1" customWidth="1"/>
    <col min="5380" max="5380" width="11.42578125" style="1"/>
    <col min="5381" max="5381" width="176.7109375" style="1" customWidth="1"/>
    <col min="5382" max="5382" width="11.42578125" style="1"/>
    <col min="5383" max="5383" width="88.7109375" style="1" customWidth="1"/>
    <col min="5384" max="5633" width="11.42578125" style="1"/>
    <col min="5634" max="5634" width="2.7109375" style="1" customWidth="1"/>
    <col min="5635" max="5635" width="176.7109375" style="1" customWidth="1"/>
    <col min="5636" max="5636" width="11.42578125" style="1"/>
    <col min="5637" max="5637" width="176.7109375" style="1" customWidth="1"/>
    <col min="5638" max="5638" width="11.42578125" style="1"/>
    <col min="5639" max="5639" width="88.7109375" style="1" customWidth="1"/>
    <col min="5640" max="5889" width="11.42578125" style="1"/>
    <col min="5890" max="5890" width="2.7109375" style="1" customWidth="1"/>
    <col min="5891" max="5891" width="176.7109375" style="1" customWidth="1"/>
    <col min="5892" max="5892" width="11.42578125" style="1"/>
    <col min="5893" max="5893" width="176.7109375" style="1" customWidth="1"/>
    <col min="5894" max="5894" width="11.42578125" style="1"/>
    <col min="5895" max="5895" width="88.7109375" style="1" customWidth="1"/>
    <col min="5896" max="6145" width="11.42578125" style="1"/>
    <col min="6146" max="6146" width="2.7109375" style="1" customWidth="1"/>
    <col min="6147" max="6147" width="176.7109375" style="1" customWidth="1"/>
    <col min="6148" max="6148" width="11.42578125" style="1"/>
    <col min="6149" max="6149" width="176.7109375" style="1" customWidth="1"/>
    <col min="6150" max="6150" width="11.42578125" style="1"/>
    <col min="6151" max="6151" width="88.7109375" style="1" customWidth="1"/>
    <col min="6152" max="6401" width="11.42578125" style="1"/>
    <col min="6402" max="6402" width="2.7109375" style="1" customWidth="1"/>
    <col min="6403" max="6403" width="176.7109375" style="1" customWidth="1"/>
    <col min="6404" max="6404" width="11.42578125" style="1"/>
    <col min="6405" max="6405" width="176.7109375" style="1" customWidth="1"/>
    <col min="6406" max="6406" width="11.42578125" style="1"/>
    <col min="6407" max="6407" width="88.7109375" style="1" customWidth="1"/>
    <col min="6408" max="6657" width="11.42578125" style="1"/>
    <col min="6658" max="6658" width="2.7109375" style="1" customWidth="1"/>
    <col min="6659" max="6659" width="176.7109375" style="1" customWidth="1"/>
    <col min="6660" max="6660" width="11.42578125" style="1"/>
    <col min="6661" max="6661" width="176.7109375" style="1" customWidth="1"/>
    <col min="6662" max="6662" width="11.42578125" style="1"/>
    <col min="6663" max="6663" width="88.7109375" style="1" customWidth="1"/>
    <col min="6664" max="6913" width="11.42578125" style="1"/>
    <col min="6914" max="6914" width="2.7109375" style="1" customWidth="1"/>
    <col min="6915" max="6915" width="176.7109375" style="1" customWidth="1"/>
    <col min="6916" max="6916" width="11.42578125" style="1"/>
    <col min="6917" max="6917" width="176.7109375" style="1" customWidth="1"/>
    <col min="6918" max="6918" width="11.42578125" style="1"/>
    <col min="6919" max="6919" width="88.7109375" style="1" customWidth="1"/>
    <col min="6920" max="7169" width="11.42578125" style="1"/>
    <col min="7170" max="7170" width="2.7109375" style="1" customWidth="1"/>
    <col min="7171" max="7171" width="176.7109375" style="1" customWidth="1"/>
    <col min="7172" max="7172" width="11.42578125" style="1"/>
    <col min="7173" max="7173" width="176.7109375" style="1" customWidth="1"/>
    <col min="7174" max="7174" width="11.42578125" style="1"/>
    <col min="7175" max="7175" width="88.7109375" style="1" customWidth="1"/>
    <col min="7176" max="7425" width="11.42578125" style="1"/>
    <col min="7426" max="7426" width="2.7109375" style="1" customWidth="1"/>
    <col min="7427" max="7427" width="176.7109375" style="1" customWidth="1"/>
    <col min="7428" max="7428" width="11.42578125" style="1"/>
    <col min="7429" max="7429" width="176.7109375" style="1" customWidth="1"/>
    <col min="7430" max="7430" width="11.42578125" style="1"/>
    <col min="7431" max="7431" width="88.7109375" style="1" customWidth="1"/>
    <col min="7432" max="7681" width="11.42578125" style="1"/>
    <col min="7682" max="7682" width="2.7109375" style="1" customWidth="1"/>
    <col min="7683" max="7683" width="176.7109375" style="1" customWidth="1"/>
    <col min="7684" max="7684" width="11.42578125" style="1"/>
    <col min="7685" max="7685" width="176.7109375" style="1" customWidth="1"/>
    <col min="7686" max="7686" width="11.42578125" style="1"/>
    <col min="7687" max="7687" width="88.7109375" style="1" customWidth="1"/>
    <col min="7688" max="7937" width="11.42578125" style="1"/>
    <col min="7938" max="7938" width="2.7109375" style="1" customWidth="1"/>
    <col min="7939" max="7939" width="176.7109375" style="1" customWidth="1"/>
    <col min="7940" max="7940" width="11.42578125" style="1"/>
    <col min="7941" max="7941" width="176.7109375" style="1" customWidth="1"/>
    <col min="7942" max="7942" width="11.42578125" style="1"/>
    <col min="7943" max="7943" width="88.7109375" style="1" customWidth="1"/>
    <col min="7944" max="8193" width="11.42578125" style="1"/>
    <col min="8194" max="8194" width="2.7109375" style="1" customWidth="1"/>
    <col min="8195" max="8195" width="176.7109375" style="1" customWidth="1"/>
    <col min="8196" max="8196" width="11.42578125" style="1"/>
    <col min="8197" max="8197" width="176.7109375" style="1" customWidth="1"/>
    <col min="8198" max="8198" width="11.42578125" style="1"/>
    <col min="8199" max="8199" width="88.7109375" style="1" customWidth="1"/>
    <col min="8200" max="8449" width="11.42578125" style="1"/>
    <col min="8450" max="8450" width="2.7109375" style="1" customWidth="1"/>
    <col min="8451" max="8451" width="176.7109375" style="1" customWidth="1"/>
    <col min="8452" max="8452" width="11.42578125" style="1"/>
    <col min="8453" max="8453" width="176.7109375" style="1" customWidth="1"/>
    <col min="8454" max="8454" width="11.42578125" style="1"/>
    <col min="8455" max="8455" width="88.7109375" style="1" customWidth="1"/>
    <col min="8456" max="8705" width="11.42578125" style="1"/>
    <col min="8706" max="8706" width="2.7109375" style="1" customWidth="1"/>
    <col min="8707" max="8707" width="176.7109375" style="1" customWidth="1"/>
    <col min="8708" max="8708" width="11.42578125" style="1"/>
    <col min="8709" max="8709" width="176.7109375" style="1" customWidth="1"/>
    <col min="8710" max="8710" width="11.42578125" style="1"/>
    <col min="8711" max="8711" width="88.7109375" style="1" customWidth="1"/>
    <col min="8712" max="8961" width="11.42578125" style="1"/>
    <col min="8962" max="8962" width="2.7109375" style="1" customWidth="1"/>
    <col min="8963" max="8963" width="176.7109375" style="1" customWidth="1"/>
    <col min="8964" max="8964" width="11.42578125" style="1"/>
    <col min="8965" max="8965" width="176.7109375" style="1" customWidth="1"/>
    <col min="8966" max="8966" width="11.42578125" style="1"/>
    <col min="8967" max="8967" width="88.7109375" style="1" customWidth="1"/>
    <col min="8968" max="9217" width="11.42578125" style="1"/>
    <col min="9218" max="9218" width="2.7109375" style="1" customWidth="1"/>
    <col min="9219" max="9219" width="176.7109375" style="1" customWidth="1"/>
    <col min="9220" max="9220" width="11.42578125" style="1"/>
    <col min="9221" max="9221" width="176.7109375" style="1" customWidth="1"/>
    <col min="9222" max="9222" width="11.42578125" style="1"/>
    <col min="9223" max="9223" width="88.7109375" style="1" customWidth="1"/>
    <col min="9224" max="9473" width="11.42578125" style="1"/>
    <col min="9474" max="9474" width="2.7109375" style="1" customWidth="1"/>
    <col min="9475" max="9475" width="176.7109375" style="1" customWidth="1"/>
    <col min="9476" max="9476" width="11.42578125" style="1"/>
    <col min="9477" max="9477" width="176.7109375" style="1" customWidth="1"/>
    <col min="9478" max="9478" width="11.42578125" style="1"/>
    <col min="9479" max="9479" width="88.7109375" style="1" customWidth="1"/>
    <col min="9480" max="9729" width="11.42578125" style="1"/>
    <col min="9730" max="9730" width="2.7109375" style="1" customWidth="1"/>
    <col min="9731" max="9731" width="176.7109375" style="1" customWidth="1"/>
    <col min="9732" max="9732" width="11.42578125" style="1"/>
    <col min="9733" max="9733" width="176.7109375" style="1" customWidth="1"/>
    <col min="9734" max="9734" width="11.42578125" style="1"/>
    <col min="9735" max="9735" width="88.7109375" style="1" customWidth="1"/>
    <col min="9736" max="9985" width="11.42578125" style="1"/>
    <col min="9986" max="9986" width="2.7109375" style="1" customWidth="1"/>
    <col min="9987" max="9987" width="176.7109375" style="1" customWidth="1"/>
    <col min="9988" max="9988" width="11.42578125" style="1"/>
    <col min="9989" max="9989" width="176.7109375" style="1" customWidth="1"/>
    <col min="9990" max="9990" width="11.42578125" style="1"/>
    <col min="9991" max="9991" width="88.7109375" style="1" customWidth="1"/>
    <col min="9992" max="10241" width="11.42578125" style="1"/>
    <col min="10242" max="10242" width="2.7109375" style="1" customWidth="1"/>
    <col min="10243" max="10243" width="176.7109375" style="1" customWidth="1"/>
    <col min="10244" max="10244" width="11.42578125" style="1"/>
    <col min="10245" max="10245" width="176.7109375" style="1" customWidth="1"/>
    <col min="10246" max="10246" width="11.42578125" style="1"/>
    <col min="10247" max="10247" width="88.7109375" style="1" customWidth="1"/>
    <col min="10248" max="10497" width="11.42578125" style="1"/>
    <col min="10498" max="10498" width="2.7109375" style="1" customWidth="1"/>
    <col min="10499" max="10499" width="176.7109375" style="1" customWidth="1"/>
    <col min="10500" max="10500" width="11.42578125" style="1"/>
    <col min="10501" max="10501" width="176.7109375" style="1" customWidth="1"/>
    <col min="10502" max="10502" width="11.42578125" style="1"/>
    <col min="10503" max="10503" width="88.7109375" style="1" customWidth="1"/>
    <col min="10504" max="10753" width="11.42578125" style="1"/>
    <col min="10754" max="10754" width="2.7109375" style="1" customWidth="1"/>
    <col min="10755" max="10755" width="176.7109375" style="1" customWidth="1"/>
    <col min="10756" max="10756" width="11.42578125" style="1"/>
    <col min="10757" max="10757" width="176.7109375" style="1" customWidth="1"/>
    <col min="10758" max="10758" width="11.42578125" style="1"/>
    <col min="10759" max="10759" width="88.7109375" style="1" customWidth="1"/>
    <col min="10760" max="11009" width="11.42578125" style="1"/>
    <col min="11010" max="11010" width="2.7109375" style="1" customWidth="1"/>
    <col min="11011" max="11011" width="176.7109375" style="1" customWidth="1"/>
    <col min="11012" max="11012" width="11.42578125" style="1"/>
    <col min="11013" max="11013" width="176.7109375" style="1" customWidth="1"/>
    <col min="11014" max="11014" width="11.42578125" style="1"/>
    <col min="11015" max="11015" width="88.7109375" style="1" customWidth="1"/>
    <col min="11016" max="11265" width="11.42578125" style="1"/>
    <col min="11266" max="11266" width="2.7109375" style="1" customWidth="1"/>
    <col min="11267" max="11267" width="176.7109375" style="1" customWidth="1"/>
    <col min="11268" max="11268" width="11.42578125" style="1"/>
    <col min="11269" max="11269" width="176.7109375" style="1" customWidth="1"/>
    <col min="11270" max="11270" width="11.42578125" style="1"/>
    <col min="11271" max="11271" width="88.7109375" style="1" customWidth="1"/>
    <col min="11272" max="11521" width="11.42578125" style="1"/>
    <col min="11522" max="11522" width="2.7109375" style="1" customWidth="1"/>
    <col min="11523" max="11523" width="176.7109375" style="1" customWidth="1"/>
    <col min="11524" max="11524" width="11.42578125" style="1"/>
    <col min="11525" max="11525" width="176.7109375" style="1" customWidth="1"/>
    <col min="11526" max="11526" width="11.42578125" style="1"/>
    <col min="11527" max="11527" width="88.7109375" style="1" customWidth="1"/>
    <col min="11528" max="11777" width="11.42578125" style="1"/>
    <col min="11778" max="11778" width="2.7109375" style="1" customWidth="1"/>
    <col min="11779" max="11779" width="176.7109375" style="1" customWidth="1"/>
    <col min="11780" max="11780" width="11.42578125" style="1"/>
    <col min="11781" max="11781" width="176.7109375" style="1" customWidth="1"/>
    <col min="11782" max="11782" width="11.42578125" style="1"/>
    <col min="11783" max="11783" width="88.7109375" style="1" customWidth="1"/>
    <col min="11784" max="12033" width="11.42578125" style="1"/>
    <col min="12034" max="12034" width="2.7109375" style="1" customWidth="1"/>
    <col min="12035" max="12035" width="176.7109375" style="1" customWidth="1"/>
    <col min="12036" max="12036" width="11.42578125" style="1"/>
    <col min="12037" max="12037" width="176.7109375" style="1" customWidth="1"/>
    <col min="12038" max="12038" width="11.42578125" style="1"/>
    <col min="12039" max="12039" width="88.7109375" style="1" customWidth="1"/>
    <col min="12040" max="12289" width="11.42578125" style="1"/>
    <col min="12290" max="12290" width="2.7109375" style="1" customWidth="1"/>
    <col min="12291" max="12291" width="176.7109375" style="1" customWidth="1"/>
    <col min="12292" max="12292" width="11.42578125" style="1"/>
    <col min="12293" max="12293" width="176.7109375" style="1" customWidth="1"/>
    <col min="12294" max="12294" width="11.42578125" style="1"/>
    <col min="12295" max="12295" width="88.7109375" style="1" customWidth="1"/>
    <col min="12296" max="12545" width="11.42578125" style="1"/>
    <col min="12546" max="12546" width="2.7109375" style="1" customWidth="1"/>
    <col min="12547" max="12547" width="176.7109375" style="1" customWidth="1"/>
    <col min="12548" max="12548" width="11.42578125" style="1"/>
    <col min="12549" max="12549" width="176.7109375" style="1" customWidth="1"/>
    <col min="12550" max="12550" width="11.42578125" style="1"/>
    <col min="12551" max="12551" width="88.7109375" style="1" customWidth="1"/>
    <col min="12552" max="12801" width="11.42578125" style="1"/>
    <col min="12802" max="12802" width="2.7109375" style="1" customWidth="1"/>
    <col min="12803" max="12803" width="176.7109375" style="1" customWidth="1"/>
    <col min="12804" max="12804" width="11.42578125" style="1"/>
    <col min="12805" max="12805" width="176.7109375" style="1" customWidth="1"/>
    <col min="12806" max="12806" width="11.42578125" style="1"/>
    <col min="12807" max="12807" width="88.7109375" style="1" customWidth="1"/>
    <col min="12808" max="13057" width="11.42578125" style="1"/>
    <col min="13058" max="13058" width="2.7109375" style="1" customWidth="1"/>
    <col min="13059" max="13059" width="176.7109375" style="1" customWidth="1"/>
    <col min="13060" max="13060" width="11.42578125" style="1"/>
    <col min="13061" max="13061" width="176.7109375" style="1" customWidth="1"/>
    <col min="13062" max="13062" width="11.42578125" style="1"/>
    <col min="13063" max="13063" width="88.7109375" style="1" customWidth="1"/>
    <col min="13064" max="13313" width="11.42578125" style="1"/>
    <col min="13314" max="13314" width="2.7109375" style="1" customWidth="1"/>
    <col min="13315" max="13315" width="176.7109375" style="1" customWidth="1"/>
    <col min="13316" max="13316" width="11.42578125" style="1"/>
    <col min="13317" max="13317" width="176.7109375" style="1" customWidth="1"/>
    <col min="13318" max="13318" width="11.42578125" style="1"/>
    <col min="13319" max="13319" width="88.7109375" style="1" customWidth="1"/>
    <col min="13320" max="13569" width="11.42578125" style="1"/>
    <col min="13570" max="13570" width="2.7109375" style="1" customWidth="1"/>
    <col min="13571" max="13571" width="176.7109375" style="1" customWidth="1"/>
    <col min="13572" max="13572" width="11.42578125" style="1"/>
    <col min="13573" max="13573" width="176.7109375" style="1" customWidth="1"/>
    <col min="13574" max="13574" width="11.42578125" style="1"/>
    <col min="13575" max="13575" width="88.7109375" style="1" customWidth="1"/>
    <col min="13576" max="13825" width="11.42578125" style="1"/>
    <col min="13826" max="13826" width="2.7109375" style="1" customWidth="1"/>
    <col min="13827" max="13827" width="176.7109375" style="1" customWidth="1"/>
    <col min="13828" max="13828" width="11.42578125" style="1"/>
    <col min="13829" max="13829" width="176.7109375" style="1" customWidth="1"/>
    <col min="13830" max="13830" width="11.42578125" style="1"/>
    <col min="13831" max="13831" width="88.7109375" style="1" customWidth="1"/>
    <col min="13832" max="14081" width="11.42578125" style="1"/>
    <col min="14082" max="14082" width="2.7109375" style="1" customWidth="1"/>
    <col min="14083" max="14083" width="176.7109375" style="1" customWidth="1"/>
    <col min="14084" max="14084" width="11.42578125" style="1"/>
    <col min="14085" max="14085" width="176.7109375" style="1" customWidth="1"/>
    <col min="14086" max="14086" width="11.42578125" style="1"/>
    <col min="14087" max="14087" width="88.7109375" style="1" customWidth="1"/>
    <col min="14088" max="14337" width="11.42578125" style="1"/>
    <col min="14338" max="14338" width="2.7109375" style="1" customWidth="1"/>
    <col min="14339" max="14339" width="176.7109375" style="1" customWidth="1"/>
    <col min="14340" max="14340" width="11.42578125" style="1"/>
    <col min="14341" max="14341" width="176.7109375" style="1" customWidth="1"/>
    <col min="14342" max="14342" width="11.42578125" style="1"/>
    <col min="14343" max="14343" width="88.7109375" style="1" customWidth="1"/>
    <col min="14344" max="14593" width="11.42578125" style="1"/>
    <col min="14594" max="14594" width="2.7109375" style="1" customWidth="1"/>
    <col min="14595" max="14595" width="176.7109375" style="1" customWidth="1"/>
    <col min="14596" max="14596" width="11.42578125" style="1"/>
    <col min="14597" max="14597" width="176.7109375" style="1" customWidth="1"/>
    <col min="14598" max="14598" width="11.42578125" style="1"/>
    <col min="14599" max="14599" width="88.7109375" style="1" customWidth="1"/>
    <col min="14600" max="14849" width="11.42578125" style="1"/>
    <col min="14850" max="14850" width="2.7109375" style="1" customWidth="1"/>
    <col min="14851" max="14851" width="176.7109375" style="1" customWidth="1"/>
    <col min="14852" max="14852" width="11.42578125" style="1"/>
    <col min="14853" max="14853" width="176.7109375" style="1" customWidth="1"/>
    <col min="14854" max="14854" width="11.42578125" style="1"/>
    <col min="14855" max="14855" width="88.7109375" style="1" customWidth="1"/>
    <col min="14856" max="15105" width="11.42578125" style="1"/>
    <col min="15106" max="15106" width="2.7109375" style="1" customWidth="1"/>
    <col min="15107" max="15107" width="176.7109375" style="1" customWidth="1"/>
    <col min="15108" max="15108" width="11.42578125" style="1"/>
    <col min="15109" max="15109" width="176.7109375" style="1" customWidth="1"/>
    <col min="15110" max="15110" width="11.42578125" style="1"/>
    <col min="15111" max="15111" width="88.7109375" style="1" customWidth="1"/>
    <col min="15112" max="15361" width="11.42578125" style="1"/>
    <col min="15362" max="15362" width="2.7109375" style="1" customWidth="1"/>
    <col min="15363" max="15363" width="176.7109375" style="1" customWidth="1"/>
    <col min="15364" max="15364" width="11.42578125" style="1"/>
    <col min="15365" max="15365" width="176.7109375" style="1" customWidth="1"/>
    <col min="15366" max="15366" width="11.42578125" style="1"/>
    <col min="15367" max="15367" width="88.7109375" style="1" customWidth="1"/>
    <col min="15368" max="15617" width="11.42578125" style="1"/>
    <col min="15618" max="15618" width="2.7109375" style="1" customWidth="1"/>
    <col min="15619" max="15619" width="176.7109375" style="1" customWidth="1"/>
    <col min="15620" max="15620" width="11.42578125" style="1"/>
    <col min="15621" max="15621" width="176.7109375" style="1" customWidth="1"/>
    <col min="15622" max="15622" width="11.42578125" style="1"/>
    <col min="15623" max="15623" width="88.7109375" style="1" customWidth="1"/>
    <col min="15624" max="15873" width="11.42578125" style="1"/>
    <col min="15874" max="15874" width="2.7109375" style="1" customWidth="1"/>
    <col min="15875" max="15875" width="176.7109375" style="1" customWidth="1"/>
    <col min="15876" max="15876" width="11.42578125" style="1"/>
    <col min="15877" max="15877" width="176.7109375" style="1" customWidth="1"/>
    <col min="15878" max="15878" width="11.42578125" style="1"/>
    <col min="15879" max="15879" width="88.7109375" style="1" customWidth="1"/>
    <col min="15880" max="16129" width="11.42578125" style="1"/>
    <col min="16130" max="16130" width="2.7109375" style="1" customWidth="1"/>
    <col min="16131" max="16131" width="176.7109375" style="1" customWidth="1"/>
    <col min="16132" max="16132" width="11.42578125" style="1"/>
    <col min="16133" max="16133" width="176.7109375" style="1" customWidth="1"/>
    <col min="16134" max="16134" width="11.42578125" style="1"/>
    <col min="16135" max="16135" width="88.7109375" style="1" customWidth="1"/>
    <col min="16136" max="16384" width="11.42578125" style="1"/>
  </cols>
  <sheetData>
    <row r="2" spans="1:17" x14ac:dyDescent="0.2">
      <c r="C2" s="329"/>
      <c r="D2" s="329"/>
      <c r="E2" s="329"/>
    </row>
    <row r="3" spans="1:17" x14ac:dyDescent="0.2">
      <c r="A3" s="42" t="s">
        <v>54</v>
      </c>
    </row>
    <row r="4" spans="1:17" x14ac:dyDescent="0.2">
      <c r="C4" s="329"/>
      <c r="D4" s="329"/>
      <c r="E4" s="329"/>
      <c r="F4" s="329"/>
      <c r="G4" s="329"/>
      <c r="H4" s="329"/>
      <c r="I4" s="329"/>
      <c r="J4" s="329"/>
      <c r="K4" s="329"/>
    </row>
    <row r="6" spans="1:17" ht="15.75" x14ac:dyDescent="0.25">
      <c r="C6" s="336" t="s">
        <v>16</v>
      </c>
      <c r="D6" s="3"/>
      <c r="E6" s="336"/>
    </row>
    <row r="7" spans="1:17" ht="18.75" customHeight="1" x14ac:dyDescent="0.2">
      <c r="C7" s="3"/>
      <c r="D7" s="3"/>
      <c r="E7" s="49"/>
    </row>
    <row r="8" spans="1:17" ht="15.75" x14ac:dyDescent="0.25">
      <c r="B8" s="330">
        <v>1</v>
      </c>
      <c r="C8" s="331" t="s">
        <v>396</v>
      </c>
      <c r="E8" s="340"/>
    </row>
    <row r="9" spans="1:17" ht="31.5" x14ac:dyDescent="0.2">
      <c r="B9" s="330">
        <v>2</v>
      </c>
      <c r="C9" s="333" t="s">
        <v>298</v>
      </c>
      <c r="E9" s="8"/>
      <c r="Q9" s="3"/>
    </row>
    <row r="10" spans="1:17" ht="47.25" x14ac:dyDescent="0.2">
      <c r="B10" s="330">
        <v>3</v>
      </c>
      <c r="C10" s="331" t="s">
        <v>299</v>
      </c>
      <c r="E10" s="8"/>
    </row>
    <row r="11" spans="1:17" ht="47.25" x14ac:dyDescent="0.2">
      <c r="B11" s="330">
        <v>4</v>
      </c>
      <c r="C11" s="333" t="s">
        <v>300</v>
      </c>
      <c r="E11" s="8"/>
    </row>
    <row r="12" spans="1:17" ht="31.5" x14ac:dyDescent="0.2">
      <c r="B12" s="330">
        <v>5</v>
      </c>
      <c r="C12" s="331" t="s">
        <v>21</v>
      </c>
      <c r="E12" s="3"/>
    </row>
    <row r="13" spans="1:17" ht="15.75" x14ac:dyDescent="0.2">
      <c r="B13" s="330">
        <v>6</v>
      </c>
      <c r="C13" s="331" t="s">
        <v>397</v>
      </c>
      <c r="E13" s="3"/>
    </row>
    <row r="14" spans="1:17" ht="15.75" x14ac:dyDescent="0.2">
      <c r="B14" s="330">
        <v>7</v>
      </c>
      <c r="C14" s="331" t="s">
        <v>17</v>
      </c>
    </row>
    <row r="15" spans="1:17" ht="18.75" customHeight="1" x14ac:dyDescent="0.2">
      <c r="B15" s="330">
        <v>8</v>
      </c>
      <c r="C15" s="331" t="s">
        <v>18</v>
      </c>
    </row>
    <row r="16" spans="1:17" ht="18.75" customHeight="1" x14ac:dyDescent="0.2">
      <c r="B16" s="330">
        <v>9</v>
      </c>
      <c r="C16" s="331" t="s">
        <v>22</v>
      </c>
    </row>
    <row r="17" spans="2:9" ht="63" x14ac:dyDescent="0.25">
      <c r="B17" s="330">
        <v>10</v>
      </c>
      <c r="C17" s="331" t="s">
        <v>407</v>
      </c>
      <c r="E17" s="336"/>
    </row>
    <row r="18" spans="2:9" ht="15.75" x14ac:dyDescent="0.2">
      <c r="B18" s="330">
        <v>11</v>
      </c>
      <c r="C18" s="331" t="s">
        <v>19</v>
      </c>
      <c r="E18" s="8"/>
    </row>
    <row r="19" spans="2:9" ht="15.75" x14ac:dyDescent="0.2">
      <c r="B19" s="330">
        <v>12</v>
      </c>
      <c r="C19" s="331" t="s">
        <v>302</v>
      </c>
      <c r="E19" s="8"/>
    </row>
    <row r="20" spans="2:9" ht="15.75" x14ac:dyDescent="0.2">
      <c r="B20" s="330">
        <v>13</v>
      </c>
      <c r="C20" s="331" t="s">
        <v>20</v>
      </c>
      <c r="E20" s="3"/>
    </row>
    <row r="21" spans="2:9" ht="47.25" x14ac:dyDescent="0.2">
      <c r="B21" s="330">
        <v>14</v>
      </c>
      <c r="C21" s="331" t="s">
        <v>303</v>
      </c>
      <c r="E21" s="341"/>
    </row>
    <row r="22" spans="2:9" ht="31.5" x14ac:dyDescent="0.2">
      <c r="B22" s="330">
        <v>15</v>
      </c>
      <c r="C22" s="333" t="s">
        <v>385</v>
      </c>
      <c r="E22" s="3"/>
    </row>
    <row r="23" spans="2:9" ht="15.75" x14ac:dyDescent="0.25">
      <c r="B23" s="330">
        <v>16</v>
      </c>
      <c r="C23" s="335" t="s">
        <v>301</v>
      </c>
      <c r="D23" s="334"/>
      <c r="E23" s="329"/>
      <c r="F23" s="334"/>
      <c r="G23" s="2"/>
      <c r="H23" s="2"/>
      <c r="I23" s="2"/>
    </row>
    <row r="24" spans="2:9" ht="18.75" customHeight="1" x14ac:dyDescent="0.25">
      <c r="B24" s="332">
        <v>17</v>
      </c>
      <c r="C24" s="335" t="s">
        <v>304</v>
      </c>
    </row>
    <row r="25" spans="2:9" ht="18.75" customHeight="1" x14ac:dyDescent="0.25">
      <c r="B25" s="332"/>
      <c r="C25" s="338"/>
    </row>
    <row r="26" spans="2:9" ht="18.75" customHeight="1" x14ac:dyDescent="0.25">
      <c r="B26" s="332"/>
      <c r="C26" s="351"/>
    </row>
    <row r="27" spans="2:9" ht="18.75" customHeight="1" x14ac:dyDescent="0.2">
      <c r="C27" s="338"/>
    </row>
    <row r="28" spans="2:9" ht="18.75" customHeight="1" x14ac:dyDescent="0.2">
      <c r="C28" s="338"/>
    </row>
    <row r="29" spans="2:9" ht="18.75" customHeight="1" x14ac:dyDescent="0.2">
      <c r="C29" s="338"/>
    </row>
    <row r="31" spans="2:9" ht="18.75" customHeight="1" x14ac:dyDescent="0.2"/>
    <row r="32" spans="2:9" ht="18.75" customHeight="1" x14ac:dyDescent="0.2"/>
    <row r="33" spans="1:14" ht="18.75" customHeight="1" x14ac:dyDescent="0.2"/>
    <row r="34" spans="1:14" ht="18.75" customHeight="1" x14ac:dyDescent="0.2"/>
    <row r="35" spans="1:14" ht="18.75" customHeight="1" x14ac:dyDescent="0.2"/>
    <row r="36" spans="1:14" ht="18.75" customHeight="1" x14ac:dyDescent="0.2"/>
    <row r="37" spans="1:14" ht="18.75" customHeight="1" x14ac:dyDescent="0.2">
      <c r="D37" s="3"/>
      <c r="E37" s="3"/>
      <c r="F37" s="3"/>
      <c r="G37" s="3"/>
      <c r="H37" s="3"/>
      <c r="I37" s="3"/>
      <c r="J37" s="3"/>
      <c r="K37" s="3"/>
      <c r="L37" s="3"/>
      <c r="M37" s="3"/>
      <c r="N37" s="3"/>
    </row>
    <row r="38" spans="1:14" ht="18.75" customHeight="1" x14ac:dyDescent="0.2">
      <c r="D38" s="3"/>
      <c r="E38" s="3"/>
      <c r="F38" s="3"/>
      <c r="G38" s="3"/>
      <c r="H38" s="3"/>
      <c r="I38" s="3"/>
      <c r="J38" s="3"/>
      <c r="K38" s="3"/>
      <c r="L38" s="3"/>
      <c r="M38" s="3"/>
      <c r="N38" s="3"/>
    </row>
    <row r="39" spans="1:14" ht="18.75" customHeight="1" x14ac:dyDescent="0.2">
      <c r="A39" s="4"/>
      <c r="D39" s="3"/>
      <c r="E39" s="3"/>
      <c r="F39" s="3"/>
      <c r="G39" s="3"/>
      <c r="H39" s="3"/>
      <c r="I39" s="3"/>
      <c r="J39" s="3"/>
      <c r="K39" s="3"/>
      <c r="L39" s="3"/>
      <c r="M39" s="3"/>
      <c r="N39" s="3"/>
    </row>
    <row r="40" spans="1:14" ht="18.75" customHeight="1" x14ac:dyDescent="0.2">
      <c r="A40" s="4"/>
      <c r="B40" s="8"/>
      <c r="D40" s="3"/>
      <c r="E40" s="3"/>
      <c r="F40" s="3"/>
      <c r="G40" s="3"/>
      <c r="H40" s="3"/>
      <c r="I40" s="3"/>
      <c r="J40" s="3"/>
      <c r="K40" s="3"/>
      <c r="L40" s="3"/>
      <c r="M40" s="3"/>
      <c r="N40" s="3"/>
    </row>
    <row r="41" spans="1:14" ht="18.75" customHeight="1" x14ac:dyDescent="0.2">
      <c r="A41" s="4"/>
      <c r="B41" s="8"/>
      <c r="D41" s="3"/>
      <c r="E41" s="3"/>
      <c r="F41" s="3"/>
      <c r="G41" s="3"/>
      <c r="H41" s="3"/>
      <c r="I41" s="3"/>
      <c r="J41" s="3"/>
      <c r="K41" s="3"/>
      <c r="L41" s="3"/>
      <c r="M41" s="3"/>
      <c r="N41" s="3"/>
    </row>
    <row r="42" spans="1:14" ht="18.75" customHeight="1" x14ac:dyDescent="0.2">
      <c r="A42" s="4"/>
      <c r="B42" s="8"/>
      <c r="C42" s="4"/>
      <c r="D42" s="3"/>
      <c r="E42" s="3"/>
      <c r="F42" s="3"/>
      <c r="G42" s="3"/>
      <c r="H42" s="3"/>
      <c r="I42" s="3"/>
      <c r="J42" s="3"/>
      <c r="K42" s="3"/>
      <c r="L42" s="3"/>
      <c r="M42" s="3"/>
      <c r="N42" s="3"/>
    </row>
    <row r="43" spans="1:14" ht="18.75" customHeight="1" x14ac:dyDescent="0.2">
      <c r="A43" s="4"/>
      <c r="B43" s="339"/>
      <c r="D43" s="3"/>
      <c r="E43" s="3"/>
      <c r="F43" s="3"/>
      <c r="G43" s="3"/>
      <c r="H43" s="3"/>
      <c r="I43" s="3"/>
      <c r="J43" s="3"/>
      <c r="K43" s="3"/>
      <c r="L43" s="3"/>
      <c r="M43" s="3"/>
      <c r="N43" s="3"/>
    </row>
    <row r="44" spans="1:14" ht="18.75" customHeight="1" x14ac:dyDescent="0.2">
      <c r="B44" s="8"/>
      <c r="D44" s="3"/>
      <c r="E44" s="3"/>
      <c r="F44" s="3"/>
      <c r="G44" s="3"/>
      <c r="H44" s="3"/>
      <c r="I44" s="3"/>
      <c r="J44" s="3"/>
      <c r="K44" s="3"/>
      <c r="L44" s="3"/>
      <c r="M44" s="3"/>
      <c r="N44" s="3"/>
    </row>
    <row r="45" spans="1:14" ht="18.75" customHeight="1" x14ac:dyDescent="0.2">
      <c r="B45" s="8"/>
      <c r="D45" s="3"/>
      <c r="E45" s="3"/>
      <c r="F45" s="3"/>
      <c r="G45" s="3"/>
      <c r="H45" s="3"/>
      <c r="I45" s="3"/>
      <c r="J45" s="3"/>
      <c r="K45" s="3"/>
      <c r="L45" s="3"/>
      <c r="M45" s="3"/>
      <c r="N45" s="3"/>
    </row>
    <row r="46" spans="1:14" ht="18.75" customHeight="1" x14ac:dyDescent="0.2">
      <c r="D46" s="3"/>
      <c r="E46" s="3"/>
      <c r="F46" s="3"/>
      <c r="G46" s="3"/>
      <c r="H46" s="3"/>
      <c r="I46" s="3"/>
      <c r="J46" s="3"/>
      <c r="K46" s="3"/>
      <c r="L46" s="3"/>
      <c r="M46" s="3"/>
      <c r="N46" s="3"/>
    </row>
    <row r="47" spans="1:14" ht="18.75" customHeight="1" x14ac:dyDescent="0.2">
      <c r="D47" s="3"/>
      <c r="E47" s="3"/>
      <c r="F47" s="3"/>
      <c r="G47" s="3"/>
      <c r="H47" s="3"/>
      <c r="I47" s="3"/>
      <c r="J47" s="3"/>
      <c r="K47" s="3"/>
      <c r="L47" s="3"/>
      <c r="M47" s="3"/>
      <c r="N47" s="3"/>
    </row>
    <row r="48" spans="1:14" ht="18.75" customHeight="1" x14ac:dyDescent="0.2">
      <c r="D48" s="3"/>
      <c r="E48" s="3"/>
      <c r="F48" s="3"/>
      <c r="G48" s="3"/>
      <c r="H48" s="3"/>
      <c r="I48" s="3"/>
      <c r="J48" s="3"/>
      <c r="K48" s="3"/>
      <c r="L48" s="3"/>
      <c r="M48" s="3"/>
      <c r="N48" s="3"/>
    </row>
    <row r="49" spans="4:14" ht="18.75" customHeight="1" x14ac:dyDescent="0.2">
      <c r="D49" s="3"/>
      <c r="E49" s="3"/>
      <c r="F49" s="3"/>
      <c r="G49" s="3"/>
      <c r="H49" s="3"/>
      <c r="I49" s="3"/>
      <c r="J49" s="3"/>
      <c r="K49" s="3"/>
      <c r="L49" s="3"/>
      <c r="M49" s="3"/>
      <c r="N49" s="3"/>
    </row>
    <row r="50" spans="4:14" ht="18.75" customHeight="1" x14ac:dyDescent="0.2">
      <c r="D50" s="329"/>
      <c r="E50" s="329"/>
      <c r="F50" s="329"/>
      <c r="G50" s="329"/>
      <c r="H50" s="329"/>
      <c r="I50" s="329"/>
      <c r="J50" s="329"/>
      <c r="K50" s="329"/>
      <c r="L50" s="329"/>
      <c r="M50" s="329"/>
      <c r="N50" s="329"/>
    </row>
    <row r="51" spans="4:14" ht="18.75" customHeight="1" x14ac:dyDescent="0.2"/>
    <row r="52" spans="4:14" ht="18.75" customHeight="1" x14ac:dyDescent="0.2"/>
    <row r="53" spans="4:14" ht="18.75" customHeight="1" x14ac:dyDescent="0.2"/>
    <row r="54" spans="4:14" ht="18.75" customHeight="1" x14ac:dyDescent="0.2"/>
    <row r="55" spans="4:14" ht="18.75" customHeight="1" x14ac:dyDescent="0.2"/>
    <row r="56" spans="4:14" ht="18.75" customHeight="1" x14ac:dyDescent="0.2"/>
    <row r="57" spans="4:14" ht="18.75" customHeight="1" x14ac:dyDescent="0.2"/>
    <row r="58" spans="4:14" ht="18.75" customHeight="1" x14ac:dyDescent="0.2"/>
    <row r="59" spans="4:14" ht="18.75" customHeight="1" x14ac:dyDescent="0.2"/>
    <row r="60" spans="4:14" ht="18.75" customHeight="1" x14ac:dyDescent="0.2"/>
    <row r="61" spans="4:14" ht="18.75" customHeight="1" x14ac:dyDescent="0.2"/>
    <row r="62" spans="4:14" ht="18.75" customHeight="1" x14ac:dyDescent="0.2"/>
    <row r="63" spans="4:14" ht="18.75" customHeight="1" x14ac:dyDescent="0.2"/>
    <row r="64" spans="4:14" ht="18.75" customHeight="1" x14ac:dyDescent="0.2"/>
    <row r="65" ht="18.75" customHeight="1" x14ac:dyDescent="0.2"/>
  </sheetData>
  <sortState ref="B5:E41">
    <sortCondition ref="B5:B41"/>
  </sortState>
  <pageMargins left="0.78740157480314965" right="0.78740157480314965" top="0.98425196850393704" bottom="0.98425196850393704" header="0.51181102362204722" footer="0.51181102362204722"/>
  <pageSetup paperSize="9" scale="65" fitToWidth="3" orientation="portrait" r:id="rId1"/>
  <headerFooter alignWithMargins="0"/>
  <colBreaks count="2" manualBreakCount="2">
    <brk id="1" max="42" man="1"/>
    <brk id="3" min="4" max="5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A1:IF111"/>
  <sheetViews>
    <sheetView showGridLines="0" showZeros="0" zoomScale="70" zoomScaleNormal="70" workbookViewId="0">
      <pane ySplit="7" topLeftCell="A31" activePane="bottomLeft" state="frozen"/>
      <selection activeCell="J44" sqref="J44"/>
      <selection pane="bottomLeft" activeCell="A4" sqref="A4"/>
    </sheetView>
  </sheetViews>
  <sheetFormatPr baseColWidth="10" defaultColWidth="11.42578125" defaultRowHeight="12.75" x14ac:dyDescent="0.2"/>
  <cols>
    <col min="1" max="1" width="49" style="86" customWidth="1"/>
    <col min="2" max="3" width="15.7109375" style="86" customWidth="1"/>
    <col min="4" max="4" width="8.7109375" style="86" customWidth="1"/>
    <col min="5" max="5" width="11.5703125" style="86" customWidth="1"/>
    <col min="6" max="6" width="4.7109375" style="86" customWidth="1"/>
    <col min="7" max="7" width="18.42578125" style="86" customWidth="1"/>
    <col min="8" max="8" width="17.85546875" style="86" customWidth="1"/>
    <col min="9" max="9" width="8.7109375" style="86" customWidth="1"/>
    <col min="10" max="10" width="10.42578125" style="86" customWidth="1"/>
    <col min="11" max="11" width="13.42578125" style="86" hidden="1" customWidth="1"/>
    <col min="12" max="12" width="14.85546875" style="186" hidden="1" customWidth="1"/>
    <col min="13" max="13" width="13.85546875" style="186" hidden="1" customWidth="1"/>
    <col min="14" max="15" width="15.7109375" style="186" hidden="1" customWidth="1"/>
    <col min="16" max="16" width="11.42578125" style="86" hidden="1" customWidth="1"/>
    <col min="17" max="19" width="11.42578125" style="86" customWidth="1"/>
    <col min="20" max="16384" width="11.42578125" style="86"/>
  </cols>
  <sheetData>
    <row r="1" spans="1:16" ht="20.25" x14ac:dyDescent="0.3">
      <c r="A1" s="79" t="s">
        <v>84</v>
      </c>
      <c r="B1" s="72" t="s">
        <v>55</v>
      </c>
      <c r="C1" s="73"/>
      <c r="D1" s="73"/>
      <c r="E1" s="73"/>
      <c r="F1" s="73"/>
      <c r="G1" s="73"/>
      <c r="H1" s="73"/>
      <c r="I1" s="73"/>
      <c r="J1" s="73"/>
      <c r="K1" s="73"/>
    </row>
    <row r="2" spans="1:16" ht="20.25" x14ac:dyDescent="0.3">
      <c r="A2" s="79" t="s">
        <v>85</v>
      </c>
      <c r="B2" s="73"/>
      <c r="C2" s="73"/>
      <c r="D2" s="73"/>
      <c r="E2" s="73"/>
      <c r="F2" s="73"/>
      <c r="G2" s="73"/>
      <c r="H2" s="73"/>
      <c r="I2" s="73"/>
      <c r="J2" s="73"/>
      <c r="K2" s="73"/>
    </row>
    <row r="3" spans="1:16" ht="18.75" x14ac:dyDescent="0.3">
      <c r="A3" s="941" t="s">
        <v>86</v>
      </c>
      <c r="B3" s="941"/>
      <c r="C3" s="73"/>
      <c r="D3" s="73"/>
      <c r="E3" s="73"/>
      <c r="F3" s="73"/>
      <c r="G3" s="73"/>
      <c r="H3" s="73"/>
      <c r="I3" s="73"/>
      <c r="J3" s="73"/>
      <c r="K3" s="73"/>
    </row>
    <row r="4" spans="1:16" ht="18.75" x14ac:dyDescent="0.3">
      <c r="A4" s="81" t="s">
        <v>414</v>
      </c>
      <c r="B4" s="82"/>
      <c r="C4" s="83"/>
      <c r="D4" s="83"/>
      <c r="E4" s="84"/>
      <c r="F4" s="85"/>
      <c r="G4" s="82"/>
      <c r="H4" s="83"/>
      <c r="I4" s="83"/>
      <c r="J4" s="84"/>
      <c r="K4" s="111"/>
      <c r="L4" s="209"/>
      <c r="M4" s="210"/>
      <c r="N4" s="211"/>
      <c r="O4" s="210"/>
    </row>
    <row r="5" spans="1:16" ht="22.5" x14ac:dyDescent="0.3">
      <c r="A5" s="87"/>
      <c r="B5" s="942" t="s">
        <v>87</v>
      </c>
      <c r="C5" s="943"/>
      <c r="D5" s="943"/>
      <c r="E5" s="944"/>
      <c r="F5" s="89"/>
      <c r="G5" s="942" t="s">
        <v>88</v>
      </c>
      <c r="H5" s="943"/>
      <c r="I5" s="943"/>
      <c r="J5" s="944"/>
      <c r="K5" s="88"/>
      <c r="L5" s="945" t="s">
        <v>153</v>
      </c>
      <c r="M5" s="940"/>
      <c r="N5" s="939" t="s">
        <v>154</v>
      </c>
      <c r="O5" s="940"/>
    </row>
    <row r="6" spans="1:16" ht="18.75" x14ac:dyDescent="0.3">
      <c r="A6" s="90"/>
      <c r="B6" s="91"/>
      <c r="C6" s="92"/>
      <c r="D6" s="92" t="s">
        <v>89</v>
      </c>
      <c r="E6" s="93" t="s">
        <v>32</v>
      </c>
      <c r="F6" s="94"/>
      <c r="G6" s="91"/>
      <c r="H6" s="92"/>
      <c r="I6" s="92" t="s">
        <v>89</v>
      </c>
      <c r="J6" s="93" t="s">
        <v>32</v>
      </c>
      <c r="K6" s="99"/>
      <c r="L6" s="212"/>
      <c r="M6" s="213"/>
      <c r="N6" s="214"/>
      <c r="O6" s="213"/>
    </row>
    <row r="7" spans="1:16" ht="15.75" x14ac:dyDescent="0.25">
      <c r="A7" s="95" t="s">
        <v>90</v>
      </c>
      <c r="B7" s="96">
        <v>2016</v>
      </c>
      <c r="C7" s="96">
        <v>2017</v>
      </c>
      <c r="D7" s="97" t="s">
        <v>91</v>
      </c>
      <c r="E7" s="98" t="s">
        <v>33</v>
      </c>
      <c r="F7" s="94"/>
      <c r="G7" s="96">
        <v>2016</v>
      </c>
      <c r="H7" s="96">
        <v>2017</v>
      </c>
      <c r="I7" s="97" t="s">
        <v>91</v>
      </c>
      <c r="J7" s="98" t="s">
        <v>33</v>
      </c>
      <c r="K7" s="99"/>
      <c r="L7" s="215">
        <v>2015</v>
      </c>
      <c r="M7" s="216">
        <v>2016</v>
      </c>
      <c r="N7" s="217">
        <v>2015</v>
      </c>
      <c r="O7" s="216">
        <v>2016</v>
      </c>
      <c r="P7" s="86" t="s">
        <v>157</v>
      </c>
    </row>
    <row r="8" spans="1:16" ht="18.75" x14ac:dyDescent="0.3">
      <c r="A8" s="100" t="s">
        <v>0</v>
      </c>
      <c r="B8" s="128"/>
      <c r="C8" s="102"/>
      <c r="D8" s="103"/>
      <c r="E8" s="406"/>
      <c r="F8" s="175"/>
      <c r="G8" s="128"/>
      <c r="H8" s="128"/>
      <c r="I8" s="102"/>
      <c r="J8" s="406"/>
      <c r="K8" s="138"/>
      <c r="L8" s="218" t="s">
        <v>0</v>
      </c>
      <c r="M8" s="219"/>
      <c r="N8" s="220"/>
      <c r="O8" s="219"/>
      <c r="P8" s="86" t="s">
        <v>165</v>
      </c>
    </row>
    <row r="9" spans="1:16" ht="18.75" x14ac:dyDescent="0.3">
      <c r="A9" s="191" t="s">
        <v>92</v>
      </c>
      <c r="B9" s="175">
        <f>'ACE European Group'!B7+'ACE European Group'!B22+'ACE European Group'!B36+'ACE European Group'!B47+'ACE European Group'!B66+'ACE European Group'!B134</f>
        <v>0</v>
      </c>
      <c r="C9" s="175">
        <f>'ACE European Group'!C7+'ACE European Group'!C22+'ACE European Group'!C36+'ACE European Group'!C47+'ACE European Group'!C66+'ACE European Group'!C134</f>
        <v>0</v>
      </c>
      <c r="D9" s="103"/>
      <c r="E9" s="406">
        <f>100/C$31*C9</f>
        <v>0</v>
      </c>
      <c r="F9" s="102"/>
      <c r="G9" s="175">
        <f>'ACE European Group'!B10+'ACE European Group'!B29+'ACE European Group'!B37+'ACE European Group'!B87+'ACE European Group'!B135</f>
        <v>0</v>
      </c>
      <c r="H9" s="175">
        <f>'ACE European Group'!C10+'ACE European Group'!C29+'ACE European Group'!C37+'ACE European Group'!C87+'ACE European Group'!C135</f>
        <v>0</v>
      </c>
      <c r="I9" s="103"/>
      <c r="J9" s="406">
        <f t="shared" ref="J9" si="0">100/H$31*H9</f>
        <v>0</v>
      </c>
      <c r="K9" s="205" t="s">
        <v>161</v>
      </c>
      <c r="L9" s="221">
        <f t="shared" ref="L9:L30" ca="1" si="1">INDIRECT("'" &amp; $A9 &amp; "'!" &amp; $P$7)</f>
        <v>0</v>
      </c>
      <c r="M9" s="219">
        <f t="shared" ref="M9:M30" ca="1" si="2">INDIRECT("'" &amp; $A9 &amp; "'!" &amp; $P$8)</f>
        <v>0</v>
      </c>
      <c r="N9" s="221">
        <f t="shared" ref="N9:N30" ca="1" si="3">INDIRECT("'" &amp; $A9 &amp; "'!" &amp; $P$9)</f>
        <v>0</v>
      </c>
      <c r="O9" s="219">
        <f t="shared" ref="O9:O30" ca="1" si="4">INDIRECT("'" &amp; $A9 &amp; "'!" &amp; $P$10)</f>
        <v>0</v>
      </c>
      <c r="P9" s="86" t="s">
        <v>169</v>
      </c>
    </row>
    <row r="10" spans="1:16" ht="18.75" x14ac:dyDescent="0.3">
      <c r="A10" s="191" t="s">
        <v>93</v>
      </c>
      <c r="B10" s="175">
        <f>'Danica Pensjonsforsikring'!B7+'Danica Pensjonsforsikring'!B22+'Danica Pensjonsforsikring'!B36+'Danica Pensjonsforsikring'!B47+'Danica Pensjonsforsikring'!B66+'Danica Pensjonsforsikring'!B134</f>
        <v>392275.23300000001</v>
      </c>
      <c r="C10" s="175">
        <f>'Danica Pensjonsforsikring'!C7+'Danica Pensjonsforsikring'!C22+'Danica Pensjonsforsikring'!C36+'Danica Pensjonsforsikring'!C47+'Danica Pensjonsforsikring'!C66+'Danica Pensjonsforsikring'!C134</f>
        <v>397773.34500000003</v>
      </c>
      <c r="D10" s="103">
        <f t="shared" ref="D10:D31" si="5">IF(B10=0, "    ---- ", IF(ABS(ROUND(100/B10*C10-100,1))&lt;999,ROUND(100/B10*C10-100,1),IF(ROUND(100/B10*C10-100,1)&gt;999,999,-999)))</f>
        <v>1.4</v>
      </c>
      <c r="E10" s="406">
        <f t="shared" ref="E10:E30" si="6">100/C$31*C10</f>
        <v>0.70701983519072009</v>
      </c>
      <c r="F10" s="102"/>
      <c r="G10" s="175">
        <f>'Danica Pensjonsforsikring'!B10+'Danica Pensjonsforsikring'!B29+'Danica Pensjonsforsikring'!B37+'Danica Pensjonsforsikring'!B87+'Danica Pensjonsforsikring'!B135</f>
        <v>937089.42500000005</v>
      </c>
      <c r="H10" s="175">
        <f>'Danica Pensjonsforsikring'!C10+'Danica Pensjonsforsikring'!C29+'Danica Pensjonsforsikring'!C37+'Danica Pensjonsforsikring'!C87+'Danica Pensjonsforsikring'!C135</f>
        <v>1023334.365</v>
      </c>
      <c r="I10" s="103">
        <f t="shared" ref="I10:I31" si="7">IF(G10=0, "    ---- ", IF(ABS(ROUND(100/G10*H10-100,1))&lt;999,ROUND(100/G10*H10-100,1),IF(ROUND(100/G10*H10-100,1)&gt;999,999,-999)))</f>
        <v>9.1999999999999993</v>
      </c>
      <c r="J10" s="406">
        <f t="shared" ref="J10:J30" si="8">100/H$31*H10</f>
        <v>0.10483473574614739</v>
      </c>
      <c r="K10" s="206" t="s">
        <v>162</v>
      </c>
      <c r="L10" s="221">
        <f t="shared" ca="1" si="1"/>
        <v>0</v>
      </c>
      <c r="M10" s="219">
        <f t="shared" ca="1" si="2"/>
        <v>0</v>
      </c>
      <c r="N10" s="221">
        <f t="shared" ca="1" si="3"/>
        <v>0</v>
      </c>
      <c r="O10" s="219">
        <f t="shared" ca="1" si="4"/>
        <v>0</v>
      </c>
      <c r="P10" s="86" t="s">
        <v>174</v>
      </c>
    </row>
    <row r="11" spans="1:16" ht="18.75" x14ac:dyDescent="0.3">
      <c r="A11" s="191" t="s">
        <v>94</v>
      </c>
      <c r="B11" s="175">
        <f>'DNB Livsforsikring'!B7+'DNB Livsforsikring'!B22+'DNB Livsforsikring'!B36+'DNB Livsforsikring'!B47+'DNB Livsforsikring'!B66+'DNB Livsforsikring'!B134</f>
        <v>6354769</v>
      </c>
      <c r="C11" s="175">
        <f>'DNB Livsforsikring'!C7+'DNB Livsforsikring'!C22+'DNB Livsforsikring'!C36+'DNB Livsforsikring'!C47+'DNB Livsforsikring'!C66+'DNB Livsforsikring'!C134</f>
        <v>4920017.8059999999</v>
      </c>
      <c r="D11" s="103">
        <f t="shared" si="5"/>
        <v>-22.6</v>
      </c>
      <c r="E11" s="406">
        <f t="shared" si="6"/>
        <v>8.7450560025170319</v>
      </c>
      <c r="F11" s="102"/>
      <c r="G11" s="175">
        <f>'DNB Livsforsikring'!B10+'DNB Livsforsikring'!B29+'DNB Livsforsikring'!B37+'DNB Livsforsikring'!B87+'DNB Livsforsikring'!B135</f>
        <v>203364389</v>
      </c>
      <c r="H11" s="175">
        <f>'DNB Livsforsikring'!C10+'DNB Livsforsikring'!C29+'DNB Livsforsikring'!C37+'DNB Livsforsikring'!C87+'DNB Livsforsikring'!C135</f>
        <v>202997288</v>
      </c>
      <c r="I11" s="103">
        <f t="shared" si="7"/>
        <v>-0.2</v>
      </c>
      <c r="J11" s="406">
        <f t="shared" si="8"/>
        <v>20.795907742885753</v>
      </c>
      <c r="K11" s="86" t="s">
        <v>155</v>
      </c>
      <c r="L11" s="221">
        <f t="shared" ca="1" si="1"/>
        <v>0</v>
      </c>
      <c r="M11" s="219">
        <f t="shared" ca="1" si="2"/>
        <v>0</v>
      </c>
      <c r="N11" s="221">
        <f t="shared" ca="1" si="3"/>
        <v>0</v>
      </c>
      <c r="O11" s="219">
        <f t="shared" ca="1" si="4"/>
        <v>0</v>
      </c>
    </row>
    <row r="12" spans="1:16" ht="18.75" x14ac:dyDescent="0.3">
      <c r="A12" s="191" t="s">
        <v>95</v>
      </c>
      <c r="B12" s="175">
        <f>'Eika Forsikring AS'!B7+'Eika Forsikring AS'!B22+'Eika Forsikring AS'!B36+'Eika Forsikring AS'!B47+'Eika Forsikring AS'!B66+'Eika Forsikring AS'!B134</f>
        <v>351394</v>
      </c>
      <c r="C12" s="175">
        <f>'Eika Forsikring AS'!C7+'Eika Forsikring AS'!C22+'Eika Forsikring AS'!C36+'Eika Forsikring AS'!C47+'Eika Forsikring AS'!C66+'Eika Forsikring AS'!C134</f>
        <v>267318</v>
      </c>
      <c r="D12" s="103">
        <f t="shared" si="5"/>
        <v>-23.9</v>
      </c>
      <c r="E12" s="406">
        <f t="shared" si="6"/>
        <v>0.4751427683107145</v>
      </c>
      <c r="F12" s="102"/>
      <c r="G12" s="175">
        <f>'Eika Forsikring AS'!B10+'Eika Forsikring AS'!B29+'Eika Forsikring AS'!B37+'Eika Forsikring AS'!B87+'Eika Forsikring AS'!B135</f>
        <v>401746</v>
      </c>
      <c r="H12" s="175">
        <f>'Eika Forsikring AS'!C10+'Eika Forsikring AS'!C29+'Eika Forsikring AS'!C37+'Eika Forsikring AS'!C87+'Eika Forsikring AS'!C135</f>
        <v>422298</v>
      </c>
      <c r="I12" s="103">
        <f t="shared" si="7"/>
        <v>5.0999999999999996</v>
      </c>
      <c r="J12" s="406">
        <f t="shared" si="8"/>
        <v>4.3262007756503469E-2</v>
      </c>
      <c r="K12" s="86" t="s">
        <v>163</v>
      </c>
      <c r="L12" s="221">
        <f t="shared" ca="1" si="1"/>
        <v>0</v>
      </c>
      <c r="M12" s="219">
        <f t="shared" ca="1" si="2"/>
        <v>0</v>
      </c>
      <c r="N12" s="221">
        <f t="shared" ca="1" si="3"/>
        <v>0</v>
      </c>
      <c r="O12" s="219">
        <f t="shared" ca="1" si="4"/>
        <v>0</v>
      </c>
    </row>
    <row r="13" spans="1:16" ht="18.75" x14ac:dyDescent="0.3">
      <c r="A13" s="191" t="s">
        <v>96</v>
      </c>
      <c r="B13" s="176">
        <f>'Frende Livsforsikring'!B7+'Frende Livsforsikring'!B22+'Frende Livsforsikring'!B36+'Frende Livsforsikring'!B47+'Frende Livsforsikring'!B66+'Frende Livsforsikring'!B134</f>
        <v>452991</v>
      </c>
      <c r="C13" s="176">
        <f>'Frende Livsforsikring'!C7+'Frende Livsforsikring'!C22+'Frende Livsforsikring'!C36+'Frende Livsforsikring'!C47+'Frende Livsforsikring'!C66+'Frende Livsforsikring'!C134</f>
        <v>494692.29999999993</v>
      </c>
      <c r="D13" s="103">
        <f t="shared" si="5"/>
        <v>9.1999999999999993</v>
      </c>
      <c r="E13" s="406">
        <f t="shared" si="6"/>
        <v>0.87928784774685742</v>
      </c>
      <c r="F13" s="102"/>
      <c r="G13" s="175">
        <f>'Frende Livsforsikring'!B10+'Frende Livsforsikring'!B29+'Frende Livsforsikring'!B37+'Frende Livsforsikring'!B87+'Frende Livsforsikring'!B135</f>
        <v>667456</v>
      </c>
      <c r="H13" s="175">
        <f>'Frende Livsforsikring'!C10+'Frende Livsforsikring'!C29+'Frende Livsforsikring'!C37+'Frende Livsforsikring'!C87+'Frende Livsforsikring'!C135</f>
        <v>774942.89</v>
      </c>
      <c r="I13" s="103">
        <f t="shared" si="7"/>
        <v>16.100000000000001</v>
      </c>
      <c r="J13" s="406">
        <f t="shared" si="8"/>
        <v>7.9388453930701097E-2</v>
      </c>
      <c r="K13" s="86" t="s">
        <v>156</v>
      </c>
      <c r="L13" s="221">
        <f t="shared" ca="1" si="1"/>
        <v>0</v>
      </c>
      <c r="M13" s="219">
        <f t="shared" ca="1" si="2"/>
        <v>0</v>
      </c>
      <c r="N13" s="221">
        <f t="shared" ca="1" si="3"/>
        <v>0</v>
      </c>
      <c r="O13" s="219">
        <f t="shared" ca="1" si="4"/>
        <v>0</v>
      </c>
    </row>
    <row r="14" spans="1:16" ht="18.75" x14ac:dyDescent="0.3">
      <c r="A14" s="191" t="s">
        <v>97</v>
      </c>
      <c r="B14" s="175">
        <f>'Frende Skadeforsikring'!B7+'Frende Skadeforsikring'!B22+'Frende Skadeforsikring'!B36+'Frende Skadeforsikring'!B47+'Frende Skadeforsikring'!B66+'Frende Skadeforsikring'!B134</f>
        <v>4460</v>
      </c>
      <c r="C14" s="175">
        <f>'Frende Skadeforsikring'!C7+'Frende Skadeforsikring'!C22+'Frende Skadeforsikring'!C36+'Frende Skadeforsikring'!C47+'Frende Skadeforsikring'!C66+'Frende Skadeforsikring'!C134</f>
        <v>5631</v>
      </c>
      <c r="D14" s="103">
        <f t="shared" si="5"/>
        <v>26.3</v>
      </c>
      <c r="E14" s="406">
        <f t="shared" si="6"/>
        <v>1.0008787019047102E-2</v>
      </c>
      <c r="F14" s="102"/>
      <c r="G14" s="175">
        <f>'Frende Skadeforsikring'!B10+'Frende Skadeforsikring'!B29+'Frende Skadeforsikring'!B37+'Frende Skadeforsikring'!B87+'Frende Skadeforsikring'!B135</f>
        <v>0</v>
      </c>
      <c r="H14" s="175">
        <f>'Frende Skadeforsikring'!C10+'Frende Skadeforsikring'!C29+'Frende Skadeforsikring'!C37+'Frende Skadeforsikring'!C87+'Frende Skadeforsikring'!C135</f>
        <v>0</v>
      </c>
      <c r="I14" s="103"/>
      <c r="J14" s="406">
        <f t="shared" si="8"/>
        <v>0</v>
      </c>
      <c r="K14" s="86" t="s">
        <v>164</v>
      </c>
      <c r="L14" s="221">
        <f t="shared" ca="1" si="1"/>
        <v>0</v>
      </c>
      <c r="M14" s="219">
        <f t="shared" ca="1" si="2"/>
        <v>0</v>
      </c>
      <c r="N14" s="221">
        <f t="shared" ca="1" si="3"/>
        <v>0</v>
      </c>
      <c r="O14" s="219">
        <f t="shared" ca="1" si="4"/>
        <v>0</v>
      </c>
    </row>
    <row r="15" spans="1:16" ht="18.75" x14ac:dyDescent="0.3">
      <c r="A15" s="191" t="s">
        <v>98</v>
      </c>
      <c r="B15" s="175">
        <f>'Gjensidige Forsikring'!B7+'Gjensidige Forsikring'!B22+'Gjensidige Forsikring'!B36+'Gjensidige Forsikring'!B47+'Gjensidige Forsikring'!B66+'Gjensidige Forsikring'!B134</f>
        <v>1537000</v>
      </c>
      <c r="C15" s="175">
        <f>'Gjensidige Forsikring'!C7+'Gjensidige Forsikring'!C22+'Gjensidige Forsikring'!C36+'Gjensidige Forsikring'!C47+'Gjensidige Forsikring'!C66+'Gjensidige Forsikring'!C134</f>
        <v>1528867</v>
      </c>
      <c r="D15" s="103">
        <f t="shared" si="5"/>
        <v>-0.5</v>
      </c>
      <c r="E15" s="406">
        <f t="shared" si="6"/>
        <v>2.7174754365919882</v>
      </c>
      <c r="F15" s="102"/>
      <c r="G15" s="175">
        <f>'Gjensidige Forsikring'!B10+'Gjensidige Forsikring'!B29+'Gjensidige Forsikring'!B37+'Gjensidige Forsikring'!B87+'Gjensidige Forsikring'!B135</f>
        <v>1194028</v>
      </c>
      <c r="H15" s="175">
        <f>'Gjensidige Forsikring'!C10+'Gjensidige Forsikring'!C29+'Gjensidige Forsikring'!C37+'Gjensidige Forsikring'!C87+'Gjensidige Forsikring'!C135</f>
        <v>1200643</v>
      </c>
      <c r="I15" s="103">
        <f t="shared" si="7"/>
        <v>0.6</v>
      </c>
      <c r="J15" s="406">
        <f t="shared" si="8"/>
        <v>0.12299898834186189</v>
      </c>
      <c r="K15" s="86" t="s">
        <v>157</v>
      </c>
      <c r="L15" s="221">
        <f t="shared" ca="1" si="1"/>
        <v>0</v>
      </c>
      <c r="M15" s="219">
        <f t="shared" ca="1" si="2"/>
        <v>0</v>
      </c>
      <c r="N15" s="221">
        <f t="shared" ca="1" si="3"/>
        <v>0</v>
      </c>
      <c r="O15" s="219">
        <f t="shared" ca="1" si="4"/>
        <v>0</v>
      </c>
    </row>
    <row r="16" spans="1:16" ht="18.75" x14ac:dyDescent="0.3">
      <c r="A16" s="191" t="s">
        <v>99</v>
      </c>
      <c r="B16" s="175">
        <f>'Gjensidige Pensjon'!B7+'Gjensidige Pensjon'!B22+'Gjensidige Pensjon'!B36+'Gjensidige Pensjon'!B47+'Gjensidige Pensjon'!B66+'Gjensidige Pensjon'!B134</f>
        <v>459333</v>
      </c>
      <c r="C16" s="175">
        <f>'Gjensidige Pensjon'!C7+'Gjensidige Pensjon'!C22+'Gjensidige Pensjon'!C36+'Gjensidige Pensjon'!C47+'Gjensidige Pensjon'!C66+'Gjensidige Pensjon'!C134</f>
        <v>523633</v>
      </c>
      <c r="D16" s="103">
        <f t="shared" si="5"/>
        <v>14</v>
      </c>
      <c r="E16" s="406">
        <f t="shared" si="6"/>
        <v>0.93072832057266763</v>
      </c>
      <c r="F16" s="102"/>
      <c r="G16" s="175">
        <f>'Gjensidige Pensjon'!B10+'Gjensidige Pensjon'!B29+'Gjensidige Pensjon'!B37+'Gjensidige Pensjon'!B87+'Gjensidige Pensjon'!B135</f>
        <v>5409556</v>
      </c>
      <c r="H16" s="175">
        <f>'Gjensidige Pensjon'!C10+'Gjensidige Pensjon'!C29+'Gjensidige Pensjon'!C37+'Gjensidige Pensjon'!C87+'Gjensidige Pensjon'!C135</f>
        <v>6018363</v>
      </c>
      <c r="I16" s="103">
        <f t="shared" si="7"/>
        <v>11.3</v>
      </c>
      <c r="J16" s="406">
        <f t="shared" si="8"/>
        <v>0.61654676741886882</v>
      </c>
      <c r="K16" s="86" t="s">
        <v>165</v>
      </c>
      <c r="L16" s="221">
        <f t="shared" ca="1" si="1"/>
        <v>0</v>
      </c>
      <c r="M16" s="219">
        <f t="shared" ca="1" si="2"/>
        <v>0</v>
      </c>
      <c r="N16" s="221">
        <f t="shared" ca="1" si="3"/>
        <v>0</v>
      </c>
      <c r="O16" s="219">
        <f t="shared" ca="1" si="4"/>
        <v>0</v>
      </c>
    </row>
    <row r="17" spans="1:21" ht="18.75" x14ac:dyDescent="0.3">
      <c r="A17" s="191" t="s">
        <v>100</v>
      </c>
      <c r="B17" s="175">
        <f>'Handelsbanken Liv'!B7+'Handelsbanken Liv'!B22+'Handelsbanken Liv'!B36+'Handelsbanken Liv'!B47+'Handelsbanken Liv'!B66+'Handelsbanken Liv'!B134</f>
        <v>38617</v>
      </c>
      <c r="C17" s="175">
        <f>'Handelsbanken Liv'!C7+'Handelsbanken Liv'!C22+'Handelsbanken Liv'!C36+'Handelsbanken Liv'!C47+'Handelsbanken Liv'!C66+'Handelsbanken Liv'!C134</f>
        <v>37362</v>
      </c>
      <c r="D17" s="103">
        <f t="shared" si="5"/>
        <v>-3.2</v>
      </c>
      <c r="E17" s="406">
        <f t="shared" si="6"/>
        <v>6.6408861766229413E-2</v>
      </c>
      <c r="F17" s="102"/>
      <c r="G17" s="175">
        <f>'Handelsbanken Liv'!B10+'Handelsbanken Liv'!B29+'Handelsbanken Liv'!B37+'Handelsbanken Liv'!B87+'Handelsbanken Liv'!B135</f>
        <v>25901</v>
      </c>
      <c r="H17" s="175">
        <f>'Handelsbanken Liv'!C10+'Handelsbanken Liv'!C29+'Handelsbanken Liv'!C37+'Handelsbanken Liv'!C87+'Handelsbanken Liv'!C135</f>
        <v>26374</v>
      </c>
      <c r="I17" s="103">
        <f t="shared" si="7"/>
        <v>1.8</v>
      </c>
      <c r="J17" s="406">
        <f t="shared" si="8"/>
        <v>2.7018650161024262E-3</v>
      </c>
      <c r="K17" s="138"/>
      <c r="L17" s="221">
        <f t="shared" ca="1" si="1"/>
        <v>0</v>
      </c>
      <c r="M17" s="219">
        <f t="shared" ca="1" si="2"/>
        <v>0</v>
      </c>
      <c r="N17" s="221">
        <f t="shared" ca="1" si="3"/>
        <v>0</v>
      </c>
      <c r="O17" s="219">
        <f t="shared" ca="1" si="4"/>
        <v>0</v>
      </c>
    </row>
    <row r="18" spans="1:21" ht="18.75" x14ac:dyDescent="0.3">
      <c r="A18" s="191" t="s">
        <v>101</v>
      </c>
      <c r="B18" s="175">
        <f>'If Skadeforsikring NUF'!B7+'If Skadeforsikring NUF'!B22+'If Skadeforsikring NUF'!B36+'If Skadeforsikring NUF'!B47+'If Skadeforsikring NUF'!B66+'If Skadeforsikring NUF'!B134</f>
        <v>414284.755</v>
      </c>
      <c r="C18" s="175">
        <f>'If Skadeforsikring NUF'!C7+'If Skadeforsikring NUF'!C22+'If Skadeforsikring NUF'!C36+'If Skadeforsikring NUF'!C47+'If Skadeforsikring NUF'!C66+'If Skadeforsikring NUF'!C134</f>
        <v>436905</v>
      </c>
      <c r="D18" s="103">
        <f t="shared" si="5"/>
        <v>5.5</v>
      </c>
      <c r="E18" s="406">
        <f t="shared" si="6"/>
        <v>0.77657415957321507</v>
      </c>
      <c r="F18" s="102"/>
      <c r="G18" s="175">
        <f>'If Skadeforsikring NUF'!B10+'If Skadeforsikring NUF'!B29+'If Skadeforsikring NUF'!B37+'If Skadeforsikring NUF'!B87+'If Skadeforsikring NUF'!B135</f>
        <v>378750</v>
      </c>
      <c r="H18" s="175">
        <f>'If Skadeforsikring NUF'!C10+'If Skadeforsikring NUF'!C29+'If Skadeforsikring NUF'!C37+'If Skadeforsikring NUF'!C87+'If Skadeforsikring NUF'!C135</f>
        <v>416284</v>
      </c>
      <c r="I18" s="103">
        <f t="shared" si="7"/>
        <v>9.9</v>
      </c>
      <c r="J18" s="406">
        <f t="shared" si="8"/>
        <v>4.2645907953407995E-2</v>
      </c>
      <c r="K18" s="138"/>
      <c r="L18" s="221">
        <f t="shared" ca="1" si="1"/>
        <v>0</v>
      </c>
      <c r="M18" s="219">
        <f t="shared" ca="1" si="2"/>
        <v>0</v>
      </c>
      <c r="N18" s="221">
        <f t="shared" ca="1" si="3"/>
        <v>0</v>
      </c>
      <c r="O18" s="219">
        <f t="shared" ca="1" si="4"/>
        <v>0</v>
      </c>
    </row>
    <row r="19" spans="1:21" ht="18.75" x14ac:dyDescent="0.3">
      <c r="A19" s="191" t="s">
        <v>67</v>
      </c>
      <c r="B19" s="175">
        <f>KLP!B7+KLP!B22+KLP!B36+KLP!B47+KLP!B66+KLP!B134</f>
        <v>33472682.388949998</v>
      </c>
      <c r="C19" s="175">
        <f>KLP!C7+KLP!C22+KLP!C36+KLP!C47+KLP!C66+KLP!C134</f>
        <v>31992253.779960003</v>
      </c>
      <c r="D19" s="103">
        <f t="shared" si="5"/>
        <v>-4.4000000000000004</v>
      </c>
      <c r="E19" s="406">
        <f t="shared" si="6"/>
        <v>56.86443870412436</v>
      </c>
      <c r="F19" s="102"/>
      <c r="G19" s="175">
        <f>KLP!B10+KLP!B29+KLP!B37+KLP!B87+KLP!B135</f>
        <v>421845952.55084002</v>
      </c>
      <c r="H19" s="175">
        <f>KLP!C10+KLP!C29+KLP!C37+KLP!C87+KLP!C135</f>
        <v>444493649.38739997</v>
      </c>
      <c r="I19" s="103">
        <f t="shared" si="7"/>
        <v>5.4</v>
      </c>
      <c r="J19" s="406">
        <f t="shared" si="8"/>
        <v>45.53582471978136</v>
      </c>
      <c r="K19" s="138"/>
      <c r="L19" s="221">
        <f t="shared" ca="1" si="1"/>
        <v>0</v>
      </c>
      <c r="M19" s="219">
        <f t="shared" ca="1" si="2"/>
        <v>0</v>
      </c>
      <c r="N19" s="221">
        <f t="shared" ca="1" si="3"/>
        <v>0</v>
      </c>
      <c r="O19" s="219">
        <f t="shared" ca="1" si="4"/>
        <v>0</v>
      </c>
    </row>
    <row r="20" spans="1:21" ht="18.75" x14ac:dyDescent="0.3">
      <c r="A20" s="107" t="s">
        <v>102</v>
      </c>
      <c r="B20" s="175">
        <f>'KLP Bedriftspensjon AS'!B7+'KLP Bedriftspensjon AS'!B22+'KLP Bedriftspensjon AS'!B36+'KLP Bedriftspensjon AS'!B47+'KLP Bedriftspensjon AS'!B66+'KLP Bedriftspensjon AS'!B134</f>
        <v>115325</v>
      </c>
      <c r="C20" s="175">
        <f>'KLP Bedriftspensjon AS'!C7+'KLP Bedriftspensjon AS'!C22+'KLP Bedriftspensjon AS'!C36+'KLP Bedriftspensjon AS'!C47+'KLP Bedriftspensjon AS'!C66+'KLP Bedriftspensjon AS'!C134</f>
        <v>97233</v>
      </c>
      <c r="D20" s="103">
        <f t="shared" si="5"/>
        <v>-15.7</v>
      </c>
      <c r="E20" s="406">
        <f t="shared" si="6"/>
        <v>0.17282620994903336</v>
      </c>
      <c r="F20" s="102"/>
      <c r="G20" s="175">
        <f>'KLP Bedriftspensjon AS'!B10+'KLP Bedriftspensjon AS'!B29+'KLP Bedriftspensjon AS'!B37+'KLP Bedriftspensjon AS'!B87+'KLP Bedriftspensjon AS'!B135</f>
        <v>1500502</v>
      </c>
      <c r="H20" s="175">
        <f>'KLP Bedriftspensjon AS'!C10+'KLP Bedriftspensjon AS'!C29+'KLP Bedriftspensjon AS'!C37+'KLP Bedriftspensjon AS'!C87+'KLP Bedriftspensjon AS'!C135</f>
        <v>1613262</v>
      </c>
      <c r="I20" s="103">
        <f t="shared" si="7"/>
        <v>7.5</v>
      </c>
      <c r="J20" s="406">
        <f t="shared" si="8"/>
        <v>0.16526943806807584</v>
      </c>
      <c r="K20" s="138"/>
      <c r="L20" s="221">
        <f t="shared" ca="1" si="1"/>
        <v>0</v>
      </c>
      <c r="M20" s="219">
        <f t="shared" ca="1" si="2"/>
        <v>0</v>
      </c>
      <c r="N20" s="221">
        <f t="shared" ca="1" si="3"/>
        <v>0</v>
      </c>
      <c r="O20" s="219">
        <f t="shared" ca="1" si="4"/>
        <v>0</v>
      </c>
    </row>
    <row r="21" spans="1:21" ht="18.75" x14ac:dyDescent="0.3">
      <c r="A21" s="107" t="s">
        <v>103</v>
      </c>
      <c r="B21" s="175">
        <f>'KLP Skadeforsikring AS'!B7+'KLP Skadeforsikring AS'!B22+'KLP Skadeforsikring AS'!B36+'KLP Skadeforsikring AS'!B47+'KLP Skadeforsikring AS'!B66+'KLP Skadeforsikring AS'!B134</f>
        <v>135344</v>
      </c>
      <c r="C21" s="175">
        <f>'KLP Skadeforsikring AS'!C7+'KLP Skadeforsikring AS'!C22+'KLP Skadeforsikring AS'!C36+'KLP Skadeforsikring AS'!C47+'KLP Skadeforsikring AS'!C66+'KLP Skadeforsikring AS'!C134</f>
        <v>142740</v>
      </c>
      <c r="D21" s="103">
        <f t="shared" si="5"/>
        <v>5.5</v>
      </c>
      <c r="E21" s="406">
        <f t="shared" si="6"/>
        <v>0.25371235288559463</v>
      </c>
      <c r="F21" s="102"/>
      <c r="G21" s="175">
        <f>'KLP Skadeforsikring AS'!B10+'KLP Skadeforsikring AS'!B29+'KLP Skadeforsikring AS'!B37+'KLP Skadeforsikring AS'!B87+'KLP Skadeforsikring AS'!B135</f>
        <v>3590</v>
      </c>
      <c r="H21" s="175">
        <f>'KLP Skadeforsikring AS'!C10+'KLP Skadeforsikring AS'!C29+'KLP Skadeforsikring AS'!C37+'KLP Skadeforsikring AS'!C87+'KLP Skadeforsikring AS'!C135</f>
        <v>9767</v>
      </c>
      <c r="I21" s="103">
        <f t="shared" si="7"/>
        <v>172.1</v>
      </c>
      <c r="J21" s="406">
        <f t="shared" si="8"/>
        <v>1.000573125512717E-3</v>
      </c>
      <c r="K21" s="138"/>
      <c r="L21" s="221">
        <f t="shared" ca="1" si="1"/>
        <v>0</v>
      </c>
      <c r="M21" s="219">
        <f t="shared" ca="1" si="2"/>
        <v>0</v>
      </c>
      <c r="N21" s="221">
        <f t="shared" ca="1" si="3"/>
        <v>0</v>
      </c>
      <c r="O21" s="219">
        <f t="shared" ca="1" si="4"/>
        <v>0</v>
      </c>
    </row>
    <row r="22" spans="1:21" ht="18.75" x14ac:dyDescent="0.3">
      <c r="A22" s="107" t="s">
        <v>104</v>
      </c>
      <c r="B22" s="175">
        <f>'Landbruksforsikring AS'!B7+'Landbruksforsikring AS'!B22+'Landbruksforsikring AS'!B36+'Landbruksforsikring AS'!B47+'Landbruksforsikring AS'!B66+'Landbruksforsikring AS'!B134</f>
        <v>25735</v>
      </c>
      <c r="C22" s="175">
        <f>'Landbruksforsikring AS'!C7+'Landbruksforsikring AS'!C22+'Landbruksforsikring AS'!C36+'Landbruksforsikring AS'!C47+'Landbruksforsikring AS'!C66+'Landbruksforsikring AS'!C134</f>
        <v>79056</v>
      </c>
      <c r="D22" s="103">
        <f t="shared" si="5"/>
        <v>207.2</v>
      </c>
      <c r="E22" s="406">
        <f t="shared" si="6"/>
        <v>0.14051761082894473</v>
      </c>
      <c r="F22" s="102"/>
      <c r="G22" s="175">
        <f>'Landbruksforsikring AS'!B10+'Landbruksforsikring AS'!B29+'Landbruksforsikring AS'!B37+'Landbruksforsikring AS'!B87+'Landbruksforsikring AS'!B135</f>
        <v>0</v>
      </c>
      <c r="H22" s="175">
        <f>'Landbruksforsikring AS'!C10+'Landbruksforsikring AS'!C29+'Landbruksforsikring AS'!C37+'Landbruksforsikring AS'!C87+'Landbruksforsikring AS'!C135</f>
        <v>0</v>
      </c>
      <c r="I22" s="103"/>
      <c r="J22" s="406">
        <f t="shared" si="8"/>
        <v>0</v>
      </c>
      <c r="K22" s="138"/>
      <c r="L22" s="221">
        <f t="shared" ca="1" si="1"/>
        <v>0</v>
      </c>
      <c r="M22" s="219">
        <f t="shared" ca="1" si="2"/>
        <v>0</v>
      </c>
      <c r="N22" s="221">
        <f t="shared" ca="1" si="3"/>
        <v>0</v>
      </c>
      <c r="O22" s="219">
        <f t="shared" ca="1" si="4"/>
        <v>0</v>
      </c>
    </row>
    <row r="23" spans="1:21" ht="18.75" x14ac:dyDescent="0.3">
      <c r="A23" s="191" t="s">
        <v>105</v>
      </c>
      <c r="B23" s="175">
        <f>'NEMI Forsikring'!B7+'NEMI Forsikring'!B22+'NEMI Forsikring'!B36+'NEMI Forsikring'!B47+'NEMI Forsikring'!B66+'NEMI Forsikring'!B134</f>
        <v>2338</v>
      </c>
      <c r="C23" s="175">
        <f>'NEMI Forsikring'!C7+'NEMI Forsikring'!C22+'NEMI Forsikring'!C36+'NEMI Forsikring'!C47+'NEMI Forsikring'!C66+'NEMI Forsikring'!C134</f>
        <v>1147</v>
      </c>
      <c r="D23" s="103">
        <f t="shared" si="5"/>
        <v>-50.9</v>
      </c>
      <c r="E23" s="406">
        <f t="shared" si="6"/>
        <v>2.038728238473988E-3</v>
      </c>
      <c r="F23" s="102"/>
      <c r="G23" s="175">
        <f>'NEMI Forsikring'!B10+'NEMI Forsikring'!B29+'NEMI Forsikring'!B37+'NEMI Forsikring'!B87+'NEMI Forsikring'!B135</f>
        <v>0</v>
      </c>
      <c r="H23" s="175">
        <f>'NEMI Forsikring'!C10+'NEMI Forsikring'!C29+'NEMI Forsikring'!C37+'NEMI Forsikring'!C87+'NEMI Forsikring'!C135</f>
        <v>0</v>
      </c>
      <c r="I23" s="103"/>
      <c r="J23" s="406">
        <f t="shared" si="8"/>
        <v>0</v>
      </c>
      <c r="K23" s="138"/>
      <c r="L23" s="221">
        <f t="shared" ca="1" si="1"/>
        <v>0</v>
      </c>
      <c r="M23" s="219">
        <f t="shared" ca="1" si="2"/>
        <v>0</v>
      </c>
      <c r="N23" s="221">
        <f t="shared" ca="1" si="3"/>
        <v>0</v>
      </c>
      <c r="O23" s="219">
        <f t="shared" ca="1" si="4"/>
        <v>0</v>
      </c>
    </row>
    <row r="24" spans="1:21" ht="18.75" x14ac:dyDescent="0.3">
      <c r="A24" s="107" t="s">
        <v>106</v>
      </c>
      <c r="B24" s="175">
        <f>'Nordea Liv '!B7+'Nordea Liv '!B22+'Nordea Liv '!B36+'Nordea Liv '!B47+'Nordea Liv '!B66+'Nordea Liv '!B134</f>
        <v>2085502.9796573399</v>
      </c>
      <c r="C24" s="175">
        <f>'Nordea Liv '!C7+'Nordea Liv '!C22+'Nordea Liv '!C36+'Nordea Liv '!C47+'Nordea Liv '!C66+'Nordea Liv '!C134</f>
        <v>2180519.5885455562</v>
      </c>
      <c r="D24" s="103">
        <f t="shared" si="5"/>
        <v>4.5999999999999996</v>
      </c>
      <c r="E24" s="406">
        <f t="shared" si="6"/>
        <v>3.8757514034119502</v>
      </c>
      <c r="F24" s="102"/>
      <c r="G24" s="176">
        <f>'Nordea Liv '!B10+'Nordea Liv '!B29+'Nordea Liv '!B37+'Nordea Liv '!B87+'Nordea Liv '!B135</f>
        <v>48522570.000125237</v>
      </c>
      <c r="H24" s="176">
        <f>'Nordea Liv '!C10+'Nordea Liv '!C29+'Nordea Liv '!C37+'Nordea Liv '!C87+'Nordea Liv '!C135</f>
        <v>49563121.552480593</v>
      </c>
      <c r="I24" s="103">
        <f t="shared" si="7"/>
        <v>2.1</v>
      </c>
      <c r="J24" s="406">
        <f t="shared" si="8"/>
        <v>5.07745750403729</v>
      </c>
      <c r="K24" s="138"/>
      <c r="L24" s="221">
        <f t="shared" ca="1" si="1"/>
        <v>0</v>
      </c>
      <c r="M24" s="219">
        <f t="shared" ca="1" si="2"/>
        <v>0</v>
      </c>
      <c r="N24" s="221">
        <f t="shared" ca="1" si="3"/>
        <v>0</v>
      </c>
      <c r="O24" s="219">
        <f t="shared" ca="1" si="4"/>
        <v>0</v>
      </c>
    </row>
    <row r="25" spans="1:21" ht="18.75" x14ac:dyDescent="0.3">
      <c r="A25" s="107" t="s">
        <v>107</v>
      </c>
      <c r="B25" s="175">
        <f>'Oslo Pensjonsforsikring'!B7+'Oslo Pensjonsforsikring'!B22+'Oslo Pensjonsforsikring'!B36+'Oslo Pensjonsforsikring'!B47+'Oslo Pensjonsforsikring'!B66+'Oslo Pensjonsforsikring'!B134</f>
        <v>4018088</v>
      </c>
      <c r="C25" s="175">
        <f>'Oslo Pensjonsforsikring'!C7+'Oslo Pensjonsforsikring'!C22+'Oslo Pensjonsforsikring'!C36+'Oslo Pensjonsforsikring'!C47+'Oslo Pensjonsforsikring'!C66+'Oslo Pensjonsforsikring'!C134</f>
        <v>4149293</v>
      </c>
      <c r="D25" s="103">
        <f t="shared" si="5"/>
        <v>3.3</v>
      </c>
      <c r="E25" s="406">
        <f t="shared" si="6"/>
        <v>7.375135840281124</v>
      </c>
      <c r="F25" s="102"/>
      <c r="G25" s="175">
        <f>'Oslo Pensjonsforsikring'!B10+'Oslo Pensjonsforsikring'!B29+'Oslo Pensjonsforsikring'!B37+'Oslo Pensjonsforsikring'!B87+'Oslo Pensjonsforsikring'!B135</f>
        <v>64732970</v>
      </c>
      <c r="H25" s="175">
        <f>'Oslo Pensjonsforsikring'!C10+'Oslo Pensjonsforsikring'!C29+'Oslo Pensjonsforsikring'!C37+'Oslo Pensjonsforsikring'!C87+'Oslo Pensjonsforsikring'!C135</f>
        <v>70125745</v>
      </c>
      <c r="I25" s="103">
        <f t="shared" si="7"/>
        <v>8.3000000000000007</v>
      </c>
      <c r="J25" s="406">
        <f t="shared" si="8"/>
        <v>7.1839803269742788</v>
      </c>
      <c r="K25" s="138"/>
      <c r="L25" s="221">
        <f t="shared" ca="1" si="1"/>
        <v>0</v>
      </c>
      <c r="M25" s="219">
        <f t="shared" ca="1" si="2"/>
        <v>0</v>
      </c>
      <c r="N25" s="221">
        <f t="shared" ca="1" si="3"/>
        <v>0</v>
      </c>
      <c r="O25" s="219">
        <f t="shared" ca="1" si="4"/>
        <v>0</v>
      </c>
    </row>
    <row r="26" spans="1:21" ht="18.75" x14ac:dyDescent="0.3">
      <c r="A26" s="107" t="s">
        <v>108</v>
      </c>
      <c r="B26" s="175">
        <f>'Silver Pensjonsforsikring AS'!B7+'Silver Pensjonsforsikring AS'!B22+'Silver Pensjonsforsikring AS'!B36+'Silver Pensjonsforsikring AS'!B47+'Silver Pensjonsforsikring AS'!B66+'Silver Pensjonsforsikring AS'!B134</f>
        <v>0</v>
      </c>
      <c r="C26" s="175">
        <f>'Silver Pensjonsforsikring AS'!C7+'Silver Pensjonsforsikring AS'!C22+'Silver Pensjonsforsikring AS'!C36+'Silver Pensjonsforsikring AS'!C47+'Silver Pensjonsforsikring AS'!C66+'Silver Pensjonsforsikring AS'!C134</f>
        <v>0</v>
      </c>
      <c r="D26" s="103"/>
      <c r="E26" s="406">
        <f t="shared" si="6"/>
        <v>0</v>
      </c>
      <c r="F26" s="102"/>
      <c r="G26" s="175">
        <f>'Silver Pensjonsforsikring AS'!B10+'Silver Pensjonsforsikring AS'!B29+'Silver Pensjonsforsikring AS'!B37+'Silver Pensjonsforsikring AS'!B87+'Silver Pensjonsforsikring AS'!B135</f>
        <v>0</v>
      </c>
      <c r="H26" s="175">
        <f>'Silver Pensjonsforsikring AS'!C10+'Silver Pensjonsforsikring AS'!C29+'Silver Pensjonsforsikring AS'!C37+'Silver Pensjonsforsikring AS'!C87+'Silver Pensjonsforsikring AS'!C135</f>
        <v>0</v>
      </c>
      <c r="I26" s="103"/>
      <c r="J26" s="406">
        <f t="shared" si="8"/>
        <v>0</v>
      </c>
      <c r="K26" s="138"/>
      <c r="L26" s="221">
        <f t="shared" ca="1" si="1"/>
        <v>0</v>
      </c>
      <c r="M26" s="219">
        <f t="shared" ca="1" si="2"/>
        <v>0</v>
      </c>
      <c r="N26" s="221">
        <f t="shared" ca="1" si="3"/>
        <v>0</v>
      </c>
      <c r="O26" s="219">
        <f t="shared" ca="1" si="4"/>
        <v>0</v>
      </c>
    </row>
    <row r="27" spans="1:21" ht="18.75" x14ac:dyDescent="0.3">
      <c r="A27" s="191" t="s">
        <v>74</v>
      </c>
      <c r="B27" s="175">
        <f>'Sparebank 1'!B7+'Sparebank 1'!B22+'Sparebank 1'!B36+'Sparebank 1'!B47+'Sparebank 1'!B66+'Sparebank 1'!B134</f>
        <v>2505584.0598300006</v>
      </c>
      <c r="C27" s="175">
        <f>'Sparebank 1'!C7+'Sparebank 1'!C22+'Sparebank 1'!C36+'Sparebank 1'!C47+'Sparebank 1'!C66+'Sparebank 1'!C134</f>
        <v>2772100.5251799999</v>
      </c>
      <c r="D27" s="103">
        <f t="shared" si="5"/>
        <v>10.6</v>
      </c>
      <c r="E27" s="406">
        <f t="shared" si="6"/>
        <v>4.9272533745187781</v>
      </c>
      <c r="F27" s="102"/>
      <c r="G27" s="175">
        <f>'Sparebank 1'!B10+'Sparebank 1'!B29+'Sparebank 1'!B37+'Sparebank 1'!B87+'Sparebank 1'!B135</f>
        <v>17312529.77214</v>
      </c>
      <c r="H27" s="175">
        <f>'Sparebank 1'!C10+'Sparebank 1'!C29+'Sparebank 1'!C37+'Sparebank 1'!C87+'Sparebank 1'!C135</f>
        <v>18676728.652520001</v>
      </c>
      <c r="I27" s="103">
        <f t="shared" si="7"/>
        <v>7.9</v>
      </c>
      <c r="J27" s="406">
        <f t="shared" si="8"/>
        <v>1.91332371887016</v>
      </c>
      <c r="K27" s="138"/>
      <c r="L27" s="221">
        <f t="shared" ca="1" si="1"/>
        <v>0</v>
      </c>
      <c r="M27" s="219">
        <f t="shared" ca="1" si="2"/>
        <v>0</v>
      </c>
      <c r="N27" s="221">
        <f t="shared" ca="1" si="3"/>
        <v>0</v>
      </c>
      <c r="O27" s="219">
        <f t="shared" ca="1" si="4"/>
        <v>0</v>
      </c>
    </row>
    <row r="28" spans="1:21" ht="18.75" x14ac:dyDescent="0.3">
      <c r="A28" s="191" t="s">
        <v>109</v>
      </c>
      <c r="B28" s="175">
        <f>'Storebrand Livsforsikring'!B7+'Storebrand Livsforsikring'!B22+'Storebrand Livsforsikring'!B36+'Storebrand Livsforsikring'!B47+'Storebrand Livsforsikring'!B66+'Storebrand Livsforsikring'!B134</f>
        <v>6656214.8409999991</v>
      </c>
      <c r="C28" s="175">
        <f>'Storebrand Livsforsikring'!C7+'Storebrand Livsforsikring'!C22+'Storebrand Livsforsikring'!C36+'Storebrand Livsforsikring'!C47+'Storebrand Livsforsikring'!C66+'Storebrand Livsforsikring'!C134</f>
        <v>5689454.449</v>
      </c>
      <c r="D28" s="103">
        <f t="shared" si="5"/>
        <v>-14.5</v>
      </c>
      <c r="E28" s="406">
        <f t="shared" si="6"/>
        <v>10.112686527190727</v>
      </c>
      <c r="F28" s="102"/>
      <c r="G28" s="175">
        <f>'Storebrand Livsforsikring'!B10+'Storebrand Livsforsikring'!B29+'Storebrand Livsforsikring'!B37+'Storebrand Livsforsikring'!B87+'Storebrand Livsforsikring'!B135</f>
        <v>176557322.10000002</v>
      </c>
      <c r="H28" s="175">
        <f>'Storebrand Livsforsikring'!C10+'Storebrand Livsforsikring'!C29+'Storebrand Livsforsikring'!C37+'Storebrand Livsforsikring'!C87+'Storebrand Livsforsikring'!C135</f>
        <v>178778748.09999999</v>
      </c>
      <c r="I28" s="103">
        <f t="shared" si="7"/>
        <v>1.3</v>
      </c>
      <c r="J28" s="406">
        <f t="shared" si="8"/>
        <v>18.314857250093961</v>
      </c>
      <c r="K28" s="138"/>
      <c r="L28" s="221">
        <f t="shared" ca="1" si="1"/>
        <v>0</v>
      </c>
      <c r="M28" s="219">
        <f t="shared" ca="1" si="2"/>
        <v>0</v>
      </c>
      <c r="N28" s="221">
        <f t="shared" ca="1" si="3"/>
        <v>0</v>
      </c>
      <c r="O28" s="219">
        <f t="shared" ca="1" si="4"/>
        <v>0</v>
      </c>
    </row>
    <row r="29" spans="1:21" ht="18.75" x14ac:dyDescent="0.3">
      <c r="A29" s="191" t="s">
        <v>110</v>
      </c>
      <c r="B29" s="175">
        <f>'Telenor Forsikring'!B7+'Telenor Forsikring'!B22+'Telenor Forsikring'!B36+'Telenor Forsikring'!B47+'Telenor Forsikring'!B66+'Telenor Forsikring'!B134</f>
        <v>25828</v>
      </c>
      <c r="C29" s="175">
        <f>'Telenor Forsikring'!C7+'Telenor Forsikring'!C22+'Telenor Forsikring'!C36+'Telenor Forsikring'!C47+'Telenor Forsikring'!C66+'Telenor Forsikring'!C134</f>
        <v>31971</v>
      </c>
      <c r="D29" s="103">
        <f t="shared" si="5"/>
        <v>23.8</v>
      </c>
      <c r="E29" s="406">
        <f t="shared" si="6"/>
        <v>5.682666130100425E-2</v>
      </c>
      <c r="F29" s="102"/>
      <c r="G29" s="175">
        <f>'Telenor Forsikring'!B10+'Telenor Forsikring'!B29+'Telenor Forsikring'!B37+'Telenor Forsikring'!B87+'Telenor Forsikring'!B135</f>
        <v>0</v>
      </c>
      <c r="H29" s="175">
        <f>'Telenor Forsikring'!C10+'Telenor Forsikring'!C29+'Telenor Forsikring'!C37+'Telenor Forsikring'!C87+'Telenor Forsikring'!C135</f>
        <v>0</v>
      </c>
      <c r="I29" s="103"/>
      <c r="J29" s="406">
        <f t="shared" si="8"/>
        <v>0</v>
      </c>
      <c r="K29" s="205"/>
      <c r="L29" s="221">
        <f t="shared" ca="1" si="1"/>
        <v>0</v>
      </c>
      <c r="M29" s="219">
        <f t="shared" ca="1" si="2"/>
        <v>0</v>
      </c>
      <c r="N29" s="221">
        <f t="shared" ca="1" si="3"/>
        <v>0</v>
      </c>
      <c r="O29" s="219">
        <f t="shared" ca="1" si="4"/>
        <v>0</v>
      </c>
    </row>
    <row r="30" spans="1:21" ht="18.75" x14ac:dyDescent="0.3">
      <c r="A30" s="191" t="s">
        <v>111</v>
      </c>
      <c r="B30" s="175">
        <f>'Tryg Forsikring'!B7+'Tryg Forsikring'!B22+'Tryg Forsikring'!B36+'Tryg Forsikring'!B47+'Tryg Forsikring'!B66+'Tryg Forsikring'!B134</f>
        <v>542694.08400000003</v>
      </c>
      <c r="C30" s="175">
        <f>'Tryg Forsikring'!C7+'Tryg Forsikring'!C22+'Tryg Forsikring'!C36+'Tryg Forsikring'!C47+'Tryg Forsikring'!C66+'Tryg Forsikring'!C134</f>
        <v>512595.94180000003</v>
      </c>
      <c r="D30" s="103">
        <f t="shared" si="5"/>
        <v>-5.5</v>
      </c>
      <c r="E30" s="406">
        <f t="shared" si="6"/>
        <v>0.91111056798154222</v>
      </c>
      <c r="F30" s="102"/>
      <c r="G30" s="175">
        <f>'Tryg Forsikring'!B10+'Tryg Forsikring'!B29+'Tryg Forsikring'!B37+'Tryg Forsikring'!B87+'Tryg Forsikring'!B135</f>
        <v>0</v>
      </c>
      <c r="H30" s="175">
        <f>'Tryg Forsikring'!C10+'Tryg Forsikring'!C29+'Tryg Forsikring'!C37+'Tryg Forsikring'!C87+'Tryg Forsikring'!C135</f>
        <v>0</v>
      </c>
      <c r="I30" s="103"/>
      <c r="J30" s="406">
        <f t="shared" si="8"/>
        <v>0</v>
      </c>
      <c r="K30" s="205"/>
      <c r="L30" s="221">
        <f t="shared" ca="1" si="1"/>
        <v>0</v>
      </c>
      <c r="M30" s="219">
        <f t="shared" ca="1" si="2"/>
        <v>0</v>
      </c>
      <c r="N30" s="221">
        <f t="shared" ca="1" si="3"/>
        <v>0</v>
      </c>
      <c r="O30" s="219">
        <f t="shared" ca="1" si="4"/>
        <v>0</v>
      </c>
    </row>
    <row r="31" spans="1:21" s="110" customFormat="1" ht="18.75" x14ac:dyDescent="0.3">
      <c r="A31" s="136" t="s">
        <v>112</v>
      </c>
      <c r="B31" s="177">
        <f>SUM(B9:B30)</f>
        <v>59590460.341437332</v>
      </c>
      <c r="C31" s="239">
        <f>SUM(C9:C30)</f>
        <v>56260563.735485554</v>
      </c>
      <c r="D31" s="103">
        <f t="shared" si="5"/>
        <v>-5.6</v>
      </c>
      <c r="E31" s="407">
        <f>SUM(E9:E30)</f>
        <v>100.00000000000003</v>
      </c>
      <c r="F31" s="108"/>
      <c r="G31" s="177">
        <f>SUM(G9:G30)</f>
        <v>942854351.84810543</v>
      </c>
      <c r="H31" s="177">
        <f>SUM(H9:H30)</f>
        <v>976140548.94740069</v>
      </c>
      <c r="I31" s="103">
        <f t="shared" si="7"/>
        <v>3.5</v>
      </c>
      <c r="J31" s="407">
        <f>SUM(J9:J30)</f>
        <v>99.999999999999986</v>
      </c>
      <c r="K31" s="207"/>
      <c r="L31" s="221">
        <f ca="1">SUM(L9:L30)</f>
        <v>0</v>
      </c>
      <c r="M31" s="219">
        <f ca="1">SUM(M9:M30)</f>
        <v>0</v>
      </c>
      <c r="N31" s="221">
        <f ca="1">SUM(N9:N30)</f>
        <v>0</v>
      </c>
      <c r="O31" s="219">
        <f ca="1">SUM(O9:O30)</f>
        <v>0</v>
      </c>
      <c r="U31" s="203"/>
    </row>
    <row r="32" spans="1:21" ht="18.75" x14ac:dyDescent="0.3">
      <c r="A32" s="85"/>
      <c r="B32" s="175"/>
      <c r="C32" s="138"/>
      <c r="D32" s="103"/>
      <c r="E32" s="406"/>
      <c r="F32" s="102"/>
      <c r="G32" s="175"/>
      <c r="H32" s="102"/>
      <c r="I32" s="103"/>
      <c r="J32" s="406"/>
      <c r="K32" s="205"/>
      <c r="L32" s="218" t="s">
        <v>1</v>
      </c>
      <c r="M32" s="219"/>
      <c r="N32" s="221"/>
      <c r="O32" s="219"/>
    </row>
    <row r="33" spans="1:20" ht="18.75" x14ac:dyDescent="0.3">
      <c r="A33" s="100" t="s">
        <v>1</v>
      </c>
      <c r="B33" s="175"/>
      <c r="C33" s="138"/>
      <c r="D33" s="103"/>
      <c r="E33" s="406"/>
      <c r="F33" s="102"/>
      <c r="G33" s="175"/>
      <c r="H33" s="102"/>
      <c r="I33" s="103"/>
      <c r="J33" s="406"/>
      <c r="K33" s="205"/>
      <c r="L33" s="222">
        <v>2015</v>
      </c>
      <c r="M33" s="223">
        <v>2016</v>
      </c>
      <c r="N33" s="222">
        <v>2015</v>
      </c>
      <c r="O33" s="223">
        <v>2016</v>
      </c>
      <c r="P33" s="86" t="s">
        <v>170</v>
      </c>
    </row>
    <row r="34" spans="1:20" ht="18.75" x14ac:dyDescent="0.3">
      <c r="A34" s="106" t="s">
        <v>93</v>
      </c>
      <c r="B34" s="129">
        <f>'Danica Pensjonsforsikring'!F7+'Danica Pensjonsforsikring'!F22+'Danica Pensjonsforsikring'!F66+'Danica Pensjonsforsikring'!F134</f>
        <v>1601249.9339999999</v>
      </c>
      <c r="C34" s="129">
        <f>'Danica Pensjonsforsikring'!G7+'Danica Pensjonsforsikring'!G22+'Danica Pensjonsforsikring'!G66+'Danica Pensjonsforsikring'!G134</f>
        <v>1774297.267</v>
      </c>
      <c r="D34" s="103">
        <f t="shared" ref="D34:D45" si="9">IF(B34=0, "    ---- ", IF(ABS(ROUND(100/B34*C34-100,1))&lt;999,ROUND(100/B34*C34-100,1),IF(ROUND(100/B34*C34-100,1)&gt;999,999,-999)))</f>
        <v>10.8</v>
      </c>
      <c r="E34" s="406">
        <f t="shared" ref="E34" si="10">100/C$45*C34</f>
        <v>4.8208030344915436</v>
      </c>
      <c r="F34" s="102"/>
      <c r="G34" s="175">
        <f>'Danica Pensjonsforsikring'!F10+'Danica Pensjonsforsikring'!F29+'Danica Pensjonsforsikring'!F87+'Danica Pensjonsforsikring'!F135</f>
        <v>14037345.691</v>
      </c>
      <c r="H34" s="175">
        <f>'Danica Pensjonsforsikring'!G10+'Danica Pensjonsforsikring'!G29+'Danica Pensjonsforsikring'!G87+'Danica Pensjonsforsikring'!G135</f>
        <v>16948728.280999999</v>
      </c>
      <c r="I34" s="103">
        <f t="shared" ref="I34:I45" si="11">IF(G34=0, "    ---- ", IF(ABS(ROUND(100/G34*H34-100,1))&lt;999,ROUND(100/G34*H34-100,1),IF(ROUND(100/G34*H34-100,1)&gt;999,999,-999)))</f>
        <v>20.7</v>
      </c>
      <c r="J34" s="406">
        <f t="shared" ref="J34" si="12">100/H$45*H34</f>
        <v>5.8627767034717042</v>
      </c>
      <c r="K34" s="205" t="s">
        <v>158</v>
      </c>
      <c r="L34" s="221">
        <f t="shared" ref="L34:L44" ca="1" si="13">INDIRECT("'" &amp; $A34 &amp; "'!" &amp; $P$33)</f>
        <v>0</v>
      </c>
      <c r="M34" s="219">
        <f t="shared" ref="M34:M44" ca="1" si="14">INDIRECT("'" &amp; $A34 &amp; "'!" &amp; $P$34)</f>
        <v>0</v>
      </c>
      <c r="N34" s="221">
        <f t="shared" ref="N34:N44" ca="1" si="15">INDIRECT("'" &amp; $A34 &amp; "'!" &amp; $P$35)</f>
        <v>0</v>
      </c>
      <c r="O34" s="219">
        <f t="shared" ref="O34:O44" ca="1" si="16">INDIRECT("'"&amp;$A34&amp;"'!"&amp;$P$36)</f>
        <v>0</v>
      </c>
      <c r="P34" s="86" t="s">
        <v>172</v>
      </c>
    </row>
    <row r="35" spans="1:20" ht="18.75" x14ac:dyDescent="0.3">
      <c r="A35" s="85" t="s">
        <v>94</v>
      </c>
      <c r="B35" s="129">
        <f>'DNB Livsforsikring'!F7+'DNB Livsforsikring'!F22+'DNB Livsforsikring'!F66+'DNB Livsforsikring'!F134</f>
        <v>7888720</v>
      </c>
      <c r="C35" s="129">
        <f>'DNB Livsforsikring'!G7+'DNB Livsforsikring'!G22+'DNB Livsforsikring'!G66+'DNB Livsforsikring'!G134</f>
        <v>8571932</v>
      </c>
      <c r="D35" s="103">
        <f t="shared" si="9"/>
        <v>8.6999999999999993</v>
      </c>
      <c r="E35" s="406">
        <f t="shared" ref="E35:E44" si="17">100/C$45*C35</f>
        <v>23.290119736770787</v>
      </c>
      <c r="F35" s="102"/>
      <c r="G35" s="175">
        <f>'DNB Livsforsikring'!F10+'DNB Livsforsikring'!F29+'DNB Livsforsikring'!F87+'DNB Livsforsikring'!F135</f>
        <v>60220192.588040002</v>
      </c>
      <c r="H35" s="175">
        <f>'DNB Livsforsikring'!G10+'DNB Livsforsikring'!G29+'DNB Livsforsikring'!G87+'DNB Livsforsikring'!G135</f>
        <v>75206078.714000002</v>
      </c>
      <c r="I35" s="103">
        <f t="shared" si="11"/>
        <v>24.9</v>
      </c>
      <c r="J35" s="406">
        <f t="shared" ref="J35:J44" si="18">100/H$45*H35</f>
        <v>26.01472151383642</v>
      </c>
      <c r="K35" s="86" t="s">
        <v>166</v>
      </c>
      <c r="L35" s="221">
        <f t="shared" ca="1" si="13"/>
        <v>0</v>
      </c>
      <c r="M35" s="219">
        <f t="shared" ca="1" si="14"/>
        <v>0</v>
      </c>
      <c r="N35" s="221">
        <f t="shared" ca="1" si="15"/>
        <v>0</v>
      </c>
      <c r="O35" s="219">
        <f t="shared" ca="1" si="16"/>
        <v>0</v>
      </c>
      <c r="P35" s="86" t="s">
        <v>171</v>
      </c>
    </row>
    <row r="36" spans="1:20" ht="18.75" x14ac:dyDescent="0.3">
      <c r="A36" s="106" t="s">
        <v>96</v>
      </c>
      <c r="B36" s="129">
        <f>'Frende Livsforsikring'!F7+'Frende Livsforsikring'!F22+'Frende Livsforsikring'!F66+'Frende Livsforsikring'!F134</f>
        <v>317316</v>
      </c>
      <c r="C36" s="129">
        <f>'Frende Livsforsikring'!G7+'Frende Livsforsikring'!G22+'Frende Livsforsikring'!G66+'Frende Livsforsikring'!G134</f>
        <v>368028</v>
      </c>
      <c r="D36" s="103">
        <f t="shared" si="9"/>
        <v>16</v>
      </c>
      <c r="E36" s="406">
        <f t="shared" si="17"/>
        <v>0.99993982529076042</v>
      </c>
      <c r="F36" s="102"/>
      <c r="G36" s="175">
        <f>'Frende Livsforsikring'!F10+'Frende Livsforsikring'!F29+'Frende Livsforsikring'!F87+'Frende Livsforsikring'!F135</f>
        <v>2660563</v>
      </c>
      <c r="H36" s="175">
        <f>'Frende Livsforsikring'!G10+'Frende Livsforsikring'!G29+'Frende Livsforsikring'!G87+'Frende Livsforsikring'!G135</f>
        <v>3250729.1</v>
      </c>
      <c r="I36" s="103">
        <f t="shared" si="11"/>
        <v>22.2</v>
      </c>
      <c r="J36" s="406">
        <f t="shared" si="18"/>
        <v>1.1244677783962369</v>
      </c>
      <c r="K36" s="86" t="s">
        <v>159</v>
      </c>
      <c r="L36" s="221">
        <f t="shared" ca="1" si="13"/>
        <v>0</v>
      </c>
      <c r="M36" s="219">
        <f t="shared" ca="1" si="14"/>
        <v>0</v>
      </c>
      <c r="N36" s="221">
        <f t="shared" ca="1" si="15"/>
        <v>0</v>
      </c>
      <c r="O36" s="219">
        <f t="shared" ca="1" si="16"/>
        <v>0</v>
      </c>
      <c r="P36" s="86" t="s">
        <v>173</v>
      </c>
    </row>
    <row r="37" spans="1:20" ht="18.75" x14ac:dyDescent="0.3">
      <c r="A37" s="106" t="s">
        <v>99</v>
      </c>
      <c r="B37" s="129">
        <f>'Gjensidige Pensjon'!F7+'Gjensidige Pensjon'!F22+'Gjensidige Pensjon'!F66+'Gjensidige Pensjon'!F134</f>
        <v>2012747</v>
      </c>
      <c r="C37" s="129">
        <f>'Gjensidige Pensjon'!G7+'Gjensidige Pensjon'!G22+'Gjensidige Pensjon'!G66+'Gjensidige Pensjon'!G134</f>
        <v>2571137</v>
      </c>
      <c r="D37" s="103">
        <f t="shared" si="9"/>
        <v>27.7</v>
      </c>
      <c r="E37" s="406">
        <f t="shared" si="17"/>
        <v>6.9858333675117379</v>
      </c>
      <c r="F37" s="102"/>
      <c r="G37" s="175">
        <f>'Gjensidige Pensjon'!F10+'Gjensidige Pensjon'!F29+'Gjensidige Pensjon'!F87+'Gjensidige Pensjon'!F135</f>
        <v>17827699</v>
      </c>
      <c r="H37" s="175">
        <f>'Gjensidige Pensjon'!G10+'Gjensidige Pensjon'!G29+'Gjensidige Pensjon'!G87+'Gjensidige Pensjon'!G135</f>
        <v>22680593</v>
      </c>
      <c r="I37" s="103">
        <f t="shared" si="11"/>
        <v>27.2</v>
      </c>
      <c r="J37" s="406">
        <f t="shared" si="18"/>
        <v>7.8455002674382319</v>
      </c>
      <c r="K37" s="86" t="s">
        <v>167</v>
      </c>
      <c r="L37" s="221">
        <f t="shared" ca="1" si="13"/>
        <v>0</v>
      </c>
      <c r="M37" s="219">
        <f t="shared" ca="1" si="14"/>
        <v>0</v>
      </c>
      <c r="N37" s="221">
        <f t="shared" ca="1" si="15"/>
        <v>0</v>
      </c>
      <c r="O37" s="219">
        <f t="shared" ca="1" si="16"/>
        <v>0</v>
      </c>
    </row>
    <row r="38" spans="1:20" ht="18.75" x14ac:dyDescent="0.3">
      <c r="A38" s="106" t="s">
        <v>67</v>
      </c>
      <c r="B38" s="129">
        <f>KLP!F7+KLP!F22+KLP!F66+KLP!F134</f>
        <v>133629.31599999999</v>
      </c>
      <c r="C38" s="129">
        <f>KLP!G7+KLP!G22+KLP!G66+KLP!G134</f>
        <v>130226.34600000001</v>
      </c>
      <c r="D38" s="103">
        <f t="shared" si="9"/>
        <v>-2.5</v>
      </c>
      <c r="E38" s="406">
        <f t="shared" si="17"/>
        <v>0.35382772416091746</v>
      </c>
      <c r="F38" s="102"/>
      <c r="G38" s="175">
        <f>KLP!F10+KLP!F29+KLP!F87+KLP!F135</f>
        <v>2181469.20615</v>
      </c>
      <c r="H38" s="175">
        <f>KLP!G10+KLP!G29+KLP!G87+KLP!G135</f>
        <v>2373955.5961500001</v>
      </c>
      <c r="I38" s="103">
        <f t="shared" si="11"/>
        <v>8.8000000000000007</v>
      </c>
      <c r="J38" s="406">
        <f t="shared" si="18"/>
        <v>0.82118087761115033</v>
      </c>
      <c r="K38" s="86" t="s">
        <v>160</v>
      </c>
      <c r="L38" s="221">
        <f t="shared" ca="1" si="13"/>
        <v>0</v>
      </c>
      <c r="M38" s="219">
        <f t="shared" ca="1" si="14"/>
        <v>0</v>
      </c>
      <c r="N38" s="221">
        <f t="shared" ca="1" si="15"/>
        <v>0</v>
      </c>
      <c r="O38" s="219">
        <f t="shared" ca="1" si="16"/>
        <v>0</v>
      </c>
    </row>
    <row r="39" spans="1:20" ht="18.75" x14ac:dyDescent="0.3">
      <c r="A39" s="106" t="s">
        <v>102</v>
      </c>
      <c r="B39" s="129">
        <f>'KLP Bedriftspensjon AS'!F7+'KLP Bedriftspensjon AS'!F22+'KLP Bedriftspensjon AS'!F66+'KLP Bedriftspensjon AS'!F134</f>
        <v>274248</v>
      </c>
      <c r="C39" s="129">
        <f>'KLP Bedriftspensjon AS'!G7+'KLP Bedriftspensjon AS'!G22+'KLP Bedriftspensjon AS'!G66+'KLP Bedriftspensjon AS'!G134</f>
        <v>356633</v>
      </c>
      <c r="D39" s="103">
        <f t="shared" si="9"/>
        <v>30</v>
      </c>
      <c r="E39" s="406">
        <f t="shared" si="17"/>
        <v>0.96897937035475501</v>
      </c>
      <c r="F39" s="102"/>
      <c r="G39" s="175">
        <f>'KLP Bedriftspensjon AS'!F10+'KLP Bedriftspensjon AS'!F29+'KLP Bedriftspensjon AS'!F87+'KLP Bedriftspensjon AS'!F135</f>
        <v>1673718</v>
      </c>
      <c r="H39" s="175">
        <f>'KLP Bedriftspensjon AS'!G10+'KLP Bedriftspensjon AS'!G29+'KLP Bedriftspensjon AS'!G87+'KLP Bedriftspensjon AS'!G135</f>
        <v>2683785</v>
      </c>
      <c r="I39" s="103">
        <f t="shared" si="11"/>
        <v>60.3</v>
      </c>
      <c r="J39" s="406">
        <f t="shared" si="18"/>
        <v>0.92835473637072519</v>
      </c>
      <c r="K39" s="86" t="s">
        <v>168</v>
      </c>
      <c r="L39" s="221">
        <f t="shared" ca="1" si="13"/>
        <v>0</v>
      </c>
      <c r="M39" s="219">
        <f t="shared" ca="1" si="14"/>
        <v>0</v>
      </c>
      <c r="N39" s="221">
        <f t="shared" ca="1" si="15"/>
        <v>0</v>
      </c>
      <c r="O39" s="219">
        <f t="shared" ca="1" si="16"/>
        <v>0</v>
      </c>
    </row>
    <row r="40" spans="1:20" ht="18.75" x14ac:dyDescent="0.3">
      <c r="A40" s="106" t="s">
        <v>106</v>
      </c>
      <c r="B40" s="129">
        <f>'Nordea Liv '!F7+'Nordea Liv '!F22+'Nordea Liv '!F66+'Nordea Liv '!F134</f>
        <v>8569024.0165900029</v>
      </c>
      <c r="C40" s="129">
        <f>'Nordea Liv '!G7+'Nordea Liv '!G22+'Nordea Liv '!G66+'Nordea Liv '!G134</f>
        <v>9386463.9326900002</v>
      </c>
      <c r="D40" s="103">
        <f t="shared" si="9"/>
        <v>9.5</v>
      </c>
      <c r="E40" s="406">
        <f t="shared" si="17"/>
        <v>25.503220148880146</v>
      </c>
      <c r="F40" s="102"/>
      <c r="G40" s="175">
        <f>'Nordea Liv '!F10+'Nordea Liv '!F29+'Nordea Liv '!F87+'Nordea Liv '!F135</f>
        <v>47300719.99999994</v>
      </c>
      <c r="H40" s="175">
        <f>'Nordea Liv '!G10+'Nordea Liv '!G29+'Nordea Liv '!G87+'Nordea Liv '!G135</f>
        <v>58646139.999999985</v>
      </c>
      <c r="I40" s="103">
        <f t="shared" si="11"/>
        <v>24</v>
      </c>
      <c r="J40" s="406">
        <f t="shared" si="18"/>
        <v>20.286431975311221</v>
      </c>
      <c r="K40" s="205"/>
      <c r="L40" s="221">
        <f t="shared" ca="1" si="13"/>
        <v>0</v>
      </c>
      <c r="M40" s="219">
        <f t="shared" ca="1" si="14"/>
        <v>0</v>
      </c>
      <c r="N40" s="221">
        <f t="shared" ca="1" si="15"/>
        <v>0</v>
      </c>
      <c r="O40" s="219">
        <f t="shared" ca="1" si="16"/>
        <v>0</v>
      </c>
    </row>
    <row r="41" spans="1:20" ht="18.75" x14ac:dyDescent="0.3">
      <c r="A41" s="106" t="s">
        <v>78</v>
      </c>
      <c r="B41" s="129">
        <f>'SHB Liv'!F7+'SHB Liv'!F22+'SHB Liv'!F66+'SHB Liv'!F134</f>
        <v>173110</v>
      </c>
      <c r="C41" s="129">
        <f>'SHB Liv'!G7+'SHB Liv'!G22+'SHB Liv'!G66+'SHB Liv'!G134</f>
        <v>169062.91999999998</v>
      </c>
      <c r="D41" s="103">
        <f t="shared" si="9"/>
        <v>-2.2999999999999998</v>
      </c>
      <c r="E41" s="406">
        <f t="shared" si="17"/>
        <v>0.45934751347165376</v>
      </c>
      <c r="F41" s="102"/>
      <c r="G41" s="175">
        <f>'SHB Liv'!F10+'SHB Liv'!F29+'SHB Liv'!F87+'SHB Liv'!F135</f>
        <v>1764000</v>
      </c>
      <c r="H41" s="175">
        <f>'SHB Liv'!G10+'SHB Liv'!G29+'SHB Liv'!G87+'SHB Liv'!G135</f>
        <v>2082187</v>
      </c>
      <c r="I41" s="103">
        <f t="shared" si="11"/>
        <v>18</v>
      </c>
      <c r="J41" s="406">
        <f t="shared" si="18"/>
        <v>0.72025447770948536</v>
      </c>
      <c r="K41" s="205"/>
      <c r="L41" s="221">
        <f t="shared" ca="1" si="13"/>
        <v>0</v>
      </c>
      <c r="M41" s="219">
        <f t="shared" ca="1" si="14"/>
        <v>0</v>
      </c>
      <c r="N41" s="221">
        <f t="shared" ca="1" si="15"/>
        <v>0</v>
      </c>
      <c r="O41" s="219">
        <f t="shared" ca="1" si="16"/>
        <v>0</v>
      </c>
    </row>
    <row r="42" spans="1:20" ht="18.75" x14ac:dyDescent="0.3">
      <c r="A42" s="106" t="s">
        <v>108</v>
      </c>
      <c r="B42" s="129">
        <f>'Silver Pensjonsforsikring AS'!F7+'Silver Pensjonsforsikring AS'!F22+'Silver Pensjonsforsikring AS'!F66+'Silver Pensjonsforsikring AS'!F134</f>
        <v>0</v>
      </c>
      <c r="C42" s="129">
        <f>'Silver Pensjonsforsikring AS'!G7+'Silver Pensjonsforsikring AS'!G22+'Silver Pensjonsforsikring AS'!G66+'Silver Pensjonsforsikring AS'!G134</f>
        <v>0</v>
      </c>
      <c r="D42" s="103"/>
      <c r="E42" s="406">
        <f t="shared" si="17"/>
        <v>0</v>
      </c>
      <c r="F42" s="102"/>
      <c r="G42" s="175">
        <f>'Silver Pensjonsforsikring AS'!F10+'Silver Pensjonsforsikring AS'!F29+'Silver Pensjonsforsikring AS'!F87+'Silver Pensjonsforsikring AS'!F135</f>
        <v>0</v>
      </c>
      <c r="H42" s="175">
        <f>'Silver Pensjonsforsikring AS'!G10+'Silver Pensjonsforsikring AS'!G29+'Silver Pensjonsforsikring AS'!G87+'Silver Pensjonsforsikring AS'!G135</f>
        <v>0</v>
      </c>
      <c r="I42" s="103"/>
      <c r="J42" s="406">
        <f t="shared" si="18"/>
        <v>0</v>
      </c>
      <c r="K42" s="138"/>
      <c r="L42" s="221">
        <f t="shared" ca="1" si="13"/>
        <v>0</v>
      </c>
      <c r="M42" s="219">
        <f t="shared" ca="1" si="14"/>
        <v>0</v>
      </c>
      <c r="N42" s="221">
        <f t="shared" ca="1" si="15"/>
        <v>0</v>
      </c>
      <c r="O42" s="219">
        <f t="shared" ca="1" si="16"/>
        <v>0</v>
      </c>
    </row>
    <row r="43" spans="1:20" ht="18.75" x14ac:dyDescent="0.3">
      <c r="A43" s="85" t="s">
        <v>74</v>
      </c>
      <c r="B43" s="129">
        <f>'Sparebank 1'!F7+'Sparebank 1'!F22+'Sparebank 1'!F66+'Sparebank 1'!F134</f>
        <v>2177088.1554299998</v>
      </c>
      <c r="C43" s="129">
        <f>'Sparebank 1'!G7+'Sparebank 1'!G22+'Sparebank 1'!G66+'Sparebank 1'!G134</f>
        <v>3137901.4883699999</v>
      </c>
      <c r="D43" s="103">
        <f t="shared" si="9"/>
        <v>44.1</v>
      </c>
      <c r="E43" s="406">
        <f t="shared" si="17"/>
        <v>8.5257444163496121</v>
      </c>
      <c r="F43" s="102"/>
      <c r="G43" s="175">
        <f>'Sparebank 1'!F10+'Sparebank 1'!F29+'Sparebank 1'!F87+'Sparebank 1'!F135</f>
        <v>19386681.029040001</v>
      </c>
      <c r="H43" s="175">
        <f>'Sparebank 1'!G10+'Sparebank 1'!G29+'Sparebank 1'!G87+'Sparebank 1'!G135</f>
        <v>24894504.285070002</v>
      </c>
      <c r="I43" s="103">
        <f t="shared" si="11"/>
        <v>28.4</v>
      </c>
      <c r="J43" s="406">
        <f t="shared" si="18"/>
        <v>8.6113198198238869</v>
      </c>
      <c r="K43" s="138"/>
      <c r="L43" s="221">
        <f t="shared" ca="1" si="13"/>
        <v>0</v>
      </c>
      <c r="M43" s="219">
        <f t="shared" ca="1" si="14"/>
        <v>0</v>
      </c>
      <c r="N43" s="221">
        <f t="shared" ca="1" si="15"/>
        <v>0</v>
      </c>
      <c r="O43" s="219">
        <f t="shared" ca="1" si="16"/>
        <v>0</v>
      </c>
    </row>
    <row r="44" spans="1:20" ht="18.75" x14ac:dyDescent="0.3">
      <c r="A44" s="85" t="s">
        <v>109</v>
      </c>
      <c r="B44" s="129">
        <f>'Storebrand Livsforsikring'!F7+'Storebrand Livsforsikring'!F22+'Storebrand Livsforsikring'!F66+'Storebrand Livsforsikring'!F134</f>
        <v>9586837.9849999994</v>
      </c>
      <c r="C44" s="129">
        <f>'Storebrand Livsforsikring'!G7+'Storebrand Livsforsikring'!G22+'Storebrand Livsforsikring'!G66+'Storebrand Livsforsikring'!G134</f>
        <v>10339332.776999999</v>
      </c>
      <c r="D44" s="103">
        <f t="shared" si="9"/>
        <v>7.8</v>
      </c>
      <c r="E44" s="406">
        <f t="shared" si="17"/>
        <v>28.092184862718085</v>
      </c>
      <c r="F44" s="102"/>
      <c r="G44" s="175">
        <f>'Storebrand Livsforsikring'!F10+'Storebrand Livsforsikring'!F29+'Storebrand Livsforsikring'!F87+'Storebrand Livsforsikring'!F135</f>
        <v>65092912.276000008</v>
      </c>
      <c r="H44" s="175">
        <f>'Storebrand Livsforsikring'!G10+'Storebrand Livsforsikring'!G29+'Storebrand Livsforsikring'!G87+'Storebrand Livsforsikring'!G135</f>
        <v>80323761.414470002</v>
      </c>
      <c r="I44" s="103">
        <f t="shared" si="11"/>
        <v>23.4</v>
      </c>
      <c r="J44" s="406">
        <f t="shared" si="18"/>
        <v>27.784991850030952</v>
      </c>
      <c r="K44" s="138"/>
      <c r="L44" s="221">
        <f t="shared" ca="1" si="13"/>
        <v>0</v>
      </c>
      <c r="M44" s="219">
        <f t="shared" ca="1" si="14"/>
        <v>0</v>
      </c>
      <c r="N44" s="221">
        <f t="shared" ca="1" si="15"/>
        <v>0</v>
      </c>
      <c r="O44" s="219">
        <f t="shared" ca="1" si="16"/>
        <v>0</v>
      </c>
    </row>
    <row r="45" spans="1:20" s="110" customFormat="1" ht="18.75" x14ac:dyDescent="0.3">
      <c r="A45" s="100" t="s">
        <v>113</v>
      </c>
      <c r="B45" s="239">
        <f>SUM(B34:B44)</f>
        <v>32733970.407020003</v>
      </c>
      <c r="C45" s="239">
        <f>SUM(C34:C44)</f>
        <v>36805014.731059998</v>
      </c>
      <c r="D45" s="103">
        <f t="shared" si="9"/>
        <v>12.4</v>
      </c>
      <c r="E45" s="407">
        <f>SUM(E34:E44)</f>
        <v>100</v>
      </c>
      <c r="F45" s="108"/>
      <c r="G45" s="177">
        <f>SUM(G34:G44)</f>
        <v>232145300.79022998</v>
      </c>
      <c r="H45" s="177">
        <f>SUM(H34:H44)</f>
        <v>289090462.39068997</v>
      </c>
      <c r="I45" s="103">
        <f t="shared" si="11"/>
        <v>24.5</v>
      </c>
      <c r="J45" s="407">
        <f>SUM(J34:J44)</f>
        <v>100.00000000000001</v>
      </c>
      <c r="K45" s="138"/>
      <c r="L45" s="221">
        <f ca="1">SUM(L34:L44)</f>
        <v>0</v>
      </c>
      <c r="M45" s="219">
        <f t="shared" ref="M45:O45" ca="1" si="19">SUM(M34:M44)</f>
        <v>0</v>
      </c>
      <c r="N45" s="221">
        <f t="shared" ca="1" si="19"/>
        <v>0</v>
      </c>
      <c r="O45" s="219">
        <f t="shared" ca="1" si="19"/>
        <v>0</v>
      </c>
    </row>
    <row r="46" spans="1:20" ht="18.75" x14ac:dyDescent="0.3">
      <c r="A46" s="100"/>
      <c r="B46" s="129"/>
      <c r="C46" s="108"/>
      <c r="D46" s="109"/>
      <c r="E46" s="406"/>
      <c r="F46" s="108"/>
      <c r="G46" s="177"/>
      <c r="H46" s="108"/>
      <c r="I46" s="109"/>
      <c r="J46" s="407"/>
      <c r="K46" s="138"/>
      <c r="L46" s="218" t="s">
        <v>114</v>
      </c>
      <c r="M46" s="224"/>
      <c r="N46" s="225"/>
      <c r="O46" s="224"/>
    </row>
    <row r="47" spans="1:20" ht="18.75" x14ac:dyDescent="0.3">
      <c r="A47" s="85"/>
      <c r="B47" s="129"/>
      <c r="C47" s="102"/>
      <c r="D47" s="103"/>
      <c r="E47" s="406"/>
      <c r="F47" s="102"/>
      <c r="G47" s="175"/>
      <c r="H47" s="102"/>
      <c r="I47" s="103"/>
      <c r="J47" s="406"/>
      <c r="K47" s="138"/>
      <c r="L47" s="222">
        <v>2015</v>
      </c>
      <c r="M47" s="223">
        <v>2016</v>
      </c>
      <c r="N47" s="222">
        <v>2015</v>
      </c>
      <c r="O47" s="223">
        <v>2016</v>
      </c>
    </row>
    <row r="48" spans="1:20" ht="18.75" x14ac:dyDescent="0.3">
      <c r="A48" s="100" t="s">
        <v>114</v>
      </c>
      <c r="B48" s="129"/>
      <c r="C48" s="102"/>
      <c r="D48" s="103"/>
      <c r="E48" s="406"/>
      <c r="F48" s="102"/>
      <c r="G48" s="175"/>
      <c r="H48" s="102"/>
      <c r="I48" s="103"/>
      <c r="J48" s="406"/>
      <c r="K48" s="138"/>
      <c r="L48" s="221"/>
      <c r="M48" s="219"/>
      <c r="N48" s="221"/>
      <c r="O48" s="219"/>
      <c r="P48" s="205"/>
      <c r="Q48" s="205"/>
      <c r="R48" s="205"/>
      <c r="S48" s="181"/>
      <c r="T48" s="138"/>
    </row>
    <row r="49" spans="1:20" ht="18.75" x14ac:dyDescent="0.3">
      <c r="A49" s="85" t="s">
        <v>92</v>
      </c>
      <c r="B49" s="129">
        <f>B9</f>
        <v>0</v>
      </c>
      <c r="C49" s="179">
        <f>C9</f>
        <v>0</v>
      </c>
      <c r="D49" s="103"/>
      <c r="E49" s="406">
        <f t="shared" ref="E49:E71" si="20">100/C$72*C49</f>
        <v>0</v>
      </c>
      <c r="F49" s="102"/>
      <c r="G49" s="175">
        <f>G9</f>
        <v>0</v>
      </c>
      <c r="H49" s="175">
        <f>H9</f>
        <v>0</v>
      </c>
      <c r="I49" s="103"/>
      <c r="J49" s="406">
        <f>100/H$72*H49</f>
        <v>0</v>
      </c>
      <c r="K49" s="138"/>
      <c r="L49" s="221">
        <f ca="1">L9</f>
        <v>0</v>
      </c>
      <c r="M49" s="226">
        <f ca="1">M9</f>
        <v>0</v>
      </c>
      <c r="N49" s="221">
        <f ca="1">N9</f>
        <v>0</v>
      </c>
      <c r="O49" s="226">
        <f ca="1">O9</f>
        <v>0</v>
      </c>
      <c r="P49" s="205"/>
      <c r="Q49" s="205"/>
      <c r="R49" s="205"/>
      <c r="S49" s="181"/>
      <c r="T49" s="138"/>
    </row>
    <row r="50" spans="1:20" ht="18.75" x14ac:dyDescent="0.3">
      <c r="A50" s="106" t="s">
        <v>93</v>
      </c>
      <c r="B50" s="129">
        <f>B10+B34</f>
        <v>1993525.1669999999</v>
      </c>
      <c r="C50" s="102">
        <f>C10+C34</f>
        <v>2172070.6120000002</v>
      </c>
      <c r="D50" s="103">
        <f t="shared" ref="D50:D71" si="21">IF(B50=0, "    ---- ", IF(ABS(ROUND(100/B50*C50-100,1))&lt;999,ROUND(100/B50*C50-100,1),IF(ROUND(100/B50*C50-100,1)&gt;999,999,-999)))</f>
        <v>9</v>
      </c>
      <c r="E50" s="406">
        <f t="shared" si="20"/>
        <v>2.3339140504894602</v>
      </c>
      <c r="F50" s="102"/>
      <c r="G50" s="175">
        <f>G10+G34</f>
        <v>14974435.116</v>
      </c>
      <c r="H50" s="175">
        <f>H10+H34</f>
        <v>17972062.645999998</v>
      </c>
      <c r="I50" s="103">
        <f t="shared" ref="I50:I69" si="22">IF(G50=0, "    ---- ", IF(ABS(ROUND(100/G50*H50-100,1))&lt;999,ROUND(100/G50*H50-100,1),IF(ROUND(100/G50*H50-100,1)&gt;999,999,-999)))</f>
        <v>20</v>
      </c>
      <c r="J50" s="406">
        <f>100/H$72*H50</f>
        <v>1.4204570141695307</v>
      </c>
      <c r="K50" s="138"/>
      <c r="L50" s="221">
        <f ca="1">L10+L34</f>
        <v>0</v>
      </c>
      <c r="M50" s="219">
        <f ca="1">M10+M34</f>
        <v>0</v>
      </c>
      <c r="N50" s="221">
        <f ca="1">N10+N34</f>
        <v>0</v>
      </c>
      <c r="O50" s="219">
        <f ca="1">O10+O34</f>
        <v>0</v>
      </c>
      <c r="P50" s="205"/>
      <c r="Q50" s="205"/>
      <c r="R50" s="205"/>
      <c r="S50" s="181"/>
      <c r="T50" s="138"/>
    </row>
    <row r="51" spans="1:20" ht="18.75" x14ac:dyDescent="0.3">
      <c r="A51" s="85" t="s">
        <v>94</v>
      </c>
      <c r="B51" s="129">
        <f>B11+B35</f>
        <v>14243489</v>
      </c>
      <c r="C51" s="102">
        <f>+C11+C35</f>
        <v>13491949.806</v>
      </c>
      <c r="D51" s="103">
        <f t="shared" si="21"/>
        <v>-5.3</v>
      </c>
      <c r="E51" s="406">
        <f t="shared" si="20"/>
        <v>14.49725024902733</v>
      </c>
      <c r="F51" s="102"/>
      <c r="G51" s="175">
        <f>+G11+G35</f>
        <v>263584581.58803999</v>
      </c>
      <c r="H51" s="175">
        <f>+H11+H35</f>
        <v>278203366.71399999</v>
      </c>
      <c r="I51" s="103">
        <f t="shared" si="22"/>
        <v>5.5</v>
      </c>
      <c r="J51" s="406">
        <f>100/H$72*H51</f>
        <v>21.988345544880062</v>
      </c>
      <c r="K51" s="138"/>
      <c r="L51" s="221">
        <f ca="1">L11+L35</f>
        <v>0</v>
      </c>
      <c r="M51" s="219">
        <f ca="1">+M11+M35</f>
        <v>0</v>
      </c>
      <c r="N51" s="221">
        <f ca="1">+N11+N35</f>
        <v>0</v>
      </c>
      <c r="O51" s="219">
        <f ca="1">+O11+O35</f>
        <v>0</v>
      </c>
      <c r="P51" s="205"/>
      <c r="Q51" s="205"/>
      <c r="R51" s="205"/>
      <c r="S51" s="181"/>
      <c r="T51" s="138"/>
    </row>
    <row r="52" spans="1:20" ht="18.75" x14ac:dyDescent="0.3">
      <c r="A52" s="85" t="s">
        <v>95</v>
      </c>
      <c r="B52" s="129">
        <f>B12</f>
        <v>351394</v>
      </c>
      <c r="C52" s="102">
        <f>C12</f>
        <v>267318</v>
      </c>
      <c r="D52" s="103">
        <f t="shared" si="21"/>
        <v>-23.9</v>
      </c>
      <c r="E52" s="406">
        <f t="shared" si="20"/>
        <v>0.28723616658772855</v>
      </c>
      <c r="F52" s="102"/>
      <c r="G52" s="175">
        <f>G12</f>
        <v>401746</v>
      </c>
      <c r="H52" s="175">
        <f>H12</f>
        <v>422298</v>
      </c>
      <c r="I52" s="103">
        <f t="shared" si="22"/>
        <v>5.0999999999999996</v>
      </c>
      <c r="J52" s="406">
        <f>100/H$72*H52</f>
        <v>3.3377145850494415E-2</v>
      </c>
      <c r="K52" s="138"/>
      <c r="L52" s="221">
        <f ca="1">L12</f>
        <v>0</v>
      </c>
      <c r="M52" s="219">
        <f ca="1">M12</f>
        <v>0</v>
      </c>
      <c r="N52" s="221">
        <f ca="1">N12</f>
        <v>0</v>
      </c>
      <c r="O52" s="219">
        <f ca="1">+O12+O36</f>
        <v>0</v>
      </c>
      <c r="P52" s="205"/>
      <c r="Q52" s="205"/>
      <c r="R52" s="205"/>
      <c r="S52" s="181"/>
      <c r="T52" s="138"/>
    </row>
    <row r="53" spans="1:20" ht="18.75" x14ac:dyDescent="0.3">
      <c r="A53" s="106" t="s">
        <v>96</v>
      </c>
      <c r="B53" s="129">
        <f>B13+B36</f>
        <v>770307</v>
      </c>
      <c r="C53" s="104">
        <f>C13+C36</f>
        <v>862720.29999999993</v>
      </c>
      <c r="D53" s="105">
        <f t="shared" si="21"/>
        <v>12</v>
      </c>
      <c r="E53" s="408">
        <f t="shared" si="20"/>
        <v>0.92700256551902649</v>
      </c>
      <c r="F53" s="104"/>
      <c r="G53" s="176">
        <f>G13+G36</f>
        <v>3328019</v>
      </c>
      <c r="H53" s="176">
        <f>H13+H36</f>
        <v>4025671.99</v>
      </c>
      <c r="I53" s="103">
        <f t="shared" si="22"/>
        <v>21</v>
      </c>
      <c r="J53" s="406">
        <f t="shared" ref="J53:J71" si="23">100/H$72*H53</f>
        <v>0.31817683521229106</v>
      </c>
      <c r="K53" s="138"/>
      <c r="L53" s="221">
        <f ca="1">L13+L36</f>
        <v>0</v>
      </c>
      <c r="M53" s="219">
        <f ca="1">M13+M36</f>
        <v>0</v>
      </c>
      <c r="N53" s="221">
        <f ca="1">N13+N36</f>
        <v>0</v>
      </c>
      <c r="O53" s="219">
        <f ca="1">O13+O36</f>
        <v>0</v>
      </c>
      <c r="P53" s="208"/>
      <c r="Q53" s="208"/>
      <c r="R53" s="208"/>
      <c r="S53" s="181"/>
      <c r="T53" s="138"/>
    </row>
    <row r="54" spans="1:20" ht="18.75" x14ac:dyDescent="0.3">
      <c r="A54" s="106" t="s">
        <v>97</v>
      </c>
      <c r="B54" s="129">
        <f>B14</f>
        <v>4460</v>
      </c>
      <c r="C54" s="104">
        <f>C14</f>
        <v>5631</v>
      </c>
      <c r="D54" s="105">
        <f t="shared" si="21"/>
        <v>26.3</v>
      </c>
      <c r="E54" s="408">
        <f t="shared" si="20"/>
        <v>6.0505721801580861E-3</v>
      </c>
      <c r="F54" s="104"/>
      <c r="G54" s="176">
        <f>G14</f>
        <v>0</v>
      </c>
      <c r="H54" s="176">
        <f>H14</f>
        <v>0</v>
      </c>
      <c r="I54" s="103"/>
      <c r="J54" s="406">
        <f t="shared" si="23"/>
        <v>0</v>
      </c>
      <c r="K54" s="138"/>
      <c r="L54" s="221">
        <f ca="1">L14</f>
        <v>0</v>
      </c>
      <c r="M54" s="219">
        <f ca="1">M14</f>
        <v>0</v>
      </c>
      <c r="N54" s="221">
        <f ca="1">N14</f>
        <v>0</v>
      </c>
      <c r="O54" s="219">
        <f ca="1">O14</f>
        <v>0</v>
      </c>
      <c r="P54" s="208"/>
      <c r="Q54" s="208"/>
      <c r="R54" s="208"/>
      <c r="S54" s="181"/>
      <c r="T54" s="138"/>
    </row>
    <row r="55" spans="1:20" ht="18.75" x14ac:dyDescent="0.3">
      <c r="A55" s="85" t="s">
        <v>98</v>
      </c>
      <c r="B55" s="102">
        <f>B15</f>
        <v>1537000</v>
      </c>
      <c r="C55" s="102">
        <f>+C15</f>
        <v>1528867</v>
      </c>
      <c r="D55" s="103">
        <f t="shared" si="21"/>
        <v>-0.5</v>
      </c>
      <c r="E55" s="406">
        <f t="shared" si="20"/>
        <v>1.6427846097250494</v>
      </c>
      <c r="F55" s="102"/>
      <c r="G55" s="175">
        <f>+G15</f>
        <v>1194028</v>
      </c>
      <c r="H55" s="175">
        <f>+H15</f>
        <v>1200643</v>
      </c>
      <c r="I55" s="103">
        <f t="shared" si="22"/>
        <v>0.6</v>
      </c>
      <c r="J55" s="406">
        <f t="shared" si="23"/>
        <v>9.4895160586541183E-2</v>
      </c>
      <c r="K55" s="138"/>
      <c r="L55" s="221">
        <f ca="1">L15</f>
        <v>0</v>
      </c>
      <c r="M55" s="219">
        <f ca="1">+M15</f>
        <v>0</v>
      </c>
      <c r="N55" s="221">
        <f ca="1">+N15</f>
        <v>0</v>
      </c>
      <c r="O55" s="219">
        <f ca="1">+O15</f>
        <v>0</v>
      </c>
      <c r="P55" s="205"/>
      <c r="Q55" s="205"/>
      <c r="R55" s="205"/>
      <c r="S55" s="181"/>
      <c r="T55" s="138"/>
    </row>
    <row r="56" spans="1:20" ht="18.75" x14ac:dyDescent="0.3">
      <c r="A56" s="85" t="s">
        <v>99</v>
      </c>
      <c r="B56" s="102">
        <f>B16+B37</f>
        <v>2472080</v>
      </c>
      <c r="C56" s="102">
        <f>C16+C37</f>
        <v>3094770</v>
      </c>
      <c r="D56" s="103">
        <f t="shared" si="21"/>
        <v>25.2</v>
      </c>
      <c r="E56" s="406">
        <f t="shared" si="20"/>
        <v>3.3253648137076612</v>
      </c>
      <c r="F56" s="102"/>
      <c r="G56" s="175">
        <f>G16+G37</f>
        <v>23237255</v>
      </c>
      <c r="H56" s="175">
        <f>H16+H37</f>
        <v>28698956</v>
      </c>
      <c r="I56" s="103">
        <f t="shared" si="22"/>
        <v>23.5</v>
      </c>
      <c r="J56" s="406">
        <f t="shared" si="23"/>
        <v>2.2682779463055041</v>
      </c>
      <c r="K56" s="138"/>
      <c r="L56" s="221">
        <f ca="1">L16+L37</f>
        <v>0</v>
      </c>
      <c r="M56" s="219">
        <f ca="1">M16+M37</f>
        <v>0</v>
      </c>
      <c r="N56" s="221">
        <f ca="1">N16+N37</f>
        <v>0</v>
      </c>
      <c r="O56" s="219">
        <f ca="1">O16+O37</f>
        <v>0</v>
      </c>
      <c r="P56" s="205"/>
      <c r="Q56" s="205"/>
      <c r="R56" s="205"/>
      <c r="S56" s="181"/>
      <c r="T56" s="138"/>
    </row>
    <row r="57" spans="1:20" ht="18.75" x14ac:dyDescent="0.3">
      <c r="A57" s="85" t="s">
        <v>100</v>
      </c>
      <c r="B57" s="102">
        <f>B17</f>
        <v>38617</v>
      </c>
      <c r="C57" s="102">
        <f>+C17</f>
        <v>37362</v>
      </c>
      <c r="D57" s="103">
        <f t="shared" si="21"/>
        <v>-3.2</v>
      </c>
      <c r="E57" s="406">
        <f t="shared" si="20"/>
        <v>4.0145884886355253E-2</v>
      </c>
      <c r="F57" s="102"/>
      <c r="G57" s="175">
        <f>+G17</f>
        <v>25901</v>
      </c>
      <c r="H57" s="175">
        <f>+H17</f>
        <v>26374</v>
      </c>
      <c r="I57" s="103">
        <f t="shared" si="22"/>
        <v>1.8</v>
      </c>
      <c r="J57" s="406">
        <f t="shared" si="23"/>
        <v>2.0845205155149674E-3</v>
      </c>
      <c r="K57" s="138"/>
      <c r="L57" s="221">
        <f ca="1">L17</f>
        <v>0</v>
      </c>
      <c r="M57" s="219">
        <f t="shared" ref="M57:O58" ca="1" si="24">+M17</f>
        <v>0</v>
      </c>
      <c r="N57" s="221">
        <f t="shared" ca="1" si="24"/>
        <v>0</v>
      </c>
      <c r="O57" s="219">
        <f t="shared" ca="1" si="24"/>
        <v>0</v>
      </c>
      <c r="P57" s="205"/>
      <c r="Q57" s="205"/>
      <c r="R57" s="205"/>
      <c r="S57" s="181"/>
      <c r="T57" s="138"/>
    </row>
    <row r="58" spans="1:20" ht="18.75" x14ac:dyDescent="0.3">
      <c r="A58" s="85" t="s">
        <v>101</v>
      </c>
      <c r="B58" s="102">
        <f>B18</f>
        <v>414284.755</v>
      </c>
      <c r="C58" s="102">
        <f>+C18</f>
        <v>436905</v>
      </c>
      <c r="D58" s="103">
        <f t="shared" si="21"/>
        <v>5.5</v>
      </c>
      <c r="E58" s="406">
        <f t="shared" si="20"/>
        <v>0.46945928580571278</v>
      </c>
      <c r="F58" s="102"/>
      <c r="G58" s="175">
        <f>+G18</f>
        <v>378750</v>
      </c>
      <c r="H58" s="175">
        <f>+H18</f>
        <v>416284</v>
      </c>
      <c r="I58" s="103">
        <f t="shared" si="22"/>
        <v>9.9</v>
      </c>
      <c r="J58" s="406">
        <f t="shared" si="23"/>
        <v>3.2901817634057508E-2</v>
      </c>
      <c r="K58" s="138"/>
      <c r="L58" s="221">
        <f ca="1">L18</f>
        <v>0</v>
      </c>
      <c r="M58" s="219">
        <f t="shared" ca="1" si="24"/>
        <v>0</v>
      </c>
      <c r="N58" s="221">
        <f t="shared" ca="1" si="24"/>
        <v>0</v>
      </c>
      <c r="O58" s="219">
        <f t="shared" ca="1" si="24"/>
        <v>0</v>
      </c>
      <c r="P58" s="205"/>
      <c r="Q58" s="205"/>
      <c r="R58" s="205"/>
      <c r="S58" s="181"/>
      <c r="T58" s="138"/>
    </row>
    <row r="59" spans="1:20" ht="18.75" x14ac:dyDescent="0.3">
      <c r="A59" s="85" t="s">
        <v>67</v>
      </c>
      <c r="B59" s="104">
        <f>B19+B38</f>
        <v>33606311.704949997</v>
      </c>
      <c r="C59" s="104">
        <f>C19+C38</f>
        <v>32122480.125960004</v>
      </c>
      <c r="D59" s="105">
        <f t="shared" si="21"/>
        <v>-4.4000000000000004</v>
      </c>
      <c r="E59" s="408">
        <f t="shared" si="20"/>
        <v>34.515962459210549</v>
      </c>
      <c r="F59" s="104"/>
      <c r="G59" s="176">
        <f>G19+G38</f>
        <v>424027421.75699002</v>
      </c>
      <c r="H59" s="176">
        <f>H19+H38</f>
        <v>446867604.98354995</v>
      </c>
      <c r="I59" s="103">
        <f t="shared" si="22"/>
        <v>5.4</v>
      </c>
      <c r="J59" s="406">
        <f t="shared" si="23"/>
        <v>35.319052487572925</v>
      </c>
      <c r="K59" s="138"/>
      <c r="L59" s="221">
        <f ca="1">L19+L38</f>
        <v>0</v>
      </c>
      <c r="M59" s="219">
        <f ca="1">M19+M38</f>
        <v>0</v>
      </c>
      <c r="N59" s="221">
        <f ca="1">N19+N38</f>
        <v>0</v>
      </c>
      <c r="O59" s="219">
        <f ca="1">O19+O38</f>
        <v>0</v>
      </c>
      <c r="P59" s="208"/>
      <c r="Q59" s="208"/>
      <c r="R59" s="208"/>
      <c r="S59" s="181"/>
      <c r="T59" s="138"/>
    </row>
    <row r="60" spans="1:20" ht="18.75" x14ac:dyDescent="0.3">
      <c r="A60" s="85" t="s">
        <v>102</v>
      </c>
      <c r="B60" s="102">
        <f>B20+B39</f>
        <v>389573</v>
      </c>
      <c r="C60" s="102">
        <f>+C20+C39</f>
        <v>453866</v>
      </c>
      <c r="D60" s="103">
        <f t="shared" si="21"/>
        <v>16.5</v>
      </c>
      <c r="E60" s="406">
        <f t="shared" si="20"/>
        <v>0.48768406910311313</v>
      </c>
      <c r="F60" s="102"/>
      <c r="G60" s="175">
        <f>G20+G39</f>
        <v>3174220</v>
      </c>
      <c r="H60" s="175">
        <f>H20+H39</f>
        <v>4297047</v>
      </c>
      <c r="I60" s="103">
        <f t="shared" si="22"/>
        <v>35.4</v>
      </c>
      <c r="J60" s="406">
        <f t="shared" si="23"/>
        <v>0.33962548826996453</v>
      </c>
      <c r="K60" s="138"/>
      <c r="L60" s="221">
        <f ca="1">L20+L39</f>
        <v>0</v>
      </c>
      <c r="M60" s="219">
        <f ca="1">+M20+M39</f>
        <v>0</v>
      </c>
      <c r="N60" s="221">
        <f ca="1">N20+N39</f>
        <v>0</v>
      </c>
      <c r="O60" s="219">
        <f ca="1">O20+O39</f>
        <v>0</v>
      </c>
      <c r="P60" s="205"/>
      <c r="Q60" s="205"/>
      <c r="R60" s="205"/>
      <c r="S60" s="181"/>
      <c r="T60" s="138"/>
    </row>
    <row r="61" spans="1:20" ht="18.75" x14ac:dyDescent="0.3">
      <c r="A61" s="85" t="s">
        <v>103</v>
      </c>
      <c r="B61" s="102">
        <f>B21</f>
        <v>135344</v>
      </c>
      <c r="C61" s="102">
        <f t="shared" ref="C61:C63" si="25">C21</f>
        <v>142740</v>
      </c>
      <c r="D61" s="103">
        <f t="shared" si="21"/>
        <v>5.5</v>
      </c>
      <c r="E61" s="406">
        <f t="shared" si="20"/>
        <v>0.15337571887688958</v>
      </c>
      <c r="F61" s="102"/>
      <c r="G61" s="175">
        <f t="shared" ref="G61:G63" si="26">G21</f>
        <v>3590</v>
      </c>
      <c r="H61" s="175">
        <f t="shared" ref="H61" si="27">H21</f>
        <v>9767</v>
      </c>
      <c r="I61" s="103">
        <f t="shared" si="22"/>
        <v>172.1</v>
      </c>
      <c r="J61" s="406">
        <f t="shared" si="23"/>
        <v>7.7195388924830089E-4</v>
      </c>
      <c r="K61" s="138"/>
      <c r="L61" s="221">
        <f ca="1">L21</f>
        <v>0</v>
      </c>
      <c r="M61" s="219">
        <f t="shared" ref="M61:M63" ca="1" si="28">M21</f>
        <v>0</v>
      </c>
      <c r="N61" s="221">
        <f t="shared" ref="N61:O61" ca="1" si="29">N21</f>
        <v>0</v>
      </c>
      <c r="O61" s="219">
        <f t="shared" ca="1" si="29"/>
        <v>0</v>
      </c>
      <c r="P61" s="205"/>
      <c r="Q61" s="205"/>
      <c r="R61" s="205"/>
      <c r="S61" s="181"/>
      <c r="T61" s="138"/>
    </row>
    <row r="62" spans="1:20" ht="18.75" x14ac:dyDescent="0.3">
      <c r="A62" s="85" t="s">
        <v>104</v>
      </c>
      <c r="B62" s="102">
        <f>B22</f>
        <v>25735</v>
      </c>
      <c r="C62" s="102">
        <f t="shared" si="25"/>
        <v>79056</v>
      </c>
      <c r="D62" s="103">
        <f t="shared" si="21"/>
        <v>207.2</v>
      </c>
      <c r="E62" s="406">
        <f t="shared" si="20"/>
        <v>8.4946551993354227E-2</v>
      </c>
      <c r="F62" s="102"/>
      <c r="G62" s="175">
        <f t="shared" si="26"/>
        <v>0</v>
      </c>
      <c r="H62" s="175">
        <f t="shared" ref="H62" si="30">H22</f>
        <v>0</v>
      </c>
      <c r="I62" s="103"/>
      <c r="J62" s="406">
        <f t="shared" si="23"/>
        <v>0</v>
      </c>
      <c r="K62" s="138"/>
      <c r="L62" s="221">
        <f ca="1">L22</f>
        <v>0</v>
      </c>
      <c r="M62" s="219">
        <f t="shared" ca="1" si="28"/>
        <v>0</v>
      </c>
      <c r="N62" s="221">
        <f t="shared" ref="N62:O62" ca="1" si="31">N22</f>
        <v>0</v>
      </c>
      <c r="O62" s="219">
        <f t="shared" ca="1" si="31"/>
        <v>0</v>
      </c>
      <c r="P62" s="205"/>
      <c r="Q62" s="205"/>
      <c r="R62" s="205"/>
      <c r="S62" s="181"/>
      <c r="T62" s="138"/>
    </row>
    <row r="63" spans="1:20" ht="18.75" x14ac:dyDescent="0.3">
      <c r="A63" s="85" t="s">
        <v>105</v>
      </c>
      <c r="B63" s="102">
        <f>B23</f>
        <v>2338</v>
      </c>
      <c r="C63" s="102">
        <f t="shared" si="25"/>
        <v>1147</v>
      </c>
      <c r="D63" s="103">
        <f t="shared" si="21"/>
        <v>-50.9</v>
      </c>
      <c r="E63" s="406">
        <f t="shared" si="20"/>
        <v>1.2324642675619472E-3</v>
      </c>
      <c r="F63" s="102"/>
      <c r="G63" s="175">
        <f t="shared" si="26"/>
        <v>0</v>
      </c>
      <c r="H63" s="175">
        <f t="shared" ref="H63" si="32">H23</f>
        <v>0</v>
      </c>
      <c r="I63" s="103"/>
      <c r="J63" s="406">
        <f t="shared" si="23"/>
        <v>0</v>
      </c>
      <c r="K63" s="138"/>
      <c r="L63" s="221">
        <f ca="1">L23</f>
        <v>0</v>
      </c>
      <c r="M63" s="219">
        <f t="shared" ca="1" si="28"/>
        <v>0</v>
      </c>
      <c r="N63" s="221">
        <f t="shared" ref="N63:O63" ca="1" si="33">N23</f>
        <v>0</v>
      </c>
      <c r="O63" s="219">
        <f t="shared" ca="1" si="33"/>
        <v>0</v>
      </c>
      <c r="P63" s="205"/>
      <c r="Q63" s="205"/>
      <c r="R63" s="205"/>
      <c r="S63" s="181"/>
      <c r="T63" s="138"/>
    </row>
    <row r="64" spans="1:20" ht="18.75" x14ac:dyDescent="0.3">
      <c r="A64" s="106" t="s">
        <v>72</v>
      </c>
      <c r="B64" s="102">
        <f>B24+B40</f>
        <v>10654526.996247344</v>
      </c>
      <c r="C64" s="102">
        <f>+C24+C40</f>
        <v>11566983.521235555</v>
      </c>
      <c r="D64" s="103">
        <f t="shared" si="21"/>
        <v>8.6</v>
      </c>
      <c r="E64" s="406">
        <f t="shared" si="20"/>
        <v>12.428852548736437</v>
      </c>
      <c r="F64" s="102"/>
      <c r="G64" s="175">
        <f>+G24+G40</f>
        <v>95823290.00012517</v>
      </c>
      <c r="H64" s="175">
        <f>+H24+H40</f>
        <v>108209261.55248058</v>
      </c>
      <c r="I64" s="103">
        <f t="shared" si="22"/>
        <v>12.9</v>
      </c>
      <c r="J64" s="406">
        <f t="shared" si="23"/>
        <v>8.5525299793308083</v>
      </c>
      <c r="K64" s="138"/>
      <c r="L64" s="221">
        <f ca="1">L24+L40</f>
        <v>0</v>
      </c>
      <c r="M64" s="219">
        <f ca="1">+M24+M40</f>
        <v>0</v>
      </c>
      <c r="N64" s="221">
        <f ca="1">+N24+N40</f>
        <v>0</v>
      </c>
      <c r="O64" s="219">
        <f ca="1">+O24+O40</f>
        <v>0</v>
      </c>
      <c r="P64" s="205"/>
      <c r="Q64" s="205"/>
      <c r="R64" s="205"/>
      <c r="S64" s="181"/>
      <c r="T64" s="138"/>
    </row>
    <row r="65" spans="1:240" ht="18.75" customHeight="1" x14ac:dyDescent="0.3">
      <c r="A65" s="106" t="s">
        <v>107</v>
      </c>
      <c r="B65" s="102">
        <f>B25</f>
        <v>4018088</v>
      </c>
      <c r="C65" s="102">
        <f>C25</f>
        <v>4149293</v>
      </c>
      <c r="D65" s="103">
        <f t="shared" si="21"/>
        <v>3.3</v>
      </c>
      <c r="E65" s="406">
        <f t="shared" si="20"/>
        <v>4.4584615153835347</v>
      </c>
      <c r="F65" s="102"/>
      <c r="G65" s="175">
        <f>G25</f>
        <v>64732970</v>
      </c>
      <c r="H65" s="175">
        <f>H25</f>
        <v>70125745</v>
      </c>
      <c r="I65" s="103">
        <f t="shared" si="22"/>
        <v>8.3000000000000007</v>
      </c>
      <c r="J65" s="406">
        <f t="shared" si="23"/>
        <v>5.5425249912137389</v>
      </c>
      <c r="K65" s="138"/>
      <c r="L65" s="221">
        <f ca="1">L25</f>
        <v>0</v>
      </c>
      <c r="M65" s="219">
        <f ca="1">M25</f>
        <v>0</v>
      </c>
      <c r="N65" s="221">
        <f ca="1">N25</f>
        <v>0</v>
      </c>
      <c r="O65" s="219">
        <f ca="1">O25</f>
        <v>0</v>
      </c>
      <c r="P65" s="205"/>
      <c r="Q65" s="205"/>
      <c r="R65" s="205"/>
      <c r="S65" s="181"/>
      <c r="T65" s="138"/>
    </row>
    <row r="66" spans="1:240" ht="18.75" customHeight="1" x14ac:dyDescent="0.3">
      <c r="A66" s="106" t="s">
        <v>78</v>
      </c>
      <c r="B66" s="102">
        <f>B41</f>
        <v>173110</v>
      </c>
      <c r="C66" s="102">
        <f>C41</f>
        <v>169062.91999999998</v>
      </c>
      <c r="D66" s="103">
        <f t="shared" si="21"/>
        <v>-2.2999999999999998</v>
      </c>
      <c r="E66" s="406">
        <f t="shared" si="20"/>
        <v>0.18165998942431044</v>
      </c>
      <c r="F66" s="102"/>
      <c r="G66" s="175">
        <f>G41</f>
        <v>1764000</v>
      </c>
      <c r="H66" s="175">
        <f>H41</f>
        <v>2082187</v>
      </c>
      <c r="I66" s="103">
        <f t="shared" si="22"/>
        <v>18</v>
      </c>
      <c r="J66" s="406">
        <f t="shared" si="23"/>
        <v>0.16456970951082747</v>
      </c>
      <c r="K66" s="138"/>
      <c r="L66" s="221">
        <f ca="1">L41</f>
        <v>0</v>
      </c>
      <c r="M66" s="219">
        <f ca="1">M41</f>
        <v>0</v>
      </c>
      <c r="N66" s="221">
        <f ca="1">N41</f>
        <v>0</v>
      </c>
      <c r="O66" s="219">
        <f ca="1">O41</f>
        <v>0</v>
      </c>
      <c r="P66" s="205"/>
      <c r="Q66" s="205"/>
      <c r="R66" s="205"/>
      <c r="S66" s="181"/>
      <c r="T66" s="138"/>
    </row>
    <row r="67" spans="1:240" ht="18.75" customHeight="1" x14ac:dyDescent="0.3">
      <c r="A67" s="106" t="s">
        <v>108</v>
      </c>
      <c r="B67" s="102">
        <f>B42+B26</f>
        <v>0</v>
      </c>
      <c r="C67" s="102">
        <f>C26+C42</f>
        <v>0</v>
      </c>
      <c r="D67" s="103"/>
      <c r="E67" s="406">
        <f t="shared" si="20"/>
        <v>0</v>
      </c>
      <c r="F67" s="102"/>
      <c r="G67" s="175">
        <f>G26+G42</f>
        <v>0</v>
      </c>
      <c r="H67" s="175">
        <f>H26+H42</f>
        <v>0</v>
      </c>
      <c r="I67" s="103"/>
      <c r="J67" s="406">
        <f t="shared" si="23"/>
        <v>0</v>
      </c>
      <c r="K67" s="138"/>
      <c r="L67" s="221">
        <f ca="1">L42+L26</f>
        <v>0</v>
      </c>
      <c r="M67" s="219">
        <f ca="1">M26+M42</f>
        <v>0</v>
      </c>
      <c r="N67" s="221">
        <f ca="1">N26+N42</f>
        <v>0</v>
      </c>
      <c r="O67" s="219">
        <f ca="1">O26+O42</f>
        <v>0</v>
      </c>
      <c r="P67" s="205"/>
      <c r="Q67" s="205"/>
      <c r="R67" s="205"/>
      <c r="S67" s="181"/>
      <c r="T67" s="138"/>
    </row>
    <row r="68" spans="1:240" ht="18.75" customHeight="1" x14ac:dyDescent="0.3">
      <c r="A68" s="85" t="s">
        <v>74</v>
      </c>
      <c r="B68" s="102">
        <f>B27+B43</f>
        <v>4682672.2152600009</v>
      </c>
      <c r="C68" s="102">
        <f>+C27+C43</f>
        <v>5910002.0135500003</v>
      </c>
      <c r="D68" s="103">
        <f t="shared" si="21"/>
        <v>26.2</v>
      </c>
      <c r="E68" s="406">
        <f t="shared" si="20"/>
        <v>6.3503629493631513</v>
      </c>
      <c r="F68" s="102"/>
      <c r="G68" s="175">
        <f>+G27+G43</f>
        <v>36699210.801180005</v>
      </c>
      <c r="H68" s="175">
        <f>+H27+H43</f>
        <v>43571232.937590003</v>
      </c>
      <c r="I68" s="103">
        <f t="shared" si="22"/>
        <v>18.7</v>
      </c>
      <c r="J68" s="406">
        <f t="shared" si="23"/>
        <v>3.4437373528735815</v>
      </c>
      <c r="K68" s="138"/>
      <c r="L68" s="221">
        <f ca="1">L27+L43</f>
        <v>0</v>
      </c>
      <c r="M68" s="219">
        <f t="shared" ref="M68:O69" ca="1" si="34">+M27+M43</f>
        <v>0</v>
      </c>
      <c r="N68" s="221">
        <f t="shared" ca="1" si="34"/>
        <v>0</v>
      </c>
      <c r="O68" s="219">
        <f t="shared" ca="1" si="34"/>
        <v>0</v>
      </c>
      <c r="P68" s="205"/>
      <c r="Q68" s="205"/>
      <c r="R68" s="205"/>
      <c r="S68" s="181"/>
      <c r="T68" s="138"/>
    </row>
    <row r="69" spans="1:240" ht="18.75" customHeight="1" x14ac:dyDescent="0.3">
      <c r="A69" s="85" t="s">
        <v>109</v>
      </c>
      <c r="B69" s="102">
        <f>B44+B28</f>
        <v>16243052.825999998</v>
      </c>
      <c r="C69" s="102">
        <f>+C28+C44</f>
        <v>16028787.226</v>
      </c>
      <c r="D69" s="103">
        <f t="shared" si="21"/>
        <v>-1.3</v>
      </c>
      <c r="E69" s="406">
        <f t="shared" si="20"/>
        <v>17.223110295029109</v>
      </c>
      <c r="F69" s="102"/>
      <c r="G69" s="175">
        <f>+G28+G44</f>
        <v>241650234.37600005</v>
      </c>
      <c r="H69" s="175">
        <f>+H28+H44</f>
        <v>259102509.51446998</v>
      </c>
      <c r="I69" s="103">
        <f t="shared" si="22"/>
        <v>7.2</v>
      </c>
      <c r="J69" s="406">
        <f t="shared" si="23"/>
        <v>20.478672052184905</v>
      </c>
      <c r="K69" s="138"/>
      <c r="L69" s="221">
        <f ca="1">L44+L28</f>
        <v>0</v>
      </c>
      <c r="M69" s="219">
        <f t="shared" ca="1" si="34"/>
        <v>0</v>
      </c>
      <c r="N69" s="221">
        <f t="shared" ca="1" si="34"/>
        <v>0</v>
      </c>
      <c r="O69" s="219">
        <f t="shared" ca="1" si="34"/>
        <v>0</v>
      </c>
      <c r="P69" s="205"/>
      <c r="Q69" s="205"/>
      <c r="R69" s="205"/>
      <c r="S69" s="181"/>
      <c r="T69" s="138"/>
    </row>
    <row r="70" spans="1:240" ht="18.75" customHeight="1" x14ac:dyDescent="0.3">
      <c r="A70" s="85" t="s">
        <v>110</v>
      </c>
      <c r="B70" s="102">
        <f>B29</f>
        <v>25828</v>
      </c>
      <c r="C70" s="102">
        <f>+C29</f>
        <v>31971</v>
      </c>
      <c r="D70" s="103">
        <f t="shared" si="21"/>
        <v>23.8</v>
      </c>
      <c r="E70" s="406">
        <f t="shared" si="20"/>
        <v>3.4353195377700971E-2</v>
      </c>
      <c r="F70" s="102"/>
      <c r="G70" s="175">
        <f>+G29</f>
        <v>0</v>
      </c>
      <c r="H70" s="175">
        <f>+H29</f>
        <v>0</v>
      </c>
      <c r="I70" s="103"/>
      <c r="J70" s="406">
        <f t="shared" si="23"/>
        <v>0</v>
      </c>
      <c r="K70" s="138"/>
      <c r="L70" s="221">
        <f ca="1">L29</f>
        <v>0</v>
      </c>
      <c r="M70" s="219">
        <f t="shared" ref="M70:O71" ca="1" si="35">+M29</f>
        <v>0</v>
      </c>
      <c r="N70" s="221">
        <f t="shared" ca="1" si="35"/>
        <v>0</v>
      </c>
      <c r="O70" s="219">
        <f t="shared" ca="1" si="35"/>
        <v>0</v>
      </c>
      <c r="P70" s="205"/>
      <c r="Q70" s="205"/>
      <c r="R70" s="205"/>
      <c r="S70" s="181"/>
      <c r="T70" s="138"/>
    </row>
    <row r="71" spans="1:240" ht="18.75" customHeight="1" x14ac:dyDescent="0.3">
      <c r="A71" s="85" t="s">
        <v>111</v>
      </c>
      <c r="B71" s="102">
        <f>B30</f>
        <v>542694.08400000003</v>
      </c>
      <c r="C71" s="102">
        <f>+C30</f>
        <v>512595.94180000003</v>
      </c>
      <c r="D71" s="103">
        <f t="shared" si="21"/>
        <v>-5.5</v>
      </c>
      <c r="E71" s="406">
        <f t="shared" si="20"/>
        <v>0.55079004530580955</v>
      </c>
      <c r="F71" s="102"/>
      <c r="G71" s="175">
        <f>+G30</f>
        <v>0</v>
      </c>
      <c r="H71" s="175">
        <f>+H30</f>
        <v>0</v>
      </c>
      <c r="I71" s="103"/>
      <c r="J71" s="406">
        <f t="shared" si="23"/>
        <v>0</v>
      </c>
      <c r="K71" s="138"/>
      <c r="L71" s="221">
        <f ca="1">L30</f>
        <v>0</v>
      </c>
      <c r="M71" s="219">
        <f t="shared" ca="1" si="35"/>
        <v>0</v>
      </c>
      <c r="N71" s="221">
        <f t="shared" ca="1" si="35"/>
        <v>0</v>
      </c>
      <c r="O71" s="219">
        <f t="shared" ca="1" si="35"/>
        <v>0</v>
      </c>
      <c r="P71" s="205"/>
      <c r="Q71" s="205"/>
      <c r="R71" s="205"/>
      <c r="S71" s="181"/>
      <c r="T71" s="138"/>
    </row>
    <row r="72" spans="1:240" s="110" customFormat="1" ht="18.75" customHeight="1" x14ac:dyDescent="0.3">
      <c r="A72" s="112" t="s">
        <v>2</v>
      </c>
      <c r="B72" s="113">
        <f>SUM(B49:B71)</f>
        <v>92324430.748457357</v>
      </c>
      <c r="C72" s="113">
        <f>SUM(C49:C71)</f>
        <v>93065578.466545552</v>
      </c>
      <c r="D72" s="114">
        <f>IF(B72=0, "    ---- ", IF(ABS(ROUND(100/B72*C72-100,1))&lt;999,ROUND(100/B72*C72-100,1),IF(ROUND(100/B72*C72-100,1)&gt;999,999,-999)))</f>
        <v>0.8</v>
      </c>
      <c r="E72" s="409">
        <f>SUM(E49:E71)</f>
        <v>99.999999999999986</v>
      </c>
      <c r="F72" s="108"/>
      <c r="G72" s="180">
        <f>SUM(G49:G71)</f>
        <v>1174999652.6383352</v>
      </c>
      <c r="H72" s="180">
        <f>SUM(H49:H71)</f>
        <v>1265231011.3380904</v>
      </c>
      <c r="I72" s="114">
        <f>IF(G72=0, "    ---- ", IF(ABS(ROUND(100/G72*H72-100,1))&lt;999,ROUND(100/G72*H72-100,1),IF(ROUND(100/G72*H72-100,1)&gt;999,999,-999)))</f>
        <v>7.7</v>
      </c>
      <c r="J72" s="409">
        <f>SUM(J49:J71)</f>
        <v>100</v>
      </c>
      <c r="K72" s="178"/>
      <c r="L72" s="227">
        <f ca="1">SUM(L49:L71)</f>
        <v>0</v>
      </c>
      <c r="M72" s="228">
        <f ca="1">SUM(M49:M71)</f>
        <v>0</v>
      </c>
      <c r="N72" s="227">
        <f ca="1">SUM(N49:N71)</f>
        <v>0</v>
      </c>
      <c r="O72" s="228">
        <f ca="1">SUM(O49:O71)</f>
        <v>0</v>
      </c>
      <c r="P72" s="207"/>
      <c r="Q72" s="207"/>
      <c r="R72" s="207"/>
      <c r="S72" s="137"/>
      <c r="T72" s="178"/>
    </row>
    <row r="73" spans="1:240" ht="18.75" customHeight="1" x14ac:dyDescent="0.3">
      <c r="A73" s="111" t="s">
        <v>115</v>
      </c>
      <c r="B73" s="111"/>
      <c r="C73" s="111"/>
      <c r="D73" s="111"/>
      <c r="E73" s="111"/>
      <c r="F73" s="111"/>
      <c r="G73" s="111"/>
      <c r="H73" s="111"/>
      <c r="I73" s="111"/>
      <c r="J73" s="111"/>
      <c r="K73" s="111"/>
      <c r="L73" s="184"/>
      <c r="M73" s="184"/>
      <c r="N73" s="184"/>
      <c r="O73" s="184"/>
      <c r="P73" s="111"/>
      <c r="Q73" s="111"/>
      <c r="R73" s="111"/>
      <c r="S73" s="111"/>
      <c r="T73" s="111"/>
      <c r="U73" s="111"/>
      <c r="V73" s="111"/>
      <c r="W73" s="111"/>
      <c r="X73" s="111"/>
      <c r="Y73" s="111"/>
      <c r="Z73" s="111"/>
      <c r="AA73" s="111"/>
      <c r="AB73" s="111"/>
      <c r="AC73" s="111"/>
      <c r="AD73" s="111"/>
      <c r="AE73" s="111"/>
      <c r="AF73" s="111"/>
      <c r="AG73" s="111"/>
      <c r="AH73" s="111"/>
      <c r="AI73" s="111"/>
      <c r="AJ73" s="111"/>
      <c r="AK73" s="111"/>
      <c r="AL73" s="111"/>
      <c r="AM73" s="111"/>
      <c r="AN73" s="111"/>
      <c r="AO73" s="111"/>
      <c r="AP73" s="111"/>
      <c r="AQ73" s="111"/>
      <c r="AR73" s="111"/>
      <c r="AS73" s="111"/>
      <c r="AT73" s="111"/>
      <c r="AU73" s="111"/>
      <c r="AV73" s="111"/>
      <c r="AW73" s="111"/>
      <c r="AX73" s="111"/>
      <c r="AY73" s="111"/>
      <c r="AZ73" s="111"/>
      <c r="BA73" s="111"/>
      <c r="BB73" s="111"/>
      <c r="BC73" s="111"/>
      <c r="BD73" s="111"/>
      <c r="BE73" s="111"/>
      <c r="BF73" s="111"/>
      <c r="BG73" s="111"/>
      <c r="BH73" s="111"/>
      <c r="BI73" s="111"/>
      <c r="BJ73" s="111"/>
      <c r="BK73" s="111"/>
      <c r="BL73" s="111"/>
      <c r="BM73" s="111"/>
      <c r="BN73" s="111"/>
      <c r="BO73" s="111"/>
      <c r="BP73" s="111"/>
      <c r="BQ73" s="111"/>
      <c r="BR73" s="111"/>
      <c r="BS73" s="111"/>
      <c r="BT73" s="111"/>
      <c r="BU73" s="111"/>
      <c r="BV73" s="111"/>
      <c r="BW73" s="111"/>
      <c r="BX73" s="111"/>
      <c r="BY73" s="111"/>
      <c r="BZ73" s="111"/>
      <c r="CA73" s="111"/>
      <c r="CB73" s="111"/>
      <c r="CC73" s="111"/>
      <c r="CD73" s="111"/>
      <c r="CE73" s="111"/>
      <c r="CF73" s="111"/>
      <c r="CG73" s="111"/>
      <c r="CH73" s="111"/>
      <c r="CI73" s="111"/>
      <c r="CJ73" s="111"/>
      <c r="CK73" s="111"/>
      <c r="CL73" s="111"/>
      <c r="CM73" s="111"/>
      <c r="CN73" s="111"/>
      <c r="CO73" s="111"/>
      <c r="CP73" s="111"/>
      <c r="CQ73" s="111"/>
      <c r="CR73" s="111"/>
      <c r="CS73" s="111"/>
      <c r="CT73" s="111"/>
      <c r="CU73" s="111"/>
      <c r="CV73" s="111"/>
      <c r="CW73" s="111"/>
      <c r="CX73" s="111"/>
      <c r="CY73" s="111"/>
      <c r="CZ73" s="111"/>
      <c r="DA73" s="111"/>
      <c r="DB73" s="111"/>
      <c r="DC73" s="111"/>
      <c r="DD73" s="111"/>
      <c r="DE73" s="111"/>
      <c r="DF73" s="111"/>
      <c r="DG73" s="111"/>
      <c r="DH73" s="111"/>
      <c r="DI73" s="111"/>
      <c r="DJ73" s="111"/>
      <c r="DK73" s="111"/>
      <c r="DL73" s="111"/>
      <c r="DM73" s="111"/>
      <c r="DN73" s="111"/>
      <c r="DO73" s="111"/>
      <c r="DP73" s="111"/>
      <c r="DQ73" s="111"/>
      <c r="DR73" s="111"/>
      <c r="DS73" s="111"/>
      <c r="DT73" s="111"/>
      <c r="DU73" s="111"/>
      <c r="DV73" s="111"/>
      <c r="DW73" s="111"/>
      <c r="DX73" s="111"/>
      <c r="DY73" s="111"/>
      <c r="DZ73" s="111"/>
      <c r="EA73" s="111"/>
      <c r="EB73" s="111"/>
      <c r="EC73" s="111"/>
      <c r="ED73" s="111"/>
      <c r="EE73" s="111"/>
      <c r="EF73" s="111"/>
      <c r="EG73" s="111"/>
      <c r="EH73" s="111"/>
      <c r="EI73" s="111"/>
      <c r="EJ73" s="111"/>
      <c r="EK73" s="111"/>
      <c r="EL73" s="111"/>
      <c r="EM73" s="111"/>
      <c r="EN73" s="111"/>
      <c r="EO73" s="111"/>
      <c r="EP73" s="111"/>
      <c r="EQ73" s="111"/>
      <c r="ER73" s="111"/>
      <c r="ES73" s="111"/>
      <c r="ET73" s="111"/>
      <c r="EU73" s="111"/>
      <c r="EV73" s="111"/>
      <c r="EW73" s="111"/>
      <c r="EX73" s="111"/>
      <c r="EY73" s="111"/>
      <c r="EZ73" s="111"/>
      <c r="FA73" s="111"/>
      <c r="FB73" s="111"/>
      <c r="FC73" s="111"/>
      <c r="FD73" s="111"/>
      <c r="FE73" s="111"/>
      <c r="FF73" s="111"/>
      <c r="FG73" s="111"/>
      <c r="FH73" s="111"/>
      <c r="FI73" s="111"/>
      <c r="FJ73" s="111"/>
      <c r="FK73" s="111"/>
      <c r="FL73" s="111"/>
      <c r="FM73" s="111"/>
      <c r="FN73" s="111"/>
      <c r="FO73" s="111"/>
      <c r="FP73" s="111"/>
      <c r="FQ73" s="111"/>
      <c r="FR73" s="111"/>
      <c r="FS73" s="111"/>
      <c r="FT73" s="111"/>
      <c r="FU73" s="111"/>
      <c r="FV73" s="111"/>
      <c r="FW73" s="111"/>
      <c r="FX73" s="111"/>
      <c r="FY73" s="111"/>
      <c r="FZ73" s="111"/>
      <c r="GA73" s="111"/>
      <c r="GB73" s="111"/>
      <c r="GC73" s="111"/>
      <c r="GD73" s="111"/>
      <c r="GE73" s="111"/>
      <c r="GF73" s="111"/>
      <c r="GG73" s="111"/>
      <c r="GH73" s="111"/>
      <c r="GI73" s="111"/>
      <c r="GJ73" s="111"/>
      <c r="GK73" s="111"/>
      <c r="GL73" s="111"/>
      <c r="GM73" s="111"/>
      <c r="GN73" s="111"/>
      <c r="GO73" s="111"/>
      <c r="GP73" s="111"/>
      <c r="GQ73" s="111"/>
      <c r="GR73" s="111"/>
      <c r="GS73" s="111"/>
      <c r="GT73" s="111"/>
      <c r="GU73" s="111"/>
      <c r="GV73" s="111"/>
      <c r="GW73" s="111"/>
      <c r="GX73" s="111"/>
      <c r="GY73" s="111"/>
      <c r="GZ73" s="111"/>
      <c r="HA73" s="111"/>
      <c r="HB73" s="111"/>
      <c r="HC73" s="111"/>
      <c r="HD73" s="111"/>
      <c r="HE73" s="111"/>
      <c r="HF73" s="111"/>
      <c r="HG73" s="111"/>
      <c r="HH73" s="111"/>
      <c r="HI73" s="111"/>
      <c r="HJ73" s="111"/>
      <c r="HK73" s="111"/>
      <c r="HL73" s="111"/>
      <c r="HM73" s="111"/>
      <c r="HN73" s="111"/>
      <c r="HO73" s="111"/>
      <c r="HP73" s="111"/>
      <c r="HQ73" s="111"/>
      <c r="HR73" s="111"/>
      <c r="HS73" s="111"/>
      <c r="HT73" s="111"/>
      <c r="HU73" s="111"/>
      <c r="HV73" s="111"/>
      <c r="HW73" s="111"/>
      <c r="HX73" s="111"/>
      <c r="HY73" s="111"/>
      <c r="HZ73" s="111"/>
      <c r="IA73" s="111"/>
      <c r="IB73" s="111"/>
      <c r="IC73" s="111"/>
      <c r="ID73" s="111"/>
      <c r="IE73" s="111"/>
      <c r="IF73" s="111"/>
    </row>
    <row r="74" spans="1:240" ht="18.75" customHeight="1" x14ac:dyDescent="0.3">
      <c r="A74" s="73"/>
      <c r="B74" s="73"/>
      <c r="C74" s="73"/>
      <c r="D74" s="73"/>
      <c r="E74" s="73"/>
      <c r="F74" s="73"/>
      <c r="G74" s="73"/>
      <c r="H74" s="73"/>
      <c r="I74" s="73"/>
      <c r="J74" s="73"/>
      <c r="K74" s="73"/>
    </row>
    <row r="75" spans="1:240" ht="18.75" customHeight="1" x14ac:dyDescent="0.3">
      <c r="A75" s="73"/>
      <c r="B75" s="73"/>
      <c r="C75" s="73"/>
      <c r="D75" s="73"/>
      <c r="E75" s="73"/>
      <c r="F75" s="73"/>
      <c r="G75" s="73"/>
      <c r="H75" s="73"/>
      <c r="I75" s="73"/>
      <c r="J75" s="73"/>
      <c r="K75" s="73"/>
    </row>
    <row r="76" spans="1:240" ht="18.75" customHeight="1" x14ac:dyDescent="0.3">
      <c r="A76" s="73"/>
      <c r="B76" s="76"/>
      <c r="C76" s="76"/>
      <c r="D76" s="73"/>
      <c r="E76" s="73"/>
      <c r="F76" s="73"/>
      <c r="G76" s="76"/>
      <c r="H76" s="76"/>
      <c r="I76" s="73"/>
      <c r="J76" s="73"/>
      <c r="K76" s="73"/>
    </row>
    <row r="77" spans="1:240" ht="18.75" customHeight="1" x14ac:dyDescent="0.3">
      <c r="A77" s="73"/>
      <c r="B77" s="73"/>
      <c r="C77" s="73"/>
      <c r="D77" s="73"/>
      <c r="E77" s="73"/>
      <c r="F77" s="73"/>
      <c r="G77" s="73"/>
      <c r="H77" s="73"/>
      <c r="I77" s="73"/>
      <c r="J77" s="73"/>
      <c r="K77" s="73"/>
    </row>
    <row r="78" spans="1:240" ht="18.75" customHeight="1" x14ac:dyDescent="0.3">
      <c r="A78" s="73"/>
      <c r="B78" s="73"/>
      <c r="C78" s="73"/>
      <c r="D78" s="73"/>
      <c r="E78" s="73"/>
      <c r="F78" s="73"/>
      <c r="G78" s="73"/>
      <c r="H78" s="73"/>
      <c r="I78" s="73"/>
      <c r="J78" s="73"/>
      <c r="K78" s="73"/>
    </row>
    <row r="79" spans="1:240" ht="18.75" customHeight="1" x14ac:dyDescent="0.3">
      <c r="A79" s="73"/>
      <c r="B79" s="73"/>
      <c r="C79" s="73"/>
      <c r="D79" s="73"/>
      <c r="E79" s="73"/>
      <c r="F79" s="73"/>
      <c r="G79" s="73"/>
      <c r="H79" s="73"/>
      <c r="I79" s="73"/>
      <c r="J79" s="73"/>
      <c r="K79" s="73"/>
    </row>
    <row r="80" spans="1:240" ht="18.75" customHeight="1" x14ac:dyDescent="0.3">
      <c r="A80" s="73"/>
      <c r="B80" s="73"/>
      <c r="C80" s="73"/>
      <c r="D80" s="73"/>
      <c r="E80" s="73"/>
      <c r="F80" s="73"/>
      <c r="G80" s="73"/>
      <c r="H80" s="73"/>
      <c r="I80" s="73"/>
      <c r="J80" s="73"/>
      <c r="K80" s="73"/>
    </row>
    <row r="81" spans="1:11" ht="18.75" x14ac:dyDescent="0.3">
      <c r="A81" s="73"/>
      <c r="B81" s="73"/>
      <c r="C81" s="73"/>
      <c r="D81" s="73"/>
      <c r="E81" s="73"/>
      <c r="F81" s="73"/>
      <c r="G81" s="73"/>
      <c r="H81" s="73"/>
      <c r="I81" s="73"/>
      <c r="J81" s="73"/>
      <c r="K81" s="73"/>
    </row>
    <row r="82" spans="1:11" ht="18.75" x14ac:dyDescent="0.3">
      <c r="A82" s="73"/>
      <c r="B82" s="73"/>
      <c r="C82" s="73"/>
      <c r="D82" s="73"/>
      <c r="E82" s="73"/>
      <c r="F82" s="73"/>
      <c r="G82" s="73"/>
      <c r="H82" s="73"/>
      <c r="I82" s="73"/>
      <c r="J82" s="73"/>
      <c r="K82" s="73"/>
    </row>
    <row r="83" spans="1:11" ht="18.75" x14ac:dyDescent="0.3">
      <c r="A83" s="73"/>
      <c r="B83" s="73"/>
      <c r="C83" s="73"/>
      <c r="D83" s="73"/>
      <c r="E83" s="73"/>
      <c r="F83" s="73"/>
      <c r="G83" s="73"/>
      <c r="H83" s="73"/>
      <c r="I83" s="73"/>
      <c r="J83" s="73"/>
      <c r="K83" s="73"/>
    </row>
    <row r="84" spans="1:11" ht="18.75" x14ac:dyDescent="0.3">
      <c r="A84" s="73"/>
      <c r="B84" s="73"/>
      <c r="C84" s="73"/>
      <c r="D84" s="73"/>
      <c r="E84" s="73"/>
      <c r="F84" s="73"/>
      <c r="G84" s="73"/>
      <c r="H84" s="73"/>
      <c r="I84" s="73"/>
      <c r="J84" s="73"/>
      <c r="K84" s="73"/>
    </row>
    <row r="85" spans="1:11" ht="18.75" x14ac:dyDescent="0.3">
      <c r="A85" s="73"/>
      <c r="B85" s="73"/>
      <c r="C85" s="73"/>
      <c r="D85" s="73"/>
      <c r="E85" s="73"/>
      <c r="F85" s="73"/>
      <c r="G85" s="73"/>
      <c r="H85" s="73"/>
      <c r="I85" s="73"/>
      <c r="J85" s="73"/>
      <c r="K85" s="73"/>
    </row>
    <row r="86" spans="1:11" ht="18.75" x14ac:dyDescent="0.3">
      <c r="A86" s="73"/>
      <c r="B86" s="73"/>
      <c r="C86" s="73"/>
      <c r="D86" s="73"/>
      <c r="E86" s="73"/>
      <c r="F86" s="73"/>
      <c r="G86" s="73"/>
      <c r="H86" s="73"/>
      <c r="I86" s="73"/>
      <c r="J86" s="73"/>
      <c r="K86" s="73"/>
    </row>
    <row r="87" spans="1:11" ht="18.75" x14ac:dyDescent="0.3">
      <c r="A87" s="73"/>
      <c r="B87" s="73"/>
      <c r="C87" s="73"/>
      <c r="D87" s="73"/>
      <c r="E87" s="73"/>
      <c r="F87" s="73"/>
      <c r="G87" s="73"/>
      <c r="H87" s="73"/>
      <c r="I87" s="73"/>
      <c r="J87" s="73"/>
      <c r="K87" s="73"/>
    </row>
    <row r="88" spans="1:11" ht="18.75" x14ac:dyDescent="0.3">
      <c r="A88" s="73"/>
      <c r="B88" s="73"/>
      <c r="C88" s="73"/>
      <c r="D88" s="73"/>
      <c r="E88" s="73"/>
      <c r="F88" s="73"/>
      <c r="G88" s="73"/>
      <c r="H88" s="73"/>
      <c r="I88" s="73"/>
      <c r="J88" s="73"/>
      <c r="K88" s="73"/>
    </row>
    <row r="89" spans="1:11" ht="18.75" x14ac:dyDescent="0.3">
      <c r="A89" s="73"/>
      <c r="B89" s="73"/>
      <c r="C89" s="73"/>
      <c r="D89" s="73"/>
      <c r="E89" s="73"/>
      <c r="F89" s="73"/>
      <c r="G89" s="73"/>
      <c r="H89" s="73"/>
      <c r="I89" s="73"/>
      <c r="J89" s="73"/>
      <c r="K89" s="73"/>
    </row>
    <row r="90" spans="1:11" ht="18.75" x14ac:dyDescent="0.3">
      <c r="A90" s="73"/>
      <c r="B90" s="73"/>
      <c r="C90" s="73"/>
      <c r="D90" s="73"/>
      <c r="E90" s="73"/>
      <c r="F90" s="73"/>
      <c r="G90" s="73"/>
      <c r="H90" s="73"/>
      <c r="I90" s="73"/>
      <c r="J90" s="73"/>
      <c r="K90" s="73"/>
    </row>
    <row r="91" spans="1:11" ht="18.75" x14ac:dyDescent="0.3">
      <c r="A91" s="73"/>
      <c r="B91" s="73"/>
      <c r="C91" s="73"/>
      <c r="D91" s="73"/>
      <c r="E91" s="73"/>
      <c r="F91" s="73"/>
      <c r="G91" s="73"/>
      <c r="H91" s="73"/>
      <c r="I91" s="73"/>
      <c r="J91" s="73"/>
      <c r="K91" s="73"/>
    </row>
    <row r="92" spans="1:11" ht="18.75" x14ac:dyDescent="0.3">
      <c r="A92" s="73"/>
      <c r="B92" s="73"/>
      <c r="C92" s="73"/>
      <c r="D92" s="73"/>
      <c r="E92" s="73"/>
      <c r="F92" s="73"/>
      <c r="G92" s="73"/>
      <c r="H92" s="73"/>
      <c r="I92" s="73"/>
      <c r="J92" s="73"/>
      <c r="K92" s="73"/>
    </row>
    <row r="93" spans="1:11" ht="18.75" x14ac:dyDescent="0.3">
      <c r="A93" s="73"/>
      <c r="B93" s="73"/>
      <c r="C93" s="73"/>
      <c r="D93" s="73"/>
      <c r="E93" s="73"/>
      <c r="F93" s="73"/>
      <c r="G93" s="73"/>
      <c r="H93" s="73"/>
      <c r="I93" s="73"/>
      <c r="J93" s="73"/>
      <c r="K93" s="73"/>
    </row>
    <row r="94" spans="1:11" ht="18.75" x14ac:dyDescent="0.3">
      <c r="A94" s="73"/>
      <c r="B94" s="73"/>
      <c r="C94" s="73"/>
      <c r="D94" s="73"/>
      <c r="E94" s="73"/>
      <c r="F94" s="73"/>
      <c r="G94" s="73"/>
      <c r="H94" s="73"/>
      <c r="I94" s="73"/>
      <c r="J94" s="73"/>
      <c r="K94" s="73"/>
    </row>
    <row r="95" spans="1:11" ht="18.75" x14ac:dyDescent="0.3">
      <c r="A95" s="73"/>
      <c r="B95" s="73"/>
      <c r="C95" s="73"/>
      <c r="D95" s="73"/>
      <c r="E95" s="73"/>
      <c r="F95" s="73"/>
      <c r="G95" s="73"/>
      <c r="H95" s="73"/>
      <c r="I95" s="73"/>
      <c r="J95" s="73"/>
      <c r="K95" s="73"/>
    </row>
    <row r="96" spans="1:11" ht="18.75" x14ac:dyDescent="0.3">
      <c r="A96" s="73"/>
      <c r="B96" s="73"/>
      <c r="C96" s="73"/>
      <c r="D96" s="73"/>
      <c r="E96" s="73"/>
      <c r="F96" s="73"/>
      <c r="G96" s="73"/>
      <c r="H96" s="73"/>
      <c r="I96" s="73"/>
      <c r="J96" s="73"/>
      <c r="K96" s="73"/>
    </row>
    <row r="97" spans="1:11" ht="18.75" x14ac:dyDescent="0.3">
      <c r="A97" s="73"/>
      <c r="B97" s="73"/>
      <c r="C97" s="73"/>
      <c r="D97" s="73"/>
      <c r="E97" s="73"/>
      <c r="F97" s="73"/>
      <c r="G97" s="73"/>
      <c r="H97" s="73"/>
      <c r="I97" s="73"/>
      <c r="J97" s="73"/>
      <c r="K97" s="73"/>
    </row>
    <row r="98" spans="1:11" ht="18.75" x14ac:dyDescent="0.3">
      <c r="A98" s="111"/>
      <c r="B98" s="111"/>
      <c r="C98" s="111"/>
      <c r="D98" s="111"/>
      <c r="E98" s="111"/>
      <c r="F98" s="111"/>
      <c r="G98" s="111"/>
      <c r="H98" s="111"/>
      <c r="I98" s="111"/>
      <c r="J98" s="111"/>
      <c r="K98" s="111"/>
    </row>
    <row r="99" spans="1:11" ht="18.75" x14ac:dyDescent="0.3">
      <c r="A99" s="115"/>
      <c r="B99" s="116"/>
      <c r="C99" s="116"/>
      <c r="D99" s="116"/>
      <c r="E99" s="73"/>
      <c r="F99" s="73"/>
      <c r="G99" s="73"/>
      <c r="H99" s="73"/>
      <c r="I99" s="73"/>
      <c r="J99" s="74"/>
      <c r="K99" s="74"/>
    </row>
    <row r="100" spans="1:11" ht="18.75" x14ac:dyDescent="0.3">
      <c r="A100" s="73"/>
      <c r="B100" s="73"/>
      <c r="C100" s="73"/>
      <c r="D100" s="73"/>
      <c r="E100" s="73"/>
      <c r="F100" s="73"/>
      <c r="G100" s="73"/>
      <c r="H100" s="73"/>
      <c r="I100" s="73"/>
      <c r="J100" s="73"/>
      <c r="K100" s="73"/>
    </row>
    <row r="101" spans="1:11" ht="18.75" x14ac:dyDescent="0.3">
      <c r="A101" s="73"/>
      <c r="B101" s="73"/>
      <c r="C101" s="73"/>
      <c r="D101" s="73"/>
      <c r="E101" s="73"/>
      <c r="F101" s="73"/>
      <c r="G101" s="73"/>
      <c r="H101" s="73"/>
      <c r="I101" s="73"/>
      <c r="J101" s="73"/>
      <c r="K101" s="73"/>
    </row>
    <row r="102" spans="1:11" ht="18.75" x14ac:dyDescent="0.3">
      <c r="A102" s="73"/>
      <c r="B102" s="73"/>
      <c r="C102" s="73"/>
      <c r="D102" s="73"/>
      <c r="E102" s="73"/>
      <c r="F102" s="73"/>
      <c r="G102" s="73"/>
      <c r="H102" s="73"/>
      <c r="I102" s="73"/>
      <c r="J102" s="73"/>
      <c r="K102" s="73"/>
    </row>
    <row r="103" spans="1:11" ht="18.75" x14ac:dyDescent="0.3">
      <c r="A103" s="73"/>
      <c r="B103" s="73"/>
      <c r="C103" s="73"/>
      <c r="D103" s="73"/>
      <c r="E103" s="73"/>
      <c r="F103" s="73"/>
      <c r="G103" s="73"/>
      <c r="H103" s="73"/>
      <c r="I103" s="73"/>
      <c r="J103" s="73"/>
      <c r="K103" s="73"/>
    </row>
    <row r="104" spans="1:11" ht="18.75" x14ac:dyDescent="0.3">
      <c r="A104" s="73"/>
      <c r="B104" s="73"/>
      <c r="C104" s="73"/>
      <c r="D104" s="73"/>
      <c r="E104" s="73"/>
      <c r="F104" s="73"/>
      <c r="G104" s="73"/>
      <c r="H104" s="73"/>
      <c r="I104" s="73"/>
      <c r="J104" s="73"/>
      <c r="K104" s="73"/>
    </row>
    <row r="105" spans="1:11" ht="18.75" x14ac:dyDescent="0.3">
      <c r="A105" s="73"/>
      <c r="B105" s="73"/>
      <c r="C105" s="73"/>
      <c r="D105" s="73"/>
      <c r="E105" s="73"/>
      <c r="F105" s="73"/>
      <c r="G105" s="73"/>
      <c r="H105" s="73"/>
      <c r="I105" s="73"/>
      <c r="J105" s="73"/>
      <c r="K105" s="73"/>
    </row>
    <row r="106" spans="1:11" ht="18.75" x14ac:dyDescent="0.3">
      <c r="A106" s="73"/>
      <c r="B106" s="73"/>
      <c r="C106" s="73"/>
      <c r="D106" s="73"/>
      <c r="E106" s="73"/>
      <c r="F106" s="73"/>
      <c r="G106" s="73"/>
      <c r="H106" s="73"/>
      <c r="I106" s="73"/>
      <c r="J106" s="73"/>
      <c r="K106" s="73"/>
    </row>
    <row r="107" spans="1:11" ht="18.75" x14ac:dyDescent="0.3">
      <c r="A107" s="73"/>
      <c r="B107" s="73"/>
      <c r="C107" s="73"/>
      <c r="D107" s="73"/>
      <c r="E107" s="73"/>
      <c r="F107" s="73"/>
      <c r="G107" s="73"/>
      <c r="H107" s="73"/>
      <c r="I107" s="73"/>
      <c r="J107" s="73"/>
      <c r="K107" s="73"/>
    </row>
    <row r="108" spans="1:11" ht="18.75" x14ac:dyDescent="0.3">
      <c r="A108" s="73"/>
      <c r="B108" s="73"/>
      <c r="C108" s="73"/>
      <c r="D108" s="73"/>
      <c r="E108" s="73"/>
      <c r="F108" s="73"/>
      <c r="G108" s="73"/>
      <c r="H108" s="73"/>
      <c r="I108" s="73"/>
      <c r="J108" s="73"/>
      <c r="K108" s="73"/>
    </row>
    <row r="109" spans="1:11" ht="18.75" x14ac:dyDescent="0.3">
      <c r="A109" s="73"/>
      <c r="B109" s="73"/>
      <c r="C109" s="73"/>
      <c r="D109" s="73"/>
      <c r="E109" s="73"/>
      <c r="F109" s="73"/>
      <c r="G109" s="73"/>
      <c r="H109" s="73"/>
      <c r="I109" s="73"/>
      <c r="J109" s="73"/>
      <c r="K109" s="73"/>
    </row>
    <row r="110" spans="1:11" ht="18.75" x14ac:dyDescent="0.3">
      <c r="A110" s="73"/>
      <c r="B110" s="73"/>
      <c r="C110" s="73"/>
      <c r="D110" s="73"/>
      <c r="E110" s="73"/>
      <c r="F110" s="73"/>
      <c r="G110" s="73"/>
      <c r="H110" s="73"/>
      <c r="I110" s="73"/>
      <c r="J110" s="73"/>
      <c r="K110" s="73"/>
    </row>
    <row r="111" spans="1:11" ht="18.75" x14ac:dyDescent="0.3">
      <c r="A111" s="73"/>
      <c r="B111" s="73"/>
      <c r="C111" s="73"/>
      <c r="D111" s="73"/>
      <c r="E111" s="73"/>
      <c r="F111" s="73"/>
      <c r="G111" s="73"/>
      <c r="H111" s="73"/>
      <c r="I111" s="73"/>
      <c r="J111" s="73"/>
      <c r="K111" s="73"/>
    </row>
  </sheetData>
  <mergeCells count="5">
    <mergeCell ref="N5:O5"/>
    <mergeCell ref="A3:B3"/>
    <mergeCell ref="B5:E5"/>
    <mergeCell ref="G5:J5"/>
    <mergeCell ref="L5:M5"/>
  </mergeCells>
  <hyperlinks>
    <hyperlink ref="B1" location="Innhold!A1" display="Tilbake"/>
  </hyperlinks>
  <pageMargins left="0.70866141732283472" right="0.70866141732283472" top="0.78740157480314965" bottom="0.78740157480314965" header="0.31496062992125984" footer="0.31496062992125984"/>
  <pageSetup paperSize="9" scale="3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dimension ref="A1:W115"/>
  <sheetViews>
    <sheetView showGridLines="0" showZeros="0" zoomScale="70" zoomScaleNormal="70" workbookViewId="0">
      <pane xSplit="1" ySplit="7" topLeftCell="B8" activePane="bottomRight" state="frozen"/>
      <selection pane="topRight" activeCell="B1" sqref="B1"/>
      <selection pane="bottomLeft" activeCell="A8" sqref="A8"/>
      <selection pane="bottomRight" activeCell="G23" sqref="G23"/>
    </sheetView>
  </sheetViews>
  <sheetFormatPr baseColWidth="10" defaultColWidth="11.42578125" defaultRowHeight="18" x14ac:dyDescent="0.25"/>
  <cols>
    <col min="1" max="1" width="51" style="80" customWidth="1"/>
    <col min="2" max="3" width="16.7109375" style="80" customWidth="1"/>
    <col min="4" max="4" width="9.28515625" style="80" bestFit="1" customWidth="1"/>
    <col min="5" max="5" width="4.7109375" style="80" customWidth="1"/>
    <col min="6" max="7" width="16.7109375" style="80" customWidth="1"/>
    <col min="8" max="8" width="9.28515625" style="80" bestFit="1" customWidth="1"/>
    <col min="9" max="9" width="4.7109375" style="80" customWidth="1"/>
    <col min="10" max="10" width="18.85546875" style="80" customWidth="1"/>
    <col min="11" max="11" width="18" style="80" bestFit="1" customWidth="1"/>
    <col min="12" max="12" width="9.28515625" style="80" bestFit="1" customWidth="1"/>
    <col min="13" max="13" width="11.42578125" style="80"/>
    <col min="14" max="15" width="17.140625" style="80" bestFit="1" customWidth="1"/>
    <col min="16" max="16384" width="11.42578125" style="80"/>
  </cols>
  <sheetData>
    <row r="1" spans="1:13" ht="20.25" x14ac:dyDescent="0.3">
      <c r="A1" s="79" t="s">
        <v>84</v>
      </c>
      <c r="B1" s="72" t="s">
        <v>55</v>
      </c>
      <c r="C1" s="73"/>
      <c r="D1" s="73"/>
      <c r="E1" s="73"/>
      <c r="F1" s="73"/>
      <c r="G1" s="73"/>
      <c r="H1" s="73"/>
      <c r="I1" s="73"/>
      <c r="J1" s="73"/>
      <c r="K1" s="73"/>
      <c r="L1" s="73"/>
      <c r="M1" s="73"/>
    </row>
    <row r="2" spans="1:13" ht="20.25" x14ac:dyDescent="0.3">
      <c r="A2" s="79" t="s">
        <v>116</v>
      </c>
      <c r="B2" s="72"/>
      <c r="C2" s="73"/>
      <c r="D2" s="73"/>
      <c r="E2" s="73"/>
      <c r="F2" s="73"/>
      <c r="G2" s="73"/>
      <c r="H2" s="73"/>
      <c r="I2" s="73"/>
      <c r="J2" s="73"/>
      <c r="K2" s="73"/>
      <c r="L2" s="73"/>
      <c r="M2" s="73"/>
    </row>
    <row r="3" spans="1:13" ht="18.75" x14ac:dyDescent="0.3">
      <c r="A3" s="74" t="s">
        <v>117</v>
      </c>
      <c r="B3" s="73"/>
      <c r="C3" s="73"/>
      <c r="D3" s="73"/>
      <c r="E3" s="73"/>
      <c r="F3" s="73"/>
      <c r="G3" s="73"/>
      <c r="H3" s="73"/>
      <c r="I3" s="73"/>
      <c r="J3" s="73"/>
      <c r="K3" s="73"/>
      <c r="L3" s="73"/>
      <c r="M3" s="73"/>
    </row>
    <row r="4" spans="1:13" ht="18.75" x14ac:dyDescent="0.3">
      <c r="A4" s="81" t="s">
        <v>414</v>
      </c>
      <c r="B4" s="101"/>
      <c r="C4" s="117"/>
      <c r="D4" s="118"/>
      <c r="E4" s="111"/>
      <c r="F4" s="82"/>
      <c r="G4" s="83"/>
      <c r="H4" s="84"/>
      <c r="I4" s="111"/>
      <c r="J4" s="82"/>
      <c r="K4" s="83"/>
      <c r="L4" s="84"/>
      <c r="M4" s="73"/>
    </row>
    <row r="5" spans="1:13" ht="18.75" x14ac:dyDescent="0.3">
      <c r="A5" s="119"/>
      <c r="B5" s="942" t="s">
        <v>0</v>
      </c>
      <c r="C5" s="943"/>
      <c r="D5" s="944"/>
      <c r="E5" s="88"/>
      <c r="F5" s="942" t="s">
        <v>1</v>
      </c>
      <c r="G5" s="943"/>
      <c r="H5" s="944"/>
      <c r="I5" s="120"/>
      <c r="J5" s="942" t="s">
        <v>118</v>
      </c>
      <c r="K5" s="943"/>
      <c r="L5" s="944"/>
      <c r="M5" s="73"/>
    </row>
    <row r="6" spans="1:13" ht="18.75" x14ac:dyDescent="0.3">
      <c r="A6" s="121"/>
      <c r="B6" s="122"/>
      <c r="C6" s="123"/>
      <c r="D6" s="93" t="s">
        <v>119</v>
      </c>
      <c r="E6" s="99"/>
      <c r="F6" s="122"/>
      <c r="G6" s="123"/>
      <c r="H6" s="93" t="s">
        <v>119</v>
      </c>
      <c r="I6" s="124"/>
      <c r="J6" s="122"/>
      <c r="K6" s="123"/>
      <c r="L6" s="93" t="s">
        <v>119</v>
      </c>
      <c r="M6" s="73"/>
    </row>
    <row r="7" spans="1:13" ht="18.75" x14ac:dyDescent="0.3">
      <c r="A7" s="125" t="s">
        <v>120</v>
      </c>
      <c r="B7" s="126">
        <v>2016</v>
      </c>
      <c r="C7" s="183">
        <v>2017</v>
      </c>
      <c r="D7" s="98" t="s">
        <v>91</v>
      </c>
      <c r="E7" s="99"/>
      <c r="F7" s="126">
        <v>2016</v>
      </c>
      <c r="G7" s="183">
        <v>2017</v>
      </c>
      <c r="H7" s="98" t="s">
        <v>91</v>
      </c>
      <c r="I7" s="127"/>
      <c r="J7" s="126">
        <v>2016</v>
      </c>
      <c r="K7" s="183">
        <v>2017</v>
      </c>
      <c r="L7" s="98" t="s">
        <v>91</v>
      </c>
      <c r="M7" s="73"/>
    </row>
    <row r="8" spans="1:13" ht="22.5" x14ac:dyDescent="0.3">
      <c r="A8" s="190" t="s">
        <v>121</v>
      </c>
      <c r="B8" s="230"/>
      <c r="C8" s="199"/>
      <c r="D8" s="199"/>
      <c r="E8" s="181"/>
      <c r="F8" s="199"/>
      <c r="G8" s="199"/>
      <c r="H8" s="199"/>
      <c r="I8" s="200"/>
      <c r="J8" s="199"/>
      <c r="K8" s="199"/>
      <c r="L8" s="199"/>
      <c r="M8" s="73"/>
    </row>
    <row r="9" spans="1:13" ht="18.75" x14ac:dyDescent="0.3">
      <c r="A9" s="191" t="s">
        <v>122</v>
      </c>
      <c r="B9" s="103">
        <f>'Skjema total MA'!B7</f>
        <v>4997847.4282060387</v>
      </c>
      <c r="C9" s="103">
        <f>'Skjema total MA'!C7</f>
        <v>4663771.0270592421</v>
      </c>
      <c r="D9" s="231">
        <f>IF(B9=0, "    ---- ", IF(ABS(ROUND(100/B9*C9-100,1))&lt;999,ROUND(100/B9*C9-100,1),IF(ROUND(100/B9*C9-100,1)&gt;999,999,-999)))</f>
        <v>-6.7</v>
      </c>
      <c r="E9" s="181"/>
      <c r="F9" s="194">
        <f>'Skjema total MA'!E7</f>
        <v>9096278.6254500002</v>
      </c>
      <c r="G9" s="194">
        <f>'Skjema total MA'!F7</f>
        <v>8807598.1100199986</v>
      </c>
      <c r="H9" s="231">
        <f>IF(F9=0, "    ---- ", IF(ABS(ROUND(100/F9*G9-100,1))&lt;999,ROUND(100/F9*G9-100,1),IF(ROUND(100/F9*G9-100,1)&gt;999,999,-999)))</f>
        <v>-3.2</v>
      </c>
      <c r="I9" s="181"/>
      <c r="J9" s="194">
        <f t="shared" ref="J9:K60" si="0">SUM(B9+F9)</f>
        <v>14094126.053656038</v>
      </c>
      <c r="K9" s="194">
        <f t="shared" si="0"/>
        <v>13471369.137079241</v>
      </c>
      <c r="L9" s="229">
        <f>IF(J9=0, "    ---- ", IF(ABS(ROUND(100/J9*K9-100,1))&lt;999,ROUND(100/J9*K9-100,1),IF(ROUND(100/J9*K9-100,1)&gt;999,999,-999)))</f>
        <v>-4.4000000000000004</v>
      </c>
      <c r="M9" s="73"/>
    </row>
    <row r="10" spans="1:13" ht="18.75" x14ac:dyDescent="0.3">
      <c r="A10" s="191" t="s">
        <v>123</v>
      </c>
      <c r="B10" s="103">
        <f>'Skjema total MA'!B22</f>
        <v>1454216.9500913012</v>
      </c>
      <c r="C10" s="103">
        <f>'Skjema total MA'!C22</f>
        <v>1631393.6391463138</v>
      </c>
      <c r="D10" s="231">
        <f t="shared" ref="D10:D17" si="1">IF(B10=0, "    ---- ", IF(ABS(ROUND(100/B10*C10-100,1))&lt;999,ROUND(100/B10*C10-100,1),IF(ROUND(100/B10*C10-100,1)&gt;999,999,-999)))</f>
        <v>12.2</v>
      </c>
      <c r="E10" s="181"/>
      <c r="F10" s="194">
        <f>'Skjema total MA'!E22</f>
        <v>398608.38134000002</v>
      </c>
      <c r="G10" s="194">
        <f>'Skjema total MA'!F22</f>
        <v>1160340.67075</v>
      </c>
      <c r="H10" s="231">
        <f t="shared" ref="H10:H57" si="2">IF(F10=0, "    ---- ", IF(ABS(ROUND(100/F10*G10-100,1))&lt;999,ROUND(100/F10*G10-100,1),IF(ROUND(100/F10*G10-100,1)&gt;999,999,-999)))</f>
        <v>191.1</v>
      </c>
      <c r="I10" s="181"/>
      <c r="J10" s="194">
        <f t="shared" si="0"/>
        <v>1852825.3314313013</v>
      </c>
      <c r="K10" s="194">
        <f t="shared" si="0"/>
        <v>2791734.3098963136</v>
      </c>
      <c r="L10" s="229">
        <f t="shared" ref="L10:L60" si="3">IF(J10=0, "    ---- ", IF(ABS(ROUND(100/J10*K10-100,1))&lt;999,ROUND(100/J10*K10-100,1),IF(ROUND(100/J10*K10-100,1)&gt;999,999,-999)))</f>
        <v>50.7</v>
      </c>
      <c r="M10" s="73"/>
    </row>
    <row r="11" spans="1:13" ht="18.75" x14ac:dyDescent="0.3">
      <c r="A11" s="191" t="s">
        <v>124</v>
      </c>
      <c r="B11" s="103">
        <f>'Skjema total MA'!B47</f>
        <v>3733624.8820599997</v>
      </c>
      <c r="C11" s="103">
        <f>'Skjema total MA'!C47</f>
        <v>3808584.1414100002</v>
      </c>
      <c r="D11" s="231">
        <f t="shared" si="1"/>
        <v>2</v>
      </c>
      <c r="E11" s="181"/>
      <c r="F11" s="194"/>
      <c r="G11" s="194"/>
      <c r="H11" s="231"/>
      <c r="I11" s="181"/>
      <c r="J11" s="194">
        <f t="shared" si="0"/>
        <v>3733624.8820599997</v>
      </c>
      <c r="K11" s="194">
        <f t="shared" si="0"/>
        <v>3808584.1414100002</v>
      </c>
      <c r="L11" s="229">
        <f t="shared" si="3"/>
        <v>2</v>
      </c>
      <c r="M11" s="73"/>
    </row>
    <row r="12" spans="1:13" ht="18.75" x14ac:dyDescent="0.3">
      <c r="A12" s="191" t="s">
        <v>125</v>
      </c>
      <c r="B12" s="103">
        <f>'Skjema total MA'!B66</f>
        <v>11673802.52513</v>
      </c>
      <c r="C12" s="103">
        <f>'Skjema total MA'!C66</f>
        <v>9855078.0414399989</v>
      </c>
      <c r="D12" s="231">
        <f t="shared" si="1"/>
        <v>-15.6</v>
      </c>
      <c r="E12" s="181"/>
      <c r="F12" s="194">
        <f>'Skjema total MA'!E66</f>
        <v>23105454.084230002</v>
      </c>
      <c r="G12" s="194">
        <f>'Skjema total MA'!F66</f>
        <v>26706849.604289997</v>
      </c>
      <c r="H12" s="231">
        <f t="shared" si="2"/>
        <v>15.6</v>
      </c>
      <c r="I12" s="181"/>
      <c r="J12" s="194">
        <f t="shared" si="0"/>
        <v>34779256.609360002</v>
      </c>
      <c r="K12" s="194">
        <f t="shared" si="0"/>
        <v>36561927.645729996</v>
      </c>
      <c r="L12" s="229">
        <f t="shared" si="3"/>
        <v>5.0999999999999996</v>
      </c>
      <c r="M12" s="73"/>
    </row>
    <row r="13" spans="1:13" ht="18.75" x14ac:dyDescent="0.3">
      <c r="A13" s="191" t="s">
        <v>126</v>
      </c>
      <c r="B13" s="103">
        <f>'Skjema total MA'!B68</f>
        <v>172194.47798</v>
      </c>
      <c r="C13" s="103">
        <f>'Skjema total MA'!C68</f>
        <v>159180.18598000001</v>
      </c>
      <c r="D13" s="231">
        <f t="shared" si="1"/>
        <v>-7.6</v>
      </c>
      <c r="E13" s="181"/>
      <c r="F13" s="194">
        <f>'Skjema total MA'!E68</f>
        <v>22896836.631450001</v>
      </c>
      <c r="G13" s="194">
        <f>'Skjema total MA'!F68</f>
        <v>26409193.016629998</v>
      </c>
      <c r="H13" s="231">
        <f t="shared" si="2"/>
        <v>15.3</v>
      </c>
      <c r="I13" s="181"/>
      <c r="J13" s="194">
        <f t="shared" si="0"/>
        <v>23069031.10943</v>
      </c>
      <c r="K13" s="194">
        <f t="shared" si="0"/>
        <v>26568373.202609997</v>
      </c>
      <c r="L13" s="229">
        <f t="shared" si="3"/>
        <v>15.2</v>
      </c>
      <c r="M13" s="73"/>
    </row>
    <row r="14" spans="1:13" s="132" customFormat="1" ht="18.75" x14ac:dyDescent="0.3">
      <c r="A14" s="192" t="s">
        <v>127</v>
      </c>
      <c r="B14" s="130">
        <f>'Skjema total MA'!B75</f>
        <v>80235.473960000003</v>
      </c>
      <c r="C14" s="130">
        <f>'Skjema total MA'!C75</f>
        <v>268370.77656999999</v>
      </c>
      <c r="D14" s="231">
        <f t="shared" si="1"/>
        <v>234.5</v>
      </c>
      <c r="E14" s="182"/>
      <c r="F14" s="195">
        <f>'Skjema total MA'!E75</f>
        <v>208617.45277999999</v>
      </c>
      <c r="G14" s="195">
        <f>'Skjema total MA'!F75</f>
        <v>297656.58766000002</v>
      </c>
      <c r="H14" s="231">
        <f t="shared" si="2"/>
        <v>42.7</v>
      </c>
      <c r="I14" s="182"/>
      <c r="J14" s="194">
        <f t="shared" si="0"/>
        <v>288852.92674000002</v>
      </c>
      <c r="K14" s="194">
        <f t="shared" si="0"/>
        <v>566027.36422999995</v>
      </c>
      <c r="L14" s="229">
        <f t="shared" si="3"/>
        <v>96</v>
      </c>
      <c r="M14" s="131"/>
    </row>
    <row r="15" spans="1:13" ht="22.5" x14ac:dyDescent="0.3">
      <c r="A15" s="191" t="s">
        <v>398</v>
      </c>
      <c r="B15" s="103">
        <f>'Skjema total MA'!B134</f>
        <v>37711667.575949997</v>
      </c>
      <c r="C15" s="103">
        <f>'Skjema total MA'!C134</f>
        <v>36286197.788429998</v>
      </c>
      <c r="D15" s="231">
        <f t="shared" si="1"/>
        <v>-3.8</v>
      </c>
      <c r="E15" s="181"/>
      <c r="F15" s="194">
        <f>'Skjema total MA'!E134</f>
        <v>133629.31599999999</v>
      </c>
      <c r="G15" s="194">
        <f>'Skjema total MA'!F134</f>
        <v>130226.34600000001</v>
      </c>
      <c r="H15" s="231">
        <f t="shared" si="2"/>
        <v>-2.5</v>
      </c>
      <c r="I15" s="181"/>
      <c r="J15" s="194">
        <f t="shared" si="0"/>
        <v>37845296.891949996</v>
      </c>
      <c r="K15" s="194">
        <f t="shared" si="0"/>
        <v>36416424.134429999</v>
      </c>
      <c r="L15" s="229">
        <f t="shared" si="3"/>
        <v>-3.8</v>
      </c>
      <c r="M15" s="73"/>
    </row>
    <row r="16" spans="1:13" ht="18.75" x14ac:dyDescent="0.3">
      <c r="A16" s="191" t="s">
        <v>128</v>
      </c>
      <c r="B16" s="103">
        <f>'Skjema total MA'!B36</f>
        <v>19300.98</v>
      </c>
      <c r="C16" s="103">
        <f>'Skjema total MA'!C36</f>
        <v>15539.098</v>
      </c>
      <c r="D16" s="231">
        <f t="shared" si="1"/>
        <v>-19.5</v>
      </c>
      <c r="E16" s="181"/>
      <c r="F16" s="194">
        <f>'Skjema total MA'!E36</f>
        <v>0</v>
      </c>
      <c r="G16" s="194">
        <f>'Skjema total MA'!F36</f>
        <v>0</v>
      </c>
      <c r="H16" s="231"/>
      <c r="I16" s="181"/>
      <c r="J16" s="194">
        <f t="shared" si="0"/>
        <v>19300.98</v>
      </c>
      <c r="K16" s="194">
        <f t="shared" si="0"/>
        <v>15539.098</v>
      </c>
      <c r="L16" s="229">
        <f t="shared" si="3"/>
        <v>-19.5</v>
      </c>
      <c r="M16" s="73"/>
    </row>
    <row r="17" spans="1:23" s="134" customFormat="1" ht="18.75" customHeight="1" x14ac:dyDescent="0.3">
      <c r="A17" s="136" t="s">
        <v>129</v>
      </c>
      <c r="B17" s="109">
        <f>'Tabel 1.1'!B31</f>
        <v>59590460.341437332</v>
      </c>
      <c r="C17" s="196">
        <f>'Tabel 1.1'!C31</f>
        <v>56260563.735485554</v>
      </c>
      <c r="D17" s="231">
        <f t="shared" si="1"/>
        <v>-5.6</v>
      </c>
      <c r="E17" s="137"/>
      <c r="F17" s="196">
        <f>'Tabel 1.1'!B45</f>
        <v>32733970.407020003</v>
      </c>
      <c r="G17" s="196">
        <f>'Tabel 1.1'!C45</f>
        <v>36805014.731059998</v>
      </c>
      <c r="H17" s="231">
        <f t="shared" si="2"/>
        <v>12.4</v>
      </c>
      <c r="I17" s="137"/>
      <c r="J17" s="196">
        <f t="shared" si="0"/>
        <v>92324430.748457342</v>
      </c>
      <c r="K17" s="196">
        <f t="shared" si="0"/>
        <v>93065578.466545552</v>
      </c>
      <c r="L17" s="229">
        <f t="shared" si="3"/>
        <v>0.8</v>
      </c>
      <c r="M17" s="74"/>
      <c r="N17" s="133"/>
      <c r="O17" s="133"/>
      <c r="Q17" s="135"/>
      <c r="R17" s="135"/>
      <c r="S17" s="135"/>
      <c r="T17" s="135"/>
      <c r="U17" s="135"/>
      <c r="V17" s="135"/>
      <c r="W17" s="135"/>
    </row>
    <row r="18" spans="1:23" ht="18.75" customHeight="1" x14ac:dyDescent="0.3">
      <c r="A18" s="136"/>
      <c r="B18" s="103"/>
      <c r="C18" s="194"/>
      <c r="D18" s="194"/>
      <c r="E18" s="181"/>
      <c r="F18" s="194"/>
      <c r="G18" s="194"/>
      <c r="H18" s="231"/>
      <c r="I18" s="181"/>
      <c r="J18" s="194"/>
      <c r="K18" s="194"/>
      <c r="L18" s="229"/>
      <c r="M18" s="73"/>
    </row>
    <row r="19" spans="1:23" ht="18.75" customHeight="1" x14ac:dyDescent="0.3">
      <c r="A19" s="190" t="s">
        <v>399</v>
      </c>
      <c r="B19" s="198"/>
      <c r="C19" s="201"/>
      <c r="D19" s="194"/>
      <c r="E19" s="181"/>
      <c r="F19" s="201"/>
      <c r="G19" s="201"/>
      <c r="H19" s="231"/>
      <c r="I19" s="181"/>
      <c r="J19" s="194"/>
      <c r="K19" s="194"/>
      <c r="L19" s="229"/>
      <c r="M19" s="73"/>
    </row>
    <row r="20" spans="1:23" ht="18.75" customHeight="1" x14ac:dyDescent="0.3">
      <c r="A20" s="191" t="s">
        <v>122</v>
      </c>
      <c r="B20" s="103">
        <f>'Skjema total MA'!B10</f>
        <v>25804768.001373231</v>
      </c>
      <c r="C20" s="103">
        <f>'Skjema total MA'!C10</f>
        <v>24038098.890009895</v>
      </c>
      <c r="D20" s="231">
        <f>IF(B20=0, "    ---- ", IF(ABS(ROUND(100/B20*C20-100,1))&lt;999,ROUND(100/B20*C20-100,1),IF(ROUND(100/B20*C20-100,1)&gt;999,999,-999)))</f>
        <v>-6.8</v>
      </c>
      <c r="E20" s="181"/>
      <c r="F20" s="194">
        <f>'Skjema total MA'!E10</f>
        <v>33118562.891345605</v>
      </c>
      <c r="G20" s="194">
        <f>'Skjema total MA'!F10</f>
        <v>42280226.7167724</v>
      </c>
      <c r="H20" s="231">
        <f t="shared" si="2"/>
        <v>27.7</v>
      </c>
      <c r="I20" s="181"/>
      <c r="J20" s="194">
        <f t="shared" si="0"/>
        <v>58923330.892718837</v>
      </c>
      <c r="K20" s="194">
        <f t="shared" si="0"/>
        <v>66318325.606782295</v>
      </c>
      <c r="L20" s="229">
        <f t="shared" si="3"/>
        <v>12.6</v>
      </c>
      <c r="M20" s="73"/>
    </row>
    <row r="21" spans="1:23" ht="18.75" customHeight="1" x14ac:dyDescent="0.3">
      <c r="A21" s="191" t="s">
        <v>123</v>
      </c>
      <c r="B21" s="103">
        <f>'Skjema total MA'!B29</f>
        <v>50628169.362620004</v>
      </c>
      <c r="C21" s="103">
        <f>'Skjema total MA'!C29</f>
        <v>49444544.327239998</v>
      </c>
      <c r="D21" s="231">
        <f t="shared" ref="D21:D27" si="4">IF(B21=0, "    ---- ", IF(ABS(ROUND(100/B21*C21-100,1))&lt;999,ROUND(100/B21*C21-100,1),IF(ROUND(100/B21*C21-100,1)&gt;999,999,-999)))</f>
        <v>-2.2999999999999998</v>
      </c>
      <c r="E21" s="181"/>
      <c r="F21" s="194">
        <f>'Skjema total MA'!E29</f>
        <v>19113702.243369997</v>
      </c>
      <c r="G21" s="194">
        <f>'Skjema total MA'!F29</f>
        <v>20710688.607039999</v>
      </c>
      <c r="H21" s="231">
        <f t="shared" si="2"/>
        <v>8.4</v>
      </c>
      <c r="I21" s="181"/>
      <c r="J21" s="194">
        <f t="shared" si="0"/>
        <v>69741871.605989993</v>
      </c>
      <c r="K21" s="194">
        <f t="shared" si="0"/>
        <v>70155232.934279993</v>
      </c>
      <c r="L21" s="229">
        <f t="shared" si="3"/>
        <v>0.6</v>
      </c>
      <c r="M21" s="73"/>
    </row>
    <row r="22" spans="1:23" ht="18.75" x14ac:dyDescent="0.3">
      <c r="A22" s="191" t="s">
        <v>125</v>
      </c>
      <c r="B22" s="103">
        <f>'Skjema total MA'!B87</f>
        <v>372982202.13527203</v>
      </c>
      <c r="C22" s="103">
        <f>'Skjema total MA'!C87</f>
        <v>381365364.22175068</v>
      </c>
      <c r="D22" s="231">
        <f t="shared" si="4"/>
        <v>2.2000000000000002</v>
      </c>
      <c r="E22" s="181"/>
      <c r="F22" s="194">
        <f>'Skjema total MA'!E87</f>
        <v>177731566.44936433</v>
      </c>
      <c r="G22" s="194">
        <f>'Skjema total MA'!F87</f>
        <v>223725591.47072756</v>
      </c>
      <c r="H22" s="231">
        <f t="shared" si="2"/>
        <v>25.9</v>
      </c>
      <c r="I22" s="181"/>
      <c r="J22" s="194">
        <f t="shared" si="0"/>
        <v>550713768.58463633</v>
      </c>
      <c r="K22" s="194">
        <f t="shared" si="0"/>
        <v>605090955.69247818</v>
      </c>
      <c r="L22" s="229">
        <f t="shared" si="3"/>
        <v>9.9</v>
      </c>
      <c r="M22" s="73"/>
    </row>
    <row r="23" spans="1:23" ht="22.5" x14ac:dyDescent="0.3">
      <c r="A23" s="191" t="s">
        <v>130</v>
      </c>
      <c r="B23" s="103">
        <f>'Skjema total MA'!B89</f>
        <v>2273169.6015999997</v>
      </c>
      <c r="C23" s="103">
        <f>'Skjema total MA'!C89</f>
        <v>2514737.3594</v>
      </c>
      <c r="D23" s="231">
        <f t="shared" si="4"/>
        <v>10.6</v>
      </c>
      <c r="E23" s="181"/>
      <c r="F23" s="194">
        <f>'Skjema total MA'!E89</f>
        <v>177516436.03479433</v>
      </c>
      <c r="G23" s="194">
        <f>'Skjema total MA'!F89</f>
        <v>223026656.68964756</v>
      </c>
      <c r="H23" s="231">
        <f t="shared" si="2"/>
        <v>25.6</v>
      </c>
      <c r="I23" s="181"/>
      <c r="J23" s="194">
        <f t="shared" si="0"/>
        <v>179789605.63639432</v>
      </c>
      <c r="K23" s="194">
        <f t="shared" si="0"/>
        <v>225541394.04904756</v>
      </c>
      <c r="L23" s="229">
        <f t="shared" si="3"/>
        <v>25.4</v>
      </c>
      <c r="M23" s="73"/>
    </row>
    <row r="24" spans="1:23" ht="18.75" x14ac:dyDescent="0.3">
      <c r="A24" s="192" t="s">
        <v>127</v>
      </c>
      <c r="B24" s="103">
        <f>'Skjema total MA'!B96</f>
        <v>99514.081470000005</v>
      </c>
      <c r="C24" s="103">
        <f>'Skjema total MA'!C96</f>
        <v>473381.06141999998</v>
      </c>
      <c r="D24" s="231">
        <f t="shared" si="4"/>
        <v>375.7</v>
      </c>
      <c r="E24" s="181"/>
      <c r="F24" s="194">
        <f>'Skjema total MA'!E96</f>
        <v>215130.41457000002</v>
      </c>
      <c r="G24" s="194">
        <f>'Skjema total MA'!F96</f>
        <v>698934.78107999999</v>
      </c>
      <c r="H24" s="231">
        <f t="shared" si="2"/>
        <v>224.9</v>
      </c>
      <c r="I24" s="181"/>
      <c r="J24" s="194">
        <f t="shared" si="0"/>
        <v>314644.49604</v>
      </c>
      <c r="K24" s="194">
        <f t="shared" si="0"/>
        <v>1172315.8425</v>
      </c>
      <c r="L24" s="229">
        <f t="shared" si="3"/>
        <v>272.60000000000002</v>
      </c>
      <c r="M24" s="73"/>
    </row>
    <row r="25" spans="1:23" ht="22.5" x14ac:dyDescent="0.3">
      <c r="A25" s="191" t="s">
        <v>398</v>
      </c>
      <c r="B25" s="103">
        <f>'Skjema total MA'!B135</f>
        <v>489367156.48284</v>
      </c>
      <c r="C25" s="103">
        <f>'Skjema total MA'!C135</f>
        <v>517363092.28539997</v>
      </c>
      <c r="D25" s="231">
        <f t="shared" si="4"/>
        <v>5.7</v>
      </c>
      <c r="E25" s="181"/>
      <c r="F25" s="194">
        <f>'Skjema total MA'!E135</f>
        <v>2181469.20615</v>
      </c>
      <c r="G25" s="194">
        <f>'Skjema total MA'!F135</f>
        <v>2373955.5961500001</v>
      </c>
      <c r="H25" s="231">
        <f t="shared" si="2"/>
        <v>8.8000000000000007</v>
      </c>
      <c r="I25" s="181"/>
      <c r="J25" s="194">
        <f t="shared" si="0"/>
        <v>491548625.68899</v>
      </c>
      <c r="K25" s="194">
        <f t="shared" si="0"/>
        <v>519737047.88154995</v>
      </c>
      <c r="L25" s="229">
        <f t="shared" si="3"/>
        <v>5.7</v>
      </c>
      <c r="M25" s="73"/>
    </row>
    <row r="26" spans="1:23" ht="18.75" x14ac:dyDescent="0.3">
      <c r="A26" s="191" t="s">
        <v>128</v>
      </c>
      <c r="B26" s="103">
        <f>'Skjema total MA'!B37</f>
        <v>4072055.8659999999</v>
      </c>
      <c r="C26" s="103">
        <f>'Skjema total MA'!C37</f>
        <v>3929449.2230000002</v>
      </c>
      <c r="D26" s="231">
        <f t="shared" si="4"/>
        <v>-3.5</v>
      </c>
      <c r="E26" s="181"/>
      <c r="F26" s="194">
        <f>'Skjema total MA'!E37</f>
        <v>0</v>
      </c>
      <c r="G26" s="194">
        <f>'Skjema total MA'!F37</f>
        <v>0</v>
      </c>
      <c r="H26" s="231"/>
      <c r="I26" s="181"/>
      <c r="J26" s="194">
        <f t="shared" si="0"/>
        <v>4072055.8659999999</v>
      </c>
      <c r="K26" s="194">
        <f t="shared" si="0"/>
        <v>3929449.2230000002</v>
      </c>
      <c r="L26" s="229">
        <f t="shared" si="3"/>
        <v>-3.5</v>
      </c>
      <c r="M26" s="73"/>
    </row>
    <row r="27" spans="1:23" s="134" customFormat="1" ht="18.75" x14ac:dyDescent="0.3">
      <c r="A27" s="136" t="s">
        <v>131</v>
      </c>
      <c r="B27" s="109">
        <f>'Tabel 1.1'!G31</f>
        <v>942854351.84810543</v>
      </c>
      <c r="C27" s="196">
        <f>'Tabel 1.1'!H31</f>
        <v>976140548.94740069</v>
      </c>
      <c r="D27" s="231">
        <f t="shared" si="4"/>
        <v>3.5</v>
      </c>
      <c r="E27" s="137"/>
      <c r="F27" s="196">
        <f>'Tabel 1.1'!G45</f>
        <v>232145300.79022998</v>
      </c>
      <c r="G27" s="196">
        <f>'Tabel 1.1'!H45</f>
        <v>289090462.39068997</v>
      </c>
      <c r="H27" s="231">
        <f t="shared" si="2"/>
        <v>24.5</v>
      </c>
      <c r="I27" s="137"/>
      <c r="J27" s="196">
        <f t="shared" si="0"/>
        <v>1174999652.6383355</v>
      </c>
      <c r="K27" s="196">
        <f t="shared" si="0"/>
        <v>1265231011.3380907</v>
      </c>
      <c r="L27" s="229">
        <f t="shared" si="3"/>
        <v>7.7</v>
      </c>
      <c r="M27" s="74"/>
      <c r="N27" s="133"/>
      <c r="O27" s="133"/>
    </row>
    <row r="28" spans="1:23" ht="18.75" x14ac:dyDescent="0.3">
      <c r="A28" s="136"/>
      <c r="B28" s="103"/>
      <c r="C28" s="194"/>
      <c r="D28" s="231"/>
      <c r="E28" s="181"/>
      <c r="F28" s="194"/>
      <c r="G28" s="194"/>
      <c r="H28" s="231"/>
      <c r="I28" s="181"/>
      <c r="J28" s="194">
        <f t="shared" si="0"/>
        <v>0</v>
      </c>
      <c r="K28" s="194">
        <f t="shared" si="0"/>
        <v>0</v>
      </c>
      <c r="L28" s="229"/>
      <c r="M28" s="73"/>
    </row>
    <row r="29" spans="1:23" ht="22.5" x14ac:dyDescent="0.3">
      <c r="A29" s="190" t="s">
        <v>400</v>
      </c>
      <c r="B29" s="198"/>
      <c r="C29" s="201"/>
      <c r="D29" s="194"/>
      <c r="E29" s="181"/>
      <c r="F29" s="194"/>
      <c r="G29" s="194"/>
      <c r="H29" s="231"/>
      <c r="I29" s="181"/>
      <c r="J29" s="194"/>
      <c r="K29" s="194"/>
      <c r="L29" s="229"/>
      <c r="M29" s="73"/>
    </row>
    <row r="30" spans="1:23" ht="18.75" x14ac:dyDescent="0.3">
      <c r="A30" s="191" t="s">
        <v>122</v>
      </c>
      <c r="B30" s="103">
        <f>'Skjema total MA'!B11</f>
        <v>81436</v>
      </c>
      <c r="C30" s="103">
        <f>'Skjema total MA'!C11</f>
        <v>95526</v>
      </c>
      <c r="D30" s="231">
        <f>IF(B30=0, "    ---- ", IF(ABS(ROUND(100/B30*C30-100,1))&lt;999,ROUND(100/B30*C30-100,1),IF(ROUND(100/B30*C30-100,1)&gt;999,999,-999)))</f>
        <v>17.3</v>
      </c>
      <c r="E30" s="181"/>
      <c r="F30" s="194">
        <f>'Skjema total MA'!E11</f>
        <v>455222.07000999997</v>
      </c>
      <c r="G30" s="194">
        <f>'Skjema total MA'!F11</f>
        <v>264162.92132000002</v>
      </c>
      <c r="H30" s="231">
        <f t="shared" si="2"/>
        <v>-42</v>
      </c>
      <c r="I30" s="181"/>
      <c r="J30" s="194">
        <f t="shared" si="0"/>
        <v>536658.07000999991</v>
      </c>
      <c r="K30" s="194">
        <f t="shared" si="0"/>
        <v>359688.92132000002</v>
      </c>
      <c r="L30" s="229">
        <f t="shared" si="3"/>
        <v>-33</v>
      </c>
      <c r="M30" s="73"/>
    </row>
    <row r="31" spans="1:23" ht="18.75" x14ac:dyDescent="0.3">
      <c r="A31" s="191" t="s">
        <v>123</v>
      </c>
      <c r="B31" s="103">
        <f>'Skjema total MA'!B34</f>
        <v>44311.521549999998</v>
      </c>
      <c r="C31" s="103">
        <f>'Skjema total MA'!C34</f>
        <v>40930.623200000002</v>
      </c>
      <c r="D31" s="231">
        <f t="shared" ref="D31:D38" si="5">IF(B31=0, "    ---- ", IF(ABS(ROUND(100/B31*C31-100,1))&lt;999,ROUND(100/B31*C31-100,1),IF(ROUND(100/B31*C31-100,1)&gt;999,999,-999)))</f>
        <v>-7.6</v>
      </c>
      <c r="E31" s="181"/>
      <c r="F31" s="194">
        <f>'Skjema total MA'!E34</f>
        <v>78697.841959999991</v>
      </c>
      <c r="G31" s="194">
        <f>'Skjema total MA'!F34</f>
        <v>18121.116519999996</v>
      </c>
      <c r="H31" s="231">
        <f t="shared" si="2"/>
        <v>-77</v>
      </c>
      <c r="I31" s="181"/>
      <c r="J31" s="194">
        <f t="shared" si="0"/>
        <v>123009.36351</v>
      </c>
      <c r="K31" s="194">
        <f t="shared" si="0"/>
        <v>59051.739719999998</v>
      </c>
      <c r="L31" s="229">
        <f t="shared" si="3"/>
        <v>-52</v>
      </c>
      <c r="M31" s="73"/>
    </row>
    <row r="32" spans="1:23" ht="18.75" x14ac:dyDescent="0.3">
      <c r="A32" s="191" t="s">
        <v>125</v>
      </c>
      <c r="B32" s="103">
        <f>'Skjema total MA'!B111</f>
        <v>1238885.1512199999</v>
      </c>
      <c r="C32" s="103">
        <f>'Skjema total MA'!C111</f>
        <v>550777.30860999995</v>
      </c>
      <c r="D32" s="231">
        <f t="shared" si="5"/>
        <v>-55.5</v>
      </c>
      <c r="E32" s="181"/>
      <c r="F32" s="194">
        <f>'Skjema total MA'!E111</f>
        <v>6066133.60054</v>
      </c>
      <c r="G32" s="194">
        <f>'Skjema total MA'!F111</f>
        <v>9597634.8014000002</v>
      </c>
      <c r="H32" s="231">
        <f t="shared" si="2"/>
        <v>58.2</v>
      </c>
      <c r="I32" s="181"/>
      <c r="J32" s="194">
        <f t="shared" si="0"/>
        <v>7305018.7517600004</v>
      </c>
      <c r="K32" s="194">
        <f t="shared" si="0"/>
        <v>10148412.11001</v>
      </c>
      <c r="L32" s="229">
        <f t="shared" si="3"/>
        <v>38.9</v>
      </c>
      <c r="M32" s="73"/>
    </row>
    <row r="33" spans="1:15" ht="22.5" x14ac:dyDescent="0.3">
      <c r="A33" s="191" t="s">
        <v>398</v>
      </c>
      <c r="B33" s="103">
        <f>'Skjema total MA'!B136</f>
        <v>3252327.7580000004</v>
      </c>
      <c r="C33" s="103">
        <f>'Skjema total MA'!C136</f>
        <v>272334.42499999999</v>
      </c>
      <c r="D33" s="231">
        <f t="shared" si="5"/>
        <v>-91.6</v>
      </c>
      <c r="E33" s="181"/>
      <c r="F33" s="194">
        <f>'Skjema total MA'!E136</f>
        <v>-35.832000000000001</v>
      </c>
      <c r="G33" s="194">
        <f>'Skjema total MA'!F136</f>
        <v>25235.127</v>
      </c>
      <c r="H33" s="231">
        <f t="shared" si="2"/>
        <v>-999</v>
      </c>
      <c r="I33" s="181"/>
      <c r="J33" s="194">
        <f t="shared" si="0"/>
        <v>3252291.9260000004</v>
      </c>
      <c r="K33" s="194">
        <f t="shared" si="0"/>
        <v>297569.55199999997</v>
      </c>
      <c r="L33" s="229">
        <f t="shared" si="3"/>
        <v>-90.9</v>
      </c>
      <c r="M33" s="73"/>
    </row>
    <row r="34" spans="1:15" ht="18.75" x14ac:dyDescent="0.3">
      <c r="A34" s="191" t="s">
        <v>128</v>
      </c>
      <c r="B34" s="103">
        <f>'Skjema total MA'!B38</f>
        <v>0</v>
      </c>
      <c r="C34" s="103">
        <f>'Skjema total MA'!C38</f>
        <v>0</v>
      </c>
      <c r="D34" s="231"/>
      <c r="E34" s="181"/>
      <c r="F34" s="194">
        <f>'Skjema total MA'!E38</f>
        <v>0</v>
      </c>
      <c r="G34" s="194">
        <f>'Skjema total MA'!F38</f>
        <v>0</v>
      </c>
      <c r="H34" s="231"/>
      <c r="I34" s="181"/>
      <c r="J34" s="194">
        <f t="shared" si="0"/>
        <v>0</v>
      </c>
      <c r="K34" s="194">
        <f t="shared" si="0"/>
        <v>0</v>
      </c>
      <c r="L34" s="229"/>
      <c r="M34" s="73"/>
    </row>
    <row r="35" spans="1:15" s="134" customFormat="1" ht="18.75" x14ac:dyDescent="0.3">
      <c r="A35" s="136" t="s">
        <v>132</v>
      </c>
      <c r="B35" s="109">
        <f>SUM(B30:B34)</f>
        <v>4616960.4307700004</v>
      </c>
      <c r="C35" s="196">
        <f>SUM(C30:C34)</f>
        <v>959568.35681000003</v>
      </c>
      <c r="D35" s="231">
        <f t="shared" si="5"/>
        <v>-79.2</v>
      </c>
      <c r="E35" s="137"/>
      <c r="F35" s="196">
        <f>SUM(F30:F34)</f>
        <v>6600017.6805099994</v>
      </c>
      <c r="G35" s="196">
        <f>SUM(G30:G34)</f>
        <v>9905153.96624</v>
      </c>
      <c r="H35" s="231">
        <f t="shared" si="2"/>
        <v>50.1</v>
      </c>
      <c r="I35" s="137"/>
      <c r="J35" s="196">
        <f t="shared" si="0"/>
        <v>11216978.11128</v>
      </c>
      <c r="K35" s="196">
        <f t="shared" si="0"/>
        <v>10864722.32305</v>
      </c>
      <c r="L35" s="229">
        <f t="shared" si="3"/>
        <v>-3.1</v>
      </c>
      <c r="M35" s="74"/>
    </row>
    <row r="36" spans="1:15" ht="18.75" x14ac:dyDescent="0.3">
      <c r="A36" s="136"/>
      <c r="B36" s="109"/>
      <c r="C36" s="196"/>
      <c r="D36" s="231"/>
      <c r="E36" s="137"/>
      <c r="F36" s="196"/>
      <c r="G36" s="196"/>
      <c r="H36" s="231"/>
      <c r="I36" s="137"/>
      <c r="J36" s="194"/>
      <c r="K36" s="194"/>
      <c r="L36" s="229"/>
      <c r="M36" s="73"/>
    </row>
    <row r="37" spans="1:15" ht="22.5" x14ac:dyDescent="0.3">
      <c r="A37" s="136" t="s">
        <v>401</v>
      </c>
      <c r="B37" s="109"/>
      <c r="C37" s="196"/>
      <c r="D37" s="194"/>
      <c r="E37" s="137"/>
      <c r="F37" s="196"/>
      <c r="G37" s="196"/>
      <c r="H37" s="231"/>
      <c r="I37" s="137"/>
      <c r="J37" s="194"/>
      <c r="K37" s="194"/>
      <c r="L37" s="229"/>
      <c r="M37" s="73"/>
    </row>
    <row r="38" spans="1:15" s="134" customFormat="1" ht="18.75" x14ac:dyDescent="0.3">
      <c r="A38" s="136" t="s">
        <v>124</v>
      </c>
      <c r="B38" s="109">
        <f>'Skjema total MA'!B53</f>
        <v>168223.61300000001</v>
      </c>
      <c r="C38" s="109">
        <f>'Skjema total MA'!C53</f>
        <v>163173.12299999999</v>
      </c>
      <c r="D38" s="231">
        <f t="shared" si="5"/>
        <v>-3</v>
      </c>
      <c r="E38" s="137"/>
      <c r="F38" s="196"/>
      <c r="G38" s="196"/>
      <c r="H38" s="231"/>
      <c r="I38" s="137"/>
      <c r="J38" s="196">
        <f t="shared" si="0"/>
        <v>168223.61300000001</v>
      </c>
      <c r="K38" s="196">
        <f t="shared" si="0"/>
        <v>163173.12299999999</v>
      </c>
      <c r="L38" s="229">
        <f t="shared" si="3"/>
        <v>-3</v>
      </c>
      <c r="M38" s="74"/>
    </row>
    <row r="39" spans="1:15" ht="18.75" x14ac:dyDescent="0.3">
      <c r="A39" s="136"/>
      <c r="B39" s="109"/>
      <c r="C39" s="196"/>
      <c r="D39" s="194"/>
      <c r="E39" s="137"/>
      <c r="F39" s="196"/>
      <c r="G39" s="196"/>
      <c r="H39" s="231"/>
      <c r="I39" s="137"/>
      <c r="J39" s="194"/>
      <c r="K39" s="194"/>
      <c r="L39" s="229"/>
      <c r="M39" s="73"/>
    </row>
    <row r="40" spans="1:15" ht="22.5" x14ac:dyDescent="0.3">
      <c r="A40" s="190" t="s">
        <v>402</v>
      </c>
      <c r="B40" s="198"/>
      <c r="C40" s="201"/>
      <c r="D40" s="194"/>
      <c r="E40" s="181"/>
      <c r="F40" s="194"/>
      <c r="G40" s="194"/>
      <c r="H40" s="231"/>
      <c r="I40" s="181"/>
      <c r="J40" s="194"/>
      <c r="K40" s="194"/>
      <c r="L40" s="229"/>
      <c r="M40" s="73"/>
    </row>
    <row r="41" spans="1:15" ht="18.75" x14ac:dyDescent="0.3">
      <c r="A41" s="191" t="s">
        <v>122</v>
      </c>
      <c r="B41" s="103">
        <f>'Skjema total MA'!B12</f>
        <v>41660.740440000001</v>
      </c>
      <c r="C41" s="103">
        <f>'Skjema total MA'!C12</f>
        <v>28875</v>
      </c>
      <c r="D41" s="231">
        <f>IF(B41=0, "    ---- ", IF(ABS(ROUND(100/B41*C41-100,1))&lt;999,ROUND(100/B41*C41-100,1),IF(ROUND(100/B41*C41-100,1)&gt;999,999,-999)))</f>
        <v>-30.7</v>
      </c>
      <c r="E41" s="181"/>
      <c r="F41" s="194">
        <f>'Skjema total MA'!E12</f>
        <v>170904.02306000001</v>
      </c>
      <c r="G41" s="194">
        <f>'Skjema total MA'!F12</f>
        <v>179438.89640999999</v>
      </c>
      <c r="H41" s="231">
        <f t="shared" si="2"/>
        <v>5</v>
      </c>
      <c r="I41" s="181"/>
      <c r="J41" s="194">
        <f t="shared" si="0"/>
        <v>212564.7635</v>
      </c>
      <c r="K41" s="194">
        <f t="shared" si="0"/>
        <v>208313.89640999999</v>
      </c>
      <c r="L41" s="229">
        <f t="shared" si="3"/>
        <v>-2</v>
      </c>
      <c r="M41" s="73"/>
    </row>
    <row r="42" spans="1:15" ht="18.75" x14ac:dyDescent="0.3">
      <c r="A42" s="191" t="s">
        <v>123</v>
      </c>
      <c r="B42" s="103">
        <f>'Skjema total MA'!B35</f>
        <v>-60317.801070000001</v>
      </c>
      <c r="C42" s="103">
        <f>'Skjema total MA'!C35</f>
        <v>-65636.979730000006</v>
      </c>
      <c r="D42" s="231">
        <f t="shared" ref="D42:D46" si="6">IF(B42=0, "    ---- ", IF(ABS(ROUND(100/B42*C42-100,1))&lt;999,ROUND(100/B42*C42-100,1),IF(ROUND(100/B42*C42-100,1)&gt;999,999,-999)))</f>
        <v>8.8000000000000007</v>
      </c>
      <c r="E42" s="181"/>
      <c r="F42" s="194">
        <f>'Skjema total MA'!E35</f>
        <v>104469.40084999999</v>
      </c>
      <c r="G42" s="194">
        <f>'Skjema total MA'!F35</f>
        <v>91902.427899999981</v>
      </c>
      <c r="H42" s="231">
        <f t="shared" si="2"/>
        <v>-12</v>
      </c>
      <c r="I42" s="181"/>
      <c r="J42" s="194">
        <f t="shared" si="0"/>
        <v>44151.59977999999</v>
      </c>
      <c r="K42" s="194">
        <f t="shared" si="0"/>
        <v>26265.448169999974</v>
      </c>
      <c r="L42" s="229">
        <f t="shared" si="3"/>
        <v>-40.5</v>
      </c>
      <c r="M42" s="73"/>
    </row>
    <row r="43" spans="1:15" ht="18.75" x14ac:dyDescent="0.3">
      <c r="A43" s="191" t="s">
        <v>125</v>
      </c>
      <c r="B43" s="103">
        <f>'Skjema total MA'!B119</f>
        <v>872976.52811000007</v>
      </c>
      <c r="C43" s="103">
        <f>'Skjema total MA'!C119</f>
        <v>448876.83178999997</v>
      </c>
      <c r="D43" s="231">
        <f t="shared" si="6"/>
        <v>-48.6</v>
      </c>
      <c r="E43" s="181"/>
      <c r="F43" s="194">
        <f>'Skjema total MA'!E119</f>
        <v>6203039.4937200006</v>
      </c>
      <c r="G43" s="194">
        <f>'Skjema total MA'!F119</f>
        <v>9752651.3782299999</v>
      </c>
      <c r="H43" s="231">
        <f t="shared" si="2"/>
        <v>57.2</v>
      </c>
      <c r="I43" s="181"/>
      <c r="J43" s="194">
        <f t="shared" si="0"/>
        <v>7076016.0218300009</v>
      </c>
      <c r="K43" s="194">
        <f t="shared" si="0"/>
        <v>10201528.21002</v>
      </c>
      <c r="L43" s="229">
        <f t="shared" si="3"/>
        <v>44.2</v>
      </c>
      <c r="M43" s="73"/>
    </row>
    <row r="44" spans="1:15" ht="22.5" x14ac:dyDescent="0.3">
      <c r="A44" s="191" t="s">
        <v>398</v>
      </c>
      <c r="B44" s="103">
        <f>'Skjema total MA'!B137</f>
        <v>1936486.4849999999</v>
      </c>
      <c r="C44" s="103">
        <f>'Skjema total MA'!C137</f>
        <v>387479.37900000002</v>
      </c>
      <c r="D44" s="231">
        <f t="shared" si="6"/>
        <v>-80</v>
      </c>
      <c r="E44" s="181"/>
      <c r="F44" s="194">
        <f>'Skjema total MA'!E137</f>
        <v>0</v>
      </c>
      <c r="G44" s="194">
        <f>'Skjema total MA'!F137</f>
        <v>0</v>
      </c>
      <c r="H44" s="231"/>
      <c r="I44" s="181"/>
      <c r="J44" s="194">
        <f t="shared" si="0"/>
        <v>1936486.4849999999</v>
      </c>
      <c r="K44" s="194">
        <f t="shared" si="0"/>
        <v>387479.37900000002</v>
      </c>
      <c r="L44" s="229">
        <f t="shared" si="3"/>
        <v>-80</v>
      </c>
      <c r="M44" s="73"/>
    </row>
    <row r="45" spans="1:15" ht="18.75" x14ac:dyDescent="0.3">
      <c r="A45" s="191" t="s">
        <v>128</v>
      </c>
      <c r="B45" s="103">
        <f>'Skjema total MA'!B39</f>
        <v>19</v>
      </c>
      <c r="C45" s="103">
        <f>'Skjema total MA'!C39</f>
        <v>5</v>
      </c>
      <c r="D45" s="231">
        <f t="shared" si="6"/>
        <v>-73.7</v>
      </c>
      <c r="E45" s="181"/>
      <c r="F45" s="194"/>
      <c r="G45" s="194"/>
      <c r="H45" s="231"/>
      <c r="I45" s="181"/>
      <c r="J45" s="194">
        <f t="shared" si="0"/>
        <v>19</v>
      </c>
      <c r="K45" s="194">
        <f t="shared" si="0"/>
        <v>5</v>
      </c>
      <c r="L45" s="229">
        <f t="shared" si="3"/>
        <v>-73.7</v>
      </c>
      <c r="M45" s="73"/>
    </row>
    <row r="46" spans="1:15" s="134" customFormat="1" ht="18.75" x14ac:dyDescent="0.3">
      <c r="A46" s="136" t="s">
        <v>133</v>
      </c>
      <c r="B46" s="109">
        <f>SUM(B41:B45)</f>
        <v>2790824.95248</v>
      </c>
      <c r="C46" s="196">
        <f>SUM(C41:C45)</f>
        <v>799599.2310599999</v>
      </c>
      <c r="D46" s="231">
        <f t="shared" si="6"/>
        <v>-71.3</v>
      </c>
      <c r="E46" s="137"/>
      <c r="F46" s="196">
        <f>SUM(F41:F45)</f>
        <v>6478412.917630001</v>
      </c>
      <c r="G46" s="271">
        <f>SUM(G41:G45)</f>
        <v>10023992.702539999</v>
      </c>
      <c r="H46" s="231">
        <f t="shared" si="2"/>
        <v>54.7</v>
      </c>
      <c r="I46" s="137"/>
      <c r="J46" s="196">
        <f t="shared" si="0"/>
        <v>9269237.8701100014</v>
      </c>
      <c r="K46" s="196">
        <f t="shared" si="0"/>
        <v>10823591.933599999</v>
      </c>
      <c r="L46" s="229">
        <f t="shared" si="3"/>
        <v>16.8</v>
      </c>
      <c r="M46" s="74"/>
      <c r="N46" s="133"/>
      <c r="O46" s="133"/>
    </row>
    <row r="47" spans="1:15" ht="18.75" x14ac:dyDescent="0.3">
      <c r="A47" s="136"/>
      <c r="B47" s="109"/>
      <c r="C47" s="196"/>
      <c r="D47" s="194"/>
      <c r="E47" s="137"/>
      <c r="F47" s="196"/>
      <c r="G47" s="196"/>
      <c r="H47" s="231"/>
      <c r="I47" s="137"/>
      <c r="J47" s="194"/>
      <c r="K47" s="194"/>
      <c r="L47" s="229"/>
      <c r="M47" s="73"/>
    </row>
    <row r="48" spans="1:15" ht="22.5" x14ac:dyDescent="0.3">
      <c r="A48" s="136" t="s">
        <v>403</v>
      </c>
      <c r="B48" s="109"/>
      <c r="C48" s="196"/>
      <c r="D48" s="194"/>
      <c r="E48" s="137"/>
      <c r="F48" s="196"/>
      <c r="G48" s="196"/>
      <c r="H48" s="231"/>
      <c r="I48" s="137"/>
      <c r="J48" s="194"/>
      <c r="K48" s="194"/>
      <c r="L48" s="229"/>
      <c r="M48" s="73"/>
    </row>
    <row r="49" spans="1:15" s="134" customFormat="1" ht="18.75" x14ac:dyDescent="0.3">
      <c r="A49" s="136" t="s">
        <v>124</v>
      </c>
      <c r="B49" s="109">
        <f>'Skjema total MA'!B56</f>
        <v>190226.55099999998</v>
      </c>
      <c r="C49" s="109">
        <f>'Skjema total MA'!C56</f>
        <v>207953.58600000001</v>
      </c>
      <c r="D49" s="231">
        <f t="shared" ref="D49" si="7">IF(B49=0, "    ---- ", IF(ABS(ROUND(100/B49*C49-100,1))&lt;999,ROUND(100/B49*C49-100,1),IF(ROUND(100/B49*C49-100,1)&gt;999,999,-999)))</f>
        <v>9.3000000000000007</v>
      </c>
      <c r="E49" s="137"/>
      <c r="F49" s="196"/>
      <c r="G49" s="196"/>
      <c r="H49" s="231"/>
      <c r="I49" s="137"/>
      <c r="J49" s="196">
        <f>SUM(B49+F49)</f>
        <v>190226.55099999998</v>
      </c>
      <c r="K49" s="196">
        <f>SUM(C49+G49)</f>
        <v>207953.58600000001</v>
      </c>
      <c r="L49" s="229">
        <f t="shared" si="3"/>
        <v>9.3000000000000007</v>
      </c>
      <c r="M49" s="74"/>
    </row>
    <row r="50" spans="1:15" ht="18.75" x14ac:dyDescent="0.3">
      <c r="A50" s="136"/>
      <c r="B50" s="103"/>
      <c r="C50" s="194"/>
      <c r="D50" s="194"/>
      <c r="E50" s="181"/>
      <c r="F50" s="194"/>
      <c r="G50" s="194"/>
      <c r="H50" s="231"/>
      <c r="I50" s="181"/>
      <c r="J50" s="194"/>
      <c r="K50" s="194"/>
      <c r="L50" s="229"/>
      <c r="M50" s="73"/>
    </row>
    <row r="51" spans="1:15" ht="21.75" x14ac:dyDescent="0.3">
      <c r="A51" s="190" t="s">
        <v>404</v>
      </c>
      <c r="B51" s="103"/>
      <c r="C51" s="194"/>
      <c r="D51" s="194"/>
      <c r="E51" s="181"/>
      <c r="F51" s="194"/>
      <c r="G51" s="194"/>
      <c r="H51" s="231"/>
      <c r="I51" s="181"/>
      <c r="J51" s="194"/>
      <c r="K51" s="194"/>
      <c r="L51" s="229"/>
      <c r="M51" s="73"/>
    </row>
    <row r="52" spans="1:15" ht="18.75" x14ac:dyDescent="0.3">
      <c r="A52" s="191" t="s">
        <v>122</v>
      </c>
      <c r="B52" s="103">
        <f>B30-B41</f>
        <v>39775.259559999999</v>
      </c>
      <c r="C52" s="194">
        <f>C30-C41</f>
        <v>66651</v>
      </c>
      <c r="D52" s="231">
        <f>IF(B52=0, "    ---- ", IF(ABS(ROUND(100/B52*C52-100,1))&lt;999,ROUND(100/B52*C52-100,1),IF(ROUND(100/B52*C52-100,1)&gt;999,999,-999)))</f>
        <v>67.599999999999994</v>
      </c>
      <c r="E52" s="181"/>
      <c r="F52" s="194">
        <f>F30-F41</f>
        <v>284318.04694999999</v>
      </c>
      <c r="G52" s="194">
        <f>G30-G41</f>
        <v>84724.024910000036</v>
      </c>
      <c r="H52" s="231">
        <f t="shared" si="2"/>
        <v>-70.2</v>
      </c>
      <c r="I52" s="181"/>
      <c r="J52" s="194">
        <f t="shared" si="0"/>
        <v>324093.30650999997</v>
      </c>
      <c r="K52" s="194">
        <f t="shared" si="0"/>
        <v>151375.02491000004</v>
      </c>
      <c r="L52" s="229">
        <f t="shared" si="3"/>
        <v>-53.3</v>
      </c>
      <c r="M52" s="73"/>
    </row>
    <row r="53" spans="1:15" ht="18.75" x14ac:dyDescent="0.3">
      <c r="A53" s="191" t="s">
        <v>123</v>
      </c>
      <c r="B53" s="103">
        <f t="shared" ref="B53:C56" si="8">B31-B42</f>
        <v>104629.32261999999</v>
      </c>
      <c r="C53" s="194">
        <f t="shared" si="8"/>
        <v>106567.60293000001</v>
      </c>
      <c r="D53" s="231">
        <f t="shared" ref="D53:D60" si="9">IF(B53=0, "    ---- ", IF(ABS(ROUND(100/B53*C53-100,1))&lt;999,ROUND(100/B53*C53-100,1),IF(ROUND(100/B53*C53-100,1)&gt;999,999,-999)))</f>
        <v>1.9</v>
      </c>
      <c r="E53" s="181"/>
      <c r="F53" s="194">
        <f t="shared" ref="F53:G56" si="10">F31-F42</f>
        <v>-25771.55889</v>
      </c>
      <c r="G53" s="194">
        <f t="shared" si="10"/>
        <v>-73781.311379999985</v>
      </c>
      <c r="H53" s="231">
        <f t="shared" si="2"/>
        <v>186.3</v>
      </c>
      <c r="I53" s="181"/>
      <c r="J53" s="194">
        <f t="shared" si="0"/>
        <v>78857.763729999991</v>
      </c>
      <c r="K53" s="194">
        <f t="shared" si="0"/>
        <v>32786.291550000024</v>
      </c>
      <c r="L53" s="229">
        <f t="shared" si="3"/>
        <v>-58.4</v>
      </c>
      <c r="M53" s="73"/>
    </row>
    <row r="54" spans="1:15" ht="18.75" x14ac:dyDescent="0.3">
      <c r="A54" s="191" t="s">
        <v>125</v>
      </c>
      <c r="B54" s="103">
        <f t="shared" si="8"/>
        <v>365908.62310999981</v>
      </c>
      <c r="C54" s="194">
        <f t="shared" si="8"/>
        <v>101900.47681999998</v>
      </c>
      <c r="D54" s="231">
        <f t="shared" si="9"/>
        <v>-72.2</v>
      </c>
      <c r="E54" s="181"/>
      <c r="F54" s="194">
        <f t="shared" si="10"/>
        <v>-136905.8931800006</v>
      </c>
      <c r="G54" s="194">
        <f t="shared" si="10"/>
        <v>-155016.57682999969</v>
      </c>
      <c r="H54" s="231">
        <f t="shared" si="2"/>
        <v>13.2</v>
      </c>
      <c r="I54" s="181"/>
      <c r="J54" s="194">
        <f t="shared" si="0"/>
        <v>229002.72992999922</v>
      </c>
      <c r="K54" s="194">
        <f t="shared" si="0"/>
        <v>-53116.100009999704</v>
      </c>
      <c r="L54" s="229">
        <f t="shared" si="3"/>
        <v>-123.2</v>
      </c>
      <c r="M54" s="73"/>
    </row>
    <row r="55" spans="1:15" ht="22.5" x14ac:dyDescent="0.3">
      <c r="A55" s="191" t="s">
        <v>398</v>
      </c>
      <c r="B55" s="103">
        <f t="shared" si="8"/>
        <v>1315841.2730000005</v>
      </c>
      <c r="C55" s="194">
        <f t="shared" si="8"/>
        <v>-115144.95400000003</v>
      </c>
      <c r="D55" s="231">
        <f t="shared" si="9"/>
        <v>-108.8</v>
      </c>
      <c r="E55" s="181"/>
      <c r="F55" s="194">
        <f t="shared" si="10"/>
        <v>-35.832000000000001</v>
      </c>
      <c r="G55" s="194">
        <f t="shared" si="10"/>
        <v>25235.127</v>
      </c>
      <c r="H55" s="231">
        <f t="shared" si="2"/>
        <v>-999</v>
      </c>
      <c r="I55" s="181"/>
      <c r="J55" s="194">
        <f t="shared" si="0"/>
        <v>1315805.4410000006</v>
      </c>
      <c r="K55" s="194">
        <f t="shared" si="0"/>
        <v>-89909.827000000019</v>
      </c>
      <c r="L55" s="229">
        <f t="shared" si="3"/>
        <v>-106.8</v>
      </c>
      <c r="M55" s="73"/>
    </row>
    <row r="56" spans="1:15" ht="18.75" x14ac:dyDescent="0.3">
      <c r="A56" s="191" t="s">
        <v>128</v>
      </c>
      <c r="B56" s="103">
        <f t="shared" si="8"/>
        <v>-19</v>
      </c>
      <c r="C56" s="194">
        <f t="shared" si="8"/>
        <v>-5</v>
      </c>
      <c r="D56" s="231">
        <f t="shared" si="9"/>
        <v>-73.7</v>
      </c>
      <c r="E56" s="181"/>
      <c r="F56" s="194">
        <f t="shared" si="10"/>
        <v>0</v>
      </c>
      <c r="G56" s="194">
        <f t="shared" si="10"/>
        <v>0</v>
      </c>
      <c r="H56" s="231"/>
      <c r="I56" s="181"/>
      <c r="J56" s="194">
        <f t="shared" si="0"/>
        <v>-19</v>
      </c>
      <c r="K56" s="194">
        <f t="shared" si="0"/>
        <v>-5</v>
      </c>
      <c r="L56" s="229">
        <f t="shared" si="3"/>
        <v>-73.7</v>
      </c>
      <c r="M56" s="73"/>
    </row>
    <row r="57" spans="1:15" s="134" customFormat="1" ht="18.75" x14ac:dyDescent="0.3">
      <c r="A57" s="136" t="s">
        <v>134</v>
      </c>
      <c r="B57" s="109">
        <f>SUM(B52:B56)</f>
        <v>1826135.4782900005</v>
      </c>
      <c r="C57" s="196">
        <f>SUM(C52:C56)</f>
        <v>159969.12574999995</v>
      </c>
      <c r="D57" s="231">
        <f>IF(B57=0, "    ---- ", IF(ABS(ROUND(100/B57*C57-100,1))&lt;999,ROUND(100/B57*C57-100,1),IF(ROUND(100/B57*C57-100,1)&gt;999,999,-999)))</f>
        <v>-91.2</v>
      </c>
      <c r="E57" s="137"/>
      <c r="F57" s="196">
        <f>SUM(F52:F56)</f>
        <v>121604.76287999941</v>
      </c>
      <c r="G57" s="271">
        <f>SUM(G52:G56)</f>
        <v>-118838.73629999961</v>
      </c>
      <c r="H57" s="231">
        <f t="shared" si="2"/>
        <v>-197.7</v>
      </c>
      <c r="I57" s="137"/>
      <c r="J57" s="196">
        <f t="shared" si="0"/>
        <v>1947740.2411699998</v>
      </c>
      <c r="K57" s="194">
        <f t="shared" si="0"/>
        <v>41130.389450000337</v>
      </c>
      <c r="L57" s="229">
        <f t="shared" si="3"/>
        <v>-97.9</v>
      </c>
      <c r="M57" s="74"/>
      <c r="N57" s="133"/>
      <c r="O57" s="133"/>
    </row>
    <row r="58" spans="1:15" ht="18.75" x14ac:dyDescent="0.3">
      <c r="A58" s="136"/>
      <c r="B58" s="109"/>
      <c r="C58" s="196"/>
      <c r="D58" s="231"/>
      <c r="E58" s="137"/>
      <c r="F58" s="196"/>
      <c r="G58" s="196"/>
      <c r="H58" s="231"/>
      <c r="I58" s="137"/>
      <c r="J58" s="196"/>
      <c r="K58" s="194"/>
      <c r="L58" s="229"/>
      <c r="M58" s="73"/>
    </row>
    <row r="59" spans="1:15" ht="22.5" x14ac:dyDescent="0.3">
      <c r="A59" s="136" t="s">
        <v>405</v>
      </c>
      <c r="B59" s="109"/>
      <c r="C59" s="196"/>
      <c r="D59" s="231"/>
      <c r="E59" s="137"/>
      <c r="F59" s="196"/>
      <c r="G59" s="196"/>
      <c r="H59" s="231"/>
      <c r="I59" s="137"/>
      <c r="J59" s="196"/>
      <c r="K59" s="194"/>
      <c r="L59" s="229"/>
      <c r="M59" s="73"/>
    </row>
    <row r="60" spans="1:15" s="134" customFormat="1" ht="18.75" x14ac:dyDescent="0.3">
      <c r="A60" s="136" t="s">
        <v>124</v>
      </c>
      <c r="B60" s="109">
        <f>B38-B49</f>
        <v>-22002.937999999966</v>
      </c>
      <c r="C60" s="196">
        <f>C38-C49</f>
        <v>-44780.463000000018</v>
      </c>
      <c r="D60" s="231">
        <f t="shared" si="9"/>
        <v>103.5</v>
      </c>
      <c r="E60" s="137"/>
      <c r="F60" s="196">
        <f>F38-F49</f>
        <v>0</v>
      </c>
      <c r="G60" s="196">
        <f>G38-G49</f>
        <v>0</v>
      </c>
      <c r="H60" s="231"/>
      <c r="I60" s="137"/>
      <c r="J60" s="196">
        <f t="shared" si="0"/>
        <v>-22002.937999999966</v>
      </c>
      <c r="K60" s="194">
        <f t="shared" si="0"/>
        <v>-44780.463000000018</v>
      </c>
      <c r="L60" s="229">
        <f t="shared" si="3"/>
        <v>103.5</v>
      </c>
      <c r="M60" s="74"/>
    </row>
    <row r="61" spans="1:15" s="134" customFormat="1" ht="18.75" x14ac:dyDescent="0.3">
      <c r="A61" s="193"/>
      <c r="B61" s="114"/>
      <c r="C61" s="197"/>
      <c r="D61" s="202"/>
      <c r="E61" s="137"/>
      <c r="F61" s="197"/>
      <c r="G61" s="197"/>
      <c r="H61" s="202"/>
      <c r="I61" s="137"/>
      <c r="J61" s="202"/>
      <c r="K61" s="202"/>
      <c r="L61" s="202"/>
      <c r="M61" s="74"/>
    </row>
    <row r="62" spans="1:15" ht="18.75" x14ac:dyDescent="0.3">
      <c r="A62" s="111" t="s">
        <v>135</v>
      </c>
      <c r="C62" s="138"/>
      <c r="D62" s="138"/>
      <c r="E62" s="138"/>
      <c r="F62" s="138"/>
      <c r="G62" s="111"/>
      <c r="H62" s="73"/>
      <c r="I62" s="111"/>
      <c r="J62" s="111"/>
      <c r="K62" s="111"/>
      <c r="L62" s="73"/>
      <c r="M62" s="73"/>
    </row>
    <row r="63" spans="1:15" ht="18.75" x14ac:dyDescent="0.3">
      <c r="A63" s="111" t="s">
        <v>136</v>
      </c>
      <c r="C63" s="138"/>
      <c r="D63" s="138"/>
      <c r="E63" s="138"/>
      <c r="F63" s="138"/>
      <c r="G63" s="73"/>
      <c r="H63" s="73"/>
      <c r="I63" s="73"/>
      <c r="J63" s="73"/>
      <c r="K63" s="73"/>
      <c r="L63" s="73"/>
      <c r="M63" s="73"/>
    </row>
    <row r="64" spans="1:15" ht="18.75" x14ac:dyDescent="0.3">
      <c r="A64" s="111" t="s">
        <v>115</v>
      </c>
      <c r="B64" s="73"/>
      <c r="C64" s="73"/>
      <c r="D64" s="73"/>
      <c r="E64" s="73"/>
      <c r="F64" s="73"/>
      <c r="G64" s="73"/>
      <c r="H64" s="73"/>
      <c r="I64" s="73"/>
      <c r="J64" s="73"/>
      <c r="K64" s="73"/>
      <c r="L64" s="73"/>
      <c r="M64" s="73"/>
    </row>
    <row r="65" spans="1:13" ht="18.75" x14ac:dyDescent="0.3">
      <c r="A65" s="73"/>
      <c r="C65" s="73"/>
      <c r="D65" s="73"/>
      <c r="E65" s="73"/>
      <c r="F65" s="73"/>
      <c r="G65" s="73"/>
      <c r="H65" s="73"/>
      <c r="I65" s="73"/>
      <c r="J65" s="73"/>
      <c r="K65" s="73"/>
      <c r="L65" s="73"/>
      <c r="M65" s="73"/>
    </row>
    <row r="66" spans="1:13" ht="18.75" x14ac:dyDescent="0.3">
      <c r="A66" s="73"/>
      <c r="B66" s="73"/>
      <c r="C66" s="73"/>
      <c r="D66" s="73"/>
      <c r="E66" s="73"/>
      <c r="F66" s="73"/>
      <c r="G66" s="73"/>
      <c r="H66" s="73"/>
      <c r="I66" s="73"/>
      <c r="J66" s="73"/>
      <c r="K66" s="73"/>
      <c r="L66" s="73"/>
      <c r="M66" s="73"/>
    </row>
    <row r="67" spans="1:13" ht="18.75" x14ac:dyDescent="0.3">
      <c r="A67" s="73"/>
      <c r="B67" s="73"/>
      <c r="C67" s="73"/>
      <c r="D67" s="73"/>
      <c r="E67" s="73"/>
      <c r="F67" s="73"/>
      <c r="G67" s="73"/>
      <c r="H67" s="73"/>
      <c r="I67" s="73"/>
      <c r="J67" s="73"/>
      <c r="K67" s="73"/>
      <c r="L67" s="73"/>
      <c r="M67" s="73"/>
    </row>
    <row r="68" spans="1:13" ht="18.75" x14ac:dyDescent="0.3">
      <c r="A68" s="73"/>
      <c r="B68" s="73"/>
      <c r="C68" s="73"/>
      <c r="D68" s="73"/>
      <c r="E68" s="73"/>
      <c r="F68" s="73"/>
      <c r="G68" s="73"/>
      <c r="H68" s="73"/>
      <c r="I68" s="73"/>
      <c r="J68" s="73"/>
      <c r="K68" s="73"/>
      <c r="L68" s="73"/>
      <c r="M68" s="73"/>
    </row>
    <row r="69" spans="1:13" ht="18.75" x14ac:dyDescent="0.3">
      <c r="A69" s="73"/>
      <c r="B69" s="73"/>
      <c r="C69" s="73"/>
      <c r="D69" s="73"/>
      <c r="E69" s="73"/>
      <c r="F69" s="73"/>
      <c r="G69" s="73"/>
      <c r="H69" s="73"/>
      <c r="I69" s="73"/>
      <c r="J69" s="73"/>
      <c r="K69" s="73"/>
      <c r="L69" s="73"/>
      <c r="M69" s="73"/>
    </row>
    <row r="70" spans="1:13" ht="18.75" x14ac:dyDescent="0.3">
      <c r="A70" s="73"/>
      <c r="B70" s="73"/>
      <c r="C70" s="73"/>
      <c r="D70" s="73"/>
      <c r="E70" s="73"/>
      <c r="F70" s="73"/>
      <c r="G70" s="73"/>
      <c r="H70" s="73"/>
      <c r="I70" s="73"/>
      <c r="J70" s="73"/>
      <c r="K70" s="73"/>
      <c r="L70" s="73"/>
      <c r="M70" s="73"/>
    </row>
    <row r="71" spans="1:13" ht="18.75" x14ac:dyDescent="0.3">
      <c r="A71" s="73"/>
      <c r="B71" s="73"/>
      <c r="C71" s="73"/>
      <c r="D71" s="73"/>
      <c r="E71" s="73"/>
      <c r="F71" s="73"/>
      <c r="G71" s="73"/>
      <c r="H71" s="73"/>
      <c r="I71" s="73"/>
      <c r="J71" s="73"/>
      <c r="K71" s="73"/>
      <c r="L71" s="73"/>
      <c r="M71" s="73"/>
    </row>
    <row r="72" spans="1:13" ht="18.75" x14ac:dyDescent="0.3">
      <c r="A72" s="73"/>
      <c r="B72" s="73"/>
      <c r="C72" s="73"/>
      <c r="D72" s="73"/>
      <c r="E72" s="73"/>
      <c r="F72" s="73"/>
      <c r="G72" s="73"/>
      <c r="H72" s="73"/>
      <c r="I72" s="73"/>
      <c r="J72" s="73"/>
      <c r="K72" s="73"/>
      <c r="L72" s="73"/>
      <c r="M72" s="73"/>
    </row>
    <row r="73" spans="1:13" ht="18.75" x14ac:dyDescent="0.3">
      <c r="A73" s="73"/>
      <c r="B73" s="73"/>
      <c r="C73" s="73"/>
      <c r="D73" s="73"/>
      <c r="E73" s="73"/>
      <c r="F73" s="73"/>
      <c r="G73" s="73"/>
      <c r="H73" s="73"/>
      <c r="I73" s="73"/>
      <c r="J73" s="73"/>
      <c r="K73" s="73"/>
      <c r="L73" s="73"/>
      <c r="M73" s="73"/>
    </row>
    <row r="74" spans="1:13" ht="18.75" x14ac:dyDescent="0.3">
      <c r="A74" s="73"/>
      <c r="B74" s="73"/>
      <c r="C74" s="73"/>
      <c r="D74" s="73"/>
      <c r="E74" s="73"/>
      <c r="F74" s="73"/>
      <c r="G74" s="73"/>
      <c r="H74" s="73"/>
      <c r="I74" s="73"/>
      <c r="J74" s="73"/>
      <c r="K74" s="73"/>
      <c r="L74" s="73"/>
      <c r="M74" s="73"/>
    </row>
    <row r="75" spans="1:13" ht="18.75" x14ac:dyDescent="0.3">
      <c r="A75" s="73"/>
      <c r="B75" s="73"/>
      <c r="C75" s="73"/>
      <c r="D75" s="73"/>
      <c r="E75" s="73"/>
      <c r="F75" s="73"/>
      <c r="G75" s="73"/>
      <c r="H75" s="73"/>
      <c r="I75" s="73"/>
      <c r="J75" s="73"/>
      <c r="K75" s="73"/>
      <c r="L75" s="73"/>
      <c r="M75" s="73"/>
    </row>
    <row r="76" spans="1:13" ht="18.75" x14ac:dyDescent="0.3">
      <c r="A76" s="73"/>
      <c r="B76" s="73"/>
      <c r="C76" s="73"/>
      <c r="D76" s="73"/>
      <c r="E76" s="73"/>
      <c r="F76" s="73"/>
      <c r="G76" s="73"/>
      <c r="H76" s="73"/>
      <c r="I76" s="73"/>
      <c r="J76" s="73"/>
      <c r="K76" s="73"/>
      <c r="L76" s="73"/>
      <c r="M76" s="73"/>
    </row>
    <row r="77" spans="1:13" ht="18.75" x14ac:dyDescent="0.3">
      <c r="A77" s="73"/>
      <c r="B77" s="73"/>
      <c r="C77" s="73"/>
      <c r="D77" s="73"/>
      <c r="E77" s="73"/>
      <c r="F77" s="73"/>
      <c r="G77" s="73"/>
      <c r="H77" s="73"/>
      <c r="I77" s="73"/>
      <c r="J77" s="73"/>
      <c r="K77" s="73"/>
      <c r="L77" s="73"/>
      <c r="M77" s="73"/>
    </row>
    <row r="78" spans="1:13" ht="18.75" x14ac:dyDescent="0.3">
      <c r="A78" s="73"/>
      <c r="B78" s="73"/>
      <c r="C78" s="73"/>
      <c r="D78" s="73"/>
      <c r="E78" s="73"/>
      <c r="F78" s="73"/>
      <c r="G78" s="73"/>
      <c r="H78" s="73"/>
      <c r="I78" s="73"/>
      <c r="J78" s="73"/>
      <c r="K78" s="73"/>
      <c r="L78" s="73"/>
      <c r="M78" s="73"/>
    </row>
    <row r="79" spans="1:13" ht="18.75" x14ac:dyDescent="0.3">
      <c r="A79" s="73"/>
      <c r="B79" s="73"/>
      <c r="C79" s="73"/>
      <c r="D79" s="73"/>
      <c r="E79" s="73"/>
      <c r="F79" s="73"/>
      <c r="G79" s="73"/>
      <c r="H79" s="73"/>
      <c r="I79" s="73"/>
      <c r="J79" s="73"/>
      <c r="K79" s="73"/>
      <c r="L79" s="73"/>
      <c r="M79" s="73"/>
    </row>
    <row r="80" spans="1:13" ht="18.75" x14ac:dyDescent="0.3">
      <c r="A80" s="73"/>
      <c r="B80" s="73"/>
      <c r="C80" s="73"/>
      <c r="D80" s="73"/>
      <c r="E80" s="73"/>
      <c r="F80" s="73"/>
      <c r="G80" s="73"/>
      <c r="H80" s="73"/>
      <c r="I80" s="73"/>
      <c r="J80" s="73"/>
      <c r="K80" s="73"/>
      <c r="L80" s="73"/>
      <c r="M80" s="73"/>
    </row>
    <row r="81" spans="1:13" ht="18.75" x14ac:dyDescent="0.3">
      <c r="A81" s="73"/>
      <c r="B81" s="73"/>
      <c r="C81" s="73"/>
      <c r="D81" s="73"/>
      <c r="E81" s="73"/>
      <c r="F81" s="73"/>
      <c r="G81" s="73"/>
      <c r="H81" s="73"/>
      <c r="I81" s="73"/>
      <c r="J81" s="73"/>
      <c r="K81" s="73"/>
      <c r="L81" s="73"/>
      <c r="M81" s="73"/>
    </row>
    <row r="82" spans="1:13" ht="18.75" x14ac:dyDescent="0.3">
      <c r="A82" s="73"/>
      <c r="B82" s="73"/>
      <c r="C82" s="73"/>
      <c r="D82" s="73"/>
      <c r="E82" s="73"/>
      <c r="F82" s="73"/>
      <c r="G82" s="73"/>
      <c r="H82" s="73"/>
      <c r="I82" s="73"/>
      <c r="J82" s="73"/>
      <c r="K82" s="73"/>
      <c r="L82" s="73"/>
      <c r="M82" s="73"/>
    </row>
    <row r="83" spans="1:13" ht="18.75" x14ac:dyDescent="0.3">
      <c r="A83" s="73"/>
      <c r="B83" s="73"/>
      <c r="C83" s="73"/>
      <c r="D83" s="73"/>
      <c r="E83" s="73"/>
      <c r="F83" s="73"/>
      <c r="G83" s="73"/>
      <c r="H83" s="73"/>
      <c r="I83" s="73"/>
      <c r="J83" s="73"/>
      <c r="K83" s="73"/>
      <c r="L83" s="73"/>
      <c r="M83" s="73"/>
    </row>
    <row r="84" spans="1:13" ht="18.75" x14ac:dyDescent="0.3">
      <c r="A84" s="73"/>
      <c r="B84" s="73"/>
      <c r="C84" s="73"/>
      <c r="D84" s="73"/>
      <c r="E84" s="73"/>
      <c r="F84" s="73"/>
      <c r="G84" s="73"/>
      <c r="H84" s="73"/>
      <c r="I84" s="73"/>
      <c r="J84" s="73"/>
      <c r="K84" s="73"/>
      <c r="L84" s="73"/>
      <c r="M84" s="73"/>
    </row>
    <row r="85" spans="1:13" ht="18.75" x14ac:dyDescent="0.3">
      <c r="A85" s="73"/>
      <c r="B85" s="73"/>
      <c r="C85" s="73"/>
      <c r="D85" s="73"/>
      <c r="E85" s="73"/>
      <c r="F85" s="73"/>
      <c r="G85" s="73"/>
      <c r="H85" s="73"/>
      <c r="I85" s="73"/>
      <c r="J85" s="73"/>
      <c r="K85" s="73"/>
      <c r="L85" s="73"/>
      <c r="M85" s="73"/>
    </row>
    <row r="86" spans="1:13" ht="18.75" x14ac:dyDescent="0.3">
      <c r="A86" s="73"/>
      <c r="B86" s="73"/>
      <c r="C86" s="73"/>
      <c r="D86" s="73"/>
      <c r="E86" s="73"/>
      <c r="F86" s="73"/>
      <c r="G86" s="73"/>
      <c r="H86" s="73"/>
      <c r="I86" s="73"/>
      <c r="J86" s="73"/>
      <c r="K86" s="73"/>
      <c r="L86" s="73"/>
      <c r="M86" s="73"/>
    </row>
    <row r="87" spans="1:13" ht="18.75" x14ac:dyDescent="0.3">
      <c r="A87" s="73"/>
      <c r="B87" s="73"/>
      <c r="C87" s="73"/>
      <c r="D87" s="73"/>
      <c r="E87" s="73"/>
      <c r="F87" s="73"/>
      <c r="G87" s="73"/>
      <c r="H87" s="73"/>
      <c r="I87" s="73"/>
      <c r="J87" s="73"/>
      <c r="K87" s="73"/>
      <c r="L87" s="73"/>
      <c r="M87" s="73"/>
    </row>
    <row r="88" spans="1:13" ht="18.75" x14ac:dyDescent="0.3">
      <c r="A88" s="73"/>
      <c r="B88" s="73"/>
      <c r="C88" s="73"/>
      <c r="D88" s="73"/>
      <c r="E88" s="73"/>
      <c r="F88" s="73"/>
      <c r="G88" s="73"/>
      <c r="H88" s="73"/>
      <c r="I88" s="73"/>
      <c r="J88" s="73"/>
      <c r="K88" s="73"/>
      <c r="L88" s="73"/>
      <c r="M88" s="73"/>
    </row>
    <row r="89" spans="1:13" ht="18.75" x14ac:dyDescent="0.3">
      <c r="A89" s="73"/>
      <c r="B89" s="73"/>
      <c r="C89" s="73"/>
      <c r="D89" s="73"/>
      <c r="E89" s="73"/>
      <c r="F89" s="73"/>
      <c r="G89" s="73"/>
      <c r="H89" s="73"/>
      <c r="I89" s="73"/>
      <c r="J89" s="73"/>
      <c r="K89" s="73"/>
      <c r="L89" s="73"/>
      <c r="M89" s="73"/>
    </row>
    <row r="90" spans="1:13" ht="18.75" x14ac:dyDescent="0.3">
      <c r="A90" s="73"/>
      <c r="B90" s="73"/>
      <c r="C90" s="73"/>
      <c r="D90" s="73"/>
      <c r="E90" s="73"/>
      <c r="F90" s="73"/>
      <c r="G90" s="73"/>
      <c r="H90" s="73"/>
      <c r="I90" s="73"/>
      <c r="J90" s="73"/>
      <c r="K90" s="73"/>
      <c r="L90" s="73"/>
      <c r="M90" s="73"/>
    </row>
    <row r="91" spans="1:13" ht="18.75" x14ac:dyDescent="0.3">
      <c r="A91" s="73"/>
      <c r="B91" s="73"/>
      <c r="C91" s="73"/>
      <c r="D91" s="73"/>
      <c r="E91" s="73"/>
      <c r="F91" s="73"/>
      <c r="G91" s="73"/>
      <c r="H91" s="73"/>
      <c r="I91" s="73"/>
      <c r="J91" s="73"/>
      <c r="K91" s="73"/>
      <c r="L91" s="73"/>
      <c r="M91" s="73"/>
    </row>
    <row r="92" spans="1:13" ht="18.75" x14ac:dyDescent="0.3">
      <c r="A92" s="73"/>
      <c r="B92" s="73"/>
      <c r="C92" s="73"/>
      <c r="D92" s="73"/>
      <c r="E92" s="73"/>
      <c r="F92" s="73"/>
      <c r="G92" s="73"/>
      <c r="H92" s="73"/>
      <c r="I92" s="73"/>
      <c r="J92" s="73"/>
      <c r="K92" s="73"/>
      <c r="L92" s="73"/>
      <c r="M92" s="73"/>
    </row>
    <row r="93" spans="1:13" ht="18.75" x14ac:dyDescent="0.3">
      <c r="A93" s="73"/>
      <c r="B93" s="73"/>
      <c r="C93" s="73"/>
      <c r="D93" s="73"/>
      <c r="E93" s="73"/>
      <c r="F93" s="73"/>
      <c r="G93" s="73"/>
      <c r="H93" s="73"/>
      <c r="I93" s="73"/>
      <c r="J93" s="73"/>
      <c r="K93" s="73"/>
      <c r="L93" s="73"/>
      <c r="M93" s="73"/>
    </row>
    <row r="94" spans="1:13" ht="18.75" x14ac:dyDescent="0.3">
      <c r="A94" s="73"/>
      <c r="B94" s="73"/>
      <c r="C94" s="73"/>
      <c r="D94" s="73"/>
      <c r="E94" s="73"/>
      <c r="F94" s="73"/>
      <c r="G94" s="73"/>
      <c r="H94" s="73"/>
      <c r="I94" s="73"/>
      <c r="J94" s="73"/>
      <c r="K94" s="73"/>
      <c r="L94" s="73"/>
      <c r="M94" s="73"/>
    </row>
    <row r="95" spans="1:13" ht="18.75" x14ac:dyDescent="0.3">
      <c r="A95" s="73"/>
      <c r="B95" s="73"/>
      <c r="C95" s="73"/>
      <c r="D95" s="73"/>
      <c r="E95" s="73"/>
      <c r="F95" s="73"/>
      <c r="G95" s="73"/>
      <c r="H95" s="73"/>
      <c r="I95" s="73"/>
      <c r="J95" s="73"/>
      <c r="K95" s="73"/>
      <c r="L95" s="73"/>
      <c r="M95" s="73"/>
    </row>
    <row r="96" spans="1:13" ht="18.75" x14ac:dyDescent="0.3">
      <c r="A96" s="73"/>
      <c r="B96" s="73"/>
      <c r="C96" s="73"/>
      <c r="D96" s="73"/>
      <c r="E96" s="73"/>
      <c r="F96" s="73"/>
      <c r="G96" s="73"/>
      <c r="H96" s="73"/>
      <c r="I96" s="73"/>
      <c r="J96" s="73"/>
      <c r="K96" s="73"/>
      <c r="L96" s="73"/>
      <c r="M96" s="73"/>
    </row>
    <row r="97" spans="1:13" ht="18.75" x14ac:dyDescent="0.3">
      <c r="A97" s="73"/>
      <c r="B97" s="73"/>
      <c r="C97" s="73"/>
      <c r="D97" s="73"/>
      <c r="E97" s="73"/>
      <c r="F97" s="73"/>
      <c r="G97" s="73"/>
      <c r="H97" s="73"/>
      <c r="I97" s="73"/>
      <c r="J97" s="73"/>
      <c r="K97" s="73"/>
      <c r="L97" s="73"/>
      <c r="M97" s="73"/>
    </row>
    <row r="98" spans="1:13" ht="18.75" x14ac:dyDescent="0.3">
      <c r="A98" s="73"/>
      <c r="B98" s="73"/>
      <c r="C98" s="73"/>
      <c r="D98" s="73"/>
      <c r="E98" s="73"/>
      <c r="F98" s="73"/>
      <c r="G98" s="73"/>
      <c r="H98" s="73"/>
      <c r="I98" s="73"/>
      <c r="J98" s="73"/>
      <c r="K98" s="73"/>
      <c r="L98" s="73"/>
      <c r="M98" s="73"/>
    </row>
    <row r="99" spans="1:13" ht="18.75" x14ac:dyDescent="0.3">
      <c r="A99" s="73"/>
      <c r="B99" s="73"/>
      <c r="C99" s="73"/>
      <c r="D99" s="73"/>
      <c r="E99" s="73"/>
      <c r="F99" s="73"/>
      <c r="G99" s="73"/>
      <c r="H99" s="73"/>
      <c r="I99" s="73"/>
      <c r="J99" s="73"/>
      <c r="K99" s="73"/>
      <c r="L99" s="73"/>
      <c r="M99" s="73"/>
    </row>
    <row r="100" spans="1:13" ht="18.75" x14ac:dyDescent="0.3">
      <c r="A100" s="73"/>
      <c r="B100" s="73"/>
      <c r="C100" s="73"/>
      <c r="D100" s="73"/>
      <c r="E100" s="73"/>
      <c r="F100" s="73"/>
      <c r="G100" s="73"/>
      <c r="H100" s="73"/>
      <c r="I100" s="73"/>
      <c r="J100" s="73"/>
      <c r="K100" s="73"/>
      <c r="L100" s="73"/>
      <c r="M100" s="73"/>
    </row>
    <row r="101" spans="1:13" ht="18.75" x14ac:dyDescent="0.3">
      <c r="A101" s="73"/>
      <c r="B101" s="73"/>
      <c r="C101" s="73"/>
      <c r="D101" s="73"/>
      <c r="E101" s="73"/>
      <c r="F101" s="73"/>
      <c r="G101" s="73"/>
      <c r="H101" s="73"/>
      <c r="I101" s="73"/>
      <c r="J101" s="73"/>
      <c r="K101" s="73"/>
      <c r="L101" s="73"/>
      <c r="M101" s="73"/>
    </row>
    <row r="102" spans="1:13" ht="18.75" x14ac:dyDescent="0.3">
      <c r="A102" s="73"/>
      <c r="B102" s="73"/>
      <c r="C102" s="73"/>
      <c r="D102" s="73"/>
      <c r="E102" s="73"/>
      <c r="F102" s="73"/>
      <c r="G102" s="73"/>
      <c r="H102" s="73"/>
      <c r="I102" s="73"/>
      <c r="J102" s="73"/>
      <c r="K102" s="73"/>
      <c r="L102" s="73"/>
      <c r="M102" s="73"/>
    </row>
    <row r="103" spans="1:13" ht="18.75" x14ac:dyDescent="0.3">
      <c r="A103" s="73"/>
      <c r="B103" s="73"/>
      <c r="C103" s="73"/>
      <c r="D103" s="73"/>
      <c r="E103" s="73"/>
      <c r="F103" s="73"/>
      <c r="G103" s="73"/>
      <c r="H103" s="73"/>
      <c r="I103" s="73"/>
      <c r="J103" s="73"/>
      <c r="K103" s="73"/>
      <c r="L103" s="73"/>
      <c r="M103" s="73"/>
    </row>
    <row r="104" spans="1:13" ht="18.75" x14ac:dyDescent="0.3">
      <c r="A104" s="73"/>
      <c r="B104" s="73"/>
      <c r="C104" s="73"/>
      <c r="D104" s="73"/>
      <c r="E104" s="73"/>
      <c r="F104" s="73"/>
      <c r="G104" s="73"/>
      <c r="H104" s="73"/>
      <c r="I104" s="73"/>
      <c r="J104" s="73"/>
      <c r="K104" s="73"/>
      <c r="L104" s="73"/>
      <c r="M104" s="73"/>
    </row>
    <row r="105" spans="1:13" ht="18.75" x14ac:dyDescent="0.3">
      <c r="A105" s="73"/>
      <c r="B105" s="73"/>
      <c r="C105" s="73"/>
      <c r="D105" s="73"/>
      <c r="E105" s="73"/>
      <c r="F105" s="73"/>
      <c r="G105" s="73"/>
      <c r="H105" s="73"/>
      <c r="I105" s="73"/>
      <c r="J105" s="73"/>
      <c r="K105" s="73"/>
      <c r="L105" s="73"/>
      <c r="M105" s="73"/>
    </row>
    <row r="106" spans="1:13" ht="18.75" x14ac:dyDescent="0.3">
      <c r="A106" s="73"/>
      <c r="B106" s="73"/>
      <c r="C106" s="73"/>
      <c r="D106" s="73"/>
      <c r="E106" s="73"/>
      <c r="F106" s="73"/>
      <c r="G106" s="73"/>
      <c r="H106" s="73"/>
      <c r="I106" s="73"/>
      <c r="J106" s="73"/>
      <c r="K106" s="73"/>
      <c r="L106" s="73"/>
      <c r="M106" s="73"/>
    </row>
    <row r="107" spans="1:13" ht="18.75" x14ac:dyDescent="0.3">
      <c r="A107" s="73"/>
      <c r="B107" s="73"/>
      <c r="C107" s="73"/>
      <c r="D107" s="73"/>
      <c r="E107" s="73"/>
      <c r="F107" s="73"/>
      <c r="G107" s="73"/>
      <c r="H107" s="73"/>
      <c r="I107" s="73"/>
      <c r="J107" s="73"/>
      <c r="K107" s="73"/>
      <c r="L107" s="73"/>
      <c r="M107" s="73"/>
    </row>
    <row r="108" spans="1:13" ht="18.75" x14ac:dyDescent="0.3">
      <c r="A108" s="73"/>
      <c r="B108" s="73"/>
      <c r="C108" s="73"/>
      <c r="D108" s="73"/>
      <c r="E108" s="73"/>
      <c r="F108" s="73"/>
      <c r="G108" s="73"/>
      <c r="H108" s="73"/>
      <c r="I108" s="73"/>
      <c r="J108" s="73"/>
      <c r="K108" s="73"/>
      <c r="L108" s="73"/>
      <c r="M108" s="73"/>
    </row>
    <row r="109" spans="1:13" ht="18.75" x14ac:dyDescent="0.3">
      <c r="A109" s="73"/>
      <c r="B109" s="73"/>
      <c r="C109" s="73"/>
      <c r="D109" s="73"/>
      <c r="E109" s="73"/>
      <c r="F109" s="73"/>
      <c r="G109" s="73"/>
      <c r="H109" s="73"/>
      <c r="I109" s="73"/>
      <c r="J109" s="73"/>
      <c r="K109" s="73"/>
      <c r="L109" s="73"/>
      <c r="M109" s="73"/>
    </row>
    <row r="110" spans="1:13" ht="18.75" x14ac:dyDescent="0.3">
      <c r="A110" s="73"/>
      <c r="B110" s="73"/>
      <c r="C110" s="73"/>
      <c r="D110" s="73"/>
      <c r="E110" s="73"/>
      <c r="F110" s="73"/>
      <c r="G110" s="73"/>
      <c r="H110" s="73"/>
      <c r="I110" s="73"/>
      <c r="J110" s="73"/>
      <c r="K110" s="73"/>
      <c r="L110" s="73"/>
      <c r="M110" s="73"/>
    </row>
    <row r="111" spans="1:13" ht="18.75" x14ac:dyDescent="0.3">
      <c r="A111" s="73"/>
      <c r="B111" s="73"/>
      <c r="C111" s="73"/>
      <c r="D111" s="73"/>
      <c r="E111" s="73"/>
      <c r="F111" s="73"/>
      <c r="G111" s="73"/>
      <c r="H111" s="73"/>
      <c r="I111" s="73"/>
      <c r="J111" s="73"/>
      <c r="K111" s="73"/>
      <c r="L111" s="73"/>
      <c r="M111" s="73"/>
    </row>
    <row r="112" spans="1:13" ht="18.75" x14ac:dyDescent="0.3">
      <c r="A112" s="73"/>
      <c r="B112" s="73"/>
      <c r="C112" s="73"/>
      <c r="D112" s="73"/>
      <c r="E112" s="73"/>
      <c r="F112" s="73"/>
      <c r="G112" s="73"/>
      <c r="H112" s="73"/>
      <c r="I112" s="73"/>
      <c r="J112" s="73"/>
      <c r="K112" s="73"/>
      <c r="L112" s="73"/>
      <c r="M112" s="73"/>
    </row>
    <row r="113" spans="1:13" ht="18.75" x14ac:dyDescent="0.3">
      <c r="A113" s="73"/>
      <c r="B113" s="73"/>
      <c r="C113" s="73"/>
      <c r="D113" s="73"/>
      <c r="E113" s="73"/>
      <c r="F113" s="73"/>
      <c r="G113" s="73"/>
      <c r="H113" s="73"/>
      <c r="I113" s="73"/>
      <c r="J113" s="73"/>
      <c r="K113" s="73"/>
      <c r="L113" s="73"/>
      <c r="M113" s="73"/>
    </row>
    <row r="114" spans="1:13" ht="18.75" x14ac:dyDescent="0.3">
      <c r="A114" s="73"/>
      <c r="B114" s="73"/>
      <c r="C114" s="73"/>
      <c r="D114" s="73"/>
      <c r="E114" s="73"/>
      <c r="F114" s="73"/>
      <c r="G114" s="73"/>
      <c r="H114" s="73"/>
      <c r="I114" s="73"/>
      <c r="J114" s="73"/>
      <c r="K114" s="73"/>
      <c r="L114" s="73"/>
      <c r="M114" s="73"/>
    </row>
    <row r="115" spans="1:13" ht="18.75" x14ac:dyDescent="0.3">
      <c r="A115" s="73"/>
      <c r="B115" s="73"/>
      <c r="C115" s="73"/>
      <c r="D115" s="73"/>
      <c r="E115" s="73"/>
      <c r="F115" s="73"/>
      <c r="G115" s="73"/>
      <c r="H115" s="73"/>
      <c r="I115" s="73"/>
      <c r="J115" s="73"/>
      <c r="K115" s="73"/>
      <c r="L115" s="73"/>
      <c r="M115" s="73"/>
    </row>
  </sheetData>
  <mergeCells count="3">
    <mergeCell ref="B5:D5"/>
    <mergeCell ref="F5:H5"/>
    <mergeCell ref="J5:L5"/>
  </mergeCells>
  <hyperlinks>
    <hyperlink ref="B1" location="Innhold!A1" display="Tilbake"/>
  </hyperlinks>
  <pageMargins left="0.7" right="0.7" top="0.78740157499999996" bottom="0.78740157499999996" header="0.3" footer="0.3"/>
  <pageSetup paperSize="9" scale="4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dimension ref="A1:J92"/>
  <sheetViews>
    <sheetView showGridLines="0" zoomScale="70" zoomScaleNormal="70" workbookViewId="0">
      <pane xSplit="1" ySplit="7" topLeftCell="B8" activePane="bottomRight" state="frozen"/>
      <selection pane="topRight" activeCell="B1" sqref="B1"/>
      <selection pane="bottomLeft" activeCell="A8" sqref="A8"/>
      <selection pane="bottomRight" activeCell="G42" sqref="G42"/>
    </sheetView>
  </sheetViews>
  <sheetFormatPr baseColWidth="10" defaultColWidth="11.42578125" defaultRowHeight="18" x14ac:dyDescent="0.25"/>
  <cols>
    <col min="1" max="1" width="35.85546875" style="80" customWidth="1"/>
    <col min="2" max="2" width="18.140625" style="80" customWidth="1"/>
    <col min="3" max="3" width="17.85546875" style="80" customWidth="1"/>
    <col min="4" max="4" width="11.7109375" style="80" customWidth="1"/>
    <col min="5" max="5" width="4.7109375" style="80" customWidth="1"/>
    <col min="6" max="7" width="13" style="80" customWidth="1"/>
    <col min="8" max="8" width="11.7109375" style="80" customWidth="1"/>
    <col min="9" max="9" width="12.42578125" style="80" customWidth="1"/>
    <col min="10" max="10" width="11.42578125" style="80"/>
    <col min="11" max="12" width="17.140625" style="80" bestFit="1" customWidth="1"/>
    <col min="13" max="16384" width="11.42578125" style="80"/>
  </cols>
  <sheetData>
    <row r="1" spans="1:10" ht="18.75" customHeight="1" x14ac:dyDescent="0.3">
      <c r="A1" s="79" t="s">
        <v>84</v>
      </c>
      <c r="B1" s="72" t="s">
        <v>55</v>
      </c>
      <c r="C1" s="79"/>
      <c r="D1" s="79"/>
      <c r="E1" s="79"/>
      <c r="F1" s="73"/>
      <c r="G1" s="73"/>
      <c r="H1" s="73"/>
      <c r="I1" s="73"/>
      <c r="J1" s="73"/>
    </row>
    <row r="2" spans="1:10" ht="20.100000000000001" customHeight="1" x14ac:dyDescent="0.3">
      <c r="A2" s="79" t="s">
        <v>175</v>
      </c>
      <c r="B2" s="79"/>
      <c r="C2" s="79"/>
      <c r="D2" s="79"/>
      <c r="E2" s="79"/>
      <c r="F2" s="73"/>
      <c r="G2" s="73"/>
      <c r="H2" s="73"/>
      <c r="I2" s="73"/>
      <c r="J2" s="73"/>
    </row>
    <row r="3" spans="1:10" ht="20.100000000000001" customHeight="1" x14ac:dyDescent="0.3">
      <c r="A3" s="74"/>
      <c r="B3" s="74"/>
      <c r="C3" s="74"/>
      <c r="D3" s="74"/>
      <c r="E3" s="255"/>
      <c r="F3" s="73"/>
      <c r="G3" s="73"/>
      <c r="H3" s="73"/>
      <c r="I3" s="73"/>
      <c r="J3" s="73"/>
    </row>
    <row r="4" spans="1:10" ht="20.100000000000001" customHeight="1" x14ac:dyDescent="0.3">
      <c r="A4" s="256"/>
      <c r="B4" s="946" t="s">
        <v>176</v>
      </c>
      <c r="C4" s="946"/>
      <c r="D4" s="947"/>
      <c r="E4" s="88"/>
      <c r="F4" s="948" t="s">
        <v>176</v>
      </c>
      <c r="G4" s="946"/>
      <c r="H4" s="947"/>
      <c r="I4" s="73"/>
      <c r="J4" s="73"/>
    </row>
    <row r="5" spans="1:10" ht="18.75" customHeight="1" x14ac:dyDescent="0.3">
      <c r="A5" s="257" t="s">
        <v>414</v>
      </c>
      <c r="B5" s="949" t="s">
        <v>177</v>
      </c>
      <c r="C5" s="950"/>
      <c r="D5" s="951"/>
      <c r="E5" s="258"/>
      <c r="F5" s="952" t="s">
        <v>178</v>
      </c>
      <c r="G5" s="953"/>
      <c r="H5" s="954"/>
      <c r="I5" s="111"/>
      <c r="J5" s="73"/>
    </row>
    <row r="6" spans="1:10" ht="18.75" customHeight="1" x14ac:dyDescent="0.3">
      <c r="A6" s="121"/>
      <c r="B6" s="119"/>
      <c r="C6" s="190"/>
      <c r="D6" s="259" t="s">
        <v>89</v>
      </c>
      <c r="E6" s="259"/>
      <c r="F6" s="122"/>
      <c r="G6" s="123"/>
      <c r="H6" s="93" t="s">
        <v>89</v>
      </c>
      <c r="I6" s="99"/>
      <c r="J6" s="73"/>
    </row>
    <row r="7" spans="1:10" ht="18.75" customHeight="1" x14ac:dyDescent="0.3">
      <c r="A7" s="125"/>
      <c r="B7" s="96">
        <v>2016</v>
      </c>
      <c r="C7" s="96">
        <v>2017</v>
      </c>
      <c r="D7" s="260" t="s">
        <v>91</v>
      </c>
      <c r="E7" s="259"/>
      <c r="F7" s="96">
        <v>2016</v>
      </c>
      <c r="G7" s="126">
        <v>2017</v>
      </c>
      <c r="H7" s="261" t="s">
        <v>91</v>
      </c>
      <c r="I7" s="99"/>
      <c r="J7" s="73"/>
    </row>
    <row r="8" spans="1:10" ht="18.75" customHeight="1" x14ac:dyDescent="0.3">
      <c r="A8" s="100" t="s">
        <v>179</v>
      </c>
      <c r="B8" s="108">
        <f>SUM(B9:B14)</f>
        <v>124623.38044916998</v>
      </c>
      <c r="C8" s="108">
        <f>SUM(C9:C14)</f>
        <v>133436.26208108998</v>
      </c>
      <c r="D8" s="262">
        <f t="shared" ref="D8:D38" si="0">IF(B8=0, "    ---- ", IF(ABS(ROUND(100/B8*C8-100,1))&lt;999,ROUND(100/B8*C8-100,1),IF(ROUND(100/B8*C8-100,1)&gt;999,999,-999)))</f>
        <v>7.1</v>
      </c>
      <c r="E8" s="263"/>
      <c r="F8" s="262">
        <f>SUM(F9:F14)</f>
        <v>99.976472232039825</v>
      </c>
      <c r="G8" s="262">
        <f>SUM(G9:G14)</f>
        <v>99.971786997595316</v>
      </c>
      <c r="H8" s="263">
        <f t="shared" ref="H8:H38" si="1">IF(F8=0, "    ---- ", IF(ABS(ROUND(100/F8*G8-100,1))&lt;999,ROUND(100/F8*G8-100,1),IF(ROUND(100/F8*G8-100,1)&gt;999,999,-999)))</f>
        <v>0</v>
      </c>
      <c r="I8" s="103"/>
      <c r="J8" s="73"/>
    </row>
    <row r="9" spans="1:10" ht="18.75" customHeight="1" x14ac:dyDescent="0.3">
      <c r="A9" s="85" t="s">
        <v>180</v>
      </c>
      <c r="B9" s="105">
        <f>'Tabell 6'!AR21</f>
        <v>2730.8903749999995</v>
      </c>
      <c r="C9" s="105">
        <f>'Tabell 6'!AS21</f>
        <v>3265.7424000000001</v>
      </c>
      <c r="D9" s="264">
        <f t="shared" si="0"/>
        <v>19.600000000000001</v>
      </c>
      <c r="E9" s="264"/>
      <c r="F9" s="264">
        <f>'Tabell 6'!AR21/'Tabell 6'!AR29*100</f>
        <v>2.190799068047192</v>
      </c>
      <c r="G9" s="264">
        <f>'Tabell 6'!AS21/'Tabell 6'!AS29*100</f>
        <v>2.4467269879263451</v>
      </c>
      <c r="H9" s="265">
        <f t="shared" si="1"/>
        <v>11.7</v>
      </c>
      <c r="I9" s="103"/>
      <c r="J9" s="76"/>
    </row>
    <row r="10" spans="1:10" ht="18.75" customHeight="1" x14ac:dyDescent="0.3">
      <c r="A10" s="85" t="s">
        <v>181</v>
      </c>
      <c r="B10" s="104">
        <f>'Tabell 6'!AR18+'Tabell 6'!AR22</f>
        <v>70581.921967579983</v>
      </c>
      <c r="C10" s="104">
        <f>'Tabell 6'!AS18+'Tabell 6'!AS22</f>
        <v>75057.587584330002</v>
      </c>
      <c r="D10" s="264">
        <f t="shared" si="0"/>
        <v>6.3</v>
      </c>
      <c r="E10" s="264"/>
      <c r="F10" s="264">
        <f>('Tabell 6'!AR18+'Tabell 6'!AR22)/'Tabell 6'!AR29*100</f>
        <v>56.622854686195126</v>
      </c>
      <c r="G10" s="264">
        <f>('Tabell 6'!AS18+'Tabell 6'!AS22)/'Tabell 6'!AS29*100</f>
        <v>56.233898053693878</v>
      </c>
      <c r="H10" s="265">
        <f t="shared" si="1"/>
        <v>-0.7</v>
      </c>
      <c r="I10" s="103"/>
      <c r="J10" s="73"/>
    </row>
    <row r="11" spans="1:10" ht="18.75" customHeight="1" x14ac:dyDescent="0.3">
      <c r="A11" s="85" t="s">
        <v>182</v>
      </c>
      <c r="B11" s="104">
        <f>'Tabell 6'!AR14</f>
        <v>1004.31502075</v>
      </c>
      <c r="C11" s="104">
        <f>'Tabell 6'!AS14</f>
        <v>1004.34397575</v>
      </c>
      <c r="D11" s="264">
        <f t="shared" si="0"/>
        <v>0</v>
      </c>
      <c r="E11" s="264"/>
      <c r="F11" s="264">
        <f>'Tabell 6'!AR14/'Tabell 6'!AR29*100</f>
        <v>0.80569049260532721</v>
      </c>
      <c r="G11" s="264">
        <f>'Tabell 6'!AS14/'Tabell 6'!AS29*100</f>
        <v>0.75246458833641239</v>
      </c>
      <c r="H11" s="265">
        <f t="shared" si="1"/>
        <v>-6.6</v>
      </c>
      <c r="I11" s="103"/>
      <c r="J11" s="73"/>
    </row>
    <row r="12" spans="1:10" ht="18.75" customHeight="1" x14ac:dyDescent="0.3">
      <c r="A12" s="107" t="s">
        <v>183</v>
      </c>
      <c r="B12" s="104">
        <f>'Tabell 6'!AR15</f>
        <v>21195.611223119999</v>
      </c>
      <c r="C12" s="104">
        <f>'Tabell 6'!AS15</f>
        <v>21857.80718372</v>
      </c>
      <c r="D12" s="266">
        <f t="shared" si="0"/>
        <v>3.1</v>
      </c>
      <c r="E12" s="266"/>
      <c r="F12" s="264">
        <f>'Tabell 6'!AR15/'Tabell 6'!AR29*100</f>
        <v>17.003730995354182</v>
      </c>
      <c r="G12" s="264">
        <f>'Tabell 6'!AS15/'Tabell 6'!AS29*100</f>
        <v>16.376088552880979</v>
      </c>
      <c r="H12" s="265">
        <f t="shared" si="1"/>
        <v>-3.7</v>
      </c>
      <c r="I12" s="103"/>
      <c r="J12" s="73"/>
    </row>
    <row r="13" spans="1:10" ht="18.75" customHeight="1" x14ac:dyDescent="0.3">
      <c r="A13" s="85" t="s">
        <v>184</v>
      </c>
      <c r="B13" s="104">
        <f>'Tabell 6'!AR19+'Tabell 6'!AR23</f>
        <v>17971.893038329999</v>
      </c>
      <c r="C13" s="104">
        <f>'Tabell 6'!AS19+'Tabell 6'!AS23</f>
        <v>20913.090886800001</v>
      </c>
      <c r="D13" s="264">
        <f t="shared" si="0"/>
        <v>16.399999999999999</v>
      </c>
      <c r="E13" s="264"/>
      <c r="F13" s="264">
        <f>('Tabell 6'!AR19+'Tabell 6'!AR23)/'Tabell 6'!AR29*100</f>
        <v>14.417571236054172</v>
      </c>
      <c r="G13" s="264">
        <f>('Tabell 6'!AS19+'Tabell 6'!AS23)/'Tabell 6'!AS29*100</f>
        <v>15.668297620072563</v>
      </c>
      <c r="H13" s="265">
        <f t="shared" si="1"/>
        <v>8.6999999999999993</v>
      </c>
      <c r="I13" s="103"/>
      <c r="J13" s="73"/>
    </row>
    <row r="14" spans="1:10" ht="18.75" customHeight="1" x14ac:dyDescent="0.3">
      <c r="A14" s="85" t="s">
        <v>185</v>
      </c>
      <c r="B14" s="175">
        <f>'Tabell 6'!AR17-'Tabell 6'!AR18+'Tabell 6'!AR24+'Tabell 6'!AR25+'Tabell 6'!AR26+'Tabell 6'!AR28</f>
        <v>11138.748824390001</v>
      </c>
      <c r="C14" s="175">
        <f>'Tabell 6'!AS17-'Tabell 6'!AS18+'Tabell 6'!AS24+'Tabell 6'!AS25+'Tabell 6'!AS26+'Tabell 6'!AS28</f>
        <v>11337.69005048999</v>
      </c>
      <c r="D14" s="264">
        <f t="shared" si="0"/>
        <v>1.8</v>
      </c>
      <c r="E14" s="264"/>
      <c r="F14" s="264">
        <f>('Tabell 6'!AR17-'Tabell 6'!AR18+'Tabell 6'!AR24+'Tabell 6'!AR25+'Tabell 6'!AR26+'Tabell 6'!AR28)/'Tabell 6'!AR29*100</f>
        <v>8.9358257537838277</v>
      </c>
      <c r="G14" s="264">
        <f>('Tabell 6'!AS17-'Tabell 6'!AS18+'Tabell 6'!AS24+'Tabell 6'!AS25+'Tabell 6'!AS26+'Tabell 6'!AS28)/'Tabell 6'!AS29*100</f>
        <v>8.4943111946851229</v>
      </c>
      <c r="H14" s="265">
        <f t="shared" si="1"/>
        <v>-4.9000000000000004</v>
      </c>
      <c r="I14" s="103"/>
      <c r="J14" s="73"/>
    </row>
    <row r="15" spans="1:10" ht="18.75" customHeight="1" x14ac:dyDescent="0.3">
      <c r="A15" s="191"/>
      <c r="B15" s="102"/>
      <c r="C15" s="175"/>
      <c r="D15" s="265"/>
      <c r="E15" s="265"/>
      <c r="F15" s="265"/>
      <c r="G15" s="264"/>
      <c r="H15" s="265"/>
      <c r="I15" s="103"/>
      <c r="J15" s="73"/>
    </row>
    <row r="16" spans="1:10" s="134" customFormat="1" ht="18.75" customHeight="1" x14ac:dyDescent="0.3">
      <c r="A16" s="100" t="s">
        <v>186</v>
      </c>
      <c r="B16" s="108">
        <f>SUM(B17:B22)</f>
        <v>1007646.5557076001</v>
      </c>
      <c r="C16" s="108">
        <f>SUM(C17:C22)</f>
        <v>1058614.63020019</v>
      </c>
      <c r="D16" s="262">
        <f t="shared" si="0"/>
        <v>5.0999999999999996</v>
      </c>
      <c r="E16" s="262"/>
      <c r="F16" s="262">
        <f>SUM(F17:F22)</f>
        <v>100.00000307647565</v>
      </c>
      <c r="G16" s="262">
        <f>SUM(G17:G22)</f>
        <v>100.00000000000001</v>
      </c>
      <c r="H16" s="263">
        <f t="shared" si="1"/>
        <v>0</v>
      </c>
      <c r="I16" s="109"/>
      <c r="J16" s="74"/>
    </row>
    <row r="17" spans="1:10" ht="18.75" customHeight="1" x14ac:dyDescent="0.3">
      <c r="A17" s="85" t="s">
        <v>180</v>
      </c>
      <c r="B17" s="102">
        <f>'Tabell 6'!AR40</f>
        <v>147608.99884590998</v>
      </c>
      <c r="C17" s="102">
        <f>'Tabell 6'!AS40</f>
        <v>179371.96141687001</v>
      </c>
      <c r="D17" s="264">
        <f t="shared" si="0"/>
        <v>21.5</v>
      </c>
      <c r="E17" s="264"/>
      <c r="F17" s="264">
        <f>'Tabell 6'!AR40/('Tabell 6'!AR45+'Tabell 6'!AR46)*100</f>
        <v>14.648886809662082</v>
      </c>
      <c r="G17" s="264">
        <f>'Tabell 6'!AS40/('Tabell 6'!AS45+'Tabell 6'!AS46)*100</f>
        <v>16.944028194939055</v>
      </c>
      <c r="H17" s="265">
        <f t="shared" si="1"/>
        <v>15.7</v>
      </c>
      <c r="I17" s="103"/>
      <c r="J17" s="73"/>
    </row>
    <row r="18" spans="1:10" ht="18.75" customHeight="1" x14ac:dyDescent="0.3">
      <c r="A18" s="85" t="s">
        <v>181</v>
      </c>
      <c r="B18" s="102">
        <f>'Tabell 6'!AR37+'Tabell 6'!AR41</f>
        <v>383020.49441349</v>
      </c>
      <c r="C18" s="102">
        <f>'Tabell 6'!AS37+'Tabell 6'!AS41</f>
        <v>364063.08385856001</v>
      </c>
      <c r="D18" s="264">
        <f t="shared" si="0"/>
        <v>-4.9000000000000004</v>
      </c>
      <c r="E18" s="264"/>
      <c r="F18" s="264">
        <f>('Tabell 6'!AR37+'Tabell 6'!AR41)/('Tabell 6'!AR45+'Tabell 6'!AR46)*100</f>
        <v>38.011394375089552</v>
      </c>
      <c r="G18" s="264">
        <f>('Tabell 6'!AS37+'Tabell 6'!AS41)/('Tabell 6'!AS45+'Tabell 6'!AS46)*100</f>
        <v>34.39052073082663</v>
      </c>
      <c r="H18" s="265">
        <f t="shared" si="1"/>
        <v>-9.5</v>
      </c>
      <c r="I18" s="103"/>
      <c r="J18" s="73"/>
    </row>
    <row r="19" spans="1:10" ht="18.75" customHeight="1" x14ac:dyDescent="0.3">
      <c r="A19" s="85" t="s">
        <v>182</v>
      </c>
      <c r="B19" s="102">
        <f>'Tabell 6'!AR33</f>
        <v>46.481001970000001</v>
      </c>
      <c r="C19" s="102">
        <f>'Tabell 6'!AS33</f>
        <v>34.563001970000002</v>
      </c>
      <c r="D19" s="264">
        <f t="shared" si="0"/>
        <v>-25.6</v>
      </c>
      <c r="E19" s="264"/>
      <c r="F19" s="264">
        <f>'Tabell 6'!AR33/('Tabell 6'!AR45+'Tabell 6'!AR46)*100</f>
        <v>4.6128280930148504E-3</v>
      </c>
      <c r="G19" s="264">
        <f>'Tabell 6'!AS33/('Tabell 6'!AS45+'Tabell 6'!AS46)*100</f>
        <v>3.2649276690483622E-3</v>
      </c>
      <c r="H19" s="265">
        <f t="shared" si="1"/>
        <v>-29.2</v>
      </c>
      <c r="I19" s="103"/>
      <c r="J19" s="73"/>
    </row>
    <row r="20" spans="1:10" ht="18.75" customHeight="1" x14ac:dyDescent="0.3">
      <c r="A20" s="107" t="s">
        <v>183</v>
      </c>
      <c r="B20" s="104">
        <f>'Tabell 6'!AR34</f>
        <v>118233.77653526999</v>
      </c>
      <c r="C20" s="104">
        <f>'Tabell 6'!AS34</f>
        <v>123332.04750257001</v>
      </c>
      <c r="D20" s="266">
        <f t="shared" si="0"/>
        <v>4.3</v>
      </c>
      <c r="E20" s="266"/>
      <c r="F20" s="264">
        <f>'Tabell 6'!AR34/('Tabell 6'!AR45+'Tabell 6'!AR46)*100</f>
        <v>11.733655963293199</v>
      </c>
      <c r="G20" s="264">
        <f>'Tabell 6'!AS34/('Tabell 6'!AS45+'Tabell 6'!AS46)*100</f>
        <v>11.650325244347627</v>
      </c>
      <c r="H20" s="265">
        <f t="shared" si="1"/>
        <v>-0.7</v>
      </c>
      <c r="I20" s="103"/>
      <c r="J20" s="73"/>
    </row>
    <row r="21" spans="1:10" ht="18.75" customHeight="1" x14ac:dyDescent="0.3">
      <c r="A21" s="85" t="s">
        <v>184</v>
      </c>
      <c r="B21" s="102">
        <f>'Tabell 6'!AR38+'Tabell 6'!AR42</f>
        <v>347330.56748504</v>
      </c>
      <c r="C21" s="102">
        <f>'Tabell 6'!AS38+'Tabell 6'!AS42</f>
        <v>382211.17671282002</v>
      </c>
      <c r="D21" s="264">
        <f t="shared" si="0"/>
        <v>10</v>
      </c>
      <c r="E21" s="264"/>
      <c r="F21" s="264">
        <f>('Tabell 6'!AR38+'Tabell 6'!AR42)/('Tabell 6'!AR45+'Tabell 6'!AR46)*100</f>
        <v>34.469484979946593</v>
      </c>
      <c r="G21" s="264">
        <f>('Tabell 6'!AS38+'Tabell 6'!AS42)/('Tabell 6'!AS45+'Tabell 6'!AS46)*100</f>
        <v>36.104845503650537</v>
      </c>
      <c r="H21" s="265">
        <f t="shared" si="1"/>
        <v>4.7</v>
      </c>
      <c r="I21" s="103"/>
      <c r="J21" s="73"/>
    </row>
    <row r="22" spans="1:10" ht="18.75" customHeight="1" x14ac:dyDescent="0.3">
      <c r="A22" s="191" t="s">
        <v>185</v>
      </c>
      <c r="B22" s="102">
        <f>'Tabell 6'!AR36-'Tabell 6'!AR37+'Tabell 6'!AR43+'Tabell 6'!AR44+'Tabell 6'!AR46</f>
        <v>11406.237425919995</v>
      </c>
      <c r="C22" s="102">
        <f>'Tabell 6'!AS36-'Tabell 6'!AS37+'Tabell 6'!AS43+'Tabell 6'!AS44+'Tabell 6'!AS46</f>
        <v>9601.7977074000119</v>
      </c>
      <c r="D22" s="264">
        <f t="shared" si="0"/>
        <v>-15.8</v>
      </c>
      <c r="E22" s="264"/>
      <c r="F22" s="265">
        <f>('Tabell 6'!AR36-'Tabell 6'!AR37+'Tabell 6'!AR43+'Tabell 6'!AR44+'Tabell 6'!AR46)/('Tabell 6'!AR45+'Tabell 6'!AR46)*100</f>
        <v>1.1319681203912124</v>
      </c>
      <c r="G22" s="265">
        <f>('Tabell 6'!AS36-'Tabell 6'!AS37+'Tabell 6'!AS43+'Tabell 6'!AS44+'Tabell 6'!AS46)/('Tabell 6'!AS45+'Tabell 6'!AS46)*100</f>
        <v>0.907015398567112</v>
      </c>
      <c r="H22" s="265">
        <f t="shared" si="1"/>
        <v>-19.899999999999999</v>
      </c>
      <c r="I22" s="103"/>
      <c r="J22" s="73"/>
    </row>
    <row r="23" spans="1:10" ht="18.75" customHeight="1" x14ac:dyDescent="0.3">
      <c r="A23" s="85"/>
      <c r="B23" s="175"/>
      <c r="C23" s="175"/>
      <c r="D23" s="265"/>
      <c r="E23" s="264"/>
      <c r="F23" s="264"/>
      <c r="G23" s="265"/>
      <c r="H23" s="265"/>
      <c r="I23" s="181"/>
      <c r="J23" s="73"/>
    </row>
    <row r="24" spans="1:10" ht="18.75" customHeight="1" x14ac:dyDescent="0.3">
      <c r="A24" s="136" t="s">
        <v>187</v>
      </c>
      <c r="B24" s="108">
        <f>SUM(B25:B30)</f>
        <v>231714.92369513999</v>
      </c>
      <c r="C24" s="108">
        <f>SUM(C25:C30)</f>
        <v>289604.28365591</v>
      </c>
      <c r="D24" s="262">
        <f t="shared" si="0"/>
        <v>25</v>
      </c>
      <c r="E24" s="262"/>
      <c r="F24" s="263">
        <f>SUM(F25:F30)</f>
        <v>100</v>
      </c>
      <c r="G24" s="263">
        <f>SUM(G25:G30)</f>
        <v>100</v>
      </c>
      <c r="H24" s="265">
        <f t="shared" si="1"/>
        <v>0</v>
      </c>
      <c r="I24" s="181"/>
      <c r="J24" s="73"/>
    </row>
    <row r="25" spans="1:10" ht="18.75" customHeight="1" x14ac:dyDescent="0.3">
      <c r="A25" s="191" t="s">
        <v>180</v>
      </c>
      <c r="B25" s="102">
        <f>'Tabell 6'!AR55</f>
        <v>158147.50468894001</v>
      </c>
      <c r="C25" s="102">
        <f>'Tabell 6'!AS55</f>
        <v>198731.35900170999</v>
      </c>
      <c r="D25" s="264">
        <f t="shared" si="0"/>
        <v>25.7</v>
      </c>
      <c r="E25" s="264"/>
      <c r="F25" s="264">
        <f>'Tabell 6'!AR55/('Tabell 6'!AR60+'Tabell 6'!AR61)*100</f>
        <v>68.25089302276001</v>
      </c>
      <c r="G25" s="264">
        <f>'Tabell 6'!AS55/('Tabell 6'!AS60+'Tabell 6'!AS61)*100</f>
        <v>68.621691810964506</v>
      </c>
      <c r="H25" s="265">
        <f t="shared" si="1"/>
        <v>0.5</v>
      </c>
      <c r="I25" s="181"/>
      <c r="J25" s="73"/>
    </row>
    <row r="26" spans="1:10" ht="18.75" customHeight="1" x14ac:dyDescent="0.3">
      <c r="A26" s="191" t="s">
        <v>181</v>
      </c>
      <c r="B26" s="102">
        <f>'Tabell 6'!AR52+'Tabell 6'!AR56</f>
        <v>66479.245096309998</v>
      </c>
      <c r="C26" s="102">
        <f>'Tabell 6'!AS52+'Tabell 6'!AS56</f>
        <v>81552.535548610002</v>
      </c>
      <c r="D26" s="264">
        <f t="shared" si="0"/>
        <v>22.7</v>
      </c>
      <c r="E26" s="264"/>
      <c r="F26" s="264">
        <f>('Tabell 6'!AR52+'Tabell 6'!AR56)/('Tabell 6'!AR60+'Tabell 6'!AR61)*100</f>
        <v>28.690100765272518</v>
      </c>
      <c r="G26" s="264">
        <f>('Tabell 6'!AS52+'Tabell 6'!AS56)/('Tabell 6'!AS60+'Tabell 6'!AS61)*100</f>
        <v>28.159989389350919</v>
      </c>
      <c r="H26" s="265">
        <f t="shared" si="1"/>
        <v>-1.8</v>
      </c>
      <c r="I26" s="181"/>
      <c r="J26" s="73"/>
    </row>
    <row r="27" spans="1:10" ht="18.75" customHeight="1" x14ac:dyDescent="0.3">
      <c r="A27" s="191" t="s">
        <v>182</v>
      </c>
      <c r="B27" s="102"/>
      <c r="C27" s="102"/>
      <c r="D27" s="264"/>
      <c r="E27" s="264"/>
      <c r="F27" s="264"/>
      <c r="G27" s="264"/>
      <c r="H27" s="265"/>
      <c r="I27" s="181"/>
      <c r="J27" s="73"/>
    </row>
    <row r="28" spans="1:10" ht="18.75" customHeight="1" x14ac:dyDescent="0.3">
      <c r="A28" s="107" t="s">
        <v>183</v>
      </c>
      <c r="B28" s="104">
        <f>'Tabell 6'!AR49</f>
        <v>3246.4402338800001</v>
      </c>
      <c r="C28" s="104">
        <f>'Tabell 6'!AS49</f>
        <v>4174.6167578799996</v>
      </c>
      <c r="D28" s="266">
        <f t="shared" si="0"/>
        <v>28.6</v>
      </c>
      <c r="E28" s="266"/>
      <c r="F28" s="264">
        <f>'Tabell 6'!AR49/('Tabell 6'!AR60+'Tabell 6'!AR61)*100</f>
        <v>1.4010492643759271</v>
      </c>
      <c r="G28" s="264">
        <f>'Tabell 6'!AS49/('Tabell 6'!AS60+'Tabell 6'!AS61)*100</f>
        <v>1.4414899894367661</v>
      </c>
      <c r="H28" s="265">
        <f t="shared" si="1"/>
        <v>2.9</v>
      </c>
      <c r="I28" s="181"/>
      <c r="J28" s="73"/>
    </row>
    <row r="29" spans="1:10" ht="18.75" customHeight="1" x14ac:dyDescent="0.3">
      <c r="A29" s="191" t="s">
        <v>184</v>
      </c>
      <c r="B29" s="102">
        <f>'Tabell 6'!AR53+'Tabell 6'!AR57</f>
        <v>2577.2237852900003</v>
      </c>
      <c r="C29" s="102">
        <f>'Tabell 6'!AS53+'Tabell 6'!AS57</f>
        <v>2638.18313833</v>
      </c>
      <c r="D29" s="264">
        <f t="shared" si="0"/>
        <v>2.4</v>
      </c>
      <c r="E29" s="264"/>
      <c r="F29" s="264">
        <f>('Tabell 6'!AR53+'Tabell 6'!AR57)/('Tabell 6'!AR60+'Tabell 6'!AR61)*100</f>
        <v>1.1122390151619115</v>
      </c>
      <c r="G29" s="264">
        <f>('Tabell 6'!AS53+'Tabell 6'!AS57)/('Tabell 6'!AS60+'Tabell 6'!AS61)*100</f>
        <v>0.91096136598052768</v>
      </c>
      <c r="H29" s="265">
        <f t="shared" si="1"/>
        <v>-18.100000000000001</v>
      </c>
      <c r="I29" s="181"/>
      <c r="J29" s="73"/>
    </row>
    <row r="30" spans="1:10" ht="18.75" customHeight="1" x14ac:dyDescent="0.3">
      <c r="A30" s="85" t="s">
        <v>185</v>
      </c>
      <c r="B30" s="102">
        <f>'Tabell 6'!AR51-'Tabell 6'!AR52+'Tabell 6'!AR58+'Tabell 6'!AR59+'Tabell 6'!AR61</f>
        <v>1264.5098907200002</v>
      </c>
      <c r="C30" s="102">
        <f>'Tabell 6'!AS51-'Tabell 6'!AS52+'Tabell 6'!AS58+'Tabell 6'!AS59+'Tabell 6'!AS61</f>
        <v>2507.5892093799998</v>
      </c>
      <c r="D30" s="265">
        <f t="shared" si="0"/>
        <v>98.3</v>
      </c>
      <c r="E30" s="265"/>
      <c r="F30" s="265">
        <f>('Tabell 6'!AR51-'Tabell 6'!AR52+'Tabell 6'!AR58+'Tabell 6'!AR59+'Tabell 6'!AR61)/('Tabell 6'!AR60+'Tabell 6'!AR61)*100</f>
        <v>0.54571793242962452</v>
      </c>
      <c r="G30" s="265">
        <f>('Tabell 6'!AS51-'Tabell 6'!AS52+'Tabell 6'!AS58+'Tabell 6'!AS59+'Tabell 6'!AS61)/('Tabell 6'!AS60+'Tabell 6'!AS61)*100</f>
        <v>0.86586744426728268</v>
      </c>
      <c r="H30" s="265">
        <f t="shared" si="1"/>
        <v>58.7</v>
      </c>
      <c r="I30" s="181"/>
      <c r="J30" s="73"/>
    </row>
    <row r="31" spans="1:10" ht="18.75" customHeight="1" x14ac:dyDescent="0.3">
      <c r="A31" s="191"/>
      <c r="B31" s="175"/>
      <c r="C31" s="175"/>
      <c r="D31" s="264"/>
      <c r="E31" s="264"/>
      <c r="F31" s="264"/>
      <c r="G31" s="265"/>
      <c r="H31" s="265"/>
      <c r="I31" s="181"/>
      <c r="J31" s="73"/>
    </row>
    <row r="32" spans="1:10" ht="18.75" customHeight="1" x14ac:dyDescent="0.3">
      <c r="A32" s="136" t="s">
        <v>2</v>
      </c>
      <c r="B32" s="108">
        <f>SUM(B33:B38)</f>
        <v>1363984.85985191</v>
      </c>
      <c r="C32" s="108">
        <f>SUM(C33:C38)</f>
        <v>1481655.1759371902</v>
      </c>
      <c r="D32" s="262">
        <f t="shared" si="0"/>
        <v>8.6</v>
      </c>
      <c r="E32" s="262"/>
      <c r="F32" s="262">
        <f>SUM(F33:F38)</f>
        <v>99.999999999999986</v>
      </c>
      <c r="G32" s="262">
        <f>SUM(G33:G38)</f>
        <v>99.999999999999972</v>
      </c>
      <c r="H32" s="263">
        <f t="shared" si="1"/>
        <v>0</v>
      </c>
      <c r="I32" s="181"/>
      <c r="J32" s="73"/>
    </row>
    <row r="33" spans="1:10" ht="18.75" customHeight="1" x14ac:dyDescent="0.3">
      <c r="A33" s="191" t="s">
        <v>180</v>
      </c>
      <c r="B33" s="102">
        <f t="shared" ref="B33:C38" si="2">B9+B17+B25</f>
        <v>308487.39390984998</v>
      </c>
      <c r="C33" s="102">
        <f t="shared" si="2"/>
        <v>381369.06281857996</v>
      </c>
      <c r="D33" s="264">
        <f t="shared" si="0"/>
        <v>23.6</v>
      </c>
      <c r="E33" s="264"/>
      <c r="F33" s="264">
        <f>B33/B32*100</f>
        <v>22.616628893032065</v>
      </c>
      <c r="G33" s="264">
        <f>C33/C32*100</f>
        <v>25.739393956988195</v>
      </c>
      <c r="H33" s="265">
        <f t="shared" si="1"/>
        <v>13.8</v>
      </c>
      <c r="I33" s="181"/>
      <c r="J33" s="73"/>
    </row>
    <row r="34" spans="1:10" ht="18.75" customHeight="1" x14ac:dyDescent="0.3">
      <c r="A34" s="191" t="s">
        <v>181</v>
      </c>
      <c r="B34" s="102">
        <f t="shared" si="2"/>
        <v>520081.66147737997</v>
      </c>
      <c r="C34" s="102">
        <f t="shared" si="2"/>
        <v>520673.20699149999</v>
      </c>
      <c r="D34" s="264">
        <f t="shared" si="0"/>
        <v>0.1</v>
      </c>
      <c r="E34" s="264"/>
      <c r="F34" s="264">
        <f>B34/B32*100</f>
        <v>38.129577298522655</v>
      </c>
      <c r="G34" s="264">
        <f>C34/C32*100</f>
        <v>35.141321371361521</v>
      </c>
      <c r="H34" s="265">
        <f t="shared" si="1"/>
        <v>-7.8</v>
      </c>
      <c r="I34" s="181"/>
      <c r="J34" s="73"/>
    </row>
    <row r="35" spans="1:10" ht="18.75" customHeight="1" x14ac:dyDescent="0.3">
      <c r="A35" s="191" t="s">
        <v>182</v>
      </c>
      <c r="B35" s="102">
        <f t="shared" si="2"/>
        <v>1050.7960227200001</v>
      </c>
      <c r="C35" s="102">
        <f t="shared" si="2"/>
        <v>1038.90697772</v>
      </c>
      <c r="D35" s="264">
        <f t="shared" si="0"/>
        <v>-1.1000000000000001</v>
      </c>
      <c r="E35" s="264"/>
      <c r="F35" s="264">
        <f>B35/B32*100</f>
        <v>7.7038686692907032E-2</v>
      </c>
      <c r="G35" s="264">
        <f>C35/C32*100</f>
        <v>7.0118000098292846E-2</v>
      </c>
      <c r="H35" s="265">
        <f t="shared" si="1"/>
        <v>-9</v>
      </c>
      <c r="I35" s="181"/>
      <c r="J35" s="73"/>
    </row>
    <row r="36" spans="1:10" ht="18.75" customHeight="1" x14ac:dyDescent="0.3">
      <c r="A36" s="107" t="s">
        <v>183</v>
      </c>
      <c r="B36" s="104">
        <f t="shared" si="2"/>
        <v>142675.82799227</v>
      </c>
      <c r="C36" s="104">
        <f t="shared" si="2"/>
        <v>149364.47144417002</v>
      </c>
      <c r="D36" s="266">
        <f t="shared" si="0"/>
        <v>4.7</v>
      </c>
      <c r="E36" s="266"/>
      <c r="F36" s="264">
        <f>B36/B32*100</f>
        <v>10.46022079803441</v>
      </c>
      <c r="G36" s="264">
        <f>C36/C32*100</f>
        <v>10.080919897552588</v>
      </c>
      <c r="H36" s="265">
        <f t="shared" si="1"/>
        <v>-3.6</v>
      </c>
      <c r="I36" s="181"/>
      <c r="J36" s="73"/>
    </row>
    <row r="37" spans="1:10" ht="18.75" customHeight="1" x14ac:dyDescent="0.3">
      <c r="A37" s="191" t="s">
        <v>184</v>
      </c>
      <c r="B37" s="102">
        <f t="shared" si="2"/>
        <v>367879.68430866004</v>
      </c>
      <c r="C37" s="102">
        <f t="shared" si="2"/>
        <v>405762.45073795004</v>
      </c>
      <c r="D37" s="264">
        <f t="shared" si="0"/>
        <v>10.3</v>
      </c>
      <c r="E37" s="264"/>
      <c r="F37" s="264">
        <f>B37/B32*100</f>
        <v>26.970950714848939</v>
      </c>
      <c r="G37" s="264">
        <f>C37/C32*100</f>
        <v>27.385754616035641</v>
      </c>
      <c r="H37" s="265">
        <f t="shared" si="1"/>
        <v>1.5</v>
      </c>
      <c r="I37" s="181"/>
      <c r="J37" s="73"/>
    </row>
    <row r="38" spans="1:10" ht="18.75" customHeight="1" x14ac:dyDescent="0.3">
      <c r="A38" s="267" t="s">
        <v>185</v>
      </c>
      <c r="B38" s="268">
        <f t="shared" si="2"/>
        <v>23809.496141029995</v>
      </c>
      <c r="C38" s="268">
        <f t="shared" si="2"/>
        <v>23447.076967270001</v>
      </c>
      <c r="D38" s="269">
        <f t="shared" si="0"/>
        <v>-1.5</v>
      </c>
      <c r="E38" s="264"/>
      <c r="F38" s="269">
        <f>B38/B32*100</f>
        <v>1.7455836088690186</v>
      </c>
      <c r="G38" s="269">
        <f>C38/C32*100</f>
        <v>1.5824921579637476</v>
      </c>
      <c r="H38" s="270">
        <f t="shared" si="1"/>
        <v>-9.3000000000000007</v>
      </c>
      <c r="I38" s="181"/>
      <c r="J38" s="73"/>
    </row>
    <row r="39" spans="1:10" ht="18.75" customHeight="1" x14ac:dyDescent="0.3">
      <c r="A39" s="111"/>
      <c r="B39" s="111"/>
      <c r="C39" s="111"/>
      <c r="D39" s="111"/>
      <c r="E39" s="111"/>
      <c r="F39" s="181"/>
      <c r="G39" s="181"/>
      <c r="H39" s="181"/>
      <c r="I39" s="181"/>
      <c r="J39" s="73"/>
    </row>
    <row r="40" spans="1:10" ht="18.75" customHeight="1" x14ac:dyDescent="0.3">
      <c r="A40" s="111" t="s">
        <v>188</v>
      </c>
      <c r="B40" s="111"/>
      <c r="C40" s="111"/>
      <c r="D40" s="111"/>
      <c r="E40" s="111"/>
      <c r="F40" s="181"/>
      <c r="G40" s="181"/>
      <c r="H40" s="181"/>
      <c r="I40" s="181"/>
      <c r="J40" s="73"/>
    </row>
    <row r="41" spans="1:10" ht="18.75" x14ac:dyDescent="0.3">
      <c r="A41" s="111" t="s">
        <v>115</v>
      </c>
      <c r="B41" s="111"/>
      <c r="C41" s="111"/>
      <c r="D41" s="111"/>
      <c r="E41" s="111"/>
      <c r="F41" s="73"/>
      <c r="G41" s="73"/>
      <c r="H41" s="73"/>
      <c r="I41" s="73"/>
      <c r="J41" s="73"/>
    </row>
    <row r="42" spans="1:10" ht="18.75" x14ac:dyDescent="0.3">
      <c r="A42" s="73"/>
      <c r="B42" s="73"/>
      <c r="C42" s="73"/>
      <c r="D42" s="73"/>
      <c r="E42" s="73"/>
      <c r="G42" s="73"/>
      <c r="H42" s="73"/>
      <c r="I42" s="73"/>
      <c r="J42" s="73"/>
    </row>
    <row r="43" spans="1:10" ht="18.75" x14ac:dyDescent="0.3">
      <c r="A43" s="73"/>
      <c r="B43" s="73"/>
      <c r="C43" s="73"/>
      <c r="D43" s="73"/>
      <c r="E43" s="73"/>
      <c r="F43" s="73"/>
      <c r="G43" s="73"/>
      <c r="H43" s="73"/>
      <c r="I43" s="73"/>
      <c r="J43" s="73"/>
    </row>
    <row r="44" spans="1:10" ht="18.75" x14ac:dyDescent="0.3">
      <c r="A44" s="73"/>
      <c r="B44" s="73"/>
      <c r="C44" s="73"/>
      <c r="D44" s="73"/>
      <c r="E44" s="73"/>
      <c r="F44" s="73"/>
      <c r="G44" s="73"/>
      <c r="H44" s="73"/>
      <c r="I44" s="73"/>
      <c r="J44" s="73"/>
    </row>
    <row r="45" spans="1:10" ht="18.75" x14ac:dyDescent="0.3">
      <c r="A45" s="73"/>
      <c r="B45" s="73"/>
      <c r="C45" s="73"/>
      <c r="D45" s="73"/>
      <c r="E45" s="73"/>
      <c r="F45" s="73"/>
      <c r="G45" s="73"/>
      <c r="H45" s="73"/>
      <c r="I45" s="73"/>
      <c r="J45" s="73"/>
    </row>
    <row r="46" spans="1:10" ht="18.75" x14ac:dyDescent="0.3">
      <c r="A46" s="73"/>
      <c r="B46" s="73"/>
      <c r="C46" s="73"/>
      <c r="D46" s="73"/>
      <c r="E46" s="73"/>
      <c r="F46" s="73"/>
      <c r="G46" s="73"/>
      <c r="H46" s="73"/>
      <c r="I46" s="73"/>
      <c r="J46" s="73"/>
    </row>
    <row r="47" spans="1:10" ht="18.75" x14ac:dyDescent="0.3">
      <c r="A47" s="73"/>
      <c r="B47" s="73"/>
      <c r="C47" s="73"/>
      <c r="D47" s="73"/>
      <c r="E47" s="73"/>
      <c r="F47" s="73"/>
      <c r="G47" s="73"/>
      <c r="H47" s="73"/>
      <c r="I47" s="73"/>
      <c r="J47" s="73"/>
    </row>
    <row r="48" spans="1:10" ht="18.75" x14ac:dyDescent="0.3">
      <c r="A48" s="73"/>
      <c r="B48" s="73"/>
      <c r="C48" s="73"/>
      <c r="D48" s="73"/>
      <c r="E48" s="73"/>
      <c r="F48" s="73"/>
      <c r="G48" s="73"/>
      <c r="H48" s="73"/>
      <c r="I48" s="73"/>
      <c r="J48" s="73"/>
    </row>
    <row r="49" spans="1:10" ht="18.75" x14ac:dyDescent="0.3">
      <c r="A49" s="73"/>
      <c r="B49" s="73"/>
      <c r="C49" s="73"/>
      <c r="D49" s="73"/>
      <c r="E49" s="73"/>
      <c r="F49" s="73"/>
      <c r="G49" s="73"/>
      <c r="H49" s="73"/>
      <c r="I49" s="73"/>
      <c r="J49" s="73"/>
    </row>
    <row r="50" spans="1:10" ht="18.75" x14ac:dyDescent="0.3">
      <c r="A50" s="73"/>
      <c r="B50" s="73"/>
      <c r="C50" s="73"/>
      <c r="D50" s="73"/>
      <c r="E50" s="73"/>
      <c r="F50" s="73"/>
      <c r="G50" s="73"/>
      <c r="H50" s="73"/>
      <c r="I50" s="73"/>
      <c r="J50" s="73"/>
    </row>
    <row r="51" spans="1:10" ht="18.75" x14ac:dyDescent="0.3">
      <c r="A51" s="73"/>
      <c r="B51" s="73"/>
      <c r="C51" s="73"/>
      <c r="D51" s="73"/>
      <c r="E51" s="73"/>
      <c r="F51" s="73"/>
      <c r="G51" s="73"/>
      <c r="H51" s="73"/>
      <c r="I51" s="73"/>
      <c r="J51" s="73"/>
    </row>
    <row r="52" spans="1:10" ht="18.75" x14ac:dyDescent="0.3">
      <c r="A52" s="73"/>
      <c r="B52" s="73"/>
      <c r="C52" s="73"/>
      <c r="D52" s="73"/>
      <c r="E52" s="73"/>
      <c r="F52" s="73"/>
      <c r="G52" s="73"/>
      <c r="H52" s="73"/>
      <c r="I52" s="73"/>
      <c r="J52" s="73"/>
    </row>
    <row r="53" spans="1:10" ht="18.75" x14ac:dyDescent="0.3">
      <c r="A53" s="73"/>
      <c r="B53" s="73"/>
      <c r="C53" s="73"/>
      <c r="D53" s="73"/>
      <c r="E53" s="73"/>
      <c r="F53" s="73"/>
      <c r="G53" s="73"/>
      <c r="H53" s="73"/>
      <c r="I53" s="73"/>
      <c r="J53" s="73"/>
    </row>
    <row r="54" spans="1:10" ht="18.75" x14ac:dyDescent="0.3">
      <c r="A54" s="73"/>
      <c r="B54" s="73"/>
      <c r="C54" s="73"/>
      <c r="D54" s="73"/>
      <c r="E54" s="73"/>
      <c r="F54" s="73"/>
      <c r="G54" s="73"/>
      <c r="H54" s="73"/>
      <c r="I54" s="73"/>
      <c r="J54" s="73"/>
    </row>
    <row r="55" spans="1:10" ht="18.75" x14ac:dyDescent="0.3">
      <c r="A55" s="73"/>
      <c r="B55" s="73"/>
      <c r="C55" s="73"/>
      <c r="D55" s="73"/>
      <c r="E55" s="73"/>
      <c r="F55" s="73"/>
      <c r="G55" s="73"/>
      <c r="H55" s="73"/>
      <c r="I55" s="73"/>
      <c r="J55" s="73"/>
    </row>
    <row r="56" spans="1:10" ht="18.75" x14ac:dyDescent="0.3">
      <c r="A56" s="73"/>
      <c r="B56" s="73"/>
      <c r="C56" s="73"/>
      <c r="D56" s="73"/>
      <c r="E56" s="73"/>
      <c r="F56" s="73"/>
      <c r="G56" s="73"/>
      <c r="H56" s="73"/>
      <c r="I56" s="73"/>
      <c r="J56" s="73"/>
    </row>
    <row r="57" spans="1:10" ht="18.75" x14ac:dyDescent="0.3">
      <c r="A57" s="73"/>
      <c r="B57" s="73"/>
      <c r="C57" s="73"/>
      <c r="D57" s="73"/>
      <c r="E57" s="73"/>
      <c r="F57" s="73"/>
      <c r="G57" s="73"/>
      <c r="H57" s="73"/>
      <c r="I57" s="73"/>
      <c r="J57" s="73"/>
    </row>
    <row r="58" spans="1:10" ht="18.75" x14ac:dyDescent="0.3">
      <c r="A58" s="73"/>
      <c r="B58" s="73"/>
      <c r="C58" s="73"/>
      <c r="D58" s="73"/>
      <c r="E58" s="73"/>
      <c r="F58" s="73"/>
      <c r="G58" s="73"/>
      <c r="H58" s="73"/>
      <c r="I58" s="73"/>
      <c r="J58" s="73"/>
    </row>
    <row r="59" spans="1:10" ht="18.75" x14ac:dyDescent="0.3">
      <c r="A59" s="73"/>
      <c r="B59" s="73"/>
      <c r="C59" s="73"/>
      <c r="D59" s="73"/>
      <c r="E59" s="73"/>
      <c r="F59" s="73"/>
      <c r="G59" s="73"/>
      <c r="H59" s="73"/>
      <c r="I59" s="73"/>
      <c r="J59" s="73"/>
    </row>
    <row r="60" spans="1:10" ht="18.75" x14ac:dyDescent="0.3">
      <c r="A60" s="73"/>
      <c r="B60" s="73"/>
      <c r="C60" s="73"/>
      <c r="D60" s="73"/>
      <c r="E60" s="73"/>
      <c r="F60" s="73"/>
      <c r="G60" s="73"/>
      <c r="H60" s="73"/>
      <c r="I60" s="73"/>
      <c r="J60" s="73"/>
    </row>
    <row r="61" spans="1:10" ht="18.75" x14ac:dyDescent="0.3">
      <c r="A61" s="73"/>
      <c r="B61" s="73"/>
      <c r="C61" s="73"/>
      <c r="D61" s="73"/>
      <c r="E61" s="73"/>
      <c r="F61" s="73"/>
      <c r="G61" s="73"/>
      <c r="H61" s="73"/>
      <c r="I61" s="73"/>
      <c r="J61" s="73"/>
    </row>
    <row r="62" spans="1:10" ht="18.75" x14ac:dyDescent="0.3">
      <c r="A62" s="73"/>
      <c r="B62" s="73"/>
      <c r="C62" s="73"/>
      <c r="D62" s="73"/>
      <c r="E62" s="73"/>
      <c r="F62" s="73"/>
      <c r="G62" s="73"/>
      <c r="H62" s="73"/>
      <c r="I62" s="73"/>
      <c r="J62" s="73"/>
    </row>
    <row r="63" spans="1:10" ht="18.75" x14ac:dyDescent="0.3">
      <c r="A63" s="73"/>
      <c r="B63" s="73"/>
      <c r="C63" s="73"/>
      <c r="D63" s="73"/>
      <c r="E63" s="73"/>
      <c r="F63" s="73"/>
      <c r="G63" s="73"/>
      <c r="H63" s="73"/>
      <c r="I63" s="73"/>
      <c r="J63" s="73"/>
    </row>
    <row r="64" spans="1:10" ht="18.75" x14ac:dyDescent="0.3">
      <c r="A64" s="73"/>
      <c r="B64" s="73"/>
      <c r="C64" s="73"/>
      <c r="D64" s="73"/>
      <c r="E64" s="73"/>
      <c r="F64" s="73"/>
      <c r="G64" s="73"/>
      <c r="H64" s="73"/>
      <c r="I64" s="73"/>
      <c r="J64" s="73"/>
    </row>
    <row r="65" spans="1:10" ht="18.75" x14ac:dyDescent="0.3">
      <c r="A65" s="73"/>
      <c r="B65" s="73"/>
      <c r="C65" s="73"/>
      <c r="D65" s="73"/>
      <c r="E65" s="73"/>
      <c r="F65" s="73"/>
      <c r="G65" s="73"/>
      <c r="H65" s="73"/>
      <c r="I65" s="73"/>
      <c r="J65" s="73"/>
    </row>
    <row r="66" spans="1:10" ht="18.75" x14ac:dyDescent="0.3">
      <c r="A66" s="73"/>
      <c r="B66" s="73"/>
      <c r="C66" s="73"/>
      <c r="D66" s="73"/>
      <c r="E66" s="73"/>
      <c r="F66" s="73"/>
      <c r="G66" s="73"/>
      <c r="H66" s="73"/>
      <c r="I66" s="73"/>
      <c r="J66" s="73"/>
    </row>
    <row r="67" spans="1:10" ht="18.75" x14ac:dyDescent="0.3">
      <c r="A67" s="73"/>
      <c r="B67" s="73"/>
      <c r="C67" s="73"/>
      <c r="D67" s="73"/>
      <c r="E67" s="73"/>
      <c r="F67" s="73"/>
      <c r="G67" s="73"/>
      <c r="H67" s="73"/>
      <c r="I67" s="73"/>
      <c r="J67" s="73"/>
    </row>
    <row r="68" spans="1:10" ht="18.75" x14ac:dyDescent="0.3">
      <c r="A68" s="73"/>
      <c r="B68" s="73"/>
      <c r="C68" s="73"/>
      <c r="D68" s="73"/>
      <c r="E68" s="73"/>
      <c r="F68" s="73"/>
      <c r="G68" s="73"/>
      <c r="H68" s="73"/>
      <c r="I68" s="73"/>
      <c r="J68" s="73"/>
    </row>
    <row r="69" spans="1:10" ht="18.75" x14ac:dyDescent="0.3">
      <c r="A69" s="73"/>
      <c r="B69" s="73"/>
      <c r="C69" s="73"/>
      <c r="D69" s="73"/>
      <c r="E69" s="73"/>
      <c r="F69" s="73"/>
      <c r="G69" s="73"/>
      <c r="H69" s="73"/>
      <c r="I69" s="73"/>
      <c r="J69" s="73"/>
    </row>
    <row r="70" spans="1:10" ht="18.75" x14ac:dyDescent="0.3">
      <c r="A70" s="73"/>
      <c r="B70" s="73"/>
      <c r="C70" s="73"/>
      <c r="D70" s="73"/>
      <c r="E70" s="73"/>
      <c r="F70" s="73"/>
      <c r="G70" s="73"/>
      <c r="H70" s="73"/>
      <c r="I70" s="73"/>
      <c r="J70" s="73"/>
    </row>
    <row r="71" spans="1:10" ht="18.75" x14ac:dyDescent="0.3">
      <c r="A71" s="73"/>
      <c r="B71" s="73"/>
      <c r="C71" s="73"/>
      <c r="D71" s="73"/>
      <c r="E71" s="73"/>
      <c r="F71" s="73"/>
      <c r="G71" s="73"/>
      <c r="H71" s="73"/>
      <c r="I71" s="73"/>
      <c r="J71" s="73"/>
    </row>
    <row r="72" spans="1:10" ht="18.75" x14ac:dyDescent="0.3">
      <c r="A72" s="73"/>
      <c r="B72" s="73"/>
      <c r="C72" s="73"/>
      <c r="D72" s="73"/>
      <c r="E72" s="73"/>
      <c r="F72" s="73"/>
      <c r="G72" s="73"/>
      <c r="H72" s="73"/>
      <c r="I72" s="73"/>
      <c r="J72" s="73"/>
    </row>
    <row r="73" spans="1:10" ht="18.75" x14ac:dyDescent="0.3">
      <c r="A73" s="73"/>
      <c r="B73" s="73"/>
      <c r="C73" s="73"/>
      <c r="D73" s="73"/>
      <c r="E73" s="73"/>
      <c r="F73" s="73"/>
      <c r="G73" s="73"/>
      <c r="H73" s="73"/>
      <c r="I73" s="73"/>
      <c r="J73" s="73"/>
    </row>
    <row r="74" spans="1:10" ht="18.75" x14ac:dyDescent="0.3">
      <c r="A74" s="73"/>
      <c r="B74" s="73"/>
      <c r="C74" s="73"/>
      <c r="D74" s="73"/>
      <c r="E74" s="73"/>
      <c r="F74" s="73"/>
      <c r="G74" s="73"/>
      <c r="H74" s="73"/>
      <c r="I74" s="73"/>
      <c r="J74" s="73"/>
    </row>
    <row r="75" spans="1:10" ht="18.75" x14ac:dyDescent="0.3">
      <c r="A75" s="73"/>
      <c r="B75" s="73"/>
      <c r="C75" s="73"/>
      <c r="D75" s="73"/>
      <c r="E75" s="73"/>
      <c r="F75" s="73"/>
      <c r="G75" s="73"/>
      <c r="H75" s="73"/>
      <c r="I75" s="73"/>
      <c r="J75" s="73"/>
    </row>
    <row r="76" spans="1:10" ht="18.75" x14ac:dyDescent="0.3">
      <c r="A76" s="73"/>
      <c r="B76" s="73"/>
      <c r="C76" s="73"/>
      <c r="D76" s="73"/>
      <c r="E76" s="73"/>
      <c r="F76" s="73"/>
      <c r="G76" s="73"/>
      <c r="H76" s="73"/>
      <c r="I76" s="73"/>
      <c r="J76" s="73"/>
    </row>
    <row r="77" spans="1:10" ht="18.75" x14ac:dyDescent="0.3">
      <c r="A77" s="73"/>
      <c r="B77" s="73"/>
      <c r="C77" s="73"/>
      <c r="D77" s="73"/>
      <c r="E77" s="73"/>
      <c r="F77" s="73"/>
      <c r="G77" s="73"/>
      <c r="H77" s="73"/>
      <c r="I77" s="73"/>
      <c r="J77" s="73"/>
    </row>
    <row r="78" spans="1:10" ht="18.75" x14ac:dyDescent="0.3">
      <c r="A78" s="73"/>
      <c r="B78" s="73"/>
      <c r="C78" s="73"/>
      <c r="D78" s="73"/>
      <c r="E78" s="73"/>
      <c r="F78" s="73"/>
      <c r="G78" s="73"/>
      <c r="H78" s="73"/>
      <c r="I78" s="73"/>
      <c r="J78" s="73"/>
    </row>
    <row r="79" spans="1:10" ht="18.75" x14ac:dyDescent="0.3">
      <c r="A79" s="73"/>
      <c r="B79" s="73"/>
      <c r="C79" s="73"/>
      <c r="D79" s="73"/>
      <c r="E79" s="73"/>
      <c r="F79" s="73"/>
      <c r="G79" s="73"/>
      <c r="H79" s="73"/>
      <c r="I79" s="73"/>
      <c r="J79" s="73"/>
    </row>
    <row r="80" spans="1:10" ht="18.75" x14ac:dyDescent="0.3">
      <c r="A80" s="73"/>
      <c r="B80" s="73"/>
      <c r="C80" s="73"/>
      <c r="D80" s="73"/>
      <c r="E80" s="73"/>
      <c r="F80" s="73"/>
      <c r="G80" s="73"/>
      <c r="H80" s="73"/>
      <c r="I80" s="73"/>
      <c r="J80" s="73"/>
    </row>
    <row r="81" spans="1:10" ht="18.75" x14ac:dyDescent="0.3">
      <c r="A81" s="73"/>
      <c r="B81" s="73"/>
      <c r="C81" s="73"/>
      <c r="D81" s="73"/>
      <c r="E81" s="73"/>
      <c r="F81" s="73"/>
      <c r="G81" s="73"/>
      <c r="H81" s="73"/>
      <c r="I81" s="73"/>
      <c r="J81" s="73"/>
    </row>
    <row r="82" spans="1:10" ht="18.75" x14ac:dyDescent="0.3">
      <c r="A82" s="73"/>
      <c r="B82" s="73"/>
      <c r="C82" s="73"/>
      <c r="D82" s="73"/>
      <c r="E82" s="73"/>
      <c r="F82" s="73"/>
      <c r="G82" s="73"/>
      <c r="H82" s="73"/>
      <c r="I82" s="73"/>
      <c r="J82" s="73"/>
    </row>
    <row r="83" spans="1:10" ht="18.75" x14ac:dyDescent="0.3">
      <c r="A83" s="73"/>
      <c r="B83" s="73"/>
      <c r="C83" s="73"/>
      <c r="D83" s="73"/>
      <c r="E83" s="73"/>
      <c r="F83" s="73"/>
      <c r="G83" s="73"/>
      <c r="H83" s="73"/>
      <c r="I83" s="73"/>
      <c r="J83" s="73"/>
    </row>
    <row r="84" spans="1:10" ht="18.75" x14ac:dyDescent="0.3">
      <c r="A84" s="73"/>
      <c r="B84" s="73"/>
      <c r="C84" s="73"/>
      <c r="D84" s="73"/>
      <c r="E84" s="73"/>
      <c r="F84" s="73"/>
      <c r="G84" s="73"/>
      <c r="H84" s="73"/>
      <c r="I84" s="73"/>
      <c r="J84" s="73"/>
    </row>
    <row r="85" spans="1:10" ht="18.75" x14ac:dyDescent="0.3">
      <c r="A85" s="73"/>
      <c r="B85" s="73"/>
      <c r="C85" s="73"/>
      <c r="D85" s="73"/>
      <c r="E85" s="73"/>
      <c r="F85" s="73"/>
      <c r="G85" s="73"/>
      <c r="H85" s="73"/>
      <c r="I85" s="73"/>
      <c r="J85" s="73"/>
    </row>
    <row r="86" spans="1:10" ht="18.75" x14ac:dyDescent="0.3">
      <c r="A86" s="73"/>
      <c r="B86" s="73"/>
      <c r="C86" s="73"/>
      <c r="D86" s="73"/>
      <c r="E86" s="73"/>
      <c r="F86" s="73"/>
      <c r="G86" s="73"/>
      <c r="H86" s="73"/>
      <c r="I86" s="73"/>
      <c r="J86" s="73"/>
    </row>
    <row r="87" spans="1:10" ht="18.75" x14ac:dyDescent="0.3">
      <c r="A87" s="73"/>
      <c r="B87" s="73"/>
      <c r="C87" s="73"/>
      <c r="D87" s="73"/>
      <c r="E87" s="73"/>
      <c r="F87" s="73"/>
      <c r="G87" s="73"/>
      <c r="H87" s="73"/>
      <c r="I87" s="73"/>
      <c r="J87" s="73"/>
    </row>
    <row r="88" spans="1:10" ht="18.75" x14ac:dyDescent="0.3">
      <c r="A88" s="73"/>
      <c r="B88" s="73"/>
      <c r="C88" s="73"/>
      <c r="D88" s="73"/>
      <c r="E88" s="73"/>
      <c r="F88" s="73"/>
      <c r="G88" s="73"/>
      <c r="H88" s="73"/>
      <c r="I88" s="73"/>
      <c r="J88" s="73"/>
    </row>
    <row r="89" spans="1:10" ht="18.75" x14ac:dyDescent="0.3">
      <c r="A89" s="73"/>
      <c r="B89" s="73"/>
      <c r="C89" s="73"/>
      <c r="D89" s="73"/>
      <c r="E89" s="73"/>
      <c r="F89" s="73"/>
      <c r="G89" s="73"/>
      <c r="H89" s="73"/>
      <c r="I89" s="73"/>
      <c r="J89" s="73"/>
    </row>
    <row r="90" spans="1:10" ht="18.75" x14ac:dyDescent="0.3">
      <c r="A90" s="73"/>
      <c r="B90" s="73"/>
      <c r="C90" s="73"/>
      <c r="D90" s="73"/>
      <c r="E90" s="73"/>
      <c r="F90" s="73"/>
      <c r="G90" s="73"/>
      <c r="H90" s="73"/>
      <c r="I90" s="73"/>
      <c r="J90" s="73"/>
    </row>
    <row r="91" spans="1:10" ht="18.75" x14ac:dyDescent="0.3">
      <c r="A91" s="73"/>
      <c r="B91" s="73"/>
      <c r="C91" s="73"/>
      <c r="D91" s="73"/>
      <c r="E91" s="73"/>
      <c r="F91" s="73"/>
      <c r="G91" s="73"/>
      <c r="H91" s="73"/>
      <c r="I91" s="73"/>
      <c r="J91" s="73"/>
    </row>
    <row r="92" spans="1:10" ht="18.75" x14ac:dyDescent="0.3">
      <c r="A92" s="73"/>
      <c r="B92" s="73"/>
      <c r="C92" s="73"/>
      <c r="D92" s="73"/>
      <c r="E92" s="73"/>
      <c r="F92" s="73"/>
      <c r="G92" s="73"/>
      <c r="H92" s="73"/>
      <c r="I92" s="73"/>
      <c r="J92" s="73"/>
    </row>
  </sheetData>
  <mergeCells count="4">
    <mergeCell ref="B4:D4"/>
    <mergeCell ref="F4:H4"/>
    <mergeCell ref="B5:D5"/>
    <mergeCell ref="F5:H5"/>
  </mergeCells>
  <hyperlinks>
    <hyperlink ref="B1" location="Innhold!A1" display="Tilbake"/>
  </hyperlinks>
  <pageMargins left="0.70866141732283472" right="0.70866141732283472" top="0.74803149606299213" bottom="0.74803149606299213" header="0.31496062992125984" footer="0.31496062992125984"/>
  <pageSetup paperSize="9" scale="6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dimension ref="A1:L303"/>
  <sheetViews>
    <sheetView showGridLines="0" showZeros="0" tabSelected="1" zoomScale="90" zoomScaleNormal="90" zoomScaleSheetLayoutView="80" workbookViewId="0">
      <selection activeCell="A3" sqref="A3"/>
    </sheetView>
  </sheetViews>
  <sheetFormatPr baseColWidth="10" defaultColWidth="11.42578125" defaultRowHeight="12.75" x14ac:dyDescent="0.2"/>
  <cols>
    <col min="1" max="1" width="57.140625" style="1" customWidth="1"/>
    <col min="2" max="2" width="10.7109375" style="1" customWidth="1"/>
    <col min="3" max="3" width="10.85546875" style="1" customWidth="1"/>
    <col min="4" max="4" width="8.7109375" style="1" customWidth="1"/>
    <col min="5" max="5" width="10.7109375" style="1" customWidth="1"/>
    <col min="6" max="6" width="10.85546875" style="1" customWidth="1"/>
    <col min="7" max="7" width="8.7109375" style="1" customWidth="1"/>
    <col min="8" max="8" width="10.7109375" style="1" customWidth="1"/>
    <col min="9" max="9" width="10.85546875" style="1" customWidth="1"/>
    <col min="10" max="10" width="8.7109375" style="1" customWidth="1"/>
    <col min="11" max="16384" width="11.42578125" style="1"/>
  </cols>
  <sheetData>
    <row r="1" spans="1:10" ht="15.75" customHeight="1" x14ac:dyDescent="0.2">
      <c r="A1" s="349">
        <v>4</v>
      </c>
      <c r="B1" s="4"/>
      <c r="C1" s="4"/>
      <c r="D1" s="4"/>
      <c r="E1" s="4"/>
      <c r="F1" s="4"/>
      <c r="G1" s="4"/>
      <c r="H1" s="4"/>
      <c r="I1" s="4"/>
      <c r="J1" s="4"/>
    </row>
    <row r="2" spans="1:10" ht="15.75" customHeight="1" x14ac:dyDescent="0.25">
      <c r="A2" s="163" t="s">
        <v>31</v>
      </c>
      <c r="B2" s="955"/>
      <c r="C2" s="955"/>
      <c r="D2" s="955"/>
      <c r="E2" s="955"/>
      <c r="F2" s="955"/>
      <c r="G2" s="955"/>
      <c r="H2" s="955"/>
      <c r="I2" s="955"/>
      <c r="J2" s="955"/>
    </row>
    <row r="3" spans="1:10" ht="15.75" customHeight="1" x14ac:dyDescent="0.25">
      <c r="A3" s="161"/>
      <c r="B3" s="295"/>
      <c r="C3" s="295"/>
      <c r="D3" s="295"/>
      <c r="E3" s="295"/>
      <c r="F3" s="295"/>
      <c r="G3" s="295"/>
      <c r="H3" s="295"/>
      <c r="I3" s="295"/>
      <c r="J3" s="295"/>
    </row>
    <row r="4" spans="1:10" ht="15.75" customHeight="1" x14ac:dyDescent="0.2">
      <c r="A4" s="142"/>
      <c r="B4" s="956" t="s">
        <v>0</v>
      </c>
      <c r="C4" s="957"/>
      <c r="D4" s="957"/>
      <c r="E4" s="956" t="s">
        <v>1</v>
      </c>
      <c r="F4" s="957"/>
      <c r="G4" s="957"/>
      <c r="H4" s="956" t="s">
        <v>2</v>
      </c>
      <c r="I4" s="957"/>
      <c r="J4" s="958"/>
    </row>
    <row r="5" spans="1:10" ht="15.75" customHeight="1" x14ac:dyDescent="0.2">
      <c r="A5" s="156"/>
      <c r="B5" s="150" t="s">
        <v>504</v>
      </c>
      <c r="C5" s="150" t="s">
        <v>505</v>
      </c>
      <c r="D5" s="248" t="s">
        <v>3</v>
      </c>
      <c r="E5" s="150" t="s">
        <v>504</v>
      </c>
      <c r="F5" s="150" t="s">
        <v>505</v>
      </c>
      <c r="G5" s="248" t="s">
        <v>3</v>
      </c>
      <c r="H5" s="150" t="s">
        <v>504</v>
      </c>
      <c r="I5" s="150" t="s">
        <v>505</v>
      </c>
      <c r="J5" s="248" t="s">
        <v>3</v>
      </c>
    </row>
    <row r="6" spans="1:10" ht="15.75" customHeight="1" x14ac:dyDescent="0.2">
      <c r="A6" s="933"/>
      <c r="B6" s="15"/>
      <c r="C6" s="15"/>
      <c r="D6" s="17" t="s">
        <v>4</v>
      </c>
      <c r="E6" s="16"/>
      <c r="F6" s="16"/>
      <c r="G6" s="15" t="s">
        <v>4</v>
      </c>
      <c r="H6" s="16"/>
      <c r="I6" s="16"/>
      <c r="J6" s="15" t="s">
        <v>4</v>
      </c>
    </row>
    <row r="7" spans="1:10" s="42" customFormat="1" ht="15.75" customHeight="1" x14ac:dyDescent="0.2">
      <c r="A7" s="14" t="s">
        <v>26</v>
      </c>
      <c r="B7" s="234">
        <f>'ACE European Group'!B7+'Danica Pensjonsforsikring'!B7+'DNB Livsforsikring'!B7+'Eika Forsikring AS'!B7+'Frende Livsforsikring'!B7+'Frende Skadeforsikring'!B7+'Gjensidige Forsikring'!B7+'Gjensidige Pensjon'!B7+'Handelsbanken Liv'!B7+'If Skadeforsikring NUF'!B7+KLP!B7+'KLP Bedriftspensjon AS'!B7+'KLP Skadeforsikring AS'!B7+'Landbruksforsikring AS'!B7+'NEMI Forsikring'!B7+'Nordea Liv '!B7+'Oslo Pensjonsforsikring'!B7+'SHB Liv'!B7+'Silver Pensjonsforsikring AS'!B7+'Sparebank 1'!B7+'Storebrand Livsforsikring'!B7+'Telenor Forsikring'!B7+'Tryg Forsikring'!B7</f>
        <v>4997847.4282060387</v>
      </c>
      <c r="C7" s="234">
        <f>'ACE European Group'!C7+'Danica Pensjonsforsikring'!C7+'DNB Livsforsikring'!C7+'Eika Forsikring AS'!C7+'Frende Livsforsikring'!C7+'Frende Skadeforsikring'!C7+'Gjensidige Forsikring'!C7+'Gjensidige Pensjon'!C7+'Handelsbanken Liv'!C7+'If Skadeforsikring NUF'!C7+KLP!C7+'KLP Bedriftspensjon AS'!C7+'KLP Skadeforsikring AS'!C7+'Landbruksforsikring AS'!C7+'NEMI Forsikring'!C7+'Nordea Liv '!C7+'Oslo Pensjonsforsikring'!C7+'SHB Liv'!C7+'Silver Pensjonsforsikring AS'!C7+'Sparebank 1'!C7+'Storebrand Livsforsikring'!C7+'Telenor Forsikring'!C7+'Tryg Forsikring'!C7</f>
        <v>4663771.0270592421</v>
      </c>
      <c r="D7" s="158">
        <f t="shared" ref="D7:D12" si="0">IF(B7=0, "    ---- ", IF(ABS(ROUND(100/B7*C7-100,1))&lt;999,ROUND(100/B7*C7-100,1),IF(ROUND(100/B7*C7-100,1)&gt;999,999,-999)))</f>
        <v>-6.7</v>
      </c>
      <c r="E7" s="234">
        <f>'ACE European Group'!F7+'Danica Pensjonsforsikring'!F7+'DNB Livsforsikring'!F7+'Eika Forsikring AS'!F7+'Frende Livsforsikring'!F7+'Frende Skadeforsikring'!F7+'Gjensidige Forsikring'!F7+'Gjensidige Pensjon'!F7+'Handelsbanken Liv'!F7+'If Skadeforsikring NUF'!F7+KLP!F7+'KLP Bedriftspensjon AS'!F7+'KLP Skadeforsikring AS'!F7+'Landbruksforsikring AS'!F7+'NEMI Forsikring'!F7+'Nordea Liv '!F7+'Oslo Pensjonsforsikring'!F7+'SHB Liv'!F7+'Silver Pensjonsforsikring AS'!F7+'Sparebank 1'!F7+'Storebrand Livsforsikring'!F7+'Telenor Forsikring'!F7+'Tryg Forsikring'!F7</f>
        <v>9096278.6254500002</v>
      </c>
      <c r="F7" s="234">
        <f>'ACE European Group'!G7+'Danica Pensjonsforsikring'!G7+'DNB Livsforsikring'!G7+'Eika Forsikring AS'!G7+'Frende Livsforsikring'!G7+'Frende Skadeforsikring'!G7+'Gjensidige Forsikring'!G7+'Gjensidige Pensjon'!G7+'Handelsbanken Liv'!G7+'If Skadeforsikring NUF'!G7+KLP!G7+'KLP Bedriftspensjon AS'!G7+'KLP Skadeforsikring AS'!G7+'Landbruksforsikring AS'!G7+'NEMI Forsikring'!G7+'Nordea Liv '!G7+'Oslo Pensjonsforsikring'!G7+'SHB Liv'!G7+'Silver Pensjonsforsikring AS'!G7+'Sparebank 1'!G7+'Storebrand Livsforsikring'!G7+'Telenor Forsikring'!G7+'Tryg Forsikring'!G7</f>
        <v>8807598.1100199986</v>
      </c>
      <c r="G7" s="158">
        <f t="shared" ref="G7:G12" si="1">IF(E7=0, "    ---- ", IF(ABS(ROUND(100/E7*F7-100,1))&lt;999,ROUND(100/E7*F7-100,1),IF(ROUND(100/E7*F7-100,1)&gt;999,999,-999)))</f>
        <v>-3.2</v>
      </c>
      <c r="H7" s="275">
        <f t="shared" ref="H7:H12" si="2">B7+E7</f>
        <v>14094126.053656038</v>
      </c>
      <c r="I7" s="276">
        <f t="shared" ref="I7:I12" si="3">C7+F7</f>
        <v>13471369.137079241</v>
      </c>
      <c r="J7" s="169">
        <f t="shared" ref="J7:J12" si="4">IF(H7=0, "    ---- ", IF(ABS(ROUND(100/H7*I7-100,1))&lt;999,ROUND(100/H7*I7-100,1),IF(ROUND(100/H7*I7-100,1)&gt;999,999,-999)))</f>
        <v>-4.4000000000000004</v>
      </c>
    </row>
    <row r="8" spans="1:10" ht="15.75" customHeight="1" x14ac:dyDescent="0.2">
      <c r="A8" s="20" t="s">
        <v>28</v>
      </c>
      <c r="B8" s="43">
        <f>'ACE European Group'!B8+'Danica Pensjonsforsikring'!B8+'DNB Livsforsikring'!B8+'Eika Forsikring AS'!B8+'Frende Livsforsikring'!B8+'Frende Skadeforsikring'!B8+'Gjensidige Forsikring'!B8+'Gjensidige Pensjon'!B8+'Handelsbanken Liv'!B8+'If Skadeforsikring NUF'!B8+KLP!B8+'KLP Bedriftspensjon AS'!B8+'KLP Skadeforsikring AS'!B8+'Landbruksforsikring AS'!B8+'NEMI Forsikring'!B8+'Nordea Liv '!B8+'Oslo Pensjonsforsikring'!B8+'SHB Liv'!B8+'Silver Pensjonsforsikring AS'!B8+'Sparebank 1'!B8+'Storebrand Livsforsikring'!B8+'Telenor Forsikring'!B8+'Tryg Forsikring'!B8</f>
        <v>2418574.3325688471</v>
      </c>
      <c r="C8" s="43">
        <f>'ACE European Group'!C8+'Danica Pensjonsforsikring'!C8+'DNB Livsforsikring'!C8+'Eika Forsikring AS'!C8+'Frende Livsforsikring'!C8+'Frende Skadeforsikring'!C8+'Gjensidige Forsikring'!C8+'Gjensidige Pensjon'!C8+'Handelsbanken Liv'!C8+'If Skadeforsikring NUF'!C8+KLP!C8+'KLP Bedriftspensjon AS'!C8+'KLP Skadeforsikring AS'!C8+'Landbruksforsikring AS'!C8+'NEMI Forsikring'!C8+'Nordea Liv '!C8+'Oslo Pensjonsforsikring'!C8+'SHB Liv'!C8+'Silver Pensjonsforsikring AS'!C8+'Sparebank 1'!C8+'Storebrand Livsforsikring'!C8+'Telenor Forsikring'!C8+'Tryg Forsikring'!C8</f>
        <v>2488841.9182432708</v>
      </c>
      <c r="D8" s="164">
        <f t="shared" si="0"/>
        <v>2.9</v>
      </c>
      <c r="E8" s="185">
        <f>'ACE European Group'!F8+'Danica Pensjonsforsikring'!F8+'DNB Livsforsikring'!F8+'Eika Forsikring AS'!F8+'Frende Livsforsikring'!F8+'Frende Skadeforsikring'!F8+'Gjensidige Forsikring'!F8+'Gjensidige Pensjon'!F8+'Handelsbanken Liv'!F8+'If Skadeforsikring NUF'!F8+KLP!F8+'KLP Bedriftspensjon AS'!F8+'KLP Skadeforsikring AS'!F8+'Landbruksforsikring AS'!F8+'NEMI Forsikring'!F8+'Nordea Liv '!F8+'Oslo Pensjonsforsikring'!F8+'SHB Liv'!F8+'Silver Pensjonsforsikring AS'!F8+'Sparebank 1'!F8+'Storebrand Livsforsikring'!F8+'Telenor Forsikring'!F8+'Tryg Forsikring'!F8</f>
        <v>0</v>
      </c>
      <c r="F8" s="185">
        <f>'ACE European Group'!G8+'Danica Pensjonsforsikring'!G8+'DNB Livsforsikring'!G8+'Eika Forsikring AS'!G8+'Frende Livsforsikring'!G8+'Frende Skadeforsikring'!G8+'Gjensidige Forsikring'!G8+'Gjensidige Pensjon'!G8+'Handelsbanken Liv'!G8+'If Skadeforsikring NUF'!G8+KLP!G8+'KLP Bedriftspensjon AS'!G8+'KLP Skadeforsikring AS'!G8+'Landbruksforsikring AS'!G8+'NEMI Forsikring'!G8+'Nordea Liv '!G8+'Oslo Pensjonsforsikring'!G8+'SHB Liv'!G8+'Silver Pensjonsforsikring AS'!G8+'Sparebank 1'!G8+'Storebrand Livsforsikring'!G8+'Telenor Forsikring'!G8+'Tryg Forsikring'!G8</f>
        <v>0</v>
      </c>
      <c r="G8" s="174"/>
      <c r="H8" s="187">
        <f t="shared" si="2"/>
        <v>2418574.3325688471</v>
      </c>
      <c r="I8" s="188">
        <f t="shared" si="3"/>
        <v>2488841.9182432708</v>
      </c>
      <c r="J8" s="169">
        <f t="shared" si="4"/>
        <v>2.9</v>
      </c>
    </row>
    <row r="9" spans="1:10" ht="15.75" customHeight="1" x14ac:dyDescent="0.2">
      <c r="A9" s="20" t="s">
        <v>27</v>
      </c>
      <c r="B9" s="43">
        <f>'ACE European Group'!B9+'Danica Pensjonsforsikring'!B9+'DNB Livsforsikring'!B9+'Eika Forsikring AS'!B9+'Frende Livsforsikring'!B9+'Frende Skadeforsikring'!B9+'Gjensidige Forsikring'!B9+'Gjensidige Pensjon'!B9+'Handelsbanken Liv'!B9+'If Skadeforsikring NUF'!B9+KLP!B9+'KLP Bedriftspensjon AS'!B9+'KLP Skadeforsikring AS'!B9+'Landbruksforsikring AS'!B9+'NEMI Forsikring'!B9+'Nordea Liv '!B9+'Oslo Pensjonsforsikring'!B9+'SHB Liv'!B9+'Silver Pensjonsforsikring AS'!B9+'Sparebank 1'!B9+'Storebrand Livsforsikring'!B9+'Telenor Forsikring'!B9+'Tryg Forsikring'!B9</f>
        <v>1146624.4503485509</v>
      </c>
      <c r="C9" s="43">
        <f>'ACE European Group'!C9+'Danica Pensjonsforsikring'!C9+'DNB Livsforsikring'!C9+'Eika Forsikring AS'!C9+'Frende Livsforsikring'!C9+'Frende Skadeforsikring'!C9+'Gjensidige Forsikring'!C9+'Gjensidige Pensjon'!C9+'Handelsbanken Liv'!C9+'If Skadeforsikring NUF'!C9+KLP!C9+'KLP Bedriftspensjon AS'!C9+'KLP Skadeforsikring AS'!C9+'Landbruksforsikring AS'!C9+'NEMI Forsikring'!C9+'Nordea Liv '!C9+'Oslo Pensjonsforsikring'!C9+'SHB Liv'!C9+'Silver Pensjonsforsikring AS'!C9+'Sparebank 1'!C9+'Storebrand Livsforsikring'!C9+'Telenor Forsikring'!C9+'Tryg Forsikring'!C9</f>
        <v>1082021.8618564871</v>
      </c>
      <c r="D9" s="174">
        <f t="shared" si="0"/>
        <v>-5.6</v>
      </c>
      <c r="E9" s="185">
        <f>'ACE European Group'!F9+'Danica Pensjonsforsikring'!F9+'DNB Livsforsikring'!F9+'Eika Forsikring AS'!F9+'Frende Livsforsikring'!F9+'Frende Skadeforsikring'!F9+'Gjensidige Forsikring'!F9+'Gjensidige Pensjon'!F9+'Handelsbanken Liv'!F9+'If Skadeforsikring NUF'!F9+KLP!F9+'KLP Bedriftspensjon AS'!F9+'KLP Skadeforsikring AS'!F9+'Landbruksforsikring AS'!F9+'NEMI Forsikring'!F9+'Nordea Liv '!F9+'Oslo Pensjonsforsikring'!F9+'SHB Liv'!F9+'Silver Pensjonsforsikring AS'!F9+'Sparebank 1'!F9+'Storebrand Livsforsikring'!F9+'Telenor Forsikring'!F9+'Tryg Forsikring'!F9</f>
        <v>0</v>
      </c>
      <c r="F9" s="185">
        <f>'ACE European Group'!G9+'Danica Pensjonsforsikring'!G9+'DNB Livsforsikring'!G9+'Eika Forsikring AS'!G9+'Frende Livsforsikring'!G9+'Frende Skadeforsikring'!G9+'Gjensidige Forsikring'!G9+'Gjensidige Pensjon'!G9+'Handelsbanken Liv'!G9+'If Skadeforsikring NUF'!G9+KLP!G9+'KLP Bedriftspensjon AS'!G9+'KLP Skadeforsikring AS'!G9+'Landbruksforsikring AS'!G9+'NEMI Forsikring'!G9+'Nordea Liv '!G9+'Oslo Pensjonsforsikring'!G9+'SHB Liv'!G9+'Silver Pensjonsforsikring AS'!G9+'Sparebank 1'!G9+'Storebrand Livsforsikring'!G9+'Telenor Forsikring'!G9+'Tryg Forsikring'!G9</f>
        <v>0</v>
      </c>
      <c r="G9" s="174"/>
      <c r="H9" s="187">
        <f t="shared" si="2"/>
        <v>1146624.4503485509</v>
      </c>
      <c r="I9" s="188">
        <f t="shared" si="3"/>
        <v>1082021.8618564871</v>
      </c>
      <c r="J9" s="169">
        <f t="shared" si="4"/>
        <v>-5.6</v>
      </c>
    </row>
    <row r="10" spans="1:10" s="42" customFormat="1" ht="15.75" customHeight="1" x14ac:dyDescent="0.2">
      <c r="A10" s="13" t="s">
        <v>25</v>
      </c>
      <c r="B10" s="234">
        <f>'ACE European Group'!B10+'Danica Pensjonsforsikring'!B10+'DNB Livsforsikring'!B10+'Eika Forsikring AS'!B10+'Frende Livsforsikring'!B10+'Frende Skadeforsikring'!B10+'Gjensidige Forsikring'!B10+'Gjensidige Pensjon'!B10+'Handelsbanken Liv'!B10+'If Skadeforsikring NUF'!B10+KLP!B10+'KLP Bedriftspensjon AS'!B10+'KLP Skadeforsikring AS'!B10+'Landbruksforsikring AS'!B10+'NEMI Forsikring'!B10+'Nordea Liv '!B10+'Oslo Pensjonsforsikring'!B10+'SHB Liv'!B10+'Silver Pensjonsforsikring AS'!B10+'Sparebank 1'!B10+'Storebrand Livsforsikring'!B10+'Telenor Forsikring'!B10+'Tryg Forsikring'!B10</f>
        <v>25804768.001373231</v>
      </c>
      <c r="C10" s="234">
        <f>'ACE European Group'!C10+'Danica Pensjonsforsikring'!C10+'DNB Livsforsikring'!C10+'Eika Forsikring AS'!C10+'Frende Livsforsikring'!C10+'Frende Skadeforsikring'!C10+'Gjensidige Forsikring'!C10+'Gjensidige Pensjon'!C10+'Handelsbanken Liv'!C10+'If Skadeforsikring NUF'!C10+KLP!C10+'KLP Bedriftspensjon AS'!C10+'KLP Skadeforsikring AS'!C10+'Landbruksforsikring AS'!C10+'NEMI Forsikring'!C10+'Nordea Liv '!C10+'Oslo Pensjonsforsikring'!C10+'SHB Liv'!C10+'Silver Pensjonsforsikring AS'!C10+'Sparebank 1'!C10+'Storebrand Livsforsikring'!C10+'Telenor Forsikring'!C10+'Tryg Forsikring'!C10</f>
        <v>24038098.890009895</v>
      </c>
      <c r="D10" s="158">
        <f t="shared" si="0"/>
        <v>-6.8</v>
      </c>
      <c r="E10" s="234">
        <f>'ACE European Group'!F10+'Danica Pensjonsforsikring'!F10+'DNB Livsforsikring'!F10+'Eika Forsikring AS'!F10+'Frende Livsforsikring'!F10+'Frende Skadeforsikring'!F10+'Gjensidige Forsikring'!F10+'Gjensidige Pensjon'!F10+'Handelsbanken Liv'!F10+'If Skadeforsikring NUF'!F10+KLP!F10+'KLP Bedriftspensjon AS'!F10+'KLP Skadeforsikring AS'!F10+'Landbruksforsikring AS'!F10+'NEMI Forsikring'!F10+'Nordea Liv '!F10+'Oslo Pensjonsforsikring'!F10+'SHB Liv'!F10+'Silver Pensjonsforsikring AS'!F10+'Sparebank 1'!F10+'Storebrand Livsforsikring'!F10+'Telenor Forsikring'!F10+'Tryg Forsikring'!F10</f>
        <v>33118562.891345605</v>
      </c>
      <c r="F10" s="234">
        <f>'ACE European Group'!G10+'Danica Pensjonsforsikring'!G10+'DNB Livsforsikring'!G10+'Eika Forsikring AS'!G10+'Frende Livsforsikring'!G10+'Frende Skadeforsikring'!G10+'Gjensidige Forsikring'!G10+'Gjensidige Pensjon'!G10+'Handelsbanken Liv'!G10+'If Skadeforsikring NUF'!G10+KLP!G10+'KLP Bedriftspensjon AS'!G10+'KLP Skadeforsikring AS'!G10+'Landbruksforsikring AS'!G10+'NEMI Forsikring'!G10+'Nordea Liv '!G10+'Oslo Pensjonsforsikring'!G10+'SHB Liv'!G10+'Silver Pensjonsforsikring AS'!G10+'Sparebank 1'!G10+'Storebrand Livsforsikring'!G10+'Telenor Forsikring'!G10+'Tryg Forsikring'!G10</f>
        <v>42280226.7167724</v>
      </c>
      <c r="G10" s="158">
        <f t="shared" si="1"/>
        <v>27.7</v>
      </c>
      <c r="H10" s="275">
        <f t="shared" si="2"/>
        <v>58923330.892718837</v>
      </c>
      <c r="I10" s="276">
        <f t="shared" si="3"/>
        <v>66318325.606782295</v>
      </c>
      <c r="J10" s="169">
        <f t="shared" si="4"/>
        <v>12.6</v>
      </c>
    </row>
    <row r="11" spans="1:10" s="42" customFormat="1" ht="15.75" customHeight="1" x14ac:dyDescent="0.2">
      <c r="A11" s="13" t="s">
        <v>24</v>
      </c>
      <c r="B11" s="234">
        <f>'ACE European Group'!B11+'Danica Pensjonsforsikring'!B11+'DNB Livsforsikring'!B11+'Eika Forsikring AS'!B11+'Frende Livsforsikring'!B11+'Frende Skadeforsikring'!B11+'Gjensidige Forsikring'!B11+'Gjensidige Pensjon'!B11+'Handelsbanken Liv'!B11+'If Skadeforsikring NUF'!B11+KLP!B11+'KLP Bedriftspensjon AS'!B11+'KLP Skadeforsikring AS'!B11+'Landbruksforsikring AS'!B11+'NEMI Forsikring'!B11+'Nordea Liv '!B11+'Oslo Pensjonsforsikring'!B11+'SHB Liv'!B11+'Silver Pensjonsforsikring AS'!B11+'Sparebank 1'!B11+'Storebrand Livsforsikring'!B11+'Telenor Forsikring'!B11+'Tryg Forsikring'!B11</f>
        <v>81436</v>
      </c>
      <c r="C11" s="234">
        <f>'ACE European Group'!C11+'Danica Pensjonsforsikring'!C11+'DNB Livsforsikring'!C11+'Eika Forsikring AS'!C11+'Frende Livsforsikring'!C11+'Frende Skadeforsikring'!C11+'Gjensidige Forsikring'!C11+'Gjensidige Pensjon'!C11+'Handelsbanken Liv'!C11+'If Skadeforsikring NUF'!C11+KLP!C11+'KLP Bedriftspensjon AS'!C11+'KLP Skadeforsikring AS'!C11+'Landbruksforsikring AS'!C11+'NEMI Forsikring'!C11+'Nordea Liv '!C11+'Oslo Pensjonsforsikring'!C11+'SHB Liv'!C11+'Silver Pensjonsforsikring AS'!C11+'Sparebank 1'!C11+'Storebrand Livsforsikring'!C11+'Telenor Forsikring'!C11+'Tryg Forsikring'!C11</f>
        <v>95526</v>
      </c>
      <c r="D11" s="169">
        <f t="shared" si="0"/>
        <v>17.3</v>
      </c>
      <c r="E11" s="234">
        <f>'ACE European Group'!F11+'Danica Pensjonsforsikring'!F11+'DNB Livsforsikring'!F11+'Eika Forsikring AS'!F11+'Frende Livsforsikring'!F11+'Frende Skadeforsikring'!F11+'Gjensidige Forsikring'!F11+'Gjensidige Pensjon'!F11+'Handelsbanken Liv'!F11+'If Skadeforsikring NUF'!F11+KLP!F11+'KLP Bedriftspensjon AS'!F11+'KLP Skadeforsikring AS'!F11+'Landbruksforsikring AS'!F11+'NEMI Forsikring'!F11+'Nordea Liv '!F11+'Oslo Pensjonsforsikring'!F11+'SHB Liv'!F11+'Silver Pensjonsforsikring AS'!F11+'Sparebank 1'!F11+'Storebrand Livsforsikring'!F11+'Telenor Forsikring'!F11+'Tryg Forsikring'!F11</f>
        <v>455222.07000999997</v>
      </c>
      <c r="F11" s="234">
        <f>'ACE European Group'!G11+'Danica Pensjonsforsikring'!G11+'DNB Livsforsikring'!G11+'Eika Forsikring AS'!G11+'Frende Livsforsikring'!G11+'Frende Skadeforsikring'!G11+'Gjensidige Forsikring'!G11+'Gjensidige Pensjon'!G11+'Handelsbanken Liv'!G11+'If Skadeforsikring NUF'!G11+KLP!G11+'KLP Bedriftspensjon AS'!G11+'KLP Skadeforsikring AS'!G11+'Landbruksforsikring AS'!G11+'NEMI Forsikring'!G11+'Nordea Liv '!G11+'Oslo Pensjonsforsikring'!G11+'SHB Liv'!G11+'Silver Pensjonsforsikring AS'!G11+'Sparebank 1'!G11+'Storebrand Livsforsikring'!G11+'Telenor Forsikring'!G11+'Tryg Forsikring'!G11</f>
        <v>264162.92132000002</v>
      </c>
      <c r="G11" s="169">
        <f t="shared" si="1"/>
        <v>-42</v>
      </c>
      <c r="H11" s="275">
        <f t="shared" si="2"/>
        <v>536658.07000999991</v>
      </c>
      <c r="I11" s="276">
        <f t="shared" si="3"/>
        <v>359688.92132000002</v>
      </c>
      <c r="J11" s="169">
        <f t="shared" si="4"/>
        <v>-33</v>
      </c>
    </row>
    <row r="12" spans="1:10" s="42" customFormat="1" ht="15.75" customHeight="1" x14ac:dyDescent="0.2">
      <c r="A12" s="40" t="s">
        <v>23</v>
      </c>
      <c r="B12" s="274">
        <f>'ACE European Group'!B12+'Danica Pensjonsforsikring'!B12+'DNB Livsforsikring'!B12+'Eika Forsikring AS'!B12+'Frende Livsforsikring'!B12+'Frende Skadeforsikring'!B12+'Gjensidige Forsikring'!B12+'Gjensidige Pensjon'!B12+'Handelsbanken Liv'!B12+'If Skadeforsikring NUF'!B12+KLP!B12+'KLP Bedriftspensjon AS'!B12+'KLP Skadeforsikring AS'!B12+'Landbruksforsikring AS'!B12+'NEMI Forsikring'!B12+'Nordea Liv '!B12+'Oslo Pensjonsforsikring'!B12+'SHB Liv'!B12+'Silver Pensjonsforsikring AS'!B12+'Sparebank 1'!B12+'Storebrand Livsforsikring'!B12+'Telenor Forsikring'!B12+'Tryg Forsikring'!B12</f>
        <v>41660.740440000001</v>
      </c>
      <c r="C12" s="274">
        <f>'ACE European Group'!C12+'Danica Pensjonsforsikring'!C12+'DNB Livsforsikring'!C12+'Eika Forsikring AS'!C12+'Frende Livsforsikring'!C12+'Frende Skadeforsikring'!C12+'Gjensidige Forsikring'!C12+'Gjensidige Pensjon'!C12+'Handelsbanken Liv'!C12+'If Skadeforsikring NUF'!C12+KLP!C12+'KLP Bedriftspensjon AS'!C12+'KLP Skadeforsikring AS'!C12+'Landbruksforsikring AS'!C12+'NEMI Forsikring'!C12+'Nordea Liv '!C12+'Oslo Pensjonsforsikring'!C12+'SHB Liv'!C12+'Silver Pensjonsforsikring AS'!C12+'Sparebank 1'!C12+'Storebrand Livsforsikring'!C12+'Telenor Forsikring'!C12+'Tryg Forsikring'!C12</f>
        <v>28875</v>
      </c>
      <c r="D12" s="168">
        <f t="shared" si="0"/>
        <v>-30.7</v>
      </c>
      <c r="E12" s="274">
        <f>'ACE European Group'!F12+'Danica Pensjonsforsikring'!F12+'DNB Livsforsikring'!F12+'Eika Forsikring AS'!F12+'Frende Livsforsikring'!F12+'Frende Skadeforsikring'!F12+'Gjensidige Forsikring'!F12+'Gjensidige Pensjon'!F12+'Handelsbanken Liv'!F12+'If Skadeforsikring NUF'!F12+KLP!F12+'KLP Bedriftspensjon AS'!F12+'KLP Skadeforsikring AS'!F12+'Landbruksforsikring AS'!F12+'NEMI Forsikring'!F12+'Nordea Liv '!F12+'Oslo Pensjonsforsikring'!F12+'SHB Liv'!F12+'Silver Pensjonsforsikring AS'!F12+'Sparebank 1'!F12+'Storebrand Livsforsikring'!F12+'Telenor Forsikring'!F12+'Tryg Forsikring'!F12</f>
        <v>170904.02306000001</v>
      </c>
      <c r="F12" s="274">
        <f>'ACE European Group'!G12+'Danica Pensjonsforsikring'!G12+'DNB Livsforsikring'!G12+'Eika Forsikring AS'!G12+'Frende Livsforsikring'!G12+'Frende Skadeforsikring'!G12+'Gjensidige Forsikring'!G12+'Gjensidige Pensjon'!G12+'Handelsbanken Liv'!G12+'If Skadeforsikring NUF'!G12+KLP!G12+'KLP Bedriftspensjon AS'!G12+'KLP Skadeforsikring AS'!G12+'Landbruksforsikring AS'!G12+'NEMI Forsikring'!G12+'Nordea Liv '!G12+'Oslo Pensjonsforsikring'!G12+'SHB Liv'!G12+'Silver Pensjonsforsikring AS'!G12+'Sparebank 1'!G12+'Storebrand Livsforsikring'!G12+'Telenor Forsikring'!G12+'Tryg Forsikring'!G12</f>
        <v>179438.89640999999</v>
      </c>
      <c r="G12" s="167">
        <f t="shared" si="1"/>
        <v>5</v>
      </c>
      <c r="H12" s="277">
        <f t="shared" si="2"/>
        <v>212564.7635</v>
      </c>
      <c r="I12" s="278">
        <f t="shared" si="3"/>
        <v>208313.89640999999</v>
      </c>
      <c r="J12" s="167">
        <f t="shared" si="4"/>
        <v>-2</v>
      </c>
    </row>
    <row r="13" spans="1:10" s="42" customFormat="1" ht="15.75" customHeight="1" x14ac:dyDescent="0.2">
      <c r="A13" s="166"/>
      <c r="B13" s="34"/>
      <c r="C13" s="5"/>
      <c r="D13" s="31"/>
      <c r="E13" s="34"/>
      <c r="F13" s="5"/>
      <c r="G13" s="31"/>
      <c r="H13" s="47"/>
      <c r="I13" s="47"/>
      <c r="J13" s="31"/>
    </row>
    <row r="14" spans="1:10" ht="15.75" customHeight="1" x14ac:dyDescent="0.2">
      <c r="A14" s="151" t="s">
        <v>296</v>
      </c>
    </row>
    <row r="15" spans="1:10" ht="15.75" customHeight="1" x14ac:dyDescent="0.2">
      <c r="A15" s="147"/>
      <c r="E15" s="7"/>
      <c r="F15" s="7"/>
      <c r="G15" s="7"/>
      <c r="H15" s="7"/>
      <c r="I15" s="7"/>
      <c r="J15" s="7"/>
    </row>
    <row r="16" spans="1:10" s="3" customFormat="1" ht="15.75" customHeight="1" x14ac:dyDescent="0.25">
      <c r="A16" s="162"/>
      <c r="C16" s="29"/>
      <c r="D16" s="29"/>
      <c r="E16" s="29"/>
      <c r="F16" s="29"/>
      <c r="G16" s="29"/>
      <c r="H16" s="29"/>
      <c r="I16" s="29"/>
      <c r="J16" s="29"/>
    </row>
    <row r="17" spans="1:11" ht="15.75" customHeight="1" x14ac:dyDescent="0.25">
      <c r="A17" s="145" t="s">
        <v>293</v>
      </c>
      <c r="B17" s="27"/>
      <c r="C17" s="27"/>
      <c r="D17" s="28"/>
      <c r="E17" s="27"/>
      <c r="F17" s="27"/>
      <c r="G17" s="27"/>
      <c r="H17" s="27"/>
      <c r="I17" s="27"/>
      <c r="J17" s="27"/>
    </row>
    <row r="18" spans="1:11" ht="15.75" customHeight="1" x14ac:dyDescent="0.25">
      <c r="A18" s="147"/>
      <c r="B18" s="955"/>
      <c r="C18" s="955"/>
      <c r="D18" s="955"/>
      <c r="E18" s="955"/>
      <c r="F18" s="955"/>
      <c r="G18" s="955"/>
      <c r="H18" s="955"/>
      <c r="I18" s="955"/>
      <c r="J18" s="955"/>
    </row>
    <row r="19" spans="1:11" ht="15.75" customHeight="1" x14ac:dyDescent="0.2">
      <c r="A19" s="142"/>
      <c r="B19" s="956" t="s">
        <v>0</v>
      </c>
      <c r="C19" s="957"/>
      <c r="D19" s="957"/>
      <c r="E19" s="956" t="s">
        <v>1</v>
      </c>
      <c r="F19" s="957"/>
      <c r="G19" s="958"/>
      <c r="H19" s="957" t="s">
        <v>2</v>
      </c>
      <c r="I19" s="957"/>
      <c r="J19" s="958"/>
    </row>
    <row r="20" spans="1:11" ht="15.75" customHeight="1" x14ac:dyDescent="0.2">
      <c r="A20" s="139" t="s">
        <v>5</v>
      </c>
      <c r="B20" s="150" t="s">
        <v>504</v>
      </c>
      <c r="C20" s="150" t="s">
        <v>505</v>
      </c>
      <c r="D20" s="248" t="s">
        <v>3</v>
      </c>
      <c r="E20" s="150" t="s">
        <v>504</v>
      </c>
      <c r="F20" s="150" t="s">
        <v>505</v>
      </c>
      <c r="G20" s="248" t="s">
        <v>3</v>
      </c>
      <c r="H20" s="150" t="s">
        <v>504</v>
      </c>
      <c r="I20" s="150" t="s">
        <v>505</v>
      </c>
      <c r="J20" s="248" t="s">
        <v>3</v>
      </c>
    </row>
    <row r="21" spans="1:11" ht="15.75" customHeight="1" x14ac:dyDescent="0.2">
      <c r="A21" s="934"/>
      <c r="B21" s="15"/>
      <c r="C21" s="15"/>
      <c r="D21" s="17" t="s">
        <v>4</v>
      </c>
      <c r="E21" s="16"/>
      <c r="F21" s="16"/>
      <c r="G21" s="15" t="s">
        <v>4</v>
      </c>
      <c r="H21" s="16"/>
      <c r="I21" s="16"/>
      <c r="J21" s="15" t="s">
        <v>4</v>
      </c>
    </row>
    <row r="22" spans="1:11" s="42" customFormat="1" ht="15.75" customHeight="1" x14ac:dyDescent="0.2">
      <c r="A22" s="14" t="s">
        <v>26</v>
      </c>
      <c r="B22" s="234">
        <f>'ACE European Group'!B22+'Danica Pensjonsforsikring'!B22+'DNB Livsforsikring'!B22+'Eika Forsikring AS'!B22+'Frende Livsforsikring'!B22+'Frende Skadeforsikring'!B22+'Gjensidige Forsikring'!B22+'Gjensidige Pensjon'!B22+'Handelsbanken Liv'!B22+'If Skadeforsikring NUF'!B22+KLP!B22+'KLP Bedriftspensjon AS'!B22+'KLP Skadeforsikring AS'!B22+'Landbruksforsikring AS'!B22+'NEMI Forsikring'!B22+'Nordea Liv '!B22+'Oslo Pensjonsforsikring'!B22+'SHB Liv'!B22+'Silver Pensjonsforsikring AS'!B22+'Sparebank 1'!B22+'Storebrand Livsforsikring'!B22+'Telenor Forsikring'!B22+'Tryg Forsikring'!B22</f>
        <v>1454216.9500913012</v>
      </c>
      <c r="C22" s="234">
        <f>'ACE European Group'!C22+'Danica Pensjonsforsikring'!C22+'DNB Livsforsikring'!C22+'Eika Forsikring AS'!C22+'Frende Livsforsikring'!C22+'Frende Skadeforsikring'!C22+'Gjensidige Forsikring'!C22+'Gjensidige Pensjon'!C22+'Handelsbanken Liv'!C22+'If Skadeforsikring NUF'!C22+KLP!C22+'KLP Bedriftspensjon AS'!C22+'KLP Skadeforsikring AS'!C22+'Landbruksforsikring AS'!C22+'NEMI Forsikring'!C22+'Nordea Liv '!C22+'Oslo Pensjonsforsikring'!C22+'SHB Liv'!C22+'Silver Pensjonsforsikring AS'!C22+'Sparebank 1'!C22+'Storebrand Livsforsikring'!C22+'Telenor Forsikring'!C22+'Tryg Forsikring'!C22</f>
        <v>1631393.6391463138</v>
      </c>
      <c r="D22" s="158">
        <f t="shared" ref="D22:D39" si="5">IF(B22=0, "    ---- ", IF(ABS(ROUND(100/B22*C22-100,1))&lt;999,ROUND(100/B22*C22-100,1),IF(ROUND(100/B22*C22-100,1)&gt;999,999,-999)))</f>
        <v>12.2</v>
      </c>
      <c r="E22" s="234">
        <f>'ACE European Group'!F22+'Danica Pensjonsforsikring'!F22+'DNB Livsforsikring'!F22+'Eika Forsikring AS'!F22+'Frende Livsforsikring'!F22+'Frende Skadeforsikring'!F22+'Gjensidige Forsikring'!F22+'Gjensidige Pensjon'!F22+'Handelsbanken Liv'!F22+'If Skadeforsikring NUF'!F22+KLP!F22+'KLP Bedriftspensjon AS'!F22+'KLP Skadeforsikring AS'!F22+'Landbruksforsikring AS'!F22+'NEMI Forsikring'!F22+'Nordea Liv '!F22+'Oslo Pensjonsforsikring'!F22+'SHB Liv'!F22+'Silver Pensjonsforsikring AS'!F22+'Sparebank 1'!F22+'Storebrand Livsforsikring'!F22+'Telenor Forsikring'!F22+'Tryg Forsikring'!F22</f>
        <v>398608.38134000002</v>
      </c>
      <c r="F22" s="306">
        <f>'ACE European Group'!G22+'Danica Pensjonsforsikring'!G22+'DNB Livsforsikring'!G22+'Eika Forsikring AS'!G22+'Frende Livsforsikring'!G22+'Frende Skadeforsikring'!G22+'Gjensidige Forsikring'!G22+'Gjensidige Pensjon'!G22+'Handelsbanken Liv'!G22+'If Skadeforsikring NUF'!G22+KLP!G22+'KLP Bedriftspensjon AS'!G22+'KLP Skadeforsikring AS'!G22+'Landbruksforsikring AS'!G22+'NEMI Forsikring'!G22+'Nordea Liv '!G22+'Oslo Pensjonsforsikring'!G22+'SHB Liv'!G22+'Silver Pensjonsforsikring AS'!G22+'Sparebank 1'!G22+'Storebrand Livsforsikring'!G22+'Telenor Forsikring'!G22+'Tryg Forsikring'!G22</f>
        <v>1160340.67075</v>
      </c>
      <c r="G22" s="348">
        <f t="shared" ref="G22:G35" si="6">IF(E22=0, "    ---- ", IF(ABS(ROUND(100/E22*F22-100,1))&lt;999,ROUND(100/E22*F22-100,1),IF(ROUND(100/E22*F22-100,1)&gt;999,999,-999)))</f>
        <v>191.1</v>
      </c>
      <c r="H22" s="306">
        <f>SUM(B22,E22)</f>
        <v>1852825.3314313013</v>
      </c>
      <c r="I22" s="234">
        <f t="shared" ref="I22:I39" si="7">SUM(C22,F22)</f>
        <v>2791734.3098963136</v>
      </c>
      <c r="J22" s="169">
        <f t="shared" ref="J22:J39" si="8">IF(H22=0, "    ---- ", IF(ABS(ROUND(100/H22*I22-100,1))&lt;999,ROUND(100/H22*I22-100,1),IF(ROUND(100/H22*I22-100,1)&gt;999,999,-999)))</f>
        <v>50.7</v>
      </c>
    </row>
    <row r="23" spans="1:11" ht="15.75" customHeight="1" x14ac:dyDescent="0.2">
      <c r="A23" s="294" t="s">
        <v>305</v>
      </c>
      <c r="B23" s="43">
        <f>IF($A$1=4,'ACE European Group'!B23+'Danica Pensjonsforsikring'!B23+'DNB Livsforsikring'!B23+'Eika Forsikring AS'!B23+'Frende Livsforsikring'!B23+'Frende Skadeforsikring'!B23+'Gjensidige Forsikring'!B23+'Gjensidige Pensjon'!B23+'Handelsbanken Liv'!B23+'If Skadeforsikring NUF'!B23+KLP!B23+'KLP Bedriftspensjon AS'!B23+'KLP Skadeforsikring AS'!B23+'Landbruksforsikring AS'!B23+'NEMI Forsikring'!B23+'Nordea Liv '!B23+'Oslo Pensjonsforsikring'!B23+'SHB Liv'!B23+'Silver Pensjonsforsikring AS'!B23+'Sparebank 1'!B23+'Storebrand Livsforsikring'!B23+'Telenor Forsikring'!B23+'Tryg Forsikring'!B23,"")</f>
        <v>1299326.4961632499</v>
      </c>
      <c r="C23" s="43">
        <f>IF($A$1=4,'ACE European Group'!C23+'Danica Pensjonsforsikring'!C23+'DNB Livsforsikring'!C23+'Eika Forsikring AS'!C23+'Frende Livsforsikring'!C23+'Frende Skadeforsikring'!C23+'Gjensidige Forsikring'!C23+'Gjensidige Pensjon'!C23+'Handelsbanken Liv'!C23+'If Skadeforsikring NUF'!C23+KLP!C23+'KLP Bedriftspensjon AS'!C23+'KLP Skadeforsikring AS'!C23+'Landbruksforsikring AS'!C23+'NEMI Forsikring'!C23+'Nordea Liv '!C23+'Oslo Pensjonsforsikring'!C23+'SHB Liv'!C23+'Silver Pensjonsforsikring AS'!C23+'Sparebank 1'!C23+'Storebrand Livsforsikring'!C23+'Telenor Forsikring'!C23+'Tryg Forsikring'!C23,"")</f>
        <v>1561844.3553409642</v>
      </c>
      <c r="D23" s="174">
        <f>IF($A$1=4,IF(B23=0, "    ---- ", IF(ABS(ROUND(100/B23*C23-100,1))&lt;999,ROUND(100/B23*C23-100,1),IF(ROUND(100/B23*C23-100,1)&gt;999,999,-999))),"")</f>
        <v>20.2</v>
      </c>
      <c r="E23" s="43">
        <f>IF($A$1=4,'ACE European Group'!F23+'Danica Pensjonsforsikring'!F23+'DNB Livsforsikring'!F23+'Eika Forsikring AS'!F23+'Frende Livsforsikring'!F23+'Frende Skadeforsikring'!F23+'Gjensidige Forsikring'!F23+'Gjensidige Pensjon'!F23+'Handelsbanken Liv'!F23+'If Skadeforsikring NUF'!F23+KLP!F23+'KLP Bedriftspensjon AS'!F23+'KLP Skadeforsikring AS'!F23+'Landbruksforsikring AS'!F23+'NEMI Forsikring'!F23+'Nordea Liv '!F23+'Oslo Pensjonsforsikring'!F23+'SHB Liv'!F23+'Silver Pensjonsforsikring AS'!F23+'Sparebank 1'!F23+'Storebrand Livsforsikring'!F23+'Telenor Forsikring'!F23+'Tryg Forsikring'!F23,"")</f>
        <v>158113.90322000001</v>
      </c>
      <c r="F23" s="43">
        <f>IF($A$1=4,'ACE European Group'!G23+'Danica Pensjonsforsikring'!G23+'DNB Livsforsikring'!G23+'Eika Forsikring AS'!G23+'Frende Livsforsikring'!G23+'Frende Skadeforsikring'!G23+'Gjensidige Forsikring'!G23+'Gjensidige Pensjon'!G23+'Handelsbanken Liv'!G23+'If Skadeforsikring NUF'!G23+KLP!G23+'KLP Bedriftspensjon AS'!G23+'KLP Skadeforsikring AS'!G23+'Landbruksforsikring AS'!G23+'NEMI Forsikring'!G23+'Nordea Liv '!G23+'Oslo Pensjonsforsikring'!G23+'SHB Liv'!G23+'Silver Pensjonsforsikring AS'!G23+'Sparebank 1'!G23+'Storebrand Livsforsikring'!G23+'Telenor Forsikring'!G23+'Tryg Forsikring'!G23,"")</f>
        <v>153618.36035</v>
      </c>
      <c r="G23" s="164">
        <f>IF($A$1=4,IF(E23=0, "    ---- ", IF(ABS(ROUND(100/E23*F23-100,1))&lt;999,ROUND(100/E23*F23-100,1),IF(ROUND(100/E23*F23-100,1)&gt;999,999,-999))),"")</f>
        <v>-2.8</v>
      </c>
      <c r="H23" s="232">
        <f t="shared" ref="H23:H39" si="9">SUM(B23,E23)</f>
        <v>1457440.3993832499</v>
      </c>
      <c r="I23" s="43">
        <f t="shared" si="7"/>
        <v>1715462.7156909641</v>
      </c>
      <c r="J23" s="164">
        <f t="shared" si="8"/>
        <v>17.7</v>
      </c>
    </row>
    <row r="24" spans="1:11" ht="15.75" customHeight="1" x14ac:dyDescent="0.2">
      <c r="A24" s="294" t="s">
        <v>306</v>
      </c>
      <c r="B24" s="43">
        <f>IF($A$1=4,'ACE European Group'!B24+'Danica Pensjonsforsikring'!B24+'DNB Livsforsikring'!B24+'Eika Forsikring AS'!B24+'Frende Livsforsikring'!B24+'Frende Skadeforsikring'!B24+'Gjensidige Forsikring'!B24+'Gjensidige Pensjon'!B24+'Handelsbanken Liv'!B24+'If Skadeforsikring NUF'!B24+KLP!B24+'KLP Bedriftspensjon AS'!B24+'KLP Skadeforsikring AS'!B24+'Landbruksforsikring AS'!B24+'NEMI Forsikring'!B24+'Nordea Liv '!B24+'Oslo Pensjonsforsikring'!B24+'SHB Liv'!B24+'Silver Pensjonsforsikring AS'!B24+'Sparebank 1'!B24+'Storebrand Livsforsikring'!B24+'Telenor Forsikring'!B24+'Tryg Forsikring'!B24,"")</f>
        <v>19339.203928051309</v>
      </c>
      <c r="C24" s="43">
        <f>IF($A$1=4,'ACE European Group'!C24+'Danica Pensjonsforsikring'!C24+'DNB Livsforsikring'!C24+'Eika Forsikring AS'!C24+'Frende Livsforsikring'!C24+'Frende Skadeforsikring'!C24+'Gjensidige Forsikring'!C24+'Gjensidige Pensjon'!C24+'Handelsbanken Liv'!C24+'If Skadeforsikring NUF'!C24+KLP!C24+'KLP Bedriftspensjon AS'!C24+'KLP Skadeforsikring AS'!C24+'Landbruksforsikring AS'!C24+'NEMI Forsikring'!C24+'Nordea Liv '!C24+'Oslo Pensjonsforsikring'!C24+'SHB Liv'!C24+'Silver Pensjonsforsikring AS'!C24+'Sparebank 1'!C24+'Storebrand Livsforsikring'!C24+'Telenor Forsikring'!C24+'Tryg Forsikring'!C24,"")</f>
        <v>17643.164805349988</v>
      </c>
      <c r="D24" s="174">
        <f t="shared" ref="D24:D27" si="10">IF($A$1=4,IF(B24=0, "    ---- ", IF(ABS(ROUND(100/B24*C24-100,1))&lt;999,ROUND(100/B24*C24-100,1),IF(ROUND(100/B24*C24-100,1)&gt;999,999,-999))),"")</f>
        <v>-8.8000000000000007</v>
      </c>
      <c r="E24" s="43">
        <f>IF($A$1=4,'ACE European Group'!F24+'Danica Pensjonsforsikring'!F24+'DNB Livsforsikring'!F24+'Eika Forsikring AS'!F24+'Frende Livsforsikring'!F24+'Frende Skadeforsikring'!F24+'Gjensidige Forsikring'!F24+'Gjensidige Pensjon'!F24+'Handelsbanken Liv'!F24+'If Skadeforsikring NUF'!F24+KLP!F24+'KLP Bedriftspensjon AS'!F24+'KLP Skadeforsikring AS'!F24+'Landbruksforsikring AS'!F24+'NEMI Forsikring'!F24+'Nordea Liv '!F24+'Oslo Pensjonsforsikring'!F24+'SHB Liv'!F24+'Silver Pensjonsforsikring AS'!F24+'Sparebank 1'!F24+'Storebrand Livsforsikring'!F24+'Telenor Forsikring'!F24+'Tryg Forsikring'!F24,"")</f>
        <v>6341.8019999999997</v>
      </c>
      <c r="F24" s="43">
        <f>IF($A$1=4,'ACE European Group'!G24+'Danica Pensjonsforsikring'!G24+'DNB Livsforsikring'!G24+'Eika Forsikring AS'!G24+'Frende Livsforsikring'!G24+'Frende Skadeforsikring'!G24+'Gjensidige Forsikring'!G24+'Gjensidige Pensjon'!G24+'Handelsbanken Liv'!G24+'If Skadeforsikring NUF'!G24+KLP!G24+'KLP Bedriftspensjon AS'!G24+'KLP Skadeforsikring AS'!G24+'Landbruksforsikring AS'!G24+'NEMI Forsikring'!G24+'Nordea Liv '!G24+'Oslo Pensjonsforsikring'!G24+'SHB Liv'!G24+'Silver Pensjonsforsikring AS'!G24+'Sparebank 1'!G24+'Storebrand Livsforsikring'!G24+'Telenor Forsikring'!G24+'Tryg Forsikring'!G24,"")</f>
        <v>815.0868099999999</v>
      </c>
      <c r="G24" s="164">
        <f t="shared" ref="G24:G25" si="11">IF($A$1=4,IF(E24=0, "    ---- ", IF(ABS(ROUND(100/E24*F24-100,1))&lt;999,ROUND(100/E24*F24-100,1),IF(ROUND(100/E24*F24-100,1)&gt;999,999,-999))),"")</f>
        <v>-87.1</v>
      </c>
      <c r="H24" s="232">
        <f t="shared" si="9"/>
        <v>25681.005928051309</v>
      </c>
      <c r="I24" s="43">
        <f t="shared" si="7"/>
        <v>18458.251615349989</v>
      </c>
      <c r="J24" s="158">
        <f t="shared" si="8"/>
        <v>-28.1</v>
      </c>
    </row>
    <row r="25" spans="1:11" ht="15.75" customHeight="1" x14ac:dyDescent="0.2">
      <c r="A25" s="294" t="s">
        <v>406</v>
      </c>
      <c r="B25" s="43">
        <f>IF($A$1=4,'ACE European Group'!B25+'Danica Pensjonsforsikring'!B25+'DNB Livsforsikring'!B25+'Eika Forsikring AS'!B25+'Frende Livsforsikring'!B25+'Frende Skadeforsikring'!B25+'Gjensidige Forsikring'!B25+'Gjensidige Pensjon'!B25+'Handelsbanken Liv'!B25+'If Skadeforsikring NUF'!B25+KLP!B25+'KLP Bedriftspensjon AS'!B25+'KLP Skadeforsikring AS'!B25+'Landbruksforsikring AS'!B25+'NEMI Forsikring'!B25+'Nordea Liv '!B25+'Oslo Pensjonsforsikring'!B25+'SHB Liv'!B25+'Silver Pensjonsforsikring AS'!B25+'Sparebank 1'!B25+'Storebrand Livsforsikring'!B25+'Telenor Forsikring'!B25+'Tryg Forsikring'!B25,"")</f>
        <v>116767.25</v>
      </c>
      <c r="C25" s="43">
        <f>IF($A$1=4,'ACE European Group'!C25+'Danica Pensjonsforsikring'!C25+'DNB Livsforsikring'!C25+'Eika Forsikring AS'!C25+'Frende Livsforsikring'!C25+'Frende Skadeforsikring'!C25+'Gjensidige Forsikring'!C25+'Gjensidige Pensjon'!C25+'Handelsbanken Liv'!C25+'If Skadeforsikring NUF'!C25+KLP!C25+'KLP Bedriftspensjon AS'!C25+'KLP Skadeforsikring AS'!C25+'Landbruksforsikring AS'!C25+'NEMI Forsikring'!C25+'Nordea Liv '!C25+'Oslo Pensjonsforsikring'!C25+'SHB Liv'!C25+'Silver Pensjonsforsikring AS'!C25+'Sparebank 1'!C25+'Storebrand Livsforsikring'!C25+'Telenor Forsikring'!C25+'Tryg Forsikring'!C25,"")</f>
        <v>29527.506000000001</v>
      </c>
      <c r="D25" s="174">
        <f t="shared" si="10"/>
        <v>-74.7</v>
      </c>
      <c r="E25" s="43">
        <f>IF($A$1=4,'ACE European Group'!F25+'Danica Pensjonsforsikring'!F25+'DNB Livsforsikring'!F25+'Eika Forsikring AS'!F25+'Frende Livsforsikring'!F25+'Frende Skadeforsikring'!F25+'Gjensidige Forsikring'!F25+'Gjensidige Pensjon'!F25+'Handelsbanken Liv'!F25+'If Skadeforsikring NUF'!F25+KLP!F25+'KLP Bedriftspensjon AS'!F25+'KLP Skadeforsikring AS'!F25+'Landbruksforsikring AS'!F25+'NEMI Forsikring'!F25+'Nordea Liv '!F25+'Oslo Pensjonsforsikring'!F25+'SHB Liv'!F25+'Silver Pensjonsforsikring AS'!F25+'Sparebank 1'!F25+'Storebrand Livsforsikring'!F25+'Telenor Forsikring'!F25+'Tryg Forsikring'!F25,"")</f>
        <v>234152.67611999999</v>
      </c>
      <c r="F25" s="43">
        <f>IF($A$1=4,'ACE European Group'!G25+'Danica Pensjonsforsikring'!G25+'DNB Livsforsikring'!G25+'Eika Forsikring AS'!G25+'Frende Livsforsikring'!G25+'Frende Skadeforsikring'!G25+'Gjensidige Forsikring'!G25+'Gjensidige Pensjon'!G25+'Handelsbanken Liv'!G25+'If Skadeforsikring NUF'!G25+KLP!G25+'KLP Bedriftspensjon AS'!G25+'KLP Skadeforsikring AS'!G25+'Landbruksforsikring AS'!G25+'NEMI Forsikring'!G25+'Nordea Liv '!G25+'Oslo Pensjonsforsikring'!G25+'SHB Liv'!G25+'Silver Pensjonsforsikring AS'!G25+'Sparebank 1'!G25+'Storebrand Livsforsikring'!G25+'Telenor Forsikring'!G25+'Tryg Forsikring'!G25,"")</f>
        <v>202819.43448</v>
      </c>
      <c r="G25" s="164">
        <f t="shared" si="11"/>
        <v>-13.4</v>
      </c>
      <c r="H25" s="232">
        <f t="shared" si="9"/>
        <v>350919.92611999996</v>
      </c>
      <c r="I25" s="43">
        <f t="shared" si="7"/>
        <v>232346.94047999999</v>
      </c>
      <c r="J25" s="174">
        <f t="shared" si="8"/>
        <v>-33.799999999999997</v>
      </c>
    </row>
    <row r="26" spans="1:11" ht="15.75" customHeight="1" x14ac:dyDescent="0.2">
      <c r="A26" s="294" t="s">
        <v>307</v>
      </c>
      <c r="B26" s="43">
        <f>IF($A$1=4,'ACE European Group'!B26+'Danica Pensjonsforsikring'!B26+'DNB Livsforsikring'!B26+'Eika Forsikring AS'!B26+'Frende Livsforsikring'!B26+'Frende Skadeforsikring'!B26+'Gjensidige Forsikring'!B26+'Gjensidige Pensjon'!B26+'Handelsbanken Liv'!B26+'If Skadeforsikring NUF'!B26+KLP!B26+'KLP Bedriftspensjon AS'!B26+'KLP Skadeforsikring AS'!B26+'Landbruksforsikring AS'!B26+'NEMI Forsikring'!B26+'Nordea Liv '!B26+'Oslo Pensjonsforsikring'!B26+'SHB Liv'!B26+'Silver Pensjonsforsikring AS'!B26+'Sparebank 1'!B26+'Storebrand Livsforsikring'!B26+'Telenor Forsikring'!B26+'Tryg Forsikring'!B26,"")</f>
        <v>0</v>
      </c>
      <c r="C26" s="43">
        <f>IF($A$1=4,'ACE European Group'!C26+'Danica Pensjonsforsikring'!C26+'DNB Livsforsikring'!C26+'Eika Forsikring AS'!C26+'Frende Livsforsikring'!C26+'Frende Skadeforsikring'!C26+'Gjensidige Forsikring'!C26+'Gjensidige Pensjon'!C26+'Handelsbanken Liv'!C26+'If Skadeforsikring NUF'!C26+KLP!C26+'KLP Bedriftspensjon AS'!C26+'KLP Skadeforsikring AS'!C26+'Landbruksforsikring AS'!C26+'NEMI Forsikring'!C26+'Nordea Liv '!C26+'Oslo Pensjonsforsikring'!C26+'SHB Liv'!C26+'Silver Pensjonsforsikring AS'!C26+'Sparebank 1'!C26+'Storebrand Livsforsikring'!C26+'Telenor Forsikring'!C26+'Tryg Forsikring'!C26,"")</f>
        <v>0</v>
      </c>
      <c r="D26" s="174" t="str">
        <f t="shared" ref="D26" si="12">IF($A$1=4,IF(B26=0, "    ---- ", IF(ABS(ROUND(100/B26*C26-100,1))&lt;999,ROUND(100/B26*C26-100,1),IF(ROUND(100/B26*C26-100,1)&gt;999,999,-999))),"")</f>
        <v xml:space="preserve">    ---- </v>
      </c>
      <c r="E26" s="43">
        <f>IF($A$1=4,'ACE European Group'!F26+'Danica Pensjonsforsikring'!F26+'DNB Livsforsikring'!F26+'Eika Forsikring AS'!F26+'Frende Livsforsikring'!F26+'Frende Skadeforsikring'!F26+'Gjensidige Forsikring'!F26+'Gjensidige Pensjon'!F26+'Handelsbanken Liv'!F26+'If Skadeforsikring NUF'!F26+KLP!F26+'KLP Bedriftspensjon AS'!F26+'KLP Skadeforsikring AS'!F26+'Landbruksforsikring AS'!F26+'NEMI Forsikring'!F26+'Nordea Liv '!F26+'Oslo Pensjonsforsikring'!F26+'SHB Liv'!F26+'Silver Pensjonsforsikring AS'!F26+'Sparebank 1'!F26+'Storebrand Livsforsikring'!F26+'Telenor Forsikring'!F26+'Tryg Forsikring'!F26,"")</f>
        <v>0</v>
      </c>
      <c r="F26" s="43">
        <f>IF($A$1=4,'ACE European Group'!G26+'Danica Pensjonsforsikring'!G26+'DNB Livsforsikring'!G26+'Eika Forsikring AS'!G26+'Frende Livsforsikring'!G26+'Frende Skadeforsikring'!G26+'Gjensidige Forsikring'!G26+'Gjensidige Pensjon'!G26+'Handelsbanken Liv'!G26+'If Skadeforsikring NUF'!G26+KLP!G26+'KLP Bedriftspensjon AS'!G26+'KLP Skadeforsikring AS'!G26+'Landbruksforsikring AS'!G26+'NEMI Forsikring'!G26+'Nordea Liv '!G26+'Oslo Pensjonsforsikring'!G26+'SHB Liv'!G26+'Silver Pensjonsforsikring AS'!G26+'Sparebank 1'!G26+'Storebrand Livsforsikring'!G26+'Telenor Forsikring'!G26+'Tryg Forsikring'!G26,"")</f>
        <v>803087.78911000001</v>
      </c>
      <c r="G26" s="164"/>
      <c r="H26" s="232">
        <f t="shared" ref="H26" si="13">SUM(B26,E26)</f>
        <v>0</v>
      </c>
      <c r="I26" s="43">
        <f t="shared" ref="I26" si="14">SUM(C26,F26)</f>
        <v>803087.78911000001</v>
      </c>
      <c r="J26" s="174" t="str">
        <f t="shared" ref="J26" si="15">IF(H26=0, "    ---- ", IF(ABS(ROUND(100/H26*I26-100,1))&lt;999,ROUND(100/H26*I26-100,1),IF(ROUND(100/H26*I26-100,1)&gt;999,999,-999)))</f>
        <v xml:space="preserve">    ---- </v>
      </c>
    </row>
    <row r="27" spans="1:11" ht="15.75" customHeight="1" x14ac:dyDescent="0.2">
      <c r="A27" s="294" t="s">
        <v>11</v>
      </c>
      <c r="B27" s="43">
        <f>IF($A$1=4,'ACE European Group'!B27+'Danica Pensjonsforsikring'!B27+'DNB Livsforsikring'!B27+'Eika Forsikring AS'!B27+'Frende Livsforsikring'!B27+'Frende Skadeforsikring'!B27+'Gjensidige Forsikring'!B27+'Gjensidige Pensjon'!B27+'Handelsbanken Liv'!B27+'If Skadeforsikring NUF'!B27+KLP!B27+'KLP Bedriftspensjon AS'!B27+'KLP Skadeforsikring AS'!B27+'Landbruksforsikring AS'!B27+'NEMI Forsikring'!B27+'Nordea Liv '!B27+'Oslo Pensjonsforsikring'!B27+'SHB Liv'!B27+'Silver Pensjonsforsikring AS'!B27+'Sparebank 1'!B27+'Storebrand Livsforsikring'!B27+'Telenor Forsikring'!B27+'Tryg Forsikring'!B27,"")</f>
        <v>81.404849999999996</v>
      </c>
      <c r="C27" s="43">
        <f>IF($A$1=4,'ACE European Group'!C27+'Danica Pensjonsforsikring'!C27+'DNB Livsforsikring'!C27+'Eika Forsikring AS'!C27+'Frende Livsforsikring'!C27+'Frende Skadeforsikring'!C27+'Gjensidige Forsikring'!C27+'Gjensidige Pensjon'!C27+'Handelsbanken Liv'!C27+'If Skadeforsikring NUF'!C27+KLP!C27+'KLP Bedriftspensjon AS'!C27+'KLP Skadeforsikring AS'!C27+'Landbruksforsikring AS'!C27+'NEMI Forsikring'!C27+'Nordea Liv '!C27+'Oslo Pensjonsforsikring'!C27+'SHB Liv'!C27+'Silver Pensjonsforsikring AS'!C27+'Sparebank 1'!C27+'Storebrand Livsforsikring'!C27+'Telenor Forsikring'!C27+'Tryg Forsikring'!C27,"")</f>
        <v>73.589250000000007</v>
      </c>
      <c r="D27" s="174">
        <f t="shared" si="10"/>
        <v>-9.6</v>
      </c>
      <c r="E27" s="43">
        <f>IF($A$1=4,'ACE European Group'!F27+'Danica Pensjonsforsikring'!F27+'DNB Livsforsikring'!F27+'Eika Forsikring AS'!F27+'Frende Livsforsikring'!F27+'Frende Skadeforsikring'!F27+'Gjensidige Forsikring'!F27+'Gjensidige Pensjon'!F27+'Handelsbanken Liv'!F27+'If Skadeforsikring NUF'!F27+KLP!F27+'KLP Bedriftspensjon AS'!F27+'KLP Skadeforsikring AS'!F27+'Landbruksforsikring AS'!F27+'NEMI Forsikring'!F27+'Nordea Liv '!F27+'Oslo Pensjonsforsikring'!F27+'SHB Liv'!F27+'Silver Pensjonsforsikring AS'!F27+'Sparebank 1'!F27+'Storebrand Livsforsikring'!F27+'Telenor Forsikring'!F27+'Tryg Forsikring'!F27,"")</f>
        <v>0</v>
      </c>
      <c r="F27" s="43">
        <f>IF($A$1=4,'ACE European Group'!G27+'Danica Pensjonsforsikring'!G27+'DNB Livsforsikring'!G27+'Eika Forsikring AS'!G27+'Frende Livsforsikring'!G27+'Frende Skadeforsikring'!G27+'Gjensidige Forsikring'!G27+'Gjensidige Pensjon'!G27+'Handelsbanken Liv'!G27+'If Skadeforsikring NUF'!G27+KLP!G27+'KLP Bedriftspensjon AS'!G27+'KLP Skadeforsikring AS'!G27+'Landbruksforsikring AS'!G27+'NEMI Forsikring'!G27+'Nordea Liv '!G27+'Oslo Pensjonsforsikring'!G27+'SHB Liv'!G27+'Silver Pensjonsforsikring AS'!G27+'Sparebank 1'!G27+'Storebrand Livsforsikring'!G27+'Telenor Forsikring'!G27+'Tryg Forsikring'!G27,"")</f>
        <v>0</v>
      </c>
      <c r="G27" s="164"/>
      <c r="H27" s="232">
        <f t="shared" si="9"/>
        <v>81.404849999999996</v>
      </c>
      <c r="I27" s="43">
        <f t="shared" si="7"/>
        <v>73.589250000000007</v>
      </c>
      <c r="J27" s="174">
        <f t="shared" si="8"/>
        <v>-9.6</v>
      </c>
    </row>
    <row r="28" spans="1:11" ht="15.75" customHeight="1" x14ac:dyDescent="0.2">
      <c r="A28" s="48" t="s">
        <v>297</v>
      </c>
      <c r="B28" s="43">
        <f>'ACE European Group'!B28+'Danica Pensjonsforsikring'!B28+'DNB Livsforsikring'!B28+'Eika Forsikring AS'!B28+'Frende Livsforsikring'!B28+'Frende Skadeforsikring'!B28+'Gjensidige Forsikring'!B28+'Gjensidige Pensjon'!B28+'Handelsbanken Liv'!B28+'If Skadeforsikring NUF'!B28+KLP!B28+'KLP Bedriftspensjon AS'!B28+'KLP Skadeforsikring AS'!B28+'Landbruksforsikring AS'!B28+'NEMI Forsikring'!B28+'Nordea Liv '!B28+'Oslo Pensjonsforsikring'!B28+'SHB Liv'!B28+'Silver Pensjonsforsikring AS'!B28+'Sparebank 1'!B28+'Storebrand Livsforsikring'!B28+'Telenor Forsikring'!B28+'Tryg Forsikring'!B28</f>
        <v>1513197.8567142789</v>
      </c>
      <c r="C28" s="43">
        <f>'ACE European Group'!C28+'Danica Pensjonsforsikring'!C28+'DNB Livsforsikring'!C28+'Eika Forsikring AS'!C28+'Frende Livsforsikring'!C28+'Frende Skadeforsikring'!C28+'Gjensidige Forsikring'!C28+'Gjensidige Pensjon'!C28+'Handelsbanken Liv'!C28+'If Skadeforsikring NUF'!C28+KLP!C28+'KLP Bedriftspensjon AS'!C28+'KLP Skadeforsikring AS'!C28+'Landbruksforsikring AS'!C28+'NEMI Forsikring'!C28+'Nordea Liv '!C28+'Oslo Pensjonsforsikring'!C28+'SHB Liv'!C28+'Silver Pensjonsforsikring AS'!C28+'Sparebank 1'!C28+'Storebrand Livsforsikring'!C28+'Telenor Forsikring'!C28+'Tryg Forsikring'!C28</f>
        <v>1615723.7428412312</v>
      </c>
      <c r="D28" s="164">
        <f t="shared" si="5"/>
        <v>6.8</v>
      </c>
      <c r="E28" s="185">
        <f>'ACE European Group'!F28+'Danica Pensjonsforsikring'!F28+'DNB Livsforsikring'!F28+'Eika Forsikring AS'!F28+'Frende Livsforsikring'!F28+'Frende Skadeforsikring'!F28+'Gjensidige Forsikring'!F28+'Gjensidige Pensjon'!F28+'Handelsbanken Liv'!F28+'If Skadeforsikring NUF'!F28+KLP!F28+'KLP Bedriftspensjon AS'!F28+'KLP Skadeforsikring AS'!F28+'Landbruksforsikring AS'!F28+'NEMI Forsikring'!F28+'Nordea Liv '!F28+'Oslo Pensjonsforsikring'!F28+'SHB Liv'!F28+'Silver Pensjonsforsikring AS'!F28+'Sparebank 1'!F28+'Storebrand Livsforsikring'!F28+'Telenor Forsikring'!F28+'Tryg Forsikring'!F28</f>
        <v>0</v>
      </c>
      <c r="F28" s="185">
        <f>'ACE European Group'!G28+'Danica Pensjonsforsikring'!G28+'DNB Livsforsikring'!G28+'Eika Forsikring AS'!G28+'Frende Livsforsikring'!G28+'Frende Skadeforsikring'!G28+'Gjensidige Forsikring'!G28+'Gjensidige Pensjon'!G28+'Handelsbanken Liv'!G28+'If Skadeforsikring NUF'!G28+KLP!G28+'KLP Bedriftspensjon AS'!G28+'KLP Skadeforsikring AS'!G28+'Landbruksforsikring AS'!G28+'NEMI Forsikring'!G28+'Nordea Liv '!G28+'Oslo Pensjonsforsikring'!G28+'SHB Liv'!G28+'Silver Pensjonsforsikring AS'!G28+'Sparebank 1'!G28+'Storebrand Livsforsikring'!G28+'Telenor Forsikring'!G28+'Tryg Forsikring'!G28</f>
        <v>0</v>
      </c>
      <c r="G28" s="164"/>
      <c r="H28" s="232">
        <f t="shared" si="9"/>
        <v>1513197.8567142789</v>
      </c>
      <c r="I28" s="43">
        <f t="shared" si="7"/>
        <v>1615723.7428412312</v>
      </c>
      <c r="J28" s="164">
        <f t="shared" si="8"/>
        <v>6.8</v>
      </c>
      <c r="K28" s="3"/>
    </row>
    <row r="29" spans="1:11" s="417" customFormat="1" ht="15.75" customHeight="1" x14ac:dyDescent="0.2">
      <c r="A29" s="13" t="s">
        <v>25</v>
      </c>
      <c r="B29" s="234">
        <f>'ACE European Group'!B29+'Danica Pensjonsforsikring'!B29+'DNB Livsforsikring'!B29+'Eika Forsikring AS'!B29+'Frende Livsforsikring'!B29+'Frende Skadeforsikring'!B29+'Gjensidige Forsikring'!B29+'Gjensidige Pensjon'!B29+'Handelsbanken Liv'!B29+'If Skadeforsikring NUF'!B29+KLP!B29+'KLP Bedriftspensjon AS'!B29+'KLP Skadeforsikring AS'!B29+'Landbruksforsikring AS'!B29+'NEMI Forsikring'!B29+'Nordea Liv '!B29+'Oslo Pensjonsforsikring'!B29+'SHB Liv'!B29+'Silver Pensjonsforsikring AS'!B29+'Sparebank 1'!B29+'Storebrand Livsforsikring'!B29+'Telenor Forsikring'!B29+'Tryg Forsikring'!B29</f>
        <v>50628169.362620004</v>
      </c>
      <c r="C29" s="234">
        <f>'ACE European Group'!C29+'Danica Pensjonsforsikring'!C29+'DNB Livsforsikring'!C29+'Eika Forsikring AS'!C29+'Frende Livsforsikring'!C29+'Frende Skadeforsikring'!C29+'Gjensidige Forsikring'!C29+'Gjensidige Pensjon'!C29+'Handelsbanken Liv'!C29+'If Skadeforsikring NUF'!C29+KLP!C29+'KLP Bedriftspensjon AS'!C29+'KLP Skadeforsikring AS'!C29+'Landbruksforsikring AS'!C29+'NEMI Forsikring'!C29+'Nordea Liv '!C29+'Oslo Pensjonsforsikring'!C29+'SHB Liv'!C29+'Silver Pensjonsforsikring AS'!C29+'Sparebank 1'!C29+'Storebrand Livsforsikring'!C29+'Telenor Forsikring'!C29+'Tryg Forsikring'!C29</f>
        <v>49444544.327239998</v>
      </c>
      <c r="D29" s="169">
        <f t="shared" si="5"/>
        <v>-2.2999999999999998</v>
      </c>
      <c r="E29" s="306">
        <f>'ACE European Group'!F29+'Danica Pensjonsforsikring'!F29+'DNB Livsforsikring'!F29+'Eika Forsikring AS'!F29+'Frende Livsforsikring'!F29+'Frende Skadeforsikring'!F29+'Gjensidige Forsikring'!F29+'Gjensidige Pensjon'!F29+'Handelsbanken Liv'!F29+'If Skadeforsikring NUF'!F29+KLP!F29+'KLP Bedriftspensjon AS'!F29+'KLP Skadeforsikring AS'!F29+'Landbruksforsikring AS'!F29+'NEMI Forsikring'!F29+'Nordea Liv '!F29+'Oslo Pensjonsforsikring'!F29+'SHB Liv'!F29+'Silver Pensjonsforsikring AS'!F29+'Sparebank 1'!F29+'Storebrand Livsforsikring'!F29+'Telenor Forsikring'!F29+'Tryg Forsikring'!F29</f>
        <v>19113702.243369997</v>
      </c>
      <c r="F29" s="306">
        <f>'ACE European Group'!G29+'Danica Pensjonsforsikring'!G29+'DNB Livsforsikring'!G29+'Eika Forsikring AS'!G29+'Frende Livsforsikring'!G29+'Frende Skadeforsikring'!G29+'Gjensidige Forsikring'!G29+'Gjensidige Pensjon'!G29+'Handelsbanken Liv'!G29+'If Skadeforsikring NUF'!G29+KLP!G29+'KLP Bedriftspensjon AS'!G29+'KLP Skadeforsikring AS'!G29+'Landbruksforsikring AS'!G29+'NEMI Forsikring'!G29+'Nordea Liv '!G29+'Oslo Pensjonsforsikring'!G29+'SHB Liv'!G29+'Silver Pensjonsforsikring AS'!G29+'Sparebank 1'!G29+'Storebrand Livsforsikring'!G29+'Telenor Forsikring'!G29+'Tryg Forsikring'!G29</f>
        <v>20710688.607039999</v>
      </c>
      <c r="G29" s="169">
        <f t="shared" si="6"/>
        <v>8.4</v>
      </c>
      <c r="H29" s="306">
        <f t="shared" si="9"/>
        <v>69741871.605989993</v>
      </c>
      <c r="I29" s="234">
        <f t="shared" si="7"/>
        <v>70155232.934279993</v>
      </c>
      <c r="J29" s="169">
        <f t="shared" si="8"/>
        <v>0.6</v>
      </c>
    </row>
    <row r="30" spans="1:11" s="3" customFormat="1" ht="15.75" customHeight="1" x14ac:dyDescent="0.2">
      <c r="A30" s="294" t="s">
        <v>305</v>
      </c>
      <c r="B30" s="43">
        <f>IF($A$1=4,'ACE European Group'!B30+'Danica Pensjonsforsikring'!B30+'DNB Livsforsikring'!B30+'Eika Forsikring AS'!B30+'Frende Livsforsikring'!B30+'Frende Skadeforsikring'!B30+'Gjensidige Forsikring'!B30+'Gjensidige Pensjon'!B30+'Handelsbanken Liv'!B30+'If Skadeforsikring NUF'!B30+KLP!B30+'KLP Bedriftspensjon AS'!B30+'KLP Skadeforsikring AS'!B30+'Landbruksforsikring AS'!B30+'NEMI Forsikring'!B30+'Nordea Liv '!B30+'Oslo Pensjonsforsikring'!B30+'SHB Liv'!B30+'Silver Pensjonsforsikring AS'!B30+'Sparebank 1'!B30+'Storebrand Livsforsikring'!B30+'Telenor Forsikring'!B30+'Tryg Forsikring'!B30,"")</f>
        <v>12869206.365940358</v>
      </c>
      <c r="C30" s="43">
        <f>IF($A$1=4,'ACE European Group'!C30+'Danica Pensjonsforsikring'!C30+'DNB Livsforsikring'!C30+'Eika Forsikring AS'!C30+'Frende Livsforsikring'!C30+'Frende Skadeforsikring'!C30+'Gjensidige Forsikring'!C30+'Gjensidige Pensjon'!C30+'Handelsbanken Liv'!C30+'If Skadeforsikring NUF'!C30+KLP!C30+'KLP Bedriftspensjon AS'!C30+'KLP Skadeforsikring AS'!C30+'Landbruksforsikring AS'!C30+'NEMI Forsikring'!C30+'Nordea Liv '!C30+'Oslo Pensjonsforsikring'!C30+'SHB Liv'!C30+'Silver Pensjonsforsikring AS'!C30+'Sparebank 1'!C30+'Storebrand Livsforsikring'!C30+'Telenor Forsikring'!C30+'Tryg Forsikring'!C30,"")</f>
        <v>12861842.412676949</v>
      </c>
      <c r="D30" s="174">
        <f t="shared" ref="D30:D32" si="16">IF($A$1=4,IF(B30=0, "    ---- ", IF(ABS(ROUND(100/B30*C30-100,1))&lt;999,ROUND(100/B30*C30-100,1),IF(ROUND(100/B30*C30-100,1)&gt;999,999,-999))),"")</f>
        <v>-0.1</v>
      </c>
      <c r="E30" s="43">
        <f>IF($A$1=4,'ACE European Group'!F30+'Danica Pensjonsforsikring'!F30+'DNB Livsforsikring'!F30+'Eika Forsikring AS'!F30+'Frende Livsforsikring'!F30+'Frende Skadeforsikring'!F30+'Gjensidige Forsikring'!F30+'Gjensidige Pensjon'!F30+'Handelsbanken Liv'!F30+'If Skadeforsikring NUF'!F30+KLP!F30+'KLP Bedriftspensjon AS'!F30+'KLP Skadeforsikring AS'!F30+'Landbruksforsikring AS'!F30+'NEMI Forsikring'!F30+'Nordea Liv '!F30+'Oslo Pensjonsforsikring'!F30+'SHB Liv'!F30+'Silver Pensjonsforsikring AS'!F30+'Sparebank 1'!F30+'Storebrand Livsforsikring'!F30+'Telenor Forsikring'!F30+'Tryg Forsikring'!F30,"")</f>
        <v>4290847.92423</v>
      </c>
      <c r="F30" s="43">
        <f>IF($A$1=4,'ACE European Group'!G30+'Danica Pensjonsforsikring'!G30+'DNB Livsforsikring'!G30+'Eika Forsikring AS'!G30+'Frende Livsforsikring'!G30+'Frende Skadeforsikring'!G30+'Gjensidige Forsikring'!G30+'Gjensidige Pensjon'!G30+'Handelsbanken Liv'!G30+'If Skadeforsikring NUF'!G30+KLP!G30+'KLP Bedriftspensjon AS'!G30+'KLP Skadeforsikring AS'!G30+'Landbruksforsikring AS'!G30+'NEMI Forsikring'!G30+'Nordea Liv '!G30+'Oslo Pensjonsforsikring'!G30+'SHB Liv'!G30+'Silver Pensjonsforsikring AS'!G30+'Sparebank 1'!G30+'Storebrand Livsforsikring'!G30+'Telenor Forsikring'!G30+'Tryg Forsikring'!G30,"")</f>
        <v>4499742.2747</v>
      </c>
      <c r="G30" s="164">
        <f t="shared" ref="G30:G32" si="17">IF($A$1=4,IF(E30=0, "    ---- ", IF(ABS(ROUND(100/E30*F30-100,1))&lt;999,ROUND(100/E30*F30-100,1),IF(ROUND(100/E30*F30-100,1)&gt;999,999,-999))),"")</f>
        <v>4.9000000000000004</v>
      </c>
      <c r="H30" s="232">
        <f t="shared" si="9"/>
        <v>17160054.290170357</v>
      </c>
      <c r="I30" s="43">
        <f t="shared" si="7"/>
        <v>17361584.68737695</v>
      </c>
      <c r="J30" s="164">
        <f t="shared" si="8"/>
        <v>1.2</v>
      </c>
    </row>
    <row r="31" spans="1:11" s="3" customFormat="1" ht="15.75" customHeight="1" x14ac:dyDescent="0.2">
      <c r="A31" s="294" t="s">
        <v>306</v>
      </c>
      <c r="B31" s="43">
        <f>IF($A$1=4,'ACE European Group'!B31+'Danica Pensjonsforsikring'!B31+'DNB Livsforsikring'!B31+'Eika Forsikring AS'!B31+'Frende Livsforsikring'!B31+'Frende Skadeforsikring'!B31+'Gjensidige Forsikring'!B31+'Gjensidige Pensjon'!B31+'Handelsbanken Liv'!B31+'If Skadeforsikring NUF'!B31+KLP!B31+'KLP Bedriftspensjon AS'!B31+'KLP Skadeforsikring AS'!B31+'Landbruksforsikring AS'!B31+'NEMI Forsikring'!B31+'Nordea Liv '!B31+'Oslo Pensjonsforsikring'!B31+'SHB Liv'!B31+'Silver Pensjonsforsikring AS'!B31+'Sparebank 1'!B31+'Storebrand Livsforsikring'!B31+'Telenor Forsikring'!B31+'Tryg Forsikring'!B31,"")</f>
        <v>36347982.169679642</v>
      </c>
      <c r="C31" s="43">
        <f>IF($A$1=4,'ACE European Group'!C31+'Danica Pensjonsforsikring'!C31+'DNB Livsforsikring'!C31+'Eika Forsikring AS'!C31+'Frende Livsforsikring'!C31+'Frende Skadeforsikring'!C31+'Gjensidige Forsikring'!C31+'Gjensidige Pensjon'!C31+'Handelsbanken Liv'!C31+'If Skadeforsikring NUF'!C31+KLP!C31+'KLP Bedriftspensjon AS'!C31+'KLP Skadeforsikring AS'!C31+'Landbruksforsikring AS'!C31+'NEMI Forsikring'!C31+'Nordea Liv '!C31+'Oslo Pensjonsforsikring'!C31+'SHB Liv'!C31+'Silver Pensjonsforsikring AS'!C31+'Sparebank 1'!C31+'Storebrand Livsforsikring'!C31+'Telenor Forsikring'!C31+'Tryg Forsikring'!C31,"")</f>
        <v>35183239.628563046</v>
      </c>
      <c r="D31" s="174">
        <f t="shared" si="16"/>
        <v>-3.2</v>
      </c>
      <c r="E31" s="43">
        <f>IF($A$1=4,'ACE European Group'!F31+'Danica Pensjonsforsikring'!F31+'DNB Livsforsikring'!F31+'Eika Forsikring AS'!F31+'Frende Livsforsikring'!F31+'Frende Skadeforsikring'!F31+'Gjensidige Forsikring'!F31+'Gjensidige Pensjon'!F31+'Handelsbanken Liv'!F31+'If Skadeforsikring NUF'!F31+KLP!F31+'KLP Bedriftspensjon AS'!F31+'KLP Skadeforsikring AS'!F31+'Landbruksforsikring AS'!F31+'NEMI Forsikring'!F31+'Nordea Liv '!F31+'Oslo Pensjonsforsikring'!F31+'SHB Liv'!F31+'Silver Pensjonsforsikring AS'!F31+'Sparebank 1'!F31+'Storebrand Livsforsikring'!F31+'Telenor Forsikring'!F31+'Tryg Forsikring'!F31,"")</f>
        <v>11387027.408609999</v>
      </c>
      <c r="F31" s="43">
        <f>IF($A$1=4,'ACE European Group'!G31+'Danica Pensjonsforsikring'!G31+'DNB Livsforsikring'!G31+'Eika Forsikring AS'!G31+'Frende Livsforsikring'!G31+'Frende Skadeforsikring'!G31+'Gjensidige Forsikring'!G31+'Gjensidige Pensjon'!G31+'Handelsbanken Liv'!G31+'If Skadeforsikring NUF'!G31+KLP!G31+'KLP Bedriftspensjon AS'!G31+'KLP Skadeforsikring AS'!G31+'Landbruksforsikring AS'!G31+'NEMI Forsikring'!G31+'Nordea Liv '!G31+'Oslo Pensjonsforsikring'!G31+'SHB Liv'!G31+'Silver Pensjonsforsikring AS'!G31+'Sparebank 1'!G31+'Storebrand Livsforsikring'!G31+'Telenor Forsikring'!G31+'Tryg Forsikring'!G31,"")</f>
        <v>11256688.44043</v>
      </c>
      <c r="G31" s="164">
        <f t="shared" si="17"/>
        <v>-1.1000000000000001</v>
      </c>
      <c r="H31" s="232">
        <f t="shared" si="9"/>
        <v>47735009.578289643</v>
      </c>
      <c r="I31" s="43">
        <f t="shared" si="7"/>
        <v>46439928.068993047</v>
      </c>
      <c r="J31" s="164">
        <f t="shared" si="8"/>
        <v>-2.7</v>
      </c>
    </row>
    <row r="32" spans="1:11" ht="15.75" customHeight="1" x14ac:dyDescent="0.2">
      <c r="A32" s="294" t="s">
        <v>406</v>
      </c>
      <c r="B32" s="43">
        <f>IF($A$1=4,'ACE European Group'!B32+'Danica Pensjonsforsikring'!B32+'DNB Livsforsikring'!B32+'Eika Forsikring AS'!B32+'Frende Livsforsikring'!B32+'Frende Skadeforsikring'!B32+'Gjensidige Forsikring'!B32+'Gjensidige Pensjon'!B32+'Handelsbanken Liv'!B32+'If Skadeforsikring NUF'!B32+KLP!B32+'KLP Bedriftspensjon AS'!B32+'KLP Skadeforsikring AS'!B32+'Landbruksforsikring AS'!B32+'NEMI Forsikring'!B32+'Nordea Liv '!B32+'Oslo Pensjonsforsikring'!B32+'SHB Liv'!B32+'Silver Pensjonsforsikring AS'!B32+'Sparebank 1'!B32+'Storebrand Livsforsikring'!B32+'Telenor Forsikring'!B32+'Tryg Forsikring'!B32,"")</f>
        <v>1351734.827</v>
      </c>
      <c r="C32" s="43">
        <f>IF($A$1=4,'ACE European Group'!C32+'Danica Pensjonsforsikring'!C32+'DNB Livsforsikring'!C32+'Eika Forsikring AS'!C32+'Frende Livsforsikring'!C32+'Frende Skadeforsikring'!C32+'Gjensidige Forsikring'!C32+'Gjensidige Pensjon'!C32+'Handelsbanken Liv'!C32+'If Skadeforsikring NUF'!C32+KLP!C32+'KLP Bedriftspensjon AS'!C32+'KLP Skadeforsikring AS'!C32+'Landbruksforsikring AS'!C32+'NEMI Forsikring'!C32+'Nordea Liv '!C32+'Oslo Pensjonsforsikring'!C32+'SHB Liv'!C32+'Silver Pensjonsforsikring AS'!C32+'Sparebank 1'!C32+'Storebrand Livsforsikring'!C32+'Telenor Forsikring'!C32+'Tryg Forsikring'!C32,"")</f>
        <v>1317397.2859999998</v>
      </c>
      <c r="D32" s="174">
        <f t="shared" si="16"/>
        <v>-2.5</v>
      </c>
      <c r="E32" s="43">
        <f>IF($A$1=4,'ACE European Group'!F32+'Danica Pensjonsforsikring'!F32+'DNB Livsforsikring'!F32+'Eika Forsikring AS'!F32+'Frende Livsforsikring'!F32+'Frende Skadeforsikring'!F32+'Gjensidige Forsikring'!F32+'Gjensidige Pensjon'!F32+'Handelsbanken Liv'!F32+'If Skadeforsikring NUF'!F32+KLP!F32+'KLP Bedriftspensjon AS'!F32+'KLP Skadeforsikring AS'!F32+'Landbruksforsikring AS'!F32+'NEMI Forsikring'!F32+'Nordea Liv '!F32+'Oslo Pensjonsforsikring'!F32+'SHB Liv'!F32+'Silver Pensjonsforsikring AS'!F32+'Sparebank 1'!F32+'Storebrand Livsforsikring'!F32+'Telenor Forsikring'!F32+'Tryg Forsikring'!F32,"")</f>
        <v>3435826.91053</v>
      </c>
      <c r="F32" s="43">
        <f>IF($A$1=4,'ACE European Group'!G32+'Danica Pensjonsforsikring'!G32+'DNB Livsforsikring'!G32+'Eika Forsikring AS'!G32+'Frende Livsforsikring'!G32+'Frende Skadeforsikring'!G32+'Gjensidige Forsikring'!G32+'Gjensidige Pensjon'!G32+'Handelsbanken Liv'!G32+'If Skadeforsikring NUF'!G32+KLP!G32+'KLP Bedriftspensjon AS'!G32+'KLP Skadeforsikring AS'!G32+'Landbruksforsikring AS'!G32+'NEMI Forsikring'!G32+'Nordea Liv '!G32+'Oslo Pensjonsforsikring'!G32+'SHB Liv'!G32+'Silver Pensjonsforsikring AS'!G32+'Sparebank 1'!G32+'Storebrand Livsforsikring'!G32+'Telenor Forsikring'!G32+'Tryg Forsikring'!G32,"")</f>
        <v>4132011.9509399999</v>
      </c>
      <c r="G32" s="164">
        <f t="shared" si="17"/>
        <v>20.3</v>
      </c>
      <c r="H32" s="232">
        <f t="shared" si="9"/>
        <v>4787561.7375300005</v>
      </c>
      <c r="I32" s="43">
        <f t="shared" si="7"/>
        <v>5449409.2369400002</v>
      </c>
      <c r="J32" s="169">
        <f t="shared" si="8"/>
        <v>13.8</v>
      </c>
    </row>
    <row r="33" spans="1:10" ht="15.75" customHeight="1" x14ac:dyDescent="0.2">
      <c r="A33" s="294" t="s">
        <v>307</v>
      </c>
      <c r="B33" s="43">
        <f>IF($A$1=4,'ACE European Group'!B33+'Danica Pensjonsforsikring'!B33+'DNB Livsforsikring'!B33+'Eika Forsikring AS'!B33+'Frende Livsforsikring'!B33+'Frende Skadeforsikring'!B33+'Gjensidige Forsikring'!B33+'Gjensidige Pensjon'!B33+'Handelsbanken Liv'!B33+'If Skadeforsikring NUF'!B33+KLP!B33+'KLP Bedriftspensjon AS'!B33+'KLP Skadeforsikring AS'!B33+'Landbruksforsikring AS'!B33+'NEMI Forsikring'!B33+'Nordea Liv '!B33+'Oslo Pensjonsforsikring'!B33+'SHB Liv'!B33+'Silver Pensjonsforsikring AS'!B33+'Sparebank 1'!B33+'Storebrand Livsforsikring'!B33+'Telenor Forsikring'!B33+'Tryg Forsikring'!B33,"")</f>
        <v>0</v>
      </c>
      <c r="C33" s="43">
        <f>IF($A$1=4,'ACE European Group'!C33+'Danica Pensjonsforsikring'!C33+'DNB Livsforsikring'!C33+'Eika Forsikring AS'!C33+'Frende Livsforsikring'!C33+'Frende Skadeforsikring'!C33+'Gjensidige Forsikring'!C33+'Gjensidige Pensjon'!C33+'Handelsbanken Liv'!C33+'If Skadeforsikring NUF'!C33+KLP!C33+'KLP Bedriftspensjon AS'!C33+'KLP Skadeforsikring AS'!C33+'Landbruksforsikring AS'!C33+'NEMI Forsikring'!C33+'Nordea Liv '!C33+'Oslo Pensjonsforsikring'!C33+'SHB Liv'!C33+'Silver Pensjonsforsikring AS'!C33+'Sparebank 1'!C33+'Storebrand Livsforsikring'!C33+'Telenor Forsikring'!C33+'Tryg Forsikring'!C33,"")</f>
        <v>0</v>
      </c>
      <c r="D33" s="174"/>
      <c r="E33" s="43">
        <f>IF($A$1=4,'ACE European Group'!F33+'Danica Pensjonsforsikring'!F33+'DNB Livsforsikring'!F33+'Eika Forsikring AS'!F33+'Frende Livsforsikring'!F33+'Frende Skadeforsikring'!F33+'Gjensidige Forsikring'!F33+'Gjensidige Pensjon'!F33+'Handelsbanken Liv'!F33+'If Skadeforsikring NUF'!F33+KLP!F33+'KLP Bedriftspensjon AS'!F33+'KLP Skadeforsikring AS'!F33+'Landbruksforsikring AS'!F33+'NEMI Forsikring'!F33+'Nordea Liv '!F33+'Oslo Pensjonsforsikring'!F33+'SHB Liv'!F33+'Silver Pensjonsforsikring AS'!F33+'Sparebank 1'!F33+'Storebrand Livsforsikring'!F33+'Telenor Forsikring'!F33+'Tryg Forsikring'!F33,"")</f>
        <v>0</v>
      </c>
      <c r="F33" s="43">
        <f>IF($A$1=4,'ACE European Group'!G33+'Danica Pensjonsforsikring'!G33+'DNB Livsforsikring'!G33+'Eika Forsikring AS'!G33+'Frende Livsforsikring'!G33+'Frende Skadeforsikring'!G33+'Gjensidige Forsikring'!G33+'Gjensidige Pensjon'!G33+'Handelsbanken Liv'!G33+'If Skadeforsikring NUF'!G33+KLP!G33+'KLP Bedriftspensjon AS'!G33+'KLP Skadeforsikring AS'!G33+'Landbruksforsikring AS'!G33+'NEMI Forsikring'!G33+'Nordea Liv '!G33+'Oslo Pensjonsforsikring'!G33+'SHB Liv'!G33+'Silver Pensjonsforsikring AS'!G33+'Sparebank 1'!G33+'Storebrand Livsforsikring'!G33+'Telenor Forsikring'!G33+'Tryg Forsikring'!G33,"")</f>
        <v>822245.94097</v>
      </c>
      <c r="G33" s="164" t="str">
        <f t="shared" ref="G33" si="18">IF($A$1=4,IF(E33=0, "    ---- ", IF(ABS(ROUND(100/E33*F33-100,1))&lt;999,ROUND(100/E33*F33-100,1),IF(ROUND(100/E33*F33-100,1)&gt;999,999,-999))),"")</f>
        <v xml:space="preserve">    ---- </v>
      </c>
      <c r="H33" s="232">
        <f t="shared" ref="H33" si="19">SUM(B33,E33)</f>
        <v>0</v>
      </c>
      <c r="I33" s="43">
        <f t="shared" ref="I33" si="20">SUM(C33,F33)</f>
        <v>822245.94097</v>
      </c>
      <c r="J33" s="169" t="str">
        <f t="shared" ref="J33" si="21">IF(H33=0, "    ---- ", IF(ABS(ROUND(100/H33*I33-100,1))&lt;999,ROUND(100/H33*I33-100,1),IF(ROUND(100/H33*I33-100,1)&gt;999,999,-999)))</f>
        <v xml:space="preserve">    ---- </v>
      </c>
    </row>
    <row r="34" spans="1:10" s="42" customFormat="1" ht="15.75" customHeight="1" x14ac:dyDescent="0.2">
      <c r="A34" s="13" t="s">
        <v>24</v>
      </c>
      <c r="B34" s="234">
        <f>'ACE European Group'!B34+'Danica Pensjonsforsikring'!B34+'DNB Livsforsikring'!B34+'Eika Forsikring AS'!B34+'Frende Livsforsikring'!B34+'Frende Skadeforsikring'!B34+'Gjensidige Forsikring'!B34+'Gjensidige Pensjon'!B34+'Handelsbanken Liv'!B34+'If Skadeforsikring NUF'!B34+KLP!B34+'KLP Bedriftspensjon AS'!B34+'KLP Skadeforsikring AS'!B34+'Landbruksforsikring AS'!B34+'NEMI Forsikring'!B34+'Nordea Liv '!B34+'Oslo Pensjonsforsikring'!B34+'SHB Liv'!B34+'Silver Pensjonsforsikring AS'!B34+'Sparebank 1'!B34+'Storebrand Livsforsikring'!B34+'Telenor Forsikring'!B34+'Tryg Forsikring'!B34</f>
        <v>44311.521549999998</v>
      </c>
      <c r="C34" s="234">
        <f>'ACE European Group'!C34+'Danica Pensjonsforsikring'!C34+'DNB Livsforsikring'!C34+'Eika Forsikring AS'!C34+'Frende Livsforsikring'!C34+'Frende Skadeforsikring'!C34+'Gjensidige Forsikring'!C34+'Gjensidige Pensjon'!C34+'Handelsbanken Liv'!C34+'If Skadeforsikring NUF'!C34+KLP!C34+'KLP Bedriftspensjon AS'!C34+'KLP Skadeforsikring AS'!C34+'Landbruksforsikring AS'!C34+'NEMI Forsikring'!C34+'Nordea Liv '!C34+'Oslo Pensjonsforsikring'!C34+'SHB Liv'!C34+'Silver Pensjonsforsikring AS'!C34+'Sparebank 1'!C34+'Storebrand Livsforsikring'!C34+'Telenor Forsikring'!C34+'Tryg Forsikring'!C34</f>
        <v>40930.623200000002</v>
      </c>
      <c r="D34" s="169">
        <f t="shared" si="5"/>
        <v>-7.6</v>
      </c>
      <c r="E34" s="306">
        <f>'ACE European Group'!F34+'Danica Pensjonsforsikring'!F34+'DNB Livsforsikring'!F34+'Eika Forsikring AS'!F34+'Frende Livsforsikring'!F34+'Frende Skadeforsikring'!F34+'Gjensidige Forsikring'!F34+'Gjensidige Pensjon'!F34+'Handelsbanken Liv'!F34+'If Skadeforsikring NUF'!F34+KLP!F34+'KLP Bedriftspensjon AS'!F34+'KLP Skadeforsikring AS'!F34+'Landbruksforsikring AS'!F34+'NEMI Forsikring'!F34+'Nordea Liv '!F34+'Oslo Pensjonsforsikring'!F34+'SHB Liv'!F34+'Silver Pensjonsforsikring AS'!F34+'Sparebank 1'!F34+'Storebrand Livsforsikring'!F34+'Telenor Forsikring'!F34+'Tryg Forsikring'!F34</f>
        <v>78697.841959999991</v>
      </c>
      <c r="F34" s="306">
        <f>'ACE European Group'!G34+'Danica Pensjonsforsikring'!G34+'DNB Livsforsikring'!G34+'Eika Forsikring AS'!G34+'Frende Livsforsikring'!G34+'Frende Skadeforsikring'!G34+'Gjensidige Forsikring'!G34+'Gjensidige Pensjon'!G34+'Handelsbanken Liv'!G34+'If Skadeforsikring NUF'!G34+KLP!G34+'KLP Bedriftspensjon AS'!G34+'KLP Skadeforsikring AS'!G34+'Landbruksforsikring AS'!G34+'NEMI Forsikring'!G34+'Nordea Liv '!G34+'Oslo Pensjonsforsikring'!G34+'SHB Liv'!G34+'Silver Pensjonsforsikring AS'!G34+'Sparebank 1'!G34+'Storebrand Livsforsikring'!G34+'Telenor Forsikring'!G34+'Tryg Forsikring'!G34</f>
        <v>18121.116519999996</v>
      </c>
      <c r="G34" s="169">
        <f t="shared" si="6"/>
        <v>-77</v>
      </c>
      <c r="H34" s="306">
        <f t="shared" si="9"/>
        <v>123009.36351</v>
      </c>
      <c r="I34" s="234">
        <f t="shared" si="7"/>
        <v>59051.739719999998</v>
      </c>
      <c r="J34" s="169">
        <f t="shared" si="8"/>
        <v>-52</v>
      </c>
    </row>
    <row r="35" spans="1:10" s="42" customFormat="1" ht="15.75" customHeight="1" x14ac:dyDescent="0.2">
      <c r="A35" s="13" t="s">
        <v>23</v>
      </c>
      <c r="B35" s="234">
        <f>'ACE European Group'!B35+'Danica Pensjonsforsikring'!B35+'DNB Livsforsikring'!B35+'Eika Forsikring AS'!B35+'Frende Livsforsikring'!B35+'Frende Skadeforsikring'!B35+'Gjensidige Forsikring'!B35+'Gjensidige Pensjon'!B35+'Handelsbanken Liv'!B35+'If Skadeforsikring NUF'!B35+KLP!B35+'KLP Bedriftspensjon AS'!B35+'KLP Skadeforsikring AS'!B35+'Landbruksforsikring AS'!B35+'NEMI Forsikring'!B35+'Nordea Liv '!B35+'Oslo Pensjonsforsikring'!B35+'SHB Liv'!B35+'Silver Pensjonsforsikring AS'!B35+'Sparebank 1'!B35+'Storebrand Livsforsikring'!B35+'Telenor Forsikring'!B35+'Tryg Forsikring'!B35</f>
        <v>-60317.801070000001</v>
      </c>
      <c r="C35" s="234">
        <f>'ACE European Group'!C35+'Danica Pensjonsforsikring'!C35+'DNB Livsforsikring'!C35+'Eika Forsikring AS'!C35+'Frende Livsforsikring'!C35+'Frende Skadeforsikring'!C35+'Gjensidige Forsikring'!C35+'Gjensidige Pensjon'!C35+'Handelsbanken Liv'!C35+'If Skadeforsikring NUF'!C35+KLP!C35+'KLP Bedriftspensjon AS'!C35+'KLP Skadeforsikring AS'!C35+'Landbruksforsikring AS'!C35+'NEMI Forsikring'!C35+'Nordea Liv '!C35+'Oslo Pensjonsforsikring'!C35+'SHB Liv'!C35+'Silver Pensjonsforsikring AS'!C35+'Sparebank 1'!C35+'Storebrand Livsforsikring'!C35+'Telenor Forsikring'!C35+'Tryg Forsikring'!C35</f>
        <v>-65636.979730000006</v>
      </c>
      <c r="D35" s="169">
        <f t="shared" si="5"/>
        <v>8.8000000000000007</v>
      </c>
      <c r="E35" s="306">
        <f>'ACE European Group'!F35+'Danica Pensjonsforsikring'!F35+'DNB Livsforsikring'!F35+'Eika Forsikring AS'!F35+'Frende Livsforsikring'!F35+'Frende Skadeforsikring'!F35+'Gjensidige Forsikring'!F35+'Gjensidige Pensjon'!F35+'Handelsbanken Liv'!F35+'If Skadeforsikring NUF'!F35+KLP!F35+'KLP Bedriftspensjon AS'!F35+'KLP Skadeforsikring AS'!F35+'Landbruksforsikring AS'!F35+'NEMI Forsikring'!F35+'Nordea Liv '!F35+'Oslo Pensjonsforsikring'!F35+'SHB Liv'!F35+'Silver Pensjonsforsikring AS'!F35+'Sparebank 1'!F35+'Storebrand Livsforsikring'!F35+'Telenor Forsikring'!F35+'Tryg Forsikring'!F35</f>
        <v>104469.40084999999</v>
      </c>
      <c r="F35" s="306">
        <f>'ACE European Group'!G35+'Danica Pensjonsforsikring'!G35+'DNB Livsforsikring'!G35+'Eika Forsikring AS'!G35+'Frende Livsforsikring'!G35+'Frende Skadeforsikring'!G35+'Gjensidige Forsikring'!G35+'Gjensidige Pensjon'!G35+'Handelsbanken Liv'!G35+'If Skadeforsikring NUF'!G35+KLP!G35+'KLP Bedriftspensjon AS'!G35+'KLP Skadeforsikring AS'!G35+'Landbruksforsikring AS'!G35+'NEMI Forsikring'!G35+'Nordea Liv '!G35+'Oslo Pensjonsforsikring'!G35+'SHB Liv'!G35+'Silver Pensjonsforsikring AS'!G35+'Sparebank 1'!G35+'Storebrand Livsforsikring'!G35+'Telenor Forsikring'!G35+'Tryg Forsikring'!G35</f>
        <v>91902.427899999981</v>
      </c>
      <c r="G35" s="169">
        <f t="shared" si="6"/>
        <v>-12</v>
      </c>
      <c r="H35" s="306">
        <f t="shared" si="9"/>
        <v>44151.59977999999</v>
      </c>
      <c r="I35" s="234">
        <f t="shared" si="7"/>
        <v>26265.448169999974</v>
      </c>
      <c r="J35" s="169">
        <f t="shared" si="8"/>
        <v>-40.5</v>
      </c>
    </row>
    <row r="36" spans="1:10" s="42" customFormat="1" ht="15.75" customHeight="1" x14ac:dyDescent="0.2">
      <c r="A36" s="12" t="s">
        <v>308</v>
      </c>
      <c r="B36" s="234">
        <f>'ACE European Group'!B36+'Danica Pensjonsforsikring'!B36+'DNB Livsforsikring'!B36+'Eika Forsikring AS'!B36+'Frende Livsforsikring'!B36+'Frende Skadeforsikring'!B36+'Gjensidige Forsikring'!B36+'Gjensidige Pensjon'!B36+'Handelsbanken Liv'!B36+'If Skadeforsikring NUF'!B36+KLP!B36+'KLP Bedriftspensjon AS'!B36+'KLP Skadeforsikring AS'!B36+'Landbruksforsikring AS'!B36+'NEMI Forsikring'!B36+'Nordea Liv '!B36+'Oslo Pensjonsforsikring'!B36+'SHB Liv'!B36+'Silver Pensjonsforsikring AS'!B36+'Sparebank 1'!B36+'Storebrand Livsforsikring'!B36+'Telenor Forsikring'!B36+'Tryg Forsikring'!B36</f>
        <v>19300.98</v>
      </c>
      <c r="C36" s="234">
        <f>'ACE European Group'!C36+'Danica Pensjonsforsikring'!C36+'DNB Livsforsikring'!C36+'Eika Forsikring AS'!C36+'Frende Livsforsikring'!C36+'Frende Skadeforsikring'!C36+'Gjensidige Forsikring'!C36+'Gjensidige Pensjon'!C36+'Handelsbanken Liv'!C36+'If Skadeforsikring NUF'!C36+KLP!C36+'KLP Bedriftspensjon AS'!C36+'KLP Skadeforsikring AS'!C36+'Landbruksforsikring AS'!C36+'NEMI Forsikring'!C36+'Nordea Liv '!C36+'Oslo Pensjonsforsikring'!C36+'SHB Liv'!C36+'Silver Pensjonsforsikring AS'!C36+'Sparebank 1'!C36+'Storebrand Livsforsikring'!C36+'Telenor Forsikring'!C36+'Tryg Forsikring'!C36</f>
        <v>15539.098</v>
      </c>
      <c r="D36" s="158">
        <f t="shared" si="5"/>
        <v>-19.5</v>
      </c>
      <c r="E36" s="317">
        <f>'ACE European Group'!F36+'Danica Pensjonsforsikring'!F36+'DNB Livsforsikring'!F36+'Eika Forsikring AS'!F36+'Frende Livsforsikring'!F36+'Frende Skadeforsikring'!F36+'Gjensidige Forsikring'!F36+'Gjensidige Pensjon'!F36+'Handelsbanken Liv'!F36+'If Skadeforsikring NUF'!F36+KLP!F36+'KLP Bedriftspensjon AS'!F36+'KLP Skadeforsikring AS'!F36+'Landbruksforsikring AS'!F36+'NEMI Forsikring'!F36+'Nordea Liv '!F36+'Oslo Pensjonsforsikring'!F36+'SHB Liv'!F36+'Silver Pensjonsforsikring AS'!F36+'Sparebank 1'!F36+'Storebrand Livsforsikring'!F36+'Telenor Forsikring'!F36+'Tryg Forsikring'!F36</f>
        <v>0</v>
      </c>
      <c r="F36" s="317">
        <f>'ACE European Group'!G36+'Danica Pensjonsforsikring'!G36+'DNB Livsforsikring'!G36+'Eika Forsikring AS'!G36+'Frende Livsforsikring'!G36+'Frende Skadeforsikring'!G36+'Gjensidige Forsikring'!G36+'Gjensidige Pensjon'!G36+'Handelsbanken Liv'!G36+'If Skadeforsikring NUF'!G36+KLP!G36+'KLP Bedriftspensjon AS'!G36+'KLP Skadeforsikring AS'!G36+'Landbruksforsikring AS'!G36+'NEMI Forsikring'!G36+'Nordea Liv '!G36+'Oslo Pensjonsforsikring'!G36+'SHB Liv'!G36+'Silver Pensjonsforsikring AS'!G36+'Sparebank 1'!G36+'Storebrand Livsforsikring'!G36+'Telenor Forsikring'!G36+'Tryg Forsikring'!G36</f>
        <v>0</v>
      </c>
      <c r="G36" s="169"/>
      <c r="H36" s="306">
        <f t="shared" si="9"/>
        <v>19300.98</v>
      </c>
      <c r="I36" s="234">
        <f t="shared" si="7"/>
        <v>15539.098</v>
      </c>
      <c r="J36" s="158">
        <f t="shared" si="8"/>
        <v>-19.5</v>
      </c>
    </row>
    <row r="37" spans="1:10" s="42" customFormat="1" ht="15.75" customHeight="1" x14ac:dyDescent="0.2">
      <c r="A37" s="12" t="s">
        <v>309</v>
      </c>
      <c r="B37" s="234">
        <f>'ACE European Group'!B37+'Danica Pensjonsforsikring'!B37+'DNB Livsforsikring'!B37+'Eika Forsikring AS'!B37+'Frende Livsforsikring'!B37+'Frende Skadeforsikring'!B37+'Gjensidige Forsikring'!B37+'Gjensidige Pensjon'!B37+'Handelsbanken Liv'!B37+'If Skadeforsikring NUF'!B37+KLP!B37+'KLP Bedriftspensjon AS'!B37+'KLP Skadeforsikring AS'!B37+'Landbruksforsikring AS'!B37+'NEMI Forsikring'!B37+'Nordea Liv '!B37+'Oslo Pensjonsforsikring'!B37+'SHB Liv'!B37+'Silver Pensjonsforsikring AS'!B37+'Sparebank 1'!B37+'Storebrand Livsforsikring'!B37+'Telenor Forsikring'!B37+'Tryg Forsikring'!B37</f>
        <v>4072055.8659999999</v>
      </c>
      <c r="C37" s="234">
        <f>'ACE European Group'!C37+'Danica Pensjonsforsikring'!C37+'DNB Livsforsikring'!C37+'Eika Forsikring AS'!C37+'Frende Livsforsikring'!C37+'Frende Skadeforsikring'!C37+'Gjensidige Forsikring'!C37+'Gjensidige Pensjon'!C37+'Handelsbanken Liv'!C37+'If Skadeforsikring NUF'!C37+KLP!C37+'KLP Bedriftspensjon AS'!C37+'KLP Skadeforsikring AS'!C37+'Landbruksforsikring AS'!C37+'NEMI Forsikring'!C37+'Nordea Liv '!C37+'Oslo Pensjonsforsikring'!C37+'SHB Liv'!C37+'Silver Pensjonsforsikring AS'!C37+'Sparebank 1'!C37+'Storebrand Livsforsikring'!C37+'Telenor Forsikring'!C37+'Tryg Forsikring'!C37</f>
        <v>3929449.2230000002</v>
      </c>
      <c r="D37" s="169">
        <f t="shared" si="5"/>
        <v>-3.5</v>
      </c>
      <c r="E37" s="322">
        <f>'ACE European Group'!F37+'Danica Pensjonsforsikring'!F37+'DNB Livsforsikring'!F37+'Eika Forsikring AS'!F37+'Frende Livsforsikring'!F37+'Frende Skadeforsikring'!F37+'Gjensidige Forsikring'!F37+'Gjensidige Pensjon'!F37+'Handelsbanken Liv'!F37+'If Skadeforsikring NUF'!F37+KLP!F37+'KLP Bedriftspensjon AS'!F37+'KLP Skadeforsikring AS'!F37+'Landbruksforsikring AS'!F37+'NEMI Forsikring'!F37+'Nordea Liv '!F37+'Oslo Pensjonsforsikring'!F37+'SHB Liv'!F37+'Silver Pensjonsforsikring AS'!F37+'Sparebank 1'!F37+'Storebrand Livsforsikring'!F37+'Telenor Forsikring'!F37+'Tryg Forsikring'!F37</f>
        <v>0</v>
      </c>
      <c r="F37" s="322">
        <f>'ACE European Group'!G37+'Danica Pensjonsforsikring'!G37+'DNB Livsforsikring'!G37+'Eika Forsikring AS'!G37+'Frende Livsforsikring'!G37+'Frende Skadeforsikring'!G37+'Gjensidige Forsikring'!G37+'Gjensidige Pensjon'!G37+'Handelsbanken Liv'!G37+'If Skadeforsikring NUF'!G37+KLP!G37+'KLP Bedriftspensjon AS'!G37+'KLP Skadeforsikring AS'!G37+'Landbruksforsikring AS'!G37+'NEMI Forsikring'!G37+'Nordea Liv '!G37+'Oslo Pensjonsforsikring'!G37+'SHB Liv'!G37+'Silver Pensjonsforsikring AS'!G37+'Sparebank 1'!G37+'Storebrand Livsforsikring'!G37+'Telenor Forsikring'!G37+'Tryg Forsikring'!G37</f>
        <v>0</v>
      </c>
      <c r="G37" s="169"/>
      <c r="H37" s="306">
        <f t="shared" si="9"/>
        <v>4072055.8659999999</v>
      </c>
      <c r="I37" s="234">
        <f t="shared" si="7"/>
        <v>3929449.2230000002</v>
      </c>
      <c r="J37" s="169">
        <f t="shared" si="8"/>
        <v>-3.5</v>
      </c>
    </row>
    <row r="38" spans="1:10" s="42" customFormat="1" ht="15.75" customHeight="1" x14ac:dyDescent="0.2">
      <c r="A38" s="12" t="s">
        <v>310</v>
      </c>
      <c r="B38" s="234">
        <f>'ACE European Group'!B38+'Danica Pensjonsforsikring'!B38+'DNB Livsforsikring'!B38+'Eika Forsikring AS'!B38+'Frende Livsforsikring'!B38+'Frende Skadeforsikring'!B38+'Gjensidige Forsikring'!B38+'Gjensidige Pensjon'!B38+'Handelsbanken Liv'!B38+'If Skadeforsikring NUF'!B38+KLP!B38+'KLP Bedriftspensjon AS'!B38+'KLP Skadeforsikring AS'!B38+'Landbruksforsikring AS'!B38+'NEMI Forsikring'!B38+'Nordea Liv '!B38+'Oslo Pensjonsforsikring'!B38+'SHB Liv'!B38+'Silver Pensjonsforsikring AS'!B38+'Sparebank 1'!B38+'Storebrand Livsforsikring'!B38+'Telenor Forsikring'!B38+'Tryg Forsikring'!B38</f>
        <v>0</v>
      </c>
      <c r="C38" s="234">
        <f>'ACE European Group'!C38+'Danica Pensjonsforsikring'!C38+'DNB Livsforsikring'!C38+'Eika Forsikring AS'!C38+'Frende Livsforsikring'!C38+'Frende Skadeforsikring'!C38+'Gjensidige Forsikring'!C38+'Gjensidige Pensjon'!C38+'Handelsbanken Liv'!C38+'If Skadeforsikring NUF'!C38+KLP!C38+'KLP Bedriftspensjon AS'!C38+'KLP Skadeforsikring AS'!C38+'Landbruksforsikring AS'!C38+'NEMI Forsikring'!C38+'Nordea Liv '!C38+'Oslo Pensjonsforsikring'!C38+'SHB Liv'!C38+'Silver Pensjonsforsikring AS'!C38+'Sparebank 1'!C38+'Storebrand Livsforsikring'!C38+'Telenor Forsikring'!C38+'Tryg Forsikring'!C38</f>
        <v>0</v>
      </c>
      <c r="D38" s="169"/>
      <c r="E38" s="317">
        <f>'ACE European Group'!F38+'Danica Pensjonsforsikring'!F38+'DNB Livsforsikring'!F38+'Eika Forsikring AS'!F38+'Frende Livsforsikring'!F38+'Frende Skadeforsikring'!F38+'Gjensidige Forsikring'!F38+'Gjensidige Pensjon'!F38+'Handelsbanken Liv'!F38+'If Skadeforsikring NUF'!F38+KLP!F38+'KLP Bedriftspensjon AS'!F38+'KLP Skadeforsikring AS'!F38+'Landbruksforsikring AS'!F38+'NEMI Forsikring'!F38+'Nordea Liv '!F38+'Oslo Pensjonsforsikring'!F38+'SHB Liv'!F38+'Silver Pensjonsforsikring AS'!F38+'Sparebank 1'!F38+'Storebrand Livsforsikring'!F38+'Telenor Forsikring'!F38+'Tryg Forsikring'!F38</f>
        <v>0</v>
      </c>
      <c r="F38" s="323">
        <f>'ACE European Group'!G38+'Danica Pensjonsforsikring'!G38+'DNB Livsforsikring'!G38+'Eika Forsikring AS'!G38+'Frende Livsforsikring'!G38+'Frende Skadeforsikring'!G38+'Gjensidige Forsikring'!G38+'Gjensidige Pensjon'!G38+'Handelsbanken Liv'!G38+'If Skadeforsikring NUF'!G38+KLP!G38+'KLP Bedriftspensjon AS'!G38+'KLP Skadeforsikring AS'!G38+'Landbruksforsikring AS'!G38+'NEMI Forsikring'!G38+'Nordea Liv '!G38+'Oslo Pensjonsforsikring'!G38+'SHB Liv'!G38+'Silver Pensjonsforsikring AS'!G38+'Sparebank 1'!G38+'Storebrand Livsforsikring'!G38+'Telenor Forsikring'!G38+'Tryg Forsikring'!G38</f>
        <v>0</v>
      </c>
      <c r="G38" s="169"/>
      <c r="H38" s="306">
        <f t="shared" si="9"/>
        <v>0</v>
      </c>
      <c r="I38" s="234">
        <f t="shared" si="7"/>
        <v>0</v>
      </c>
      <c r="J38" s="169"/>
    </row>
    <row r="39" spans="1:10" s="42" customFormat="1" ht="15.75" customHeight="1" x14ac:dyDescent="0.2">
      <c r="A39" s="18" t="s">
        <v>311</v>
      </c>
      <c r="B39" s="274">
        <f>'ACE European Group'!B39+'Danica Pensjonsforsikring'!B39+'DNB Livsforsikring'!B39+'Eika Forsikring AS'!B39+'Frende Livsforsikring'!B39+'Frende Skadeforsikring'!B39+'Gjensidige Forsikring'!B39+'Gjensidige Pensjon'!B39+'Handelsbanken Liv'!B39+'If Skadeforsikring NUF'!B39+KLP!B39+'KLP Bedriftspensjon AS'!B39+'KLP Skadeforsikring AS'!B39+'Landbruksforsikring AS'!B39+'NEMI Forsikring'!B39+'Nordea Liv '!B39+'Oslo Pensjonsforsikring'!B39+'SHB Liv'!B39+'Silver Pensjonsforsikring AS'!B39+'Sparebank 1'!B39+'Storebrand Livsforsikring'!B39+'Telenor Forsikring'!B39+'Tryg Forsikring'!B39</f>
        <v>19</v>
      </c>
      <c r="C39" s="274">
        <f>'ACE European Group'!C39+'Danica Pensjonsforsikring'!C39+'DNB Livsforsikring'!C39+'Eika Forsikring AS'!C39+'Frende Livsforsikring'!C39+'Frende Skadeforsikring'!C39+'Gjensidige Forsikring'!C39+'Gjensidige Pensjon'!C39+'Handelsbanken Liv'!C39+'If Skadeforsikring NUF'!C39+KLP!C39+'KLP Bedriftspensjon AS'!C39+'KLP Skadeforsikring AS'!C39+'Landbruksforsikring AS'!C39+'NEMI Forsikring'!C39+'Nordea Liv '!C39+'Oslo Pensjonsforsikring'!C39+'SHB Liv'!C39+'Silver Pensjonsforsikring AS'!C39+'Sparebank 1'!C39+'Storebrand Livsforsikring'!C39+'Telenor Forsikring'!C39+'Tryg Forsikring'!C39</f>
        <v>5</v>
      </c>
      <c r="D39" s="167">
        <f t="shared" si="5"/>
        <v>-73.7</v>
      </c>
      <c r="E39" s="324">
        <f>'ACE European Group'!F39+'Danica Pensjonsforsikring'!F39+'DNB Livsforsikring'!F39+'Eika Forsikring AS'!F39+'Frende Livsforsikring'!F39+'Frende Skadeforsikring'!F39+'Gjensidige Forsikring'!F39+'Gjensidige Pensjon'!F39+'Handelsbanken Liv'!F39+'If Skadeforsikring NUF'!F39+KLP!F39+'KLP Bedriftspensjon AS'!F39+'KLP Skadeforsikring AS'!F39+'Landbruksforsikring AS'!F39+'NEMI Forsikring'!F39+'Nordea Liv '!F39+'Oslo Pensjonsforsikring'!F39+'SHB Liv'!F39+'Silver Pensjonsforsikring AS'!F39+'Sparebank 1'!F39+'Storebrand Livsforsikring'!F39+'Telenor Forsikring'!F39+'Tryg Forsikring'!F39</f>
        <v>0</v>
      </c>
      <c r="F39" s="324">
        <f>'ACE European Group'!G39+'Danica Pensjonsforsikring'!G39+'DNB Livsforsikring'!G39+'Eika Forsikring AS'!G39+'Frende Livsforsikring'!G39+'Frende Skadeforsikring'!G39+'Gjensidige Forsikring'!G39+'Gjensidige Pensjon'!G39+'Handelsbanken Liv'!G39+'If Skadeforsikring NUF'!G39+KLP!G39+'KLP Bedriftspensjon AS'!G39+'KLP Skadeforsikring AS'!G39+'Landbruksforsikring AS'!G39+'NEMI Forsikring'!G39+'Nordea Liv '!G39+'Oslo Pensjonsforsikring'!G39+'SHB Liv'!G39+'Silver Pensjonsforsikring AS'!G39+'Sparebank 1'!G39+'Storebrand Livsforsikring'!G39+'Telenor Forsikring'!G39+'Tryg Forsikring'!G39</f>
        <v>0</v>
      </c>
      <c r="G39" s="167"/>
      <c r="H39" s="312">
        <f t="shared" si="9"/>
        <v>19</v>
      </c>
      <c r="I39" s="274">
        <f t="shared" si="7"/>
        <v>5</v>
      </c>
      <c r="J39" s="167">
        <f t="shared" si="8"/>
        <v>-73.7</v>
      </c>
    </row>
    <row r="40" spans="1:10" ht="15.75" customHeight="1" x14ac:dyDescent="0.2">
      <c r="A40" s="46"/>
    </row>
    <row r="41" spans="1:10" ht="15.75" customHeight="1" x14ac:dyDescent="0.2">
      <c r="A41" s="153"/>
    </row>
    <row r="42" spans="1:10" ht="15.75" customHeight="1" x14ac:dyDescent="0.25">
      <c r="A42" s="145" t="s">
        <v>294</v>
      </c>
      <c r="B42" s="955"/>
      <c r="C42" s="955"/>
      <c r="D42" s="955"/>
      <c r="E42" s="959"/>
      <c r="F42" s="959"/>
      <c r="G42" s="959"/>
      <c r="H42" s="959"/>
      <c r="I42" s="959"/>
      <c r="J42" s="959"/>
    </row>
    <row r="43" spans="1:10" ht="15.75" customHeight="1" x14ac:dyDescent="0.25">
      <c r="A43" s="161"/>
      <c r="B43" s="432"/>
      <c r="C43" s="432"/>
      <c r="D43" s="432"/>
      <c r="E43" s="296"/>
      <c r="F43" s="296"/>
      <c r="G43" s="296"/>
      <c r="H43" s="296"/>
      <c r="I43" s="296"/>
      <c r="J43" s="296"/>
    </row>
    <row r="44" spans="1:10" s="3" customFormat="1" ht="15.75" customHeight="1" x14ac:dyDescent="0.25">
      <c r="A44" s="246"/>
      <c r="B44" s="325" t="s">
        <v>0</v>
      </c>
      <c r="C44" s="326"/>
      <c r="D44" s="251"/>
      <c r="E44" s="41"/>
      <c r="F44" s="41"/>
      <c r="G44" s="39"/>
      <c r="H44" s="41"/>
      <c r="I44" s="41"/>
      <c r="J44" s="39"/>
    </row>
    <row r="45" spans="1:10" s="3" customFormat="1" ht="15.75" customHeight="1" x14ac:dyDescent="0.2">
      <c r="A45" s="139"/>
      <c r="B45" s="150" t="s">
        <v>504</v>
      </c>
      <c r="C45" s="150" t="s">
        <v>505</v>
      </c>
      <c r="D45" s="249" t="s">
        <v>3</v>
      </c>
      <c r="E45" s="41"/>
      <c r="F45" s="41"/>
      <c r="G45" s="39"/>
      <c r="H45" s="41"/>
      <c r="I45" s="41"/>
      <c r="J45" s="39"/>
    </row>
    <row r="46" spans="1:10" s="3" customFormat="1" ht="15.75" customHeight="1" x14ac:dyDescent="0.2">
      <c r="A46" s="934"/>
      <c r="B46" s="45"/>
      <c r="C46" s="250"/>
      <c r="D46" s="17" t="s">
        <v>4</v>
      </c>
      <c r="E46" s="39"/>
      <c r="F46" s="39"/>
      <c r="G46" s="39"/>
      <c r="H46" s="39"/>
      <c r="I46" s="39"/>
      <c r="J46" s="39"/>
    </row>
    <row r="47" spans="1:10" s="417" customFormat="1" ht="15.75" customHeight="1" x14ac:dyDescent="0.2">
      <c r="A47" s="14" t="s">
        <v>26</v>
      </c>
      <c r="B47" s="234">
        <f>'ACE European Group'!B47+'Danica Pensjonsforsikring'!B47+'DNB Livsforsikring'!B47+'Eika Forsikring AS'!B47+'Frende Livsforsikring'!B47+'Frende Skadeforsikring'!B47+'Gjensidige Forsikring'!B47+'Gjensidige Pensjon'!B47+'Handelsbanken Liv'!B47+'If Skadeforsikring NUF'!B47+KLP!B47+'KLP Bedriftspensjon AS'!B47+'KLP Skadeforsikring AS'!B47+'Landbruksforsikring AS'!B47+'NEMI Forsikring'!B47+'Nordea Liv '!B47+'Oslo Pensjonsforsikring'!B47+'SHB Liv'!B47+'Silver Pensjonsforsikring AS'!B47+'Sparebank 1'!B47+'Storebrand Livsforsikring'!B47+'Telenor Forsikring'!B47+'Tryg Forsikring'!B47</f>
        <v>3733624.8820599997</v>
      </c>
      <c r="C47" s="327">
        <f>'ACE European Group'!C47+'Danica Pensjonsforsikring'!C47+'DNB Livsforsikring'!C47+'Eika Forsikring AS'!C47+'Frende Livsforsikring'!C47+'Frende Skadeforsikring'!C47+'Gjensidige Forsikring'!C47+'Gjensidige Pensjon'!C47+'Handelsbanken Liv'!C47+'If Skadeforsikring NUF'!C47+KLP!C47+'KLP Bedriftspensjon AS'!C47+'KLP Skadeforsikring AS'!C47+'Landbruksforsikring AS'!C47+'NEMI Forsikring'!C47+'Nordea Liv '!C47+'Oslo Pensjonsforsikring'!C47+'SHB Liv'!C47+'Silver Pensjonsforsikring AS'!C47+'Sparebank 1'!C47+'Storebrand Livsforsikring'!C47+'Telenor Forsikring'!C47+'Tryg Forsikring'!C47</f>
        <v>3808584.1414100002</v>
      </c>
      <c r="D47" s="169">
        <f t="shared" ref="D47:D58" si="22">IF(B47=0, "    ---- ", IF(ABS(ROUND(100/B47*C47-100,1))&lt;999,ROUND(100/B47*C47-100,1),IF(ROUND(100/B47*C47-100,1)&gt;999,999,-999)))</f>
        <v>2</v>
      </c>
      <c r="E47" s="418"/>
      <c r="F47" s="419"/>
      <c r="G47" s="31"/>
      <c r="H47" s="420"/>
      <c r="I47" s="420"/>
      <c r="J47" s="31"/>
    </row>
    <row r="48" spans="1:10" s="3" customFormat="1" ht="15.75" customHeight="1" x14ac:dyDescent="0.2">
      <c r="A48" s="37" t="s">
        <v>312</v>
      </c>
      <c r="B48" s="43">
        <f>'ACE European Group'!B48+'Danica Pensjonsforsikring'!B48+'DNB Livsforsikring'!B48+'Eika Forsikring AS'!B48+'Frende Livsforsikring'!B48+'Frende Skadeforsikring'!B48+'Gjensidige Forsikring'!B48+'Gjensidige Pensjon'!B48+'Handelsbanken Liv'!B48+'If Skadeforsikring NUF'!B48+KLP!B48+'KLP Bedriftspensjon AS'!B48+'KLP Skadeforsikring AS'!B48+'Landbruksforsikring AS'!B48+'NEMI Forsikring'!B48+'Nordea Liv '!B48+'Oslo Pensjonsforsikring'!B48+'SHB Liv'!B48+'Silver Pensjonsforsikring AS'!B48+'Sparebank 1'!B48+'Storebrand Livsforsikring'!B48+'Telenor Forsikring'!B48+'Tryg Forsikring'!B48</f>
        <v>2035598.40524</v>
      </c>
      <c r="C48" s="43">
        <f>'ACE European Group'!C48+'Danica Pensjonsforsikring'!C48+'DNB Livsforsikring'!C48+'Eika Forsikring AS'!C48+'Frende Livsforsikring'!C48+'Frende Skadeforsikring'!C48+'Gjensidige Forsikring'!C48+'Gjensidige Pensjon'!C48+'Handelsbanken Liv'!C48+'If Skadeforsikring NUF'!C48+KLP!C48+'KLP Bedriftspensjon AS'!C48+'KLP Skadeforsikring AS'!C48+'Landbruksforsikring AS'!C48+'NEMI Forsikring'!C48+'Nordea Liv '!C48+'Oslo Pensjonsforsikring'!C48+'SHB Liv'!C48+'Silver Pensjonsforsikring AS'!C48+'Sparebank 1'!C48+'Storebrand Livsforsikring'!C48+'Telenor Forsikring'!C48+'Tryg Forsikring'!C48</f>
        <v>2049158.0962799999</v>
      </c>
      <c r="D48" s="169">
        <f t="shared" si="22"/>
        <v>0.7</v>
      </c>
      <c r="E48" s="34"/>
      <c r="F48" s="5"/>
      <c r="G48" s="33"/>
      <c r="H48" s="32"/>
      <c r="I48" s="32"/>
      <c r="J48" s="31"/>
    </row>
    <row r="49" spans="1:10" s="3" customFormat="1" ht="15.75" customHeight="1" x14ac:dyDescent="0.2">
      <c r="A49" s="37" t="s">
        <v>313</v>
      </c>
      <c r="B49" s="189">
        <f>'ACE European Group'!B49+'Danica Pensjonsforsikring'!B49+'DNB Livsforsikring'!B49+'Eika Forsikring AS'!B49+'Frende Livsforsikring'!B49+'Frende Skadeforsikring'!B49+'Gjensidige Forsikring'!B49+'Gjensidige Pensjon'!B49+'Handelsbanken Liv'!B49+'If Skadeforsikring NUF'!B49+KLP!B49+'KLP Bedriftspensjon AS'!B49+'KLP Skadeforsikring AS'!B49+'Landbruksforsikring AS'!B49+'NEMI Forsikring'!B49+'Nordea Liv '!B49+'Oslo Pensjonsforsikring'!B49+'SHB Liv'!B49+'Silver Pensjonsforsikring AS'!B49+'Sparebank 1'!B49+'Storebrand Livsforsikring'!B49+'Telenor Forsikring'!B49+'Tryg Forsikring'!B49</f>
        <v>1698026.47682</v>
      </c>
      <c r="C49" s="189">
        <f>'ACE European Group'!C49+'Danica Pensjonsforsikring'!C49+'DNB Livsforsikring'!C49+'Eika Forsikring AS'!C49+'Frende Livsforsikring'!C49+'Frende Skadeforsikring'!C49+'Gjensidige Forsikring'!C49+'Gjensidige Pensjon'!C49+'Handelsbanken Liv'!C49+'If Skadeforsikring NUF'!C49+KLP!C49+'KLP Bedriftspensjon AS'!C49+'KLP Skadeforsikring AS'!C49+'Landbruksforsikring AS'!C49+'NEMI Forsikring'!C49+'Nordea Liv '!C49+'Oslo Pensjonsforsikring'!C49+'SHB Liv'!C49+'Silver Pensjonsforsikring AS'!C49+'Sparebank 1'!C49+'Storebrand Livsforsikring'!C49+'Telenor Forsikring'!C49+'Tryg Forsikring'!C49</f>
        <v>1759426.04513</v>
      </c>
      <c r="D49" s="169">
        <f t="shared" si="22"/>
        <v>3.6</v>
      </c>
      <c r="E49" s="34"/>
      <c r="F49" s="5"/>
      <c r="G49" s="33"/>
      <c r="H49" s="36"/>
      <c r="I49" s="36"/>
      <c r="J49" s="31"/>
    </row>
    <row r="50" spans="1:10" s="3" customFormat="1" ht="15.75" customHeight="1" x14ac:dyDescent="0.2">
      <c r="A50" s="294" t="s">
        <v>6</v>
      </c>
      <c r="B50" s="43">
        <f>IF($A$1=4,'ACE European Group'!B50+'Danica Pensjonsforsikring'!B50+'DNB Livsforsikring'!B50+'Eika Forsikring AS'!B50+'Frende Livsforsikring'!B50+'Frende Skadeforsikring'!B50+'Gjensidige Forsikring'!B50+'Gjensidige Pensjon'!B50+'Handelsbanken Liv'!B50+'If Skadeforsikring NUF'!B50+KLP!B50+'KLP Bedriftspensjon AS'!B50+'KLP Skadeforsikring AS'!B50+'Landbruksforsikring AS'!B50+'NEMI Forsikring'!B50+'Nordea Liv '!B50+'Oslo Pensjonsforsikring'!B50+'SHB Liv'!B50+'Silver Pensjonsforsikring AS'!B50+'Sparebank 1'!B50+'Storebrand Livsforsikring'!B50+'Telenor Forsikring'!B50+'Tryg Forsikring'!B50,"")</f>
        <v>3776.5945899999997</v>
      </c>
      <c r="C50" s="43">
        <f>IF($A$1=4,'ACE European Group'!C50+'Danica Pensjonsforsikring'!C50+'DNB Livsforsikring'!C50+'Eika Forsikring AS'!C50+'Frende Livsforsikring'!C50+'Frende Skadeforsikring'!C50+'Gjensidige Forsikring'!C50+'Gjensidige Pensjon'!C50+'Handelsbanken Liv'!C50+'If Skadeforsikring NUF'!C50+KLP!C50+'KLP Bedriftspensjon AS'!C50+'KLP Skadeforsikring AS'!C50+'Landbruksforsikring AS'!C50+'NEMI Forsikring'!C50+'Nordea Liv '!C50+'Oslo Pensjonsforsikring'!C50+'SHB Liv'!C50+'Silver Pensjonsforsikring AS'!C50+'Sparebank 1'!C50+'Storebrand Livsforsikring'!C50+'Telenor Forsikring'!C50+'Tryg Forsikring'!C50,"")</f>
        <v>2702.5501799999997</v>
      </c>
      <c r="D50" s="174">
        <f t="shared" ref="D50:D52" si="23">IF($A$1=4,IF(B50=0, "    ---- ", IF(ABS(ROUND(100/B50*C50-100,1))&lt;999,ROUND(100/B50*C50-100,1),IF(ROUND(100/B50*C50-100,1)&gt;999,999,-999))),"")</f>
        <v>-28.4</v>
      </c>
      <c r="E50" s="34"/>
      <c r="F50" s="5"/>
      <c r="G50" s="33"/>
      <c r="H50" s="32"/>
      <c r="I50" s="32"/>
      <c r="J50" s="31"/>
    </row>
    <row r="51" spans="1:10" s="3" customFormat="1" ht="15.75" customHeight="1" x14ac:dyDescent="0.2">
      <c r="A51" s="294" t="s">
        <v>7</v>
      </c>
      <c r="B51" s="43">
        <f>IF($A$1=4,'ACE European Group'!B51+'Danica Pensjonsforsikring'!B51+'DNB Livsforsikring'!B51+'Eika Forsikring AS'!B51+'Frende Livsforsikring'!B51+'Frende Skadeforsikring'!B51+'Gjensidige Forsikring'!B51+'Gjensidige Pensjon'!B51+'Handelsbanken Liv'!B51+'If Skadeforsikring NUF'!B51+KLP!B51+'KLP Bedriftspensjon AS'!B51+'KLP Skadeforsikring AS'!B51+'Landbruksforsikring AS'!B51+'NEMI Forsikring'!B51+'Nordea Liv '!B51+'Oslo Pensjonsforsikring'!B51+'SHB Liv'!B51+'Silver Pensjonsforsikring AS'!B51+'Sparebank 1'!B51+'Storebrand Livsforsikring'!B51+'Telenor Forsikring'!B51+'Tryg Forsikring'!B51,"")</f>
        <v>1416862.8822300001</v>
      </c>
      <c r="C51" s="43">
        <f>IF($A$1=4,'ACE European Group'!C51+'Danica Pensjonsforsikring'!C51+'DNB Livsforsikring'!C51+'Eika Forsikring AS'!C51+'Frende Livsforsikring'!C51+'Frende Skadeforsikring'!C51+'Gjensidige Forsikring'!C51+'Gjensidige Pensjon'!C51+'Handelsbanken Liv'!C51+'If Skadeforsikring NUF'!C51+KLP!C51+'KLP Bedriftspensjon AS'!C51+'KLP Skadeforsikring AS'!C51+'Landbruksforsikring AS'!C51+'NEMI Forsikring'!C51+'Nordea Liv '!C51+'Oslo Pensjonsforsikring'!C51+'SHB Liv'!C51+'Silver Pensjonsforsikring AS'!C51+'Sparebank 1'!C51+'Storebrand Livsforsikring'!C51+'Telenor Forsikring'!C51+'Tryg Forsikring'!C51,"")</f>
        <v>1476079.2936800001</v>
      </c>
      <c r="D51" s="174">
        <f t="shared" si="23"/>
        <v>4.2</v>
      </c>
      <c r="E51" s="34"/>
      <c r="F51" s="5"/>
      <c r="G51" s="33"/>
      <c r="H51" s="32"/>
      <c r="I51" s="32"/>
      <c r="J51" s="31"/>
    </row>
    <row r="52" spans="1:10" s="3" customFormat="1" ht="15.75" customHeight="1" x14ac:dyDescent="0.2">
      <c r="A52" s="294" t="s">
        <v>8</v>
      </c>
      <c r="B52" s="43">
        <f>IF($A$1=4,'ACE European Group'!B52+'Danica Pensjonsforsikring'!B52+'DNB Livsforsikring'!B52+'Eika Forsikring AS'!B52+'Frende Livsforsikring'!B52+'Frende Skadeforsikring'!B52+'Gjensidige Forsikring'!B52+'Gjensidige Pensjon'!B52+'Handelsbanken Liv'!B52+'If Skadeforsikring NUF'!B52+KLP!B52+'KLP Bedriftspensjon AS'!B52+'KLP Skadeforsikring AS'!B52+'Landbruksforsikring AS'!B52+'NEMI Forsikring'!B52+'Nordea Liv '!B52+'Oslo Pensjonsforsikring'!B52+'SHB Liv'!B52+'Silver Pensjonsforsikring AS'!B52+'Sparebank 1'!B52+'Storebrand Livsforsikring'!B52+'Telenor Forsikring'!B52+'Tryg Forsikring'!B52,"")</f>
        <v>277387</v>
      </c>
      <c r="C52" s="43">
        <f>IF($A$1=4,'ACE European Group'!C52+'Danica Pensjonsforsikring'!C52+'DNB Livsforsikring'!C52+'Eika Forsikring AS'!C52+'Frende Livsforsikring'!C52+'Frende Skadeforsikring'!C52+'Gjensidige Forsikring'!C52+'Gjensidige Pensjon'!C52+'Handelsbanken Liv'!C52+'If Skadeforsikring NUF'!C52+KLP!C52+'KLP Bedriftspensjon AS'!C52+'KLP Skadeforsikring AS'!C52+'Landbruksforsikring AS'!C52+'NEMI Forsikring'!C52+'Nordea Liv '!C52+'Oslo Pensjonsforsikring'!C52+'SHB Liv'!C52+'Silver Pensjonsforsikring AS'!C52+'Sparebank 1'!C52+'Storebrand Livsforsikring'!C52+'Telenor Forsikring'!C52+'Tryg Forsikring'!C52,"")</f>
        <v>280644.20127000002</v>
      </c>
      <c r="D52" s="174">
        <f t="shared" si="23"/>
        <v>1.2</v>
      </c>
      <c r="E52" s="34"/>
      <c r="F52" s="5"/>
      <c r="G52" s="33"/>
      <c r="H52" s="32"/>
      <c r="I52" s="32"/>
      <c r="J52" s="31"/>
    </row>
    <row r="53" spans="1:10" s="417" customFormat="1" ht="15.75" customHeight="1" x14ac:dyDescent="0.2">
      <c r="A53" s="38" t="s">
        <v>314</v>
      </c>
      <c r="B53" s="234">
        <f>'ACE European Group'!B53+'Danica Pensjonsforsikring'!B53+'DNB Livsforsikring'!B53+'Eika Forsikring AS'!B53+'Frende Livsforsikring'!B53+'Frende Skadeforsikring'!B53+'Gjensidige Forsikring'!B53+'Gjensidige Pensjon'!B53+'Handelsbanken Liv'!B53+'If Skadeforsikring NUF'!B53+KLP!B53+'KLP Bedriftspensjon AS'!B53+'KLP Skadeforsikring AS'!B53+'Landbruksforsikring AS'!B53+'NEMI Forsikring'!B53+'Nordea Liv '!B53+'Oslo Pensjonsforsikring'!B53+'SHB Liv'!B53+'Silver Pensjonsforsikring AS'!B53+'Sparebank 1'!B53+'Storebrand Livsforsikring'!B53+'Telenor Forsikring'!B53+'Tryg Forsikring'!B53</f>
        <v>168223.61300000001</v>
      </c>
      <c r="C53" s="234">
        <f>'ACE European Group'!C53+'Danica Pensjonsforsikring'!C53+'DNB Livsforsikring'!C53+'Eika Forsikring AS'!C53+'Frende Livsforsikring'!C53+'Frende Skadeforsikring'!C53+'Gjensidige Forsikring'!C53+'Gjensidige Pensjon'!C53+'Handelsbanken Liv'!C53+'If Skadeforsikring NUF'!C53+KLP!C53+'KLP Bedriftspensjon AS'!C53+'KLP Skadeforsikring AS'!C53+'Landbruksforsikring AS'!C53+'NEMI Forsikring'!C53+'Nordea Liv '!C53+'Oslo Pensjonsforsikring'!C53+'SHB Liv'!C53+'Silver Pensjonsforsikring AS'!C53+'Sparebank 1'!C53+'Storebrand Livsforsikring'!C53+'Telenor Forsikring'!C53+'Tryg Forsikring'!C53</f>
        <v>163173.12299999999</v>
      </c>
      <c r="D53" s="169">
        <f t="shared" si="22"/>
        <v>-3</v>
      </c>
      <c r="E53" s="418"/>
      <c r="F53" s="419"/>
      <c r="G53" s="31"/>
      <c r="H53" s="172"/>
      <c r="I53" s="172"/>
      <c r="J53" s="31"/>
    </row>
    <row r="54" spans="1:10" s="3" customFormat="1" ht="15.75" customHeight="1" x14ac:dyDescent="0.2">
      <c r="A54" s="37" t="s">
        <v>312</v>
      </c>
      <c r="B54" s="43">
        <f>'ACE European Group'!B54+'Danica Pensjonsforsikring'!B54+'DNB Livsforsikring'!B54+'Eika Forsikring AS'!B54+'Frende Livsforsikring'!B54+'Frende Skadeforsikring'!B54+'Gjensidige Forsikring'!B54+'Gjensidige Pensjon'!B54+'Handelsbanken Liv'!B54+'If Skadeforsikring NUF'!B54+KLP!B54+'KLP Bedriftspensjon AS'!B54+'KLP Skadeforsikring AS'!B54+'Landbruksforsikring AS'!B54+'NEMI Forsikring'!B54+'Nordea Liv '!B54+'Oslo Pensjonsforsikring'!B54+'SHB Liv'!B54+'Silver Pensjonsforsikring AS'!B54+'Sparebank 1'!B54+'Storebrand Livsforsikring'!B54+'Telenor Forsikring'!B54+'Tryg Forsikring'!B54</f>
        <v>138688.77499999999</v>
      </c>
      <c r="C54" s="43">
        <f>'ACE European Group'!C54+'Danica Pensjonsforsikring'!C54+'DNB Livsforsikring'!C54+'Eika Forsikring AS'!C54+'Frende Livsforsikring'!C54+'Frende Skadeforsikring'!C54+'Gjensidige Forsikring'!C54+'Gjensidige Pensjon'!C54+'Handelsbanken Liv'!C54+'If Skadeforsikring NUF'!C54+KLP!C54+'KLP Bedriftspensjon AS'!C54+'KLP Skadeforsikring AS'!C54+'Landbruksforsikring AS'!C54+'NEMI Forsikring'!C54+'Nordea Liv '!C54+'Oslo Pensjonsforsikring'!C54+'SHB Liv'!C54+'Silver Pensjonsforsikring AS'!C54+'Sparebank 1'!C54+'Storebrand Livsforsikring'!C54+'Telenor Forsikring'!C54+'Tryg Forsikring'!C54</f>
        <v>104384.20299999998</v>
      </c>
      <c r="D54" s="169">
        <f t="shared" si="22"/>
        <v>-24.7</v>
      </c>
      <c r="E54" s="34"/>
      <c r="F54" s="5"/>
      <c r="G54" s="33"/>
      <c r="H54" s="32"/>
      <c r="I54" s="32"/>
      <c r="J54" s="31"/>
    </row>
    <row r="55" spans="1:10" s="3" customFormat="1" ht="15.75" customHeight="1" x14ac:dyDescent="0.2">
      <c r="A55" s="37" t="s">
        <v>313</v>
      </c>
      <c r="B55" s="43">
        <f>'ACE European Group'!B55+'Danica Pensjonsforsikring'!B55+'DNB Livsforsikring'!B55+'Eika Forsikring AS'!B55+'Frende Livsforsikring'!B55+'Frende Skadeforsikring'!B55+'Gjensidige Forsikring'!B55+'Gjensidige Pensjon'!B55+'Handelsbanken Liv'!B55+'If Skadeforsikring NUF'!B55+KLP!B55+'KLP Bedriftspensjon AS'!B55+'KLP Skadeforsikring AS'!B55+'Landbruksforsikring AS'!B55+'NEMI Forsikring'!B55+'Nordea Liv '!B55+'Oslo Pensjonsforsikring'!B55+'SHB Liv'!B55+'Silver Pensjonsforsikring AS'!B55+'Sparebank 1'!B55+'Storebrand Livsforsikring'!B55+'Telenor Forsikring'!B55+'Tryg Forsikring'!B55</f>
        <v>29534.838</v>
      </c>
      <c r="C55" s="43">
        <f>'ACE European Group'!C55+'Danica Pensjonsforsikring'!C55+'DNB Livsforsikring'!C55+'Eika Forsikring AS'!C55+'Frende Livsforsikring'!C55+'Frende Skadeforsikring'!C55+'Gjensidige Forsikring'!C55+'Gjensidige Pensjon'!C55+'Handelsbanken Liv'!C55+'If Skadeforsikring NUF'!C55+KLP!C55+'KLP Bedriftspensjon AS'!C55+'KLP Skadeforsikring AS'!C55+'Landbruksforsikring AS'!C55+'NEMI Forsikring'!C55+'Nordea Liv '!C55+'Oslo Pensjonsforsikring'!C55+'SHB Liv'!C55+'Silver Pensjonsforsikring AS'!C55+'Sparebank 1'!C55+'Storebrand Livsforsikring'!C55+'Telenor Forsikring'!C55+'Tryg Forsikring'!C55</f>
        <v>58788.92</v>
      </c>
      <c r="D55" s="169">
        <f t="shared" si="22"/>
        <v>99</v>
      </c>
      <c r="E55" s="34"/>
      <c r="F55" s="5"/>
      <c r="G55" s="33"/>
      <c r="H55" s="32"/>
      <c r="I55" s="32"/>
      <c r="J55" s="31"/>
    </row>
    <row r="56" spans="1:10" s="417" customFormat="1" ht="15.75" customHeight="1" x14ac:dyDescent="0.2">
      <c r="A56" s="38" t="s">
        <v>315</v>
      </c>
      <c r="B56" s="234">
        <f>'ACE European Group'!B56+'Danica Pensjonsforsikring'!B56+'DNB Livsforsikring'!B56+'Eika Forsikring AS'!B56+'Frende Livsforsikring'!B56+'Frende Skadeforsikring'!B56+'Gjensidige Forsikring'!B56+'Gjensidige Pensjon'!B56+'Handelsbanken Liv'!B56+'If Skadeforsikring NUF'!B56+KLP!B56+'KLP Bedriftspensjon AS'!B56+'KLP Skadeforsikring AS'!B56+'Landbruksforsikring AS'!B56+'NEMI Forsikring'!B56+'Nordea Liv '!B56+'Oslo Pensjonsforsikring'!B56+'SHB Liv'!B56+'Silver Pensjonsforsikring AS'!B56+'Sparebank 1'!B56+'Storebrand Livsforsikring'!B56+'Telenor Forsikring'!B56+'Tryg Forsikring'!B56</f>
        <v>190226.55099999998</v>
      </c>
      <c r="C56" s="234">
        <f>'ACE European Group'!C56+'Danica Pensjonsforsikring'!C56+'DNB Livsforsikring'!C56+'Eika Forsikring AS'!C56+'Frende Livsforsikring'!C56+'Frende Skadeforsikring'!C56+'Gjensidige Forsikring'!C56+'Gjensidige Pensjon'!C56+'Handelsbanken Liv'!C56+'If Skadeforsikring NUF'!C56+KLP!C56+'KLP Bedriftspensjon AS'!C56+'KLP Skadeforsikring AS'!C56+'Landbruksforsikring AS'!C56+'NEMI Forsikring'!C56+'Nordea Liv '!C56+'Oslo Pensjonsforsikring'!C56+'SHB Liv'!C56+'Silver Pensjonsforsikring AS'!C56+'Sparebank 1'!C56+'Storebrand Livsforsikring'!C56+'Telenor Forsikring'!C56+'Tryg Forsikring'!C56</f>
        <v>207953.58600000001</v>
      </c>
      <c r="D56" s="169">
        <f t="shared" si="22"/>
        <v>9.3000000000000007</v>
      </c>
      <c r="E56" s="418"/>
      <c r="F56" s="419"/>
      <c r="G56" s="31"/>
      <c r="H56" s="172"/>
      <c r="I56" s="172"/>
      <c r="J56" s="31"/>
    </row>
    <row r="57" spans="1:10" s="3" customFormat="1" ht="15.75" customHeight="1" x14ac:dyDescent="0.2">
      <c r="A57" s="37" t="s">
        <v>312</v>
      </c>
      <c r="B57" s="43">
        <f>'ACE European Group'!B57+'Danica Pensjonsforsikring'!B57+'DNB Livsforsikring'!B57+'Eika Forsikring AS'!B57+'Frende Livsforsikring'!B57+'Frende Skadeforsikring'!B57+'Gjensidige Forsikring'!B57+'Gjensidige Pensjon'!B57+'Handelsbanken Liv'!B57+'If Skadeforsikring NUF'!B57+KLP!B57+'KLP Bedriftspensjon AS'!B57+'KLP Skadeforsikring AS'!B57+'Landbruksforsikring AS'!B57+'NEMI Forsikring'!B57+'Nordea Liv '!B57+'Oslo Pensjonsforsikring'!B57+'SHB Liv'!B57+'Silver Pensjonsforsikring AS'!B57+'Sparebank 1'!B57+'Storebrand Livsforsikring'!B57+'Telenor Forsikring'!B57+'Tryg Forsikring'!B57</f>
        <v>187247.39899999998</v>
      </c>
      <c r="C57" s="43">
        <f>'ACE European Group'!C57+'Danica Pensjonsforsikring'!C57+'DNB Livsforsikring'!C57+'Eika Forsikring AS'!C57+'Frende Livsforsikring'!C57+'Frende Skadeforsikring'!C57+'Gjensidige Forsikring'!C57+'Gjensidige Pensjon'!C57+'Handelsbanken Liv'!C57+'If Skadeforsikring NUF'!C57+KLP!C57+'KLP Bedriftspensjon AS'!C57+'KLP Skadeforsikring AS'!C57+'Landbruksforsikring AS'!C57+'NEMI Forsikring'!C57+'Nordea Liv '!C57+'Oslo Pensjonsforsikring'!C57+'SHB Liv'!C57+'Silver Pensjonsforsikring AS'!C57+'Sparebank 1'!C57+'Storebrand Livsforsikring'!C57+'Telenor Forsikring'!C57+'Tryg Forsikring'!C57</f>
        <v>148838.791</v>
      </c>
      <c r="D57" s="169">
        <f t="shared" si="22"/>
        <v>-20.5</v>
      </c>
      <c r="E57" s="34"/>
      <c r="F57" s="5"/>
      <c r="G57" s="33"/>
      <c r="H57" s="32"/>
      <c r="I57" s="32"/>
      <c r="J57" s="31"/>
    </row>
    <row r="58" spans="1:10" s="3" customFormat="1" ht="15.75" customHeight="1" x14ac:dyDescent="0.2">
      <c r="A58" s="45" t="s">
        <v>313</v>
      </c>
      <c r="B58" s="44">
        <f>'ACE European Group'!B58+'Danica Pensjonsforsikring'!B58+'DNB Livsforsikring'!B58+'Eika Forsikring AS'!B58+'Frende Livsforsikring'!B58+'Frende Skadeforsikring'!B58+'Gjensidige Forsikring'!B58+'Gjensidige Pensjon'!B58+'Handelsbanken Liv'!B58+'If Skadeforsikring NUF'!B58+KLP!B58+'KLP Bedriftspensjon AS'!B58+'KLP Skadeforsikring AS'!B58+'Landbruksforsikring AS'!B58+'NEMI Forsikring'!B58+'Nordea Liv '!B58+'Oslo Pensjonsforsikring'!B58+'SHB Liv'!B58+'Silver Pensjonsforsikring AS'!B58+'Sparebank 1'!B58+'Storebrand Livsforsikring'!B58+'Telenor Forsikring'!B58+'Tryg Forsikring'!B58</f>
        <v>2979.152</v>
      </c>
      <c r="C58" s="44">
        <f>'ACE European Group'!C58+'Danica Pensjonsforsikring'!C58+'DNB Livsforsikring'!C58+'Eika Forsikring AS'!C58+'Frende Livsforsikring'!C58+'Frende Skadeforsikring'!C58+'Gjensidige Forsikring'!C58+'Gjensidige Pensjon'!C58+'Handelsbanken Liv'!C58+'If Skadeforsikring NUF'!C58+KLP!C58+'KLP Bedriftspensjon AS'!C58+'KLP Skadeforsikring AS'!C58+'Landbruksforsikring AS'!C58+'NEMI Forsikring'!C58+'Nordea Liv '!C58+'Oslo Pensjonsforsikring'!C58+'SHB Liv'!C58+'Silver Pensjonsforsikring AS'!C58+'Sparebank 1'!C58+'Storebrand Livsforsikring'!C58+'Telenor Forsikring'!C58+'Tryg Forsikring'!C58</f>
        <v>59114.794999999998</v>
      </c>
      <c r="D58" s="167">
        <f t="shared" si="22"/>
        <v>999</v>
      </c>
      <c r="E58" s="34"/>
      <c r="F58" s="5"/>
      <c r="G58" s="33"/>
      <c r="H58" s="32"/>
      <c r="I58" s="32"/>
      <c r="J58" s="31"/>
    </row>
    <row r="59" spans="1:10" s="3" customFormat="1" ht="15.75" customHeight="1" x14ac:dyDescent="0.25">
      <c r="A59" s="162"/>
      <c r="B59" s="29"/>
      <c r="C59" s="29"/>
      <c r="D59" s="29"/>
      <c r="E59" s="30"/>
      <c r="F59" s="30"/>
      <c r="G59" s="30"/>
      <c r="H59" s="30"/>
      <c r="I59" s="30"/>
      <c r="J59" s="30"/>
    </row>
    <row r="60" spans="1:10" ht="15.75" customHeight="1" x14ac:dyDescent="0.2">
      <c r="A60" s="153"/>
    </row>
    <row r="61" spans="1:10" ht="15.75" customHeight="1" x14ac:dyDescent="0.25">
      <c r="A61" s="145" t="s">
        <v>295</v>
      </c>
      <c r="C61" s="25"/>
      <c r="D61" s="24"/>
      <c r="E61" s="25"/>
      <c r="F61" s="25"/>
      <c r="G61" s="24"/>
      <c r="H61" s="25"/>
      <c r="I61" s="25"/>
      <c r="J61" s="24"/>
    </row>
    <row r="62" spans="1:10" ht="20.100000000000001" customHeight="1" x14ac:dyDescent="0.25">
      <c r="A62" s="147"/>
      <c r="B62" s="955"/>
      <c r="C62" s="955"/>
      <c r="D62" s="955"/>
      <c r="E62" s="955"/>
      <c r="F62" s="955"/>
      <c r="G62" s="955"/>
      <c r="H62" s="955"/>
      <c r="I62" s="955"/>
      <c r="J62" s="955"/>
    </row>
    <row r="63" spans="1:10" ht="15.75" customHeight="1" x14ac:dyDescent="0.2">
      <c r="A63" s="142"/>
      <c r="B63" s="956" t="s">
        <v>0</v>
      </c>
      <c r="C63" s="957"/>
      <c r="D63" s="957"/>
      <c r="E63" s="956" t="s">
        <v>1</v>
      </c>
      <c r="F63" s="957"/>
      <c r="G63" s="958"/>
      <c r="H63" s="957" t="s">
        <v>2</v>
      </c>
      <c r="I63" s="957"/>
      <c r="J63" s="958"/>
    </row>
    <row r="64" spans="1:10" ht="15.75" customHeight="1" x14ac:dyDescent="0.2">
      <c r="A64" s="139"/>
      <c r="B64" s="150" t="s">
        <v>504</v>
      </c>
      <c r="C64" s="150" t="s">
        <v>505</v>
      </c>
      <c r="D64" s="19" t="s">
        <v>3</v>
      </c>
      <c r="E64" s="150" t="s">
        <v>504</v>
      </c>
      <c r="F64" s="150" t="s">
        <v>505</v>
      </c>
      <c r="G64" s="19" t="s">
        <v>3</v>
      </c>
      <c r="H64" s="150" t="s">
        <v>504</v>
      </c>
      <c r="I64" s="150" t="s">
        <v>505</v>
      </c>
      <c r="J64" s="19" t="s">
        <v>3</v>
      </c>
    </row>
    <row r="65" spans="1:10" ht="15.75" customHeight="1" x14ac:dyDescent="0.2">
      <c r="A65" s="934"/>
      <c r="B65" s="15"/>
      <c r="C65" s="15"/>
      <c r="D65" s="17" t="s">
        <v>4</v>
      </c>
      <c r="E65" s="16"/>
      <c r="F65" s="16"/>
      <c r="G65" s="15" t="s">
        <v>4</v>
      </c>
      <c r="H65" s="16"/>
      <c r="I65" s="16"/>
      <c r="J65" s="15" t="s">
        <v>4</v>
      </c>
    </row>
    <row r="66" spans="1:10" s="42" customFormat="1" ht="15.75" customHeight="1" x14ac:dyDescent="0.2">
      <c r="A66" s="14" t="s">
        <v>26</v>
      </c>
      <c r="B66" s="328">
        <f>'ACE European Group'!B66+'Danica Pensjonsforsikring'!B66+'DNB Livsforsikring'!B66+'Eika Forsikring AS'!B66+'Frende Livsforsikring'!B66+'Frende Skadeforsikring'!B66+'Gjensidige Forsikring'!B66+'Gjensidige Pensjon'!B66+'Handelsbanken Liv'!B66+'If Skadeforsikring NUF'!B66+KLP!B66+'KLP Bedriftspensjon AS'!B66+'KLP Skadeforsikring AS'!B66+'Landbruksforsikring AS'!B66+'NEMI Forsikring'!B66+'Nordea Liv '!B66+'Oslo Pensjonsforsikring'!B66+'SHB Liv'!B66+'Silver Pensjonsforsikring AS'!B66+'Sparebank 1'!B66+'Storebrand Livsforsikring'!B66+'Telenor Forsikring'!B66+'Tryg Forsikring'!B66</f>
        <v>11673802.52513</v>
      </c>
      <c r="C66" s="328">
        <f>'ACE European Group'!C66+'Danica Pensjonsforsikring'!C66+'DNB Livsforsikring'!C66+'Eika Forsikring AS'!C66+'Frende Livsforsikring'!C66+'Frende Skadeforsikring'!C66+'Gjensidige Forsikring'!C66+'Gjensidige Pensjon'!C66+'Handelsbanken Liv'!C66+'If Skadeforsikring NUF'!C66+KLP!C66+'KLP Bedriftspensjon AS'!C66+'KLP Skadeforsikring AS'!C66+'Landbruksforsikring AS'!C66+'NEMI Forsikring'!C66+'Nordea Liv '!C66+'Oslo Pensjonsforsikring'!C66+'SHB Liv'!C66+'Silver Pensjonsforsikring AS'!C66+'Sparebank 1'!C66+'Storebrand Livsforsikring'!C66+'Telenor Forsikring'!C66+'Tryg Forsikring'!C66</f>
        <v>9855078.0414399989</v>
      </c>
      <c r="D66" s="169">
        <f t="shared" ref="D66:D111" si="24">IF(B66=0, "    ---- ", IF(ABS(ROUND(100/B66*C66-100,1))&lt;999,ROUND(100/B66*C66-100,1),IF(ROUND(100/B66*C66-100,1)&gt;999,999,-999)))</f>
        <v>-15.6</v>
      </c>
      <c r="E66" s="234">
        <f>'ACE European Group'!F66+'Danica Pensjonsforsikring'!F66+'DNB Livsforsikring'!F66+'Eika Forsikring AS'!F66+'Frende Livsforsikring'!F66+'Frende Skadeforsikring'!F66+'Gjensidige Forsikring'!F66+'Gjensidige Pensjon'!F66+'Handelsbanken Liv'!F66+'If Skadeforsikring NUF'!F66+KLP!F66+'KLP Bedriftspensjon AS'!F66+'KLP Skadeforsikring AS'!F66+'Landbruksforsikring AS'!F66+'NEMI Forsikring'!F66+'Nordea Liv '!F66+'Oslo Pensjonsforsikring'!F66+'SHB Liv'!F66+'Silver Pensjonsforsikring AS'!F66+'Sparebank 1'!F66+'Storebrand Livsforsikring'!F66+'Telenor Forsikring'!F66+'Tryg Forsikring'!F66</f>
        <v>23105454.084230002</v>
      </c>
      <c r="F66" s="234">
        <f>'ACE European Group'!G66+'Danica Pensjonsforsikring'!G66+'DNB Livsforsikring'!G66+'Eika Forsikring AS'!G66+'Frende Livsforsikring'!G66+'Frende Skadeforsikring'!G66+'Gjensidige Forsikring'!G66+'Gjensidige Pensjon'!G66+'Handelsbanken Liv'!G66+'If Skadeforsikring NUF'!G66+KLP!G66+'KLP Bedriftspensjon AS'!G66+'KLP Skadeforsikring AS'!G66+'Landbruksforsikring AS'!G66+'NEMI Forsikring'!G66+'Nordea Liv '!G66+'Oslo Pensjonsforsikring'!G66+'SHB Liv'!G66+'Silver Pensjonsforsikring AS'!G66+'Sparebank 1'!G66+'Storebrand Livsforsikring'!G66+'Telenor Forsikring'!G66+'Tryg Forsikring'!G66</f>
        <v>26706849.604289997</v>
      </c>
      <c r="G66" s="169">
        <f t="shared" ref="G66:G111" si="25">IF(E66=0, "    ---- ", IF(ABS(ROUND(100/E66*F66-100,1))&lt;999,ROUND(100/E66*F66-100,1),IF(ROUND(100/E66*F66-100,1)&gt;999,999,-999)))</f>
        <v>15.6</v>
      </c>
      <c r="H66" s="328">
        <f t="shared" ref="H66:H86" si="26">SUM(B66,E66)</f>
        <v>34779256.609360002</v>
      </c>
      <c r="I66" s="328">
        <f t="shared" ref="I66:I86" si="27">SUM(C66,F66)</f>
        <v>36561927.645729996</v>
      </c>
      <c r="J66" s="169">
        <f t="shared" ref="J66:J111" si="28">IF(H66=0, "    ---- ", IF(ABS(ROUND(100/H66*I66-100,1))&lt;999,ROUND(100/H66*I66-100,1),IF(ROUND(100/H66*I66-100,1)&gt;999,999,-999)))</f>
        <v>5.0999999999999996</v>
      </c>
    </row>
    <row r="67" spans="1:10" ht="15.75" customHeight="1" x14ac:dyDescent="0.25">
      <c r="A67" s="20" t="s">
        <v>9</v>
      </c>
      <c r="B67" s="232">
        <f>'ACE European Group'!B67+'Danica Pensjonsforsikring'!B67+'DNB Livsforsikring'!B67+'Eika Forsikring AS'!B67+'Frende Livsforsikring'!B67+'Frende Skadeforsikring'!B67+'Gjensidige Forsikring'!B67+'Gjensidige Pensjon'!B67+'Handelsbanken Liv'!B67+'If Skadeforsikring NUF'!B67+KLP!B67+'KLP Bedriftspensjon AS'!B67+'KLP Skadeforsikring AS'!B67+'Landbruksforsikring AS'!B67+'NEMI Forsikring'!B67+'Nordea Liv '!B67+'Oslo Pensjonsforsikring'!B67+'SHB Liv'!B67+'Silver Pensjonsforsikring AS'!B67+'Sparebank 1'!B67+'Storebrand Livsforsikring'!B67+'Telenor Forsikring'!B67+'Tryg Forsikring'!B67</f>
        <v>11421372.57319</v>
      </c>
      <c r="C67" s="232">
        <f>'ACE European Group'!C67+'Danica Pensjonsforsikring'!C67+'DNB Livsforsikring'!C67+'Eika Forsikring AS'!C67+'Frende Livsforsikring'!C67+'Frende Skadeforsikring'!C67+'Gjensidige Forsikring'!C67+'Gjensidige Pensjon'!C67+'Handelsbanken Liv'!C67+'If Skadeforsikring NUF'!C67+KLP!C67+'KLP Bedriftspensjon AS'!C67+'KLP Skadeforsikring AS'!C67+'Landbruksforsikring AS'!C67+'NEMI Forsikring'!C67+'Nordea Liv '!C67+'Oslo Pensjonsforsikring'!C67+'SHB Liv'!C67+'Silver Pensjonsforsikring AS'!C67+'Sparebank 1'!C67+'Storebrand Livsforsikring'!C67+'Telenor Forsikring'!C67+'Tryg Forsikring'!C67</f>
        <v>8103507.3302699998</v>
      </c>
      <c r="D67" s="936">
        <f t="shared" si="24"/>
        <v>-29</v>
      </c>
      <c r="E67" s="43">
        <f>'ACE European Group'!F67+'Danica Pensjonsforsikring'!F67+'DNB Livsforsikring'!F67+'Eika Forsikring AS'!F67+'Frende Livsforsikring'!F67+'Frende Skadeforsikring'!F67+'Gjensidige Forsikring'!F67+'Gjensidige Pensjon'!F67+'Handelsbanken Liv'!F67+'If Skadeforsikring NUF'!F67+KLP!F67+'KLP Bedriftspensjon AS'!F67+'KLP Skadeforsikring AS'!F67+'Landbruksforsikring AS'!F67+'NEMI Forsikring'!F67+'Nordea Liv '!F67+'Oslo Pensjonsforsikring'!F67+'SHB Liv'!F67+'Silver Pensjonsforsikring AS'!F67+'Sparebank 1'!F67+'Storebrand Livsforsikring'!F67+'Telenor Forsikring'!F67+'Tryg Forsikring'!F67</f>
        <v>0</v>
      </c>
      <c r="F67" s="43">
        <f>'ACE European Group'!G67+'Danica Pensjonsforsikring'!G67+'DNB Livsforsikring'!G67+'Eika Forsikring AS'!G67+'Frende Livsforsikring'!G67+'Frende Skadeforsikring'!G67+'Gjensidige Forsikring'!G67+'Gjensidige Pensjon'!G67+'Handelsbanken Liv'!G67+'If Skadeforsikring NUF'!G67+KLP!G67+'KLP Bedriftspensjon AS'!G67+'KLP Skadeforsikring AS'!G67+'Landbruksforsikring AS'!G67+'NEMI Forsikring'!G67+'Nordea Liv '!G67+'Oslo Pensjonsforsikring'!G67+'SHB Liv'!G67+'Silver Pensjonsforsikring AS'!G67+'Sparebank 1'!G67+'Storebrand Livsforsikring'!G67+'Telenor Forsikring'!G67+'Tryg Forsikring'!G67</f>
        <v>0</v>
      </c>
      <c r="G67" s="164"/>
      <c r="H67" s="235">
        <f t="shared" si="26"/>
        <v>11421372.57319</v>
      </c>
      <c r="I67" s="235">
        <f t="shared" si="27"/>
        <v>8103507.3302699998</v>
      </c>
      <c r="J67" s="164">
        <f t="shared" si="28"/>
        <v>-29</v>
      </c>
    </row>
    <row r="68" spans="1:10" ht="15.75" customHeight="1" x14ac:dyDescent="0.25">
      <c r="A68" s="20" t="s">
        <v>10</v>
      </c>
      <c r="B68" s="232">
        <f>'ACE European Group'!B68+'Danica Pensjonsforsikring'!B68+'DNB Livsforsikring'!B68+'Eika Forsikring AS'!B68+'Frende Livsforsikring'!B68+'Frende Skadeforsikring'!B68+'Gjensidige Forsikring'!B68+'Gjensidige Pensjon'!B68+'Handelsbanken Liv'!B68+'If Skadeforsikring NUF'!B68+KLP!B68+'KLP Bedriftspensjon AS'!B68+'KLP Skadeforsikring AS'!B68+'Landbruksforsikring AS'!B68+'NEMI Forsikring'!B68+'Nordea Liv '!B68+'Oslo Pensjonsforsikring'!B68+'SHB Liv'!B68+'Silver Pensjonsforsikring AS'!B68+'Sparebank 1'!B68+'Storebrand Livsforsikring'!B68+'Telenor Forsikring'!B68+'Tryg Forsikring'!B68</f>
        <v>172194.47798</v>
      </c>
      <c r="C68" s="232">
        <f>'ACE European Group'!C68+'Danica Pensjonsforsikring'!C68+'DNB Livsforsikring'!C68+'Eika Forsikring AS'!C68+'Frende Livsforsikring'!C68+'Frende Skadeforsikring'!C68+'Gjensidige Forsikring'!C68+'Gjensidige Pensjon'!C68+'Handelsbanken Liv'!C68+'If Skadeforsikring NUF'!C68+KLP!C68+'KLP Bedriftspensjon AS'!C68+'KLP Skadeforsikring AS'!C68+'Landbruksforsikring AS'!C68+'NEMI Forsikring'!C68+'Nordea Liv '!C68+'Oslo Pensjonsforsikring'!C68+'SHB Liv'!C68+'Silver Pensjonsforsikring AS'!C68+'Sparebank 1'!C68+'Storebrand Livsforsikring'!C68+'Telenor Forsikring'!C68+'Tryg Forsikring'!C68</f>
        <v>159180.18598000001</v>
      </c>
      <c r="D68" s="936">
        <f t="shared" si="24"/>
        <v>-7.6</v>
      </c>
      <c r="E68" s="43">
        <f>'ACE European Group'!F68+'Danica Pensjonsforsikring'!F68+'DNB Livsforsikring'!F68+'Eika Forsikring AS'!F68+'Frende Livsforsikring'!F68+'Frende Skadeforsikring'!F68+'Gjensidige Forsikring'!F68+'Gjensidige Pensjon'!F68+'Handelsbanken Liv'!F68+'If Skadeforsikring NUF'!F68+KLP!F68+'KLP Bedriftspensjon AS'!F68+'KLP Skadeforsikring AS'!F68+'Landbruksforsikring AS'!F68+'NEMI Forsikring'!F68+'Nordea Liv '!F68+'Oslo Pensjonsforsikring'!F68+'SHB Liv'!F68+'Silver Pensjonsforsikring AS'!F68+'Sparebank 1'!F68+'Storebrand Livsforsikring'!F68+'Telenor Forsikring'!F68+'Tryg Forsikring'!F68</f>
        <v>22896836.631450001</v>
      </c>
      <c r="F68" s="43">
        <f>'ACE European Group'!G68+'Danica Pensjonsforsikring'!G68+'DNB Livsforsikring'!G68+'Eika Forsikring AS'!G68+'Frende Livsforsikring'!G68+'Frende Skadeforsikring'!G68+'Gjensidige Forsikring'!G68+'Gjensidige Pensjon'!G68+'Handelsbanken Liv'!G68+'If Skadeforsikring NUF'!G68+KLP!G68+'KLP Bedriftspensjon AS'!G68+'KLP Skadeforsikring AS'!G68+'Landbruksforsikring AS'!G68+'NEMI Forsikring'!G68+'Nordea Liv '!G68+'Oslo Pensjonsforsikring'!G68+'SHB Liv'!G68+'Silver Pensjonsforsikring AS'!G68+'Sparebank 1'!G68+'Storebrand Livsforsikring'!G68+'Telenor Forsikring'!G68+'Tryg Forsikring'!G68</f>
        <v>26409193.016629998</v>
      </c>
      <c r="G68" s="164">
        <f t="shared" si="25"/>
        <v>15.3</v>
      </c>
      <c r="H68" s="235">
        <f t="shared" si="26"/>
        <v>23069031.10943</v>
      </c>
      <c r="I68" s="235">
        <f t="shared" si="27"/>
        <v>26568373.202609997</v>
      </c>
      <c r="J68" s="164">
        <f t="shared" si="28"/>
        <v>15.2</v>
      </c>
    </row>
    <row r="69" spans="1:10" ht="15.75" customHeight="1" x14ac:dyDescent="0.2">
      <c r="A69" s="294" t="s">
        <v>316</v>
      </c>
      <c r="B69" s="43">
        <f>IF($A$1=4,'ACE European Group'!B69+'Danica Pensjonsforsikring'!B69+'DNB Livsforsikring'!B69+'Eika Forsikring AS'!B69+'Frende Livsforsikring'!B69+'Frende Skadeforsikring'!B69+'Gjensidige Forsikring'!B69+'Gjensidige Pensjon'!B69+'Handelsbanken Liv'!B69+'If Skadeforsikring NUF'!B69+KLP!B69+'KLP Bedriftspensjon AS'!B69+'KLP Skadeforsikring AS'!B69+'Landbruksforsikring AS'!B69+'NEMI Forsikring'!B69+'Nordea Liv '!B69+'Oslo Pensjonsforsikring'!B69+'SHB Liv'!B69+'Silver Pensjonsforsikring AS'!B69+'Sparebank 1'!B69+'Storebrand Livsforsikring'!B69+'Telenor Forsikring'!B69+'Tryg Forsikring'!B69,"")</f>
        <v>27824</v>
      </c>
      <c r="C69" s="43">
        <f>IF($A$1=4,'ACE European Group'!C69+'Danica Pensjonsforsikring'!C69+'DNB Livsforsikring'!C69+'Eika Forsikring AS'!C69+'Frende Livsforsikring'!C69+'Frende Skadeforsikring'!C69+'Gjensidige Forsikring'!C69+'Gjensidige Pensjon'!C69+'Handelsbanken Liv'!C69+'If Skadeforsikring NUF'!C69+KLP!C69+'KLP Bedriftspensjon AS'!C69+'KLP Skadeforsikring AS'!C69+'Landbruksforsikring AS'!C69+'NEMI Forsikring'!C69+'Nordea Liv '!C69+'Oslo Pensjonsforsikring'!C69+'SHB Liv'!C69+'Silver Pensjonsforsikring AS'!C69+'Sparebank 1'!C69+'Storebrand Livsforsikring'!C69+'Telenor Forsikring'!C69+'Tryg Forsikring'!C69,"")</f>
        <v>18248</v>
      </c>
      <c r="D69" s="174">
        <f>IF($A$1=4,IF(B69=0, "    ---- ", IF(ABS(ROUND(100/B69*C69-100,1))&lt;999,ROUND(100/B69*C69-100,1),IF(ROUND(100/B69*C69-100,1)&gt;999,999,-999))),"")</f>
        <v>-34.4</v>
      </c>
      <c r="E69" s="43">
        <f>IF($A$1=4,'ACE European Group'!F69+'Danica Pensjonsforsikring'!F69+'DNB Livsforsikring'!F69+'Eika Forsikring AS'!F69+'Frende Livsforsikring'!F69+'Frende Skadeforsikring'!F69+'Gjensidige Forsikring'!F69+'Gjensidige Pensjon'!F69+'Handelsbanken Liv'!F69+'If Skadeforsikring NUF'!F69+KLP!F69+'KLP Bedriftspensjon AS'!F69+'KLP Skadeforsikring AS'!F69+'Landbruksforsikring AS'!F69+'NEMI Forsikring'!F69+'Nordea Liv '!F69+'Oslo Pensjonsforsikring'!F69+'SHB Liv'!F69+'Silver Pensjonsforsikring AS'!F69+'Sparebank 1'!F69+'Storebrand Livsforsikring'!F69+'Telenor Forsikring'!F69+'Tryg Forsikring'!F69,"")</f>
        <v>3488.443000000002</v>
      </c>
      <c r="F69" s="43">
        <f>IF($A$1=4,'ACE European Group'!G69+'Danica Pensjonsforsikring'!G69+'DNB Livsforsikring'!G69+'Eika Forsikring AS'!G69+'Frende Livsforsikring'!G69+'Frende Skadeforsikring'!G69+'Gjensidige Forsikring'!G69+'Gjensidige Pensjon'!G69+'Handelsbanken Liv'!G69+'If Skadeforsikring NUF'!G69+KLP!G69+'KLP Bedriftspensjon AS'!G69+'KLP Skadeforsikring AS'!G69+'Landbruksforsikring AS'!G69+'NEMI Forsikring'!G69+'Nordea Liv '!G69+'Oslo Pensjonsforsikring'!G69+'SHB Liv'!G69+'Silver Pensjonsforsikring AS'!G69+'Sparebank 1'!G69+'Storebrand Livsforsikring'!G69+'Telenor Forsikring'!G69+'Tryg Forsikring'!G69,"")</f>
        <v>3977.589000000004</v>
      </c>
      <c r="G69" s="164">
        <f t="shared" ref="G69:G74" si="29">IF($A$1=4,IF(E69=0, "    ---- ", IF(ABS(ROUND(100/E69*F69-100,1))&lt;999,ROUND(100/E69*F69-100,1),IF(ROUND(100/E69*F69-100,1)&gt;999,999,-999))),"")</f>
        <v>14</v>
      </c>
      <c r="H69" s="235">
        <f t="shared" si="26"/>
        <v>31312.443000000003</v>
      </c>
      <c r="I69" s="235">
        <f t="shared" si="27"/>
        <v>22225.589000000004</v>
      </c>
      <c r="J69" s="164">
        <f t="shared" si="28"/>
        <v>-29</v>
      </c>
    </row>
    <row r="70" spans="1:10" ht="15.75" customHeight="1" x14ac:dyDescent="0.2">
      <c r="A70" s="294" t="s">
        <v>12</v>
      </c>
      <c r="B70" s="233">
        <f>'ACE European Group'!B70+'Danica Pensjonsforsikring'!B70+'DNB Livsforsikring'!B70+'Eika Forsikring AS'!B70+'Frende Livsforsikring'!B70+'Frende Skadeforsikring'!B70+'Gjensidige Forsikring'!B70+'Gjensidige Pensjon'!B70+'Handelsbanken Liv'!B70+'If Skadeforsikring NUF'!B70+KLP!B70+'KLP Bedriftspensjon AS'!B70+'KLP Skadeforsikring AS'!B70+'Landbruksforsikring AS'!B70+'NEMI Forsikring'!B70+'Nordea Liv '!B70+'Oslo Pensjonsforsikring'!B70+'SHB Liv'!B70+'Silver Pensjonsforsikring AS'!B70+'Sparebank 1'!B70+'Storebrand Livsforsikring'!B70+'Telenor Forsikring'!B70+'Tryg Forsikring'!B70</f>
        <v>0</v>
      </c>
      <c r="C70" s="233">
        <f>'ACE European Group'!C70+'Danica Pensjonsforsikring'!C70+'DNB Livsforsikring'!C70+'Eika Forsikring AS'!C70+'Frende Livsforsikring'!C70+'Frende Skadeforsikring'!C70+'Gjensidige Forsikring'!C70+'Gjensidige Pensjon'!C70+'Handelsbanken Liv'!C70+'If Skadeforsikring NUF'!C70+KLP!C70+'KLP Bedriftspensjon AS'!C70+'KLP Skadeforsikring AS'!C70+'Landbruksforsikring AS'!C70+'NEMI Forsikring'!C70+'Nordea Liv '!C70+'Oslo Pensjonsforsikring'!C70+'SHB Liv'!C70+'Silver Pensjonsforsikring AS'!C70+'Sparebank 1'!C70+'Storebrand Livsforsikring'!C70+'Telenor Forsikring'!C70+'Tryg Forsikring'!C70</f>
        <v>0</v>
      </c>
      <c r="D70" s="174"/>
      <c r="E70" s="43">
        <f>IF($A$1=4,'ACE European Group'!F70+'Danica Pensjonsforsikring'!F70+'DNB Livsforsikring'!F70+'Eika Forsikring AS'!F70+'Frende Livsforsikring'!F70+'Frende Skadeforsikring'!F70+'Gjensidige Forsikring'!F70+'Gjensidige Pensjon'!F70+'Handelsbanken Liv'!F70+'If Skadeforsikring NUF'!F70+KLP!F70+'KLP Bedriftspensjon AS'!F70+'KLP Skadeforsikring AS'!F70+'Landbruksforsikring AS'!F70+'NEMI Forsikring'!F70+'Nordea Liv '!F70+'Oslo Pensjonsforsikring'!F70+'SHB Liv'!F70+'Silver Pensjonsforsikring AS'!F70+'Sparebank 1'!F70+'Storebrand Livsforsikring'!F70+'Telenor Forsikring'!F70+'Tryg Forsikring'!F70,"")</f>
        <v>434.30686267220199</v>
      </c>
      <c r="F70" s="43">
        <f>IF($A$1=4,'ACE European Group'!G70+'Danica Pensjonsforsikring'!G70+'DNB Livsforsikring'!G70+'Eika Forsikring AS'!G70+'Frende Livsforsikring'!G70+'Frende Skadeforsikring'!G70+'Gjensidige Forsikring'!G70+'Gjensidige Pensjon'!G70+'Handelsbanken Liv'!G70+'If Skadeforsikring NUF'!G70+KLP!G70+'KLP Bedriftspensjon AS'!G70+'KLP Skadeforsikring AS'!G70+'Landbruksforsikring AS'!G70+'NEMI Forsikring'!G70+'Nordea Liv '!G70+'Oslo Pensjonsforsikring'!G70+'SHB Liv'!G70+'Silver Pensjonsforsikring AS'!G70+'Sparebank 1'!G70+'Storebrand Livsforsikring'!G70+'Telenor Forsikring'!G70+'Tryg Forsikring'!G70,"")</f>
        <v>371.81614052858401</v>
      </c>
      <c r="G70" s="164">
        <f t="shared" si="29"/>
        <v>-14.4</v>
      </c>
      <c r="H70" s="235">
        <f t="shared" si="26"/>
        <v>434.30686267220199</v>
      </c>
      <c r="I70" s="235">
        <f t="shared" si="27"/>
        <v>371.81614052858401</v>
      </c>
      <c r="J70" s="164">
        <f t="shared" si="28"/>
        <v>-14.4</v>
      </c>
    </row>
    <row r="71" spans="1:10" ht="15.75" customHeight="1" x14ac:dyDescent="0.2">
      <c r="A71" s="294" t="s">
        <v>13</v>
      </c>
      <c r="B71" s="233">
        <f>'ACE European Group'!B71+'Danica Pensjonsforsikring'!B71+'DNB Livsforsikring'!B71+'Eika Forsikring AS'!B71+'Frende Livsforsikring'!B71+'Frende Skadeforsikring'!B71+'Gjensidige Forsikring'!B71+'Gjensidige Pensjon'!B71+'Handelsbanken Liv'!B71+'If Skadeforsikring NUF'!B71+KLP!B71+'KLP Bedriftspensjon AS'!B71+'KLP Skadeforsikring AS'!B71+'Landbruksforsikring AS'!B71+'NEMI Forsikring'!B71+'Nordea Liv '!B71+'Oslo Pensjonsforsikring'!B71+'SHB Liv'!B71+'Silver Pensjonsforsikring AS'!B71+'Sparebank 1'!B71+'Storebrand Livsforsikring'!B71+'Telenor Forsikring'!B71+'Tryg Forsikring'!B71</f>
        <v>0</v>
      </c>
      <c r="C71" s="233">
        <f>'ACE European Group'!C71+'Danica Pensjonsforsikring'!C71+'DNB Livsforsikring'!C71+'Eika Forsikring AS'!C71+'Frende Livsforsikring'!C71+'Frende Skadeforsikring'!C71+'Gjensidige Forsikring'!C71+'Gjensidige Pensjon'!C71+'Handelsbanken Liv'!C71+'If Skadeforsikring NUF'!C71+KLP!C71+'KLP Bedriftspensjon AS'!C71+'KLP Skadeforsikring AS'!C71+'Landbruksforsikring AS'!C71+'NEMI Forsikring'!C71+'Nordea Liv '!C71+'Oslo Pensjonsforsikring'!C71+'SHB Liv'!C71+'Silver Pensjonsforsikring AS'!C71+'Sparebank 1'!C71+'Storebrand Livsforsikring'!C71+'Telenor Forsikring'!C71+'Tryg Forsikring'!C71</f>
        <v>0</v>
      </c>
      <c r="D71" s="174"/>
      <c r="E71" s="43">
        <f>IF($A$1=4,'ACE European Group'!F71+'Danica Pensjonsforsikring'!F71+'DNB Livsforsikring'!F71+'Eika Forsikring AS'!F71+'Frende Livsforsikring'!F71+'Frende Skadeforsikring'!F71+'Gjensidige Forsikring'!F71+'Gjensidige Pensjon'!F71+'Handelsbanken Liv'!F71+'If Skadeforsikring NUF'!F71+KLP!F71+'KLP Bedriftspensjon AS'!F71+'KLP Skadeforsikring AS'!F71+'Landbruksforsikring AS'!F71+'NEMI Forsikring'!F71+'Nordea Liv '!F71+'Oslo Pensjonsforsikring'!F71+'SHB Liv'!F71+'Silver Pensjonsforsikring AS'!F71+'Sparebank 1'!F71+'Storebrand Livsforsikring'!F71+'Telenor Forsikring'!F71+'Tryg Forsikring'!F71,"")</f>
        <v>3054.1361373278</v>
      </c>
      <c r="F71" s="43">
        <f>IF($A$1=4,'ACE European Group'!G71+'Danica Pensjonsforsikring'!G71+'DNB Livsforsikring'!G71+'Eika Forsikring AS'!G71+'Frende Livsforsikring'!G71+'Frende Skadeforsikring'!G71+'Gjensidige Forsikring'!G71+'Gjensidige Pensjon'!G71+'Handelsbanken Liv'!G71+'If Skadeforsikring NUF'!G71+KLP!G71+'KLP Bedriftspensjon AS'!G71+'KLP Skadeforsikring AS'!G71+'Landbruksforsikring AS'!G71+'NEMI Forsikring'!G71+'Nordea Liv '!G71+'Oslo Pensjonsforsikring'!G71+'SHB Liv'!G71+'Silver Pensjonsforsikring AS'!G71+'Sparebank 1'!G71+'Storebrand Livsforsikring'!G71+'Telenor Forsikring'!G71+'Tryg Forsikring'!G71,"")</f>
        <v>3605.7728594714199</v>
      </c>
      <c r="G71" s="164">
        <f t="shared" si="29"/>
        <v>18.100000000000001</v>
      </c>
      <c r="H71" s="235">
        <f t="shared" si="26"/>
        <v>3054.1361373278</v>
      </c>
      <c r="I71" s="235">
        <f t="shared" si="27"/>
        <v>3605.7728594714199</v>
      </c>
      <c r="J71" s="164">
        <f t="shared" si="28"/>
        <v>18.100000000000001</v>
      </c>
    </row>
    <row r="72" spans="1:10" ht="15.75" customHeight="1" x14ac:dyDescent="0.2">
      <c r="A72" s="294" t="s">
        <v>317</v>
      </c>
      <c r="B72" s="43">
        <f>IF($A$1=4,'ACE European Group'!B72+'Danica Pensjonsforsikring'!B72+'DNB Livsforsikring'!B72+'Eika Forsikring AS'!B72+'Frende Livsforsikring'!B72+'Frende Skadeforsikring'!B72+'Gjensidige Forsikring'!B72+'Gjensidige Pensjon'!B72+'Handelsbanken Liv'!B72+'If Skadeforsikring NUF'!B72+KLP!B72+'KLP Bedriftspensjon AS'!B72+'KLP Skadeforsikring AS'!B72+'Landbruksforsikring AS'!B72+'NEMI Forsikring'!B72+'Nordea Liv '!B72+'Oslo Pensjonsforsikring'!B72+'SHB Liv'!B72+'Silver Pensjonsforsikring AS'!B72+'Sparebank 1'!B72+'Storebrand Livsforsikring'!B72+'Telenor Forsikring'!B72+'Tryg Forsikring'!B72,"")</f>
        <v>144370.47798</v>
      </c>
      <c r="C72" s="43">
        <f>IF($A$1=4,'ACE European Group'!C72+'Danica Pensjonsforsikring'!C72+'DNB Livsforsikring'!C72+'Eika Forsikring AS'!C72+'Frende Livsforsikring'!C72+'Frende Skadeforsikring'!C72+'Gjensidige Forsikring'!C72+'Gjensidige Pensjon'!C72+'Handelsbanken Liv'!C72+'If Skadeforsikring NUF'!C72+KLP!C72+'KLP Bedriftspensjon AS'!C72+'KLP Skadeforsikring AS'!C72+'Landbruksforsikring AS'!C72+'NEMI Forsikring'!C72+'Nordea Liv '!C72+'Oslo Pensjonsforsikring'!C72+'SHB Liv'!C72+'Silver Pensjonsforsikring AS'!C72+'Sparebank 1'!C72+'Storebrand Livsforsikring'!C72+'Telenor Forsikring'!C72+'Tryg Forsikring'!C72,"")</f>
        <v>140932.18598000001</v>
      </c>
      <c r="D72" s="174">
        <f>IF($A$1=4,IF(B72=0, "    ---- ", IF(ABS(ROUND(100/B72*C72-100,1))&lt;999,ROUND(100/B72*C72-100,1),IF(ROUND(100/B72*C72-100,1)&gt;999,999,-999))),"")</f>
        <v>-2.4</v>
      </c>
      <c r="E72" s="43">
        <f>IF($A$1=4,'ACE European Group'!F72+'Danica Pensjonsforsikring'!F72+'DNB Livsforsikring'!F72+'Eika Forsikring AS'!F72+'Frende Livsforsikring'!F72+'Frende Skadeforsikring'!F72+'Gjensidige Forsikring'!F72+'Gjensidige Pensjon'!F72+'Handelsbanken Liv'!F72+'If Skadeforsikring NUF'!F72+KLP!F72+'KLP Bedriftspensjon AS'!F72+'KLP Skadeforsikring AS'!F72+'Landbruksforsikring AS'!F72+'NEMI Forsikring'!F72+'Nordea Liv '!F72+'Oslo Pensjonsforsikring'!F72+'SHB Liv'!F72+'Silver Pensjonsforsikring AS'!F72+'Sparebank 1'!F72+'Storebrand Livsforsikring'!F72+'Telenor Forsikring'!F72+'Tryg Forsikring'!F72,"")</f>
        <v>22893348.188450001</v>
      </c>
      <c r="F72" s="43">
        <f>IF($A$1=4,'ACE European Group'!G72+'Danica Pensjonsforsikring'!G72+'DNB Livsforsikring'!G72+'Eika Forsikring AS'!G72+'Frende Livsforsikring'!G72+'Frende Skadeforsikring'!G72+'Gjensidige Forsikring'!G72+'Gjensidige Pensjon'!G72+'Handelsbanken Liv'!G72+'If Skadeforsikring NUF'!G72+KLP!G72+'KLP Bedriftspensjon AS'!G72+'KLP Skadeforsikring AS'!G72+'Landbruksforsikring AS'!G72+'NEMI Forsikring'!G72+'Nordea Liv '!G72+'Oslo Pensjonsforsikring'!G72+'SHB Liv'!G72+'Silver Pensjonsforsikring AS'!G72+'Sparebank 1'!G72+'Storebrand Livsforsikring'!G72+'Telenor Forsikring'!G72+'Tryg Forsikring'!G72,"")</f>
        <v>26405215.42763</v>
      </c>
      <c r="G72" s="164">
        <f t="shared" si="29"/>
        <v>15.3</v>
      </c>
      <c r="H72" s="235">
        <f t="shared" si="26"/>
        <v>23037718.66643</v>
      </c>
      <c r="I72" s="235">
        <f t="shared" si="27"/>
        <v>26546147.613609999</v>
      </c>
      <c r="J72" s="169">
        <f t="shared" si="28"/>
        <v>15.2</v>
      </c>
    </row>
    <row r="73" spans="1:10" ht="15.75" customHeight="1" x14ac:dyDescent="0.2">
      <c r="A73" s="294" t="s">
        <v>12</v>
      </c>
      <c r="B73" s="233">
        <f>'ACE European Group'!B73+'Danica Pensjonsforsikring'!B73+'DNB Livsforsikring'!B73+'Eika Forsikring AS'!B73+'Frende Livsforsikring'!B73+'Frende Skadeforsikring'!B73+'Gjensidige Forsikring'!B73+'Gjensidige Pensjon'!B73+'Handelsbanken Liv'!B73+'If Skadeforsikring NUF'!B73+KLP!B73+'KLP Bedriftspensjon AS'!B73+'KLP Skadeforsikring AS'!B73+'Landbruksforsikring AS'!B73+'NEMI Forsikring'!B73+'Nordea Liv '!B73+'Oslo Pensjonsforsikring'!B73+'SHB Liv'!B73+'Silver Pensjonsforsikring AS'!B73+'Sparebank 1'!B73+'Storebrand Livsforsikring'!B73+'Telenor Forsikring'!B73+'Tryg Forsikring'!B73</f>
        <v>0</v>
      </c>
      <c r="C73" s="233">
        <f>'ACE European Group'!C73+'Danica Pensjonsforsikring'!C73+'DNB Livsforsikring'!C73+'Eika Forsikring AS'!C73+'Frende Livsforsikring'!C73+'Frende Skadeforsikring'!C73+'Gjensidige Forsikring'!C73+'Gjensidige Pensjon'!C73+'Handelsbanken Liv'!C73+'If Skadeforsikring NUF'!C73+KLP!C73+'KLP Bedriftspensjon AS'!C73+'KLP Skadeforsikring AS'!C73+'Landbruksforsikring AS'!C73+'NEMI Forsikring'!C73+'Nordea Liv '!C73+'Oslo Pensjonsforsikring'!C73+'SHB Liv'!C73+'Silver Pensjonsforsikring AS'!C73+'Sparebank 1'!C73+'Storebrand Livsforsikring'!C73+'Telenor Forsikring'!C73+'Tryg Forsikring'!C73</f>
        <v>0</v>
      </c>
      <c r="D73" s="174"/>
      <c r="E73" s="43">
        <f>IF($A$1=4,'ACE European Group'!F73+'Danica Pensjonsforsikring'!F73+'DNB Livsforsikring'!F73+'Eika Forsikring AS'!F73+'Frende Livsforsikring'!F73+'Frende Skadeforsikring'!F73+'Gjensidige Forsikring'!F73+'Gjensidige Pensjon'!F73+'Handelsbanken Liv'!F73+'If Skadeforsikring NUF'!F73+KLP!F73+'KLP Bedriftspensjon AS'!F73+'KLP Skadeforsikring AS'!F73+'Landbruksforsikring AS'!F73+'NEMI Forsikring'!F73+'Nordea Liv '!F73+'Oslo Pensjonsforsikring'!F73+'SHB Liv'!F73+'Silver Pensjonsforsikring AS'!F73+'Sparebank 1'!F73+'Storebrand Livsforsikring'!F73+'Telenor Forsikring'!F73+'Tryg Forsikring'!F73,"")</f>
        <v>657133.20503465203</v>
      </c>
      <c r="F73" s="43">
        <f>IF($A$1=4,'ACE European Group'!G73+'Danica Pensjonsforsikring'!G73+'DNB Livsforsikring'!G73+'Eika Forsikring AS'!G73+'Frende Livsforsikring'!G73+'Frende Skadeforsikring'!G73+'Gjensidige Forsikring'!G73+'Gjensidige Pensjon'!G73+'Handelsbanken Liv'!G73+'If Skadeforsikring NUF'!G73+KLP!G73+'KLP Bedriftspensjon AS'!G73+'KLP Skadeforsikring AS'!G73+'Landbruksforsikring AS'!G73+'NEMI Forsikring'!G73+'Nordea Liv '!G73+'Oslo Pensjonsforsikring'!G73+'SHB Liv'!G73+'Silver Pensjonsforsikring AS'!G73+'Sparebank 1'!G73+'Storebrand Livsforsikring'!G73+'Telenor Forsikring'!G73+'Tryg Forsikring'!G73,"")</f>
        <v>332627.34386343003</v>
      </c>
      <c r="G73" s="164">
        <f t="shared" si="29"/>
        <v>-49.4</v>
      </c>
      <c r="H73" s="235">
        <f t="shared" si="26"/>
        <v>657133.20503465203</v>
      </c>
      <c r="I73" s="235">
        <f t="shared" si="27"/>
        <v>332627.34386343003</v>
      </c>
      <c r="J73" s="164">
        <f t="shared" si="28"/>
        <v>-49.4</v>
      </c>
    </row>
    <row r="74" spans="1:10" s="3" customFormat="1" ht="15.75" customHeight="1" x14ac:dyDescent="0.2">
      <c r="A74" s="294" t="s">
        <v>13</v>
      </c>
      <c r="B74" s="233">
        <f>'ACE European Group'!B74+'Danica Pensjonsforsikring'!B74+'DNB Livsforsikring'!B74+'Eika Forsikring AS'!B74+'Frende Livsforsikring'!B74+'Frende Skadeforsikring'!B74+'Gjensidige Forsikring'!B74+'Gjensidige Pensjon'!B74+'Handelsbanken Liv'!B74+'If Skadeforsikring NUF'!B74+KLP!B74+'KLP Bedriftspensjon AS'!B74+'KLP Skadeforsikring AS'!B74+'Landbruksforsikring AS'!B74+'NEMI Forsikring'!B74+'Nordea Liv '!B74+'Oslo Pensjonsforsikring'!B74+'SHB Liv'!B74+'Silver Pensjonsforsikring AS'!B74+'Sparebank 1'!B74+'Storebrand Livsforsikring'!B74+'Telenor Forsikring'!B74+'Tryg Forsikring'!B74</f>
        <v>0</v>
      </c>
      <c r="C74" s="233">
        <f>'ACE European Group'!C74+'Danica Pensjonsforsikring'!C74+'DNB Livsforsikring'!C74+'Eika Forsikring AS'!C74+'Frende Livsforsikring'!C74+'Frende Skadeforsikring'!C74+'Gjensidige Forsikring'!C74+'Gjensidige Pensjon'!C74+'Handelsbanken Liv'!C74+'If Skadeforsikring NUF'!C74+KLP!C74+'KLP Bedriftspensjon AS'!C74+'KLP Skadeforsikring AS'!C74+'Landbruksforsikring AS'!C74+'NEMI Forsikring'!C74+'Nordea Liv '!C74+'Oslo Pensjonsforsikring'!C74+'SHB Liv'!C74+'Silver Pensjonsforsikring AS'!C74+'Sparebank 1'!C74+'Storebrand Livsforsikring'!C74+'Telenor Forsikring'!C74+'Tryg Forsikring'!C74</f>
        <v>0</v>
      </c>
      <c r="D74" s="174"/>
      <c r="E74" s="43">
        <f>IF($A$1=4,'ACE European Group'!F74+'Danica Pensjonsforsikring'!F74+'DNB Livsforsikring'!F74+'Eika Forsikring AS'!F74+'Frende Livsforsikring'!F74+'Frende Skadeforsikring'!F74+'Gjensidige Forsikring'!F74+'Gjensidige Pensjon'!F74+'Handelsbanken Liv'!F74+'If Skadeforsikring NUF'!F74+KLP!F74+'KLP Bedriftspensjon AS'!F74+'KLP Skadeforsikring AS'!F74+'Landbruksforsikring AS'!F74+'NEMI Forsikring'!F74+'Nordea Liv '!F74+'Oslo Pensjonsforsikring'!F74+'SHB Liv'!F74+'Silver Pensjonsforsikring AS'!F74+'Sparebank 1'!F74+'Storebrand Livsforsikring'!F74+'Telenor Forsikring'!F74+'Tryg Forsikring'!F74,"")</f>
        <v>22236214.98341535</v>
      </c>
      <c r="F74" s="43">
        <f>IF($A$1=4,'ACE European Group'!G74+'Danica Pensjonsforsikring'!G74+'DNB Livsforsikring'!G74+'Eika Forsikring AS'!G74+'Frende Livsforsikring'!G74+'Frende Skadeforsikring'!G74+'Gjensidige Forsikring'!G74+'Gjensidige Pensjon'!G74+'Handelsbanken Liv'!G74+'If Skadeforsikring NUF'!G74+KLP!G74+'KLP Bedriftspensjon AS'!G74+'KLP Skadeforsikring AS'!G74+'Landbruksforsikring AS'!G74+'NEMI Forsikring'!G74+'Nordea Liv '!G74+'Oslo Pensjonsforsikring'!G74+'SHB Liv'!G74+'Silver Pensjonsforsikring AS'!G74+'Sparebank 1'!G74+'Storebrand Livsforsikring'!G74+'Telenor Forsikring'!G74+'Tryg Forsikring'!G74,"")</f>
        <v>26072588.083766568</v>
      </c>
      <c r="G74" s="164">
        <f t="shared" si="29"/>
        <v>17.3</v>
      </c>
      <c r="H74" s="235">
        <f t="shared" si="26"/>
        <v>22236214.98341535</v>
      </c>
      <c r="I74" s="235">
        <f t="shared" si="27"/>
        <v>26072588.083766568</v>
      </c>
      <c r="J74" s="164">
        <f t="shared" si="28"/>
        <v>17.3</v>
      </c>
    </row>
    <row r="75" spans="1:10" s="3" customFormat="1" ht="15.75" customHeight="1" x14ac:dyDescent="0.2">
      <c r="A75" s="20" t="s">
        <v>395</v>
      </c>
      <c r="B75" s="43">
        <f>'ACE European Group'!B75+'Danica Pensjonsforsikring'!B75+'DNB Livsforsikring'!B75+'Eika Forsikring AS'!B75+'Frende Livsforsikring'!B75+'Frende Skadeforsikring'!B75+'Gjensidige Forsikring'!B75+'Gjensidige Pensjon'!B75+'Handelsbanken Liv'!B75+'If Skadeforsikring NUF'!B75+KLP!B75+'KLP Bedriftspensjon AS'!B75+'KLP Skadeforsikring AS'!B75+'Landbruksforsikring AS'!B75+'NEMI Forsikring'!B75+'Nordea Liv '!B75+'Oslo Pensjonsforsikring'!B75+'SHB Liv'!B75+'Silver Pensjonsforsikring AS'!B75+'Sparebank 1'!B75+'Storebrand Livsforsikring'!B75+'Telenor Forsikring'!B75+'Tryg Forsikring'!B75</f>
        <v>80235.473960000003</v>
      </c>
      <c r="C75" s="43">
        <f>'ACE European Group'!C75+'Danica Pensjonsforsikring'!C75+'DNB Livsforsikring'!C75+'Eika Forsikring AS'!C75+'Frende Livsforsikring'!C75+'Frende Skadeforsikring'!C75+'Gjensidige Forsikring'!C75+'Gjensidige Pensjon'!C75+'Handelsbanken Liv'!C75+'If Skadeforsikring NUF'!C75+KLP!C75+'KLP Bedriftspensjon AS'!C75+'KLP Skadeforsikring AS'!C75+'Landbruksforsikring AS'!C75+'NEMI Forsikring'!C75+'Nordea Liv '!C75+'Oslo Pensjonsforsikring'!C75+'SHB Liv'!C75+'Silver Pensjonsforsikring AS'!C75+'Sparebank 1'!C75+'Storebrand Livsforsikring'!C75+'Telenor Forsikring'!C75+'Tryg Forsikring'!C75</f>
        <v>268370.77656999999</v>
      </c>
      <c r="D75" s="164">
        <f t="shared" si="24"/>
        <v>234.5</v>
      </c>
      <c r="E75" s="43">
        <f>'ACE European Group'!F75+'Danica Pensjonsforsikring'!F75+'DNB Livsforsikring'!F75+'Eika Forsikring AS'!F75+'Frende Livsforsikring'!F75+'Frende Skadeforsikring'!F75+'Gjensidige Forsikring'!F75+'Gjensidige Pensjon'!F75+'Handelsbanken Liv'!F75+'If Skadeforsikring NUF'!F75+KLP!F75+'KLP Bedriftspensjon AS'!F75+'KLP Skadeforsikring AS'!F75+'Landbruksforsikring AS'!F75+'NEMI Forsikring'!F75+'Nordea Liv '!F75+'Oslo Pensjonsforsikring'!F75+'SHB Liv'!F75+'Silver Pensjonsforsikring AS'!F75+'Sparebank 1'!F75+'Storebrand Livsforsikring'!F75+'Telenor Forsikring'!F75+'Tryg Forsikring'!F75</f>
        <v>208617.45277999999</v>
      </c>
      <c r="F75" s="43">
        <f>'ACE European Group'!G75+'Danica Pensjonsforsikring'!G75+'DNB Livsforsikring'!G75+'Eika Forsikring AS'!G75+'Frende Livsforsikring'!G75+'Frende Skadeforsikring'!G75+'Gjensidige Forsikring'!G75+'Gjensidige Pensjon'!G75+'Handelsbanken Liv'!G75+'If Skadeforsikring NUF'!G75+KLP!G75+'KLP Bedriftspensjon AS'!G75+'KLP Skadeforsikring AS'!G75+'Landbruksforsikring AS'!G75+'NEMI Forsikring'!G75+'Nordea Liv '!G75+'Oslo Pensjonsforsikring'!G75+'SHB Liv'!G75+'Silver Pensjonsforsikring AS'!G75+'Sparebank 1'!G75+'Storebrand Livsforsikring'!G75+'Telenor Forsikring'!G75+'Tryg Forsikring'!G75</f>
        <v>297656.58766000002</v>
      </c>
      <c r="G75" s="164">
        <f t="shared" si="25"/>
        <v>42.7</v>
      </c>
      <c r="H75" s="235">
        <f t="shared" si="26"/>
        <v>288852.92674000002</v>
      </c>
      <c r="I75" s="235">
        <f t="shared" si="27"/>
        <v>566027.36422999995</v>
      </c>
      <c r="J75" s="164">
        <f t="shared" si="28"/>
        <v>96</v>
      </c>
    </row>
    <row r="76" spans="1:10" s="3" customFormat="1" ht="15.75" customHeight="1" x14ac:dyDescent="0.2">
      <c r="A76" s="20" t="s">
        <v>394</v>
      </c>
      <c r="B76" s="43">
        <f>'ACE European Group'!B76+'Danica Pensjonsforsikring'!B76+'DNB Livsforsikring'!B76+'Eika Forsikring AS'!B76+'Frende Livsforsikring'!B76+'Frende Skadeforsikring'!B76+'Gjensidige Forsikring'!B76+'Gjensidige Pensjon'!B76+'Handelsbanken Liv'!B76+'If Skadeforsikring NUF'!B76+KLP!B76+'KLP Bedriftspensjon AS'!B76+'KLP Skadeforsikring AS'!B76+'Landbruksforsikring AS'!B76+'NEMI Forsikring'!B76+'Nordea Liv '!B76+'Oslo Pensjonsforsikring'!B76+'SHB Liv'!B76+'Silver Pensjonsforsikring AS'!B76+'Sparebank 1'!B76+'Storebrand Livsforsikring'!B76+'Telenor Forsikring'!B76+'Tryg Forsikring'!B76</f>
        <v>0</v>
      </c>
      <c r="C76" s="43">
        <f>'ACE European Group'!C76+'Danica Pensjonsforsikring'!C76+'DNB Livsforsikring'!C76+'Eika Forsikring AS'!C76+'Frende Livsforsikring'!C76+'Frende Skadeforsikring'!C76+'Gjensidige Forsikring'!C76+'Gjensidige Pensjon'!C76+'Handelsbanken Liv'!C76+'If Skadeforsikring NUF'!C76+KLP!C76+'KLP Bedriftspensjon AS'!C76+'KLP Skadeforsikring AS'!C76+'Landbruksforsikring AS'!C76+'NEMI Forsikring'!C76+'Nordea Liv '!C76+'Oslo Pensjonsforsikring'!C76+'SHB Liv'!C76+'Silver Pensjonsforsikring AS'!C76+'Sparebank 1'!C76+'Storebrand Livsforsikring'!C76+'Telenor Forsikring'!C76+'Tryg Forsikring'!C76</f>
        <v>1324019.7486200002</v>
      </c>
      <c r="D76" s="164" t="str">
        <f t="shared" ref="D76" si="30">IF(B76=0, "    ---- ", IF(ABS(ROUND(100/B76*C76-100,1))&lt;999,ROUND(100/B76*C76-100,1),IF(ROUND(100/B76*C76-100,1)&gt;999,999,-999)))</f>
        <v xml:space="preserve">    ---- </v>
      </c>
      <c r="E76" s="43">
        <f>'ACE European Group'!F76+'Danica Pensjonsforsikring'!F76+'DNB Livsforsikring'!F76+'Eika Forsikring AS'!F76+'Frende Livsforsikring'!F76+'Frende Skadeforsikring'!F76+'Gjensidige Forsikring'!F76+'Gjensidige Pensjon'!F76+'Handelsbanken Liv'!F76+'If Skadeforsikring NUF'!F76+KLP!F76+'KLP Bedriftspensjon AS'!F76+'KLP Skadeforsikring AS'!F76+'Landbruksforsikring AS'!F76+'NEMI Forsikring'!F76+'Nordea Liv '!F76+'Oslo Pensjonsforsikring'!F76+'SHB Liv'!F76+'Silver Pensjonsforsikring AS'!F76+'Sparebank 1'!F76+'Storebrand Livsforsikring'!F76+'Telenor Forsikring'!F76+'Tryg Forsikring'!F76</f>
        <v>0</v>
      </c>
      <c r="F76" s="43">
        <f>'ACE European Group'!G76+'Danica Pensjonsforsikring'!G76+'DNB Livsforsikring'!G76+'Eika Forsikring AS'!G76+'Frende Livsforsikring'!G76+'Frende Skadeforsikring'!G76+'Gjensidige Forsikring'!G76+'Gjensidige Pensjon'!G76+'Handelsbanken Liv'!G76+'If Skadeforsikring NUF'!G76+KLP!G76+'KLP Bedriftspensjon AS'!G76+'KLP Skadeforsikring AS'!G76+'Landbruksforsikring AS'!G76+'NEMI Forsikring'!G76+'Nordea Liv '!G76+'Oslo Pensjonsforsikring'!G76+'SHB Liv'!G76+'Silver Pensjonsforsikring AS'!G76+'Sparebank 1'!G76+'Storebrand Livsforsikring'!G76+'Telenor Forsikring'!G76+'Tryg Forsikring'!G76</f>
        <v>0</v>
      </c>
      <c r="G76" s="164"/>
      <c r="H76" s="235">
        <f t="shared" ref="H76" si="31">SUM(B76,E76)</f>
        <v>0</v>
      </c>
      <c r="I76" s="235">
        <f t="shared" ref="I76" si="32">SUM(C76,F76)</f>
        <v>1324019.7486200002</v>
      </c>
      <c r="J76" s="164" t="str">
        <f t="shared" ref="J76" si="33">IF(H76=0, "    ---- ", IF(ABS(ROUND(100/H76*I76-100,1))&lt;999,ROUND(100/H76*I76-100,1),IF(ROUND(100/H76*I76-100,1)&gt;999,999,-999)))</f>
        <v xml:space="preserve">    ---- </v>
      </c>
    </row>
    <row r="77" spans="1:10" ht="15.75" customHeight="1" x14ac:dyDescent="0.2">
      <c r="A77" s="20" t="s">
        <v>318</v>
      </c>
      <c r="B77" s="43">
        <f>'ACE European Group'!B77+'Danica Pensjonsforsikring'!B77+'DNB Livsforsikring'!B77+'Eika Forsikring AS'!B77+'Frende Livsforsikring'!B77+'Frende Skadeforsikring'!B77+'Gjensidige Forsikring'!B77+'Gjensidige Pensjon'!B77+'Handelsbanken Liv'!B77+'If Skadeforsikring NUF'!B77+KLP!B77+'KLP Bedriftspensjon AS'!B77+'KLP Skadeforsikring AS'!B77+'Landbruksforsikring AS'!B77+'NEMI Forsikring'!B77+'Nordea Liv '!B77+'Oslo Pensjonsforsikring'!B77+'SHB Liv'!B77+'Silver Pensjonsforsikring AS'!B77+'Sparebank 1'!B77+'Storebrand Livsforsikring'!B77+'Telenor Forsikring'!B77+'Tryg Forsikring'!B77</f>
        <v>11259747.041170001</v>
      </c>
      <c r="C77" s="232">
        <f>'ACE European Group'!C77+'Danica Pensjonsforsikring'!C77+'DNB Livsforsikring'!C77+'Eika Forsikring AS'!C77+'Frende Livsforsikring'!C77+'Frende Skadeforsikring'!C77+'Gjensidige Forsikring'!C77+'Gjensidige Pensjon'!C77+'Handelsbanken Liv'!C77+'If Skadeforsikring NUF'!C77+KLP!C77+'KLP Bedriftspensjon AS'!C77+'KLP Skadeforsikring AS'!C77+'Landbruksforsikring AS'!C77+'NEMI Forsikring'!C77+'Nordea Liv '!C77+'Oslo Pensjonsforsikring'!C77+'SHB Liv'!C77+'Silver Pensjonsforsikring AS'!C77+'Sparebank 1'!C77+'Storebrand Livsforsikring'!C77+'Telenor Forsikring'!C77+'Tryg Forsikring'!C77</f>
        <v>8062661.1902500009</v>
      </c>
      <c r="D77" s="164">
        <f t="shared" si="24"/>
        <v>-28.4</v>
      </c>
      <c r="E77" s="43">
        <f>'ACE European Group'!F77+'Danica Pensjonsforsikring'!F77+'DNB Livsforsikring'!F77+'Eika Forsikring AS'!F77+'Frende Livsforsikring'!F77+'Frende Skadeforsikring'!F77+'Gjensidige Forsikring'!F77+'Gjensidige Pensjon'!F77+'Handelsbanken Liv'!F77+'If Skadeforsikring NUF'!F77+KLP!F77+'KLP Bedriftspensjon AS'!F77+'KLP Skadeforsikring AS'!F77+'Landbruksforsikring AS'!F77+'NEMI Forsikring'!F77+'Nordea Liv '!F77+'Oslo Pensjonsforsikring'!F77+'SHB Liv'!F77+'Silver Pensjonsforsikring AS'!F77+'Sparebank 1'!F77+'Storebrand Livsforsikring'!F77+'Telenor Forsikring'!F77+'Tryg Forsikring'!F77</f>
        <v>22883454.179400001</v>
      </c>
      <c r="F77" s="43">
        <f>'ACE European Group'!G77+'Danica Pensjonsforsikring'!G77+'DNB Livsforsikring'!G77+'Eika Forsikring AS'!G77+'Frende Livsforsikring'!G77+'Frende Skadeforsikring'!G77+'Gjensidige Forsikring'!G77+'Gjensidige Pensjon'!G77+'Handelsbanken Liv'!G77+'If Skadeforsikring NUF'!G77+KLP!G77+'KLP Bedriftspensjon AS'!G77+'KLP Skadeforsikring AS'!G77+'Landbruksforsikring AS'!G77+'NEMI Forsikring'!G77+'Nordea Liv '!G77+'Oslo Pensjonsforsikring'!G77+'SHB Liv'!G77+'Silver Pensjonsforsikring AS'!G77+'Sparebank 1'!G77+'Storebrand Livsforsikring'!G77+'Telenor Forsikring'!G77+'Tryg Forsikring'!G77</f>
        <v>26396046.07432</v>
      </c>
      <c r="G77" s="164">
        <f t="shared" si="25"/>
        <v>15.3</v>
      </c>
      <c r="H77" s="235">
        <f t="shared" si="26"/>
        <v>34143201.220569998</v>
      </c>
      <c r="I77" s="235">
        <f t="shared" si="27"/>
        <v>34458707.264569998</v>
      </c>
      <c r="J77" s="164">
        <f t="shared" si="28"/>
        <v>0.9</v>
      </c>
    </row>
    <row r="78" spans="1:10" ht="15.75" customHeight="1" x14ac:dyDescent="0.2">
      <c r="A78" s="20" t="s">
        <v>9</v>
      </c>
      <c r="B78" s="43">
        <f>'ACE European Group'!B78+'Danica Pensjonsforsikring'!B78+'DNB Livsforsikring'!B78+'Eika Forsikring AS'!B78+'Frende Livsforsikring'!B78+'Frende Skadeforsikring'!B78+'Gjensidige Forsikring'!B78+'Gjensidige Pensjon'!B78+'Handelsbanken Liv'!B78+'If Skadeforsikring NUF'!B78+KLP!B78+'KLP Bedriftspensjon AS'!B78+'KLP Skadeforsikring AS'!B78+'Landbruksforsikring AS'!B78+'NEMI Forsikring'!B78+'Nordea Liv '!B78+'Oslo Pensjonsforsikring'!B78+'SHB Liv'!B78+'Silver Pensjonsforsikring AS'!B78+'Sparebank 1'!B78+'Storebrand Livsforsikring'!B78+'Telenor Forsikring'!B78+'Tryg Forsikring'!B78</f>
        <v>11091041.445190001</v>
      </c>
      <c r="C78" s="232">
        <f>'ACE European Group'!C78+'Danica Pensjonsforsikring'!C78+'DNB Livsforsikring'!C78+'Eika Forsikring AS'!C78+'Frende Livsforsikring'!C78+'Frende Skadeforsikring'!C78+'Gjensidige Forsikring'!C78+'Gjensidige Pensjon'!C78+'Handelsbanken Liv'!C78+'If Skadeforsikring NUF'!C78+KLP!C78+'KLP Bedriftspensjon AS'!C78+'KLP Skadeforsikring AS'!C78+'Landbruksforsikring AS'!C78+'NEMI Forsikring'!C78+'Nordea Liv '!C78+'Oslo Pensjonsforsikring'!C78+'SHB Liv'!C78+'Silver Pensjonsforsikring AS'!C78+'Sparebank 1'!C78+'Storebrand Livsforsikring'!C78+'Telenor Forsikring'!C78+'Tryg Forsikring'!C78</f>
        <v>7907459.1852700002</v>
      </c>
      <c r="D78" s="164">
        <f t="shared" si="24"/>
        <v>-28.7</v>
      </c>
      <c r="E78" s="43">
        <f>'ACE European Group'!F78+'Danica Pensjonsforsikring'!F78+'DNB Livsforsikring'!F78+'Eika Forsikring AS'!F78+'Frende Livsforsikring'!F78+'Frende Skadeforsikring'!F78+'Gjensidige Forsikring'!F78+'Gjensidige Pensjon'!F78+'Handelsbanken Liv'!F78+'If Skadeforsikring NUF'!F78+KLP!F78+'KLP Bedriftspensjon AS'!F78+'KLP Skadeforsikring AS'!F78+'Landbruksforsikring AS'!F78+'NEMI Forsikring'!F78+'Nordea Liv '!F78+'Oslo Pensjonsforsikring'!F78+'SHB Liv'!F78+'Silver Pensjonsforsikring AS'!F78+'Sparebank 1'!F78+'Storebrand Livsforsikring'!F78+'Telenor Forsikring'!F78+'Tryg Forsikring'!F78</f>
        <v>0</v>
      </c>
      <c r="F78" s="43">
        <f>'ACE European Group'!G78+'Danica Pensjonsforsikring'!G78+'DNB Livsforsikring'!G78+'Eika Forsikring AS'!G78+'Frende Livsforsikring'!G78+'Frende Skadeforsikring'!G78+'Gjensidige Forsikring'!G78+'Gjensidige Pensjon'!G78+'Handelsbanken Liv'!G78+'If Skadeforsikring NUF'!G78+KLP!G78+'KLP Bedriftspensjon AS'!G78+'KLP Skadeforsikring AS'!G78+'Landbruksforsikring AS'!G78+'NEMI Forsikring'!G78+'Nordea Liv '!G78+'Oslo Pensjonsforsikring'!G78+'SHB Liv'!G78+'Silver Pensjonsforsikring AS'!G78+'Sparebank 1'!G78+'Storebrand Livsforsikring'!G78+'Telenor Forsikring'!G78+'Tryg Forsikring'!G78</f>
        <v>0</v>
      </c>
      <c r="G78" s="164" t="str">
        <f t="shared" si="25"/>
        <v xml:space="preserve">    ---- </v>
      </c>
      <c r="H78" s="235">
        <f t="shared" si="26"/>
        <v>11091041.445190001</v>
      </c>
      <c r="I78" s="235">
        <f t="shared" si="27"/>
        <v>7907459.1852700002</v>
      </c>
      <c r="J78" s="164">
        <f t="shared" si="28"/>
        <v>-28.7</v>
      </c>
    </row>
    <row r="79" spans="1:10" ht="15.75" customHeight="1" x14ac:dyDescent="0.2">
      <c r="A79" s="20" t="s">
        <v>10</v>
      </c>
      <c r="B79" s="43">
        <f>'ACE European Group'!B79+'Danica Pensjonsforsikring'!B79+'DNB Livsforsikring'!B79+'Eika Forsikring AS'!B79+'Frende Livsforsikring'!B79+'Frende Skadeforsikring'!B79+'Gjensidige Forsikring'!B79+'Gjensidige Pensjon'!B79+'Handelsbanken Liv'!B79+'If Skadeforsikring NUF'!B79+KLP!B79+'KLP Bedriftspensjon AS'!B79+'KLP Skadeforsikring AS'!B79+'Landbruksforsikring AS'!B79+'NEMI Forsikring'!B79+'Nordea Liv '!B79+'Oslo Pensjonsforsikring'!B79+'SHB Liv'!B79+'Silver Pensjonsforsikring AS'!B79+'Sparebank 1'!B79+'Storebrand Livsforsikring'!B79+'Telenor Forsikring'!B79+'Tryg Forsikring'!B79</f>
        <v>168705.59598000001</v>
      </c>
      <c r="C79" s="143">
        <f>'ACE European Group'!C79+'Danica Pensjonsforsikring'!C79+'DNB Livsforsikring'!C79+'Eika Forsikring AS'!C79+'Frende Livsforsikring'!C79+'Frende Skadeforsikring'!C79+'Gjensidige Forsikring'!C79+'Gjensidige Pensjon'!C79+'Handelsbanken Liv'!C79+'If Skadeforsikring NUF'!C79+KLP!C79+'KLP Bedriftspensjon AS'!C79+'KLP Skadeforsikring AS'!C79+'Landbruksforsikring AS'!C79+'NEMI Forsikring'!C79+'Nordea Liv '!C79+'Oslo Pensjonsforsikring'!C79+'SHB Liv'!C79+'Silver Pensjonsforsikring AS'!C79+'Sparebank 1'!C79+'Storebrand Livsforsikring'!C79+'Telenor Forsikring'!C79+'Tryg Forsikring'!C79</f>
        <v>155202.00498000003</v>
      </c>
      <c r="D79" s="164">
        <f t="shared" si="24"/>
        <v>-8</v>
      </c>
      <c r="E79" s="43">
        <f>'ACE European Group'!F79+'Danica Pensjonsforsikring'!F79+'DNB Livsforsikring'!F79+'Eika Forsikring AS'!F79+'Frende Livsforsikring'!F79+'Frende Skadeforsikring'!F79+'Gjensidige Forsikring'!F79+'Gjensidige Pensjon'!F79+'Handelsbanken Liv'!F79+'If Skadeforsikring NUF'!F79+KLP!F79+'KLP Bedriftspensjon AS'!F79+'KLP Skadeforsikring AS'!F79+'Landbruksforsikring AS'!F79+'NEMI Forsikring'!F79+'Nordea Liv '!F79+'Oslo Pensjonsforsikring'!F79+'SHB Liv'!F79+'Silver Pensjonsforsikring AS'!F79+'Sparebank 1'!F79+'Storebrand Livsforsikring'!F79+'Telenor Forsikring'!F79+'Tryg Forsikring'!F79</f>
        <v>22883454.179400001</v>
      </c>
      <c r="F79" s="43">
        <f>'ACE European Group'!G79+'Danica Pensjonsforsikring'!G79+'DNB Livsforsikring'!G79+'Eika Forsikring AS'!G79+'Frende Livsforsikring'!G79+'Frende Skadeforsikring'!G79+'Gjensidige Forsikring'!G79+'Gjensidige Pensjon'!G79+'Handelsbanken Liv'!G79+'If Skadeforsikring NUF'!G79+KLP!G79+'KLP Bedriftspensjon AS'!G79+'KLP Skadeforsikring AS'!G79+'Landbruksforsikring AS'!G79+'NEMI Forsikring'!G79+'Nordea Liv '!G79+'Oslo Pensjonsforsikring'!G79+'SHB Liv'!G79+'Silver Pensjonsforsikring AS'!G79+'Sparebank 1'!G79+'Storebrand Livsforsikring'!G79+'Telenor Forsikring'!G79+'Tryg Forsikring'!G79</f>
        <v>26396046.07432</v>
      </c>
      <c r="G79" s="164">
        <f t="shared" si="25"/>
        <v>15.3</v>
      </c>
      <c r="H79" s="235">
        <f t="shared" si="26"/>
        <v>23052159.77538</v>
      </c>
      <c r="I79" s="235">
        <f t="shared" si="27"/>
        <v>26551248.079300001</v>
      </c>
      <c r="J79" s="164">
        <f t="shared" si="28"/>
        <v>15.2</v>
      </c>
    </row>
    <row r="80" spans="1:10" ht="15.75" customHeight="1" x14ac:dyDescent="0.2">
      <c r="A80" s="294" t="s">
        <v>316</v>
      </c>
      <c r="B80" s="43">
        <f>IF($A$1=4,'ACE European Group'!B80+'Danica Pensjonsforsikring'!B80+'DNB Livsforsikring'!B80+'Eika Forsikring AS'!B80+'Frende Livsforsikring'!B80+'Frende Skadeforsikring'!B80+'Gjensidige Forsikring'!B80+'Gjensidige Pensjon'!B80+'Handelsbanken Liv'!B80+'If Skadeforsikring NUF'!B80+KLP!B80+'KLP Bedriftspensjon AS'!B80+'KLP Skadeforsikring AS'!B80+'Landbruksforsikring AS'!B80+'NEMI Forsikring'!B80+'Nordea Liv '!B80+'Oslo Pensjonsforsikring'!B80+'SHB Liv'!B80+'Silver Pensjonsforsikring AS'!B80+'Sparebank 1'!B80+'Storebrand Livsforsikring'!B80+'Telenor Forsikring'!B80+'Tryg Forsikring'!B80,"")</f>
        <v>0</v>
      </c>
      <c r="C80" s="43">
        <f>IF($A$1=4,'ACE European Group'!C80+'Danica Pensjonsforsikring'!C80+'DNB Livsforsikring'!C80+'Eika Forsikring AS'!C80+'Frende Livsforsikring'!C80+'Frende Skadeforsikring'!C80+'Gjensidige Forsikring'!C80+'Gjensidige Pensjon'!C80+'Handelsbanken Liv'!C80+'If Skadeforsikring NUF'!C80+KLP!C80+'KLP Bedriftspensjon AS'!C80+'KLP Skadeforsikring AS'!C80+'Landbruksforsikring AS'!C80+'NEMI Forsikring'!C80+'Nordea Liv '!C80+'Oslo Pensjonsforsikring'!C80+'SHB Liv'!C80+'Silver Pensjonsforsikring AS'!C80+'Sparebank 1'!C80+'Storebrand Livsforsikring'!C80+'Telenor Forsikring'!C80+'Tryg Forsikring'!C80,"")</f>
        <v>0</v>
      </c>
      <c r="D80" s="174"/>
      <c r="E80" s="43"/>
      <c r="F80" s="43"/>
      <c r="G80" s="164"/>
      <c r="H80" s="235"/>
      <c r="I80" s="235"/>
      <c r="J80" s="164"/>
    </row>
    <row r="81" spans="1:12" ht="15.75" customHeight="1" x14ac:dyDescent="0.2">
      <c r="A81" s="294" t="s">
        <v>12</v>
      </c>
      <c r="B81" s="233">
        <f>'ACE European Group'!B81+'Danica Pensjonsforsikring'!B81+'DNB Livsforsikring'!B81+'Eika Forsikring AS'!B81+'Frende Livsforsikring'!B81+'Frende Skadeforsikring'!B81+'Gjensidige Forsikring'!B81+'Gjensidige Pensjon'!B81+'Handelsbanken Liv'!B81+'If Skadeforsikring NUF'!B81+KLP!B81+'KLP Bedriftspensjon AS'!B81+'KLP Skadeforsikring AS'!B81+'Landbruksforsikring AS'!B81+'NEMI Forsikring'!B81+'Nordea Liv '!B81+'Oslo Pensjonsforsikring'!B81+'SHB Liv'!B81+'Silver Pensjonsforsikring AS'!B81+'Sparebank 1'!B81+'Storebrand Livsforsikring'!B81+'Telenor Forsikring'!B81+'Tryg Forsikring'!B81</f>
        <v>0</v>
      </c>
      <c r="C81" s="233">
        <f>'ACE European Group'!C81+'Danica Pensjonsforsikring'!C81+'DNB Livsforsikring'!C81+'Eika Forsikring AS'!C81+'Frende Livsforsikring'!C81+'Frende Skadeforsikring'!C81+'Gjensidige Forsikring'!C81+'Gjensidige Pensjon'!C81+'Handelsbanken Liv'!C81+'If Skadeforsikring NUF'!C81+KLP!C81+'KLP Bedriftspensjon AS'!C81+'KLP Skadeforsikring AS'!C81+'Landbruksforsikring AS'!C81+'NEMI Forsikring'!C81+'Nordea Liv '!C81+'Oslo Pensjonsforsikring'!C81+'SHB Liv'!C81+'Silver Pensjonsforsikring AS'!C81+'Sparebank 1'!C81+'Storebrand Livsforsikring'!C81+'Telenor Forsikring'!C81+'Tryg Forsikring'!C81</f>
        <v>0</v>
      </c>
      <c r="D81" s="174"/>
      <c r="E81" s="43"/>
      <c r="F81" s="43"/>
      <c r="G81" s="164"/>
      <c r="H81" s="235"/>
      <c r="I81" s="235"/>
      <c r="J81" s="164"/>
    </row>
    <row r="82" spans="1:12" ht="15.75" customHeight="1" x14ac:dyDescent="0.2">
      <c r="A82" s="294" t="s">
        <v>13</v>
      </c>
      <c r="B82" s="233">
        <f>'ACE European Group'!B82+'Danica Pensjonsforsikring'!B82+'DNB Livsforsikring'!B82+'Eika Forsikring AS'!B82+'Frende Livsforsikring'!B82+'Frende Skadeforsikring'!B82+'Gjensidige Forsikring'!B82+'Gjensidige Pensjon'!B82+'Handelsbanken Liv'!B82+'If Skadeforsikring NUF'!B82+KLP!B82+'KLP Bedriftspensjon AS'!B82+'KLP Skadeforsikring AS'!B82+'Landbruksforsikring AS'!B82+'NEMI Forsikring'!B82+'Nordea Liv '!B82+'Oslo Pensjonsforsikring'!B82+'SHB Liv'!B82+'Silver Pensjonsforsikring AS'!B82+'Sparebank 1'!B82+'Storebrand Livsforsikring'!B82+'Telenor Forsikring'!B82+'Tryg Forsikring'!B82</f>
        <v>0</v>
      </c>
      <c r="C82" s="233">
        <f>'ACE European Group'!C82+'Danica Pensjonsforsikring'!C82+'DNB Livsforsikring'!C82+'Eika Forsikring AS'!C82+'Frende Livsforsikring'!C82+'Frende Skadeforsikring'!C82+'Gjensidige Forsikring'!C82+'Gjensidige Pensjon'!C82+'Handelsbanken Liv'!C82+'If Skadeforsikring NUF'!C82+KLP!C82+'KLP Bedriftspensjon AS'!C82+'KLP Skadeforsikring AS'!C82+'Landbruksforsikring AS'!C82+'NEMI Forsikring'!C82+'Nordea Liv '!C82+'Oslo Pensjonsforsikring'!C82+'SHB Liv'!C82+'Silver Pensjonsforsikring AS'!C82+'Sparebank 1'!C82+'Storebrand Livsforsikring'!C82+'Telenor Forsikring'!C82+'Tryg Forsikring'!C82</f>
        <v>0</v>
      </c>
      <c r="D82" s="174"/>
      <c r="E82" s="43"/>
      <c r="F82" s="43"/>
      <c r="G82" s="164"/>
      <c r="H82" s="235"/>
      <c r="I82" s="235"/>
      <c r="J82" s="164"/>
    </row>
    <row r="83" spans="1:12" ht="15.75" customHeight="1" x14ac:dyDescent="0.2">
      <c r="A83" s="294" t="s">
        <v>317</v>
      </c>
      <c r="B83" s="43">
        <f>IF($A$1=4,'ACE European Group'!B83+'Danica Pensjonsforsikring'!B83+'DNB Livsforsikring'!B83+'Eika Forsikring AS'!B83+'Frende Livsforsikring'!B83+'Frende Skadeforsikring'!B83+'Gjensidige Forsikring'!B83+'Gjensidige Pensjon'!B83+'Handelsbanken Liv'!B83+'If Skadeforsikring NUF'!B83+KLP!B83+'KLP Bedriftspensjon AS'!B83+'KLP Skadeforsikring AS'!B83+'Landbruksforsikring AS'!B83+'NEMI Forsikring'!B83+'Nordea Liv '!B83+'Oslo Pensjonsforsikring'!B83+'SHB Liv'!B83+'Silver Pensjonsforsikring AS'!B83+'Sparebank 1'!B83+'Storebrand Livsforsikring'!B83+'Telenor Forsikring'!B83+'Tryg Forsikring'!B83,"")</f>
        <v>168705.59598000001</v>
      </c>
      <c r="C83" s="43">
        <f>IF($A$1=4,'ACE European Group'!C83+'Danica Pensjonsforsikring'!C83+'DNB Livsforsikring'!C83+'Eika Forsikring AS'!C83+'Frende Livsforsikring'!C83+'Frende Skadeforsikring'!C83+'Gjensidige Forsikring'!C83+'Gjensidige Pensjon'!C83+'Handelsbanken Liv'!C83+'If Skadeforsikring NUF'!C83+KLP!C83+'KLP Bedriftspensjon AS'!C83+'KLP Skadeforsikring AS'!C83+'Landbruksforsikring AS'!C83+'NEMI Forsikring'!C83+'Nordea Liv '!C83+'Oslo Pensjonsforsikring'!C83+'SHB Liv'!C83+'Silver Pensjonsforsikring AS'!C83+'Sparebank 1'!C83+'Storebrand Livsforsikring'!C83+'Telenor Forsikring'!C83+'Tryg Forsikring'!C83,"")</f>
        <v>155202.00498000003</v>
      </c>
      <c r="D83" s="174">
        <f t="shared" ref="D83" si="34">IF($A$1=4,IF(B83=0, "    ---- ", IF(ABS(ROUND(100/B83*C83-100,1))&lt;999,ROUND(100/B83*C83-100,1),IF(ROUND(100/B83*C83-100,1)&gt;999,999,-999))),"")</f>
        <v>-8</v>
      </c>
      <c r="E83" s="43">
        <f>IF($A$1=4,'ACE European Group'!F83+'Danica Pensjonsforsikring'!F83+'DNB Livsforsikring'!F83+'Eika Forsikring AS'!F83+'Frende Livsforsikring'!F83+'Frende Skadeforsikring'!F83+'Gjensidige Forsikring'!F83+'Gjensidige Pensjon'!F83+'Handelsbanken Liv'!F83+'If Skadeforsikring NUF'!F83+KLP!F83+'KLP Bedriftspensjon AS'!F83+'KLP Skadeforsikring AS'!F83+'Landbruksforsikring AS'!F83+'NEMI Forsikring'!F83+'Nordea Liv '!F83+'Oslo Pensjonsforsikring'!F83+'SHB Liv'!F83+'Silver Pensjonsforsikring AS'!F83+'Sparebank 1'!F83+'Storebrand Livsforsikring'!F83+'Telenor Forsikring'!F83+'Tryg Forsikring'!F83,"")</f>
        <v>22883454.179400001</v>
      </c>
      <c r="F83" s="43">
        <f>IF($A$1=4,'ACE European Group'!G83+'Danica Pensjonsforsikring'!G83+'DNB Livsforsikring'!G83+'Eika Forsikring AS'!G83+'Frende Livsforsikring'!G83+'Frende Skadeforsikring'!G83+'Gjensidige Forsikring'!G83+'Gjensidige Pensjon'!G83+'Handelsbanken Liv'!G83+'If Skadeforsikring NUF'!G83+KLP!G83+'KLP Bedriftspensjon AS'!G83+'KLP Skadeforsikring AS'!G83+'Landbruksforsikring AS'!G83+'NEMI Forsikring'!G83+'Nordea Liv '!G83+'Oslo Pensjonsforsikring'!G83+'SHB Liv'!G83+'Silver Pensjonsforsikring AS'!G83+'Sparebank 1'!G83+'Storebrand Livsforsikring'!G83+'Telenor Forsikring'!G83+'Tryg Forsikring'!G83,"")</f>
        <v>26396046.07432</v>
      </c>
      <c r="G83" s="164">
        <f t="shared" ref="G83:G85" si="35">IF($A$1=4,IF(E83=0, "    ---- ", IF(ABS(ROUND(100/E83*F83-100,1))&lt;999,ROUND(100/E83*F83-100,1),IF(ROUND(100/E83*F83-100,1)&gt;999,999,-999))),"")</f>
        <v>15.3</v>
      </c>
      <c r="H83" s="235">
        <f t="shared" si="26"/>
        <v>23052159.77538</v>
      </c>
      <c r="I83" s="235">
        <f t="shared" si="27"/>
        <v>26551248.079300001</v>
      </c>
      <c r="J83" s="169">
        <f t="shared" si="28"/>
        <v>15.2</v>
      </c>
    </row>
    <row r="84" spans="1:12" ht="15.75" customHeight="1" x14ac:dyDescent="0.2">
      <c r="A84" s="294" t="s">
        <v>12</v>
      </c>
      <c r="B84" s="233">
        <f>'ACE European Group'!B84+'Danica Pensjonsforsikring'!B84+'DNB Livsforsikring'!B84+'Eika Forsikring AS'!B84+'Frende Livsforsikring'!B84+'Frende Skadeforsikring'!B84+'Gjensidige Forsikring'!B84+'Gjensidige Pensjon'!B84+'Handelsbanken Liv'!B84+'If Skadeforsikring NUF'!B84+KLP!B84+'KLP Bedriftspensjon AS'!B84+'KLP Skadeforsikring AS'!B84+'Landbruksforsikring AS'!B84+'NEMI Forsikring'!B84+'Nordea Liv '!B84+'Oslo Pensjonsforsikring'!B84+'SHB Liv'!B84+'Silver Pensjonsforsikring AS'!B84+'Sparebank 1'!B84+'Storebrand Livsforsikring'!B84+'Telenor Forsikring'!B84+'Tryg Forsikring'!B84</f>
        <v>0</v>
      </c>
      <c r="C84" s="233">
        <f>'ACE European Group'!C84+'Danica Pensjonsforsikring'!C84+'DNB Livsforsikring'!C84+'Eika Forsikring AS'!C84+'Frende Livsforsikring'!C84+'Frende Skadeforsikring'!C84+'Gjensidige Forsikring'!C84+'Gjensidige Pensjon'!C84+'Handelsbanken Liv'!C84+'If Skadeforsikring NUF'!C84+KLP!C84+'KLP Bedriftspensjon AS'!C84+'KLP Skadeforsikring AS'!C84+'Landbruksforsikring AS'!C84+'NEMI Forsikring'!C84+'Nordea Liv '!C84+'Oslo Pensjonsforsikring'!C84+'SHB Liv'!C84+'Silver Pensjonsforsikring AS'!C84+'Sparebank 1'!C84+'Storebrand Livsforsikring'!C84+'Telenor Forsikring'!C84+'Tryg Forsikring'!C84</f>
        <v>0</v>
      </c>
      <c r="D84" s="174"/>
      <c r="E84" s="43">
        <f>IF($A$1=4,'ACE European Group'!F84+'Danica Pensjonsforsikring'!F84+'DNB Livsforsikring'!F84+'Eika Forsikring AS'!F84+'Frende Livsforsikring'!F84+'Frende Skadeforsikring'!F84+'Gjensidige Forsikring'!F84+'Gjensidige Pensjon'!F84+'Handelsbanken Liv'!F84+'If Skadeforsikring NUF'!F84+KLP!F84+'KLP Bedriftspensjon AS'!F84+'KLP Skadeforsikring AS'!F84+'Landbruksforsikring AS'!F84+'NEMI Forsikring'!F84+'Nordea Liv '!F84+'Oslo Pensjonsforsikring'!F84+'SHB Liv'!F84+'Silver Pensjonsforsikring AS'!F84+'Sparebank 1'!F84+'Storebrand Livsforsikring'!F84+'Telenor Forsikring'!F84+'Tryg Forsikring'!F84,"")</f>
        <v>657047.20503465203</v>
      </c>
      <c r="F84" s="43">
        <f>IF($A$1=4,'ACE European Group'!G84+'Danica Pensjonsforsikring'!G84+'DNB Livsforsikring'!G84+'Eika Forsikring AS'!G84+'Frende Livsforsikring'!G84+'Frende Skadeforsikring'!G84+'Gjensidige Forsikring'!G84+'Gjensidige Pensjon'!G84+'Handelsbanken Liv'!G84+'If Skadeforsikring NUF'!G84+KLP!G84+'KLP Bedriftspensjon AS'!G84+'KLP Skadeforsikring AS'!G84+'Landbruksforsikring AS'!G84+'NEMI Forsikring'!G84+'Nordea Liv '!G84+'Oslo Pensjonsforsikring'!G84+'SHB Liv'!G84+'Silver Pensjonsforsikring AS'!G84+'Sparebank 1'!G84+'Storebrand Livsforsikring'!G84+'Telenor Forsikring'!G84+'Tryg Forsikring'!G84,"")</f>
        <v>332451.34386343003</v>
      </c>
      <c r="G84" s="164">
        <f t="shared" si="35"/>
        <v>-49.4</v>
      </c>
      <c r="H84" s="235">
        <f t="shared" si="26"/>
        <v>657047.20503465203</v>
      </c>
      <c r="I84" s="235">
        <f t="shared" si="27"/>
        <v>332451.34386343003</v>
      </c>
      <c r="J84" s="164">
        <f t="shared" si="28"/>
        <v>-49.4</v>
      </c>
    </row>
    <row r="85" spans="1:12" ht="15.75" customHeight="1" x14ac:dyDescent="0.2">
      <c r="A85" s="294" t="s">
        <v>13</v>
      </c>
      <c r="B85" s="233">
        <f>'ACE European Group'!B85+'Danica Pensjonsforsikring'!B85+'DNB Livsforsikring'!B85+'Eika Forsikring AS'!B85+'Frende Livsforsikring'!B85+'Frende Skadeforsikring'!B85+'Gjensidige Forsikring'!B85+'Gjensidige Pensjon'!B85+'Handelsbanken Liv'!B85+'If Skadeforsikring NUF'!B85+KLP!B85+'KLP Bedriftspensjon AS'!B85+'KLP Skadeforsikring AS'!B85+'Landbruksforsikring AS'!B85+'NEMI Forsikring'!B85+'Nordea Liv '!B85+'Oslo Pensjonsforsikring'!B85+'SHB Liv'!B85+'Silver Pensjonsforsikring AS'!B85+'Sparebank 1'!B85+'Storebrand Livsforsikring'!B85+'Telenor Forsikring'!B85+'Tryg Forsikring'!B85</f>
        <v>0</v>
      </c>
      <c r="C85" s="233">
        <f>'ACE European Group'!C85+'Danica Pensjonsforsikring'!C85+'DNB Livsforsikring'!C85+'Eika Forsikring AS'!C85+'Frende Livsforsikring'!C85+'Frende Skadeforsikring'!C85+'Gjensidige Forsikring'!C85+'Gjensidige Pensjon'!C85+'Handelsbanken Liv'!C85+'If Skadeforsikring NUF'!C85+KLP!C85+'KLP Bedriftspensjon AS'!C85+'KLP Skadeforsikring AS'!C85+'Landbruksforsikring AS'!C85+'NEMI Forsikring'!C85+'Nordea Liv '!C85+'Oslo Pensjonsforsikring'!C85+'SHB Liv'!C85+'Silver Pensjonsforsikring AS'!C85+'Sparebank 1'!C85+'Storebrand Livsforsikring'!C85+'Telenor Forsikring'!C85+'Tryg Forsikring'!C85</f>
        <v>0</v>
      </c>
      <c r="D85" s="174"/>
      <c r="E85" s="43">
        <f>IF($A$1=4,'ACE European Group'!F85+'Danica Pensjonsforsikring'!F85+'DNB Livsforsikring'!F85+'Eika Forsikring AS'!F85+'Frende Livsforsikring'!F85+'Frende Skadeforsikring'!F85+'Gjensidige Forsikring'!F85+'Gjensidige Pensjon'!F85+'Handelsbanken Liv'!F85+'If Skadeforsikring NUF'!F85+KLP!F85+'KLP Bedriftspensjon AS'!F85+'KLP Skadeforsikring AS'!F85+'Landbruksforsikring AS'!F85+'NEMI Forsikring'!F85+'Nordea Liv '!F85+'Oslo Pensjonsforsikring'!F85+'SHB Liv'!F85+'Silver Pensjonsforsikring AS'!F85+'Sparebank 1'!F85+'Storebrand Livsforsikring'!F85+'Telenor Forsikring'!F85+'Tryg Forsikring'!F85,"")</f>
        <v>22226406.97436535</v>
      </c>
      <c r="F85" s="43">
        <f>IF($A$1=4,'ACE European Group'!G85+'Danica Pensjonsforsikring'!G85+'DNB Livsforsikring'!G85+'Eika Forsikring AS'!G85+'Frende Livsforsikring'!G85+'Frende Skadeforsikring'!G85+'Gjensidige Forsikring'!G85+'Gjensidige Pensjon'!G85+'Handelsbanken Liv'!G85+'If Skadeforsikring NUF'!G85+KLP!G85+'KLP Bedriftspensjon AS'!G85+'KLP Skadeforsikring AS'!G85+'Landbruksforsikring AS'!G85+'NEMI Forsikring'!G85+'Nordea Liv '!G85+'Oslo Pensjonsforsikring'!G85+'SHB Liv'!G85+'Silver Pensjonsforsikring AS'!G85+'Sparebank 1'!G85+'Storebrand Livsforsikring'!G85+'Telenor Forsikring'!G85+'Tryg Forsikring'!G85,"")</f>
        <v>26063594.730456568</v>
      </c>
      <c r="G85" s="164">
        <f t="shared" si="35"/>
        <v>17.3</v>
      </c>
      <c r="H85" s="235">
        <f t="shared" si="26"/>
        <v>22226406.97436535</v>
      </c>
      <c r="I85" s="235">
        <f t="shared" si="27"/>
        <v>26063594.730456568</v>
      </c>
      <c r="J85" s="164">
        <f t="shared" si="28"/>
        <v>17.3</v>
      </c>
    </row>
    <row r="86" spans="1:12" ht="15.75" customHeight="1" x14ac:dyDescent="0.2">
      <c r="A86" s="20" t="s">
        <v>327</v>
      </c>
      <c r="B86" s="232">
        <f>'ACE European Group'!B86+'Danica Pensjonsforsikring'!B86+'DNB Livsforsikring'!B86+'Eika Forsikring AS'!B86+'Frende Livsforsikring'!B86+'Frende Skadeforsikring'!B86+'Gjensidige Forsikring'!B86+'Gjensidige Pensjon'!B86+'Handelsbanken Liv'!B86+'If Skadeforsikring NUF'!B86+KLP!B86+'KLP Bedriftspensjon AS'!B86+'KLP Skadeforsikring AS'!B86+'Landbruksforsikring AS'!B86+'NEMI Forsikring'!B86+'Nordea Liv '!B86+'Oslo Pensjonsforsikring'!B86+'SHB Liv'!B86+'Silver Pensjonsforsikring AS'!B86+'Sparebank 1'!B86+'Storebrand Livsforsikring'!B86+'Telenor Forsikring'!B86+'Tryg Forsikring'!B86</f>
        <v>333820.01</v>
      </c>
      <c r="C86" s="232">
        <f>'ACE European Group'!C86+'Danica Pensjonsforsikring'!C86+'DNB Livsforsikring'!C86+'Eika Forsikring AS'!C86+'Frende Livsforsikring'!C86+'Frende Skadeforsikring'!C86+'Gjensidige Forsikring'!C86+'Gjensidige Pensjon'!C86+'Handelsbanken Liv'!C86+'If Skadeforsikring NUF'!C86+KLP!C86+'KLP Bedriftspensjon AS'!C86+'KLP Skadeforsikring AS'!C86+'Landbruksforsikring AS'!C86+'NEMI Forsikring'!C86+'Nordea Liv '!C86+'Oslo Pensjonsforsikring'!C86+'SHB Liv'!C86+'Silver Pensjonsforsikring AS'!C86+'Sparebank 1'!C86+'Storebrand Livsforsikring'!C86+'Telenor Forsikring'!C86+'Tryg Forsikring'!C86</f>
        <v>200026.38099999999</v>
      </c>
      <c r="D86" s="164">
        <f t="shared" si="24"/>
        <v>-40.1</v>
      </c>
      <c r="E86" s="43">
        <f>'ACE European Group'!F86+'Danica Pensjonsforsikring'!F86+'DNB Livsforsikring'!F86+'Eika Forsikring AS'!F86+'Frende Livsforsikring'!F86+'Frende Skadeforsikring'!F86+'Gjensidige Forsikring'!F86+'Gjensidige Pensjon'!F86+'Handelsbanken Liv'!F86+'If Skadeforsikring NUF'!F86+KLP!F86+'KLP Bedriftspensjon AS'!F86+'KLP Skadeforsikring AS'!F86+'Landbruksforsikring AS'!F86+'NEMI Forsikring'!F86+'Nordea Liv '!F86+'Oslo Pensjonsforsikring'!F86+'SHB Liv'!F86+'Silver Pensjonsforsikring AS'!F86+'Sparebank 1'!F86+'Storebrand Livsforsikring'!F86+'Telenor Forsikring'!F86+'Tryg Forsikring'!F86</f>
        <v>13382.45205</v>
      </c>
      <c r="F86" s="43">
        <f>'ACE European Group'!G86+'Danica Pensjonsforsikring'!G86+'DNB Livsforsikring'!G86+'Eika Forsikring AS'!G86+'Frende Livsforsikring'!G86+'Frende Skadeforsikring'!G86+'Gjensidige Forsikring'!G86+'Gjensidige Pensjon'!G86+'Handelsbanken Liv'!G86+'If Skadeforsikring NUF'!G86+KLP!G86+'KLP Bedriftspensjon AS'!G86+'KLP Skadeforsikring AS'!G86+'Landbruksforsikring AS'!G86+'NEMI Forsikring'!G86+'Nordea Liv '!G86+'Oslo Pensjonsforsikring'!G86+'SHB Liv'!G86+'Silver Pensjonsforsikring AS'!G86+'Sparebank 1'!G86+'Storebrand Livsforsikring'!G86+'Telenor Forsikring'!G86+'Tryg Forsikring'!G86</f>
        <v>13146.94231</v>
      </c>
      <c r="G86" s="164">
        <f t="shared" si="25"/>
        <v>-1.8</v>
      </c>
      <c r="H86" s="235">
        <f t="shared" si="26"/>
        <v>347202.46205000003</v>
      </c>
      <c r="I86" s="235">
        <f t="shared" si="27"/>
        <v>213173.32331000001</v>
      </c>
      <c r="J86" s="164">
        <f t="shared" si="28"/>
        <v>-38.6</v>
      </c>
    </row>
    <row r="87" spans="1:12" s="42" customFormat="1" ht="15.75" customHeight="1" x14ac:dyDescent="0.2">
      <c r="A87" s="13" t="s">
        <v>25</v>
      </c>
      <c r="B87" s="306">
        <f>'ACE European Group'!B87+'Danica Pensjonsforsikring'!B87+'DNB Livsforsikring'!B87+'Eika Forsikring AS'!B87+'Frende Livsforsikring'!B87+'Frende Skadeforsikring'!B87+'Gjensidige Forsikring'!B87+'Gjensidige Pensjon'!B87+'Handelsbanken Liv'!B87+'If Skadeforsikring NUF'!B87+KLP!B87+'KLP Bedriftspensjon AS'!B87+'KLP Skadeforsikring AS'!B87+'Landbruksforsikring AS'!B87+'NEMI Forsikring'!B87+'Nordea Liv '!B87+'Oslo Pensjonsforsikring'!B87+'SHB Liv'!B87+'Silver Pensjonsforsikring AS'!B87+'Sparebank 1'!B87+'Storebrand Livsforsikring'!B87+'Telenor Forsikring'!B87+'Tryg Forsikring'!B87</f>
        <v>372982202.13527203</v>
      </c>
      <c r="C87" s="306">
        <f>'ACE European Group'!C87+'Danica Pensjonsforsikring'!C87+'DNB Livsforsikring'!C87+'Eika Forsikring AS'!C87+'Frende Livsforsikring'!C87+'Frende Skadeforsikring'!C87+'Gjensidige Forsikring'!C87+'Gjensidige Pensjon'!C87+'Handelsbanken Liv'!C87+'If Skadeforsikring NUF'!C87+KLP!C87+'KLP Bedriftspensjon AS'!C87+'KLP Skadeforsikring AS'!C87+'Landbruksforsikring AS'!C87+'NEMI Forsikring'!C87+'Nordea Liv '!C87+'Oslo Pensjonsforsikring'!C87+'SHB Liv'!C87+'Silver Pensjonsforsikring AS'!C87+'Sparebank 1'!C87+'Storebrand Livsforsikring'!C87+'Telenor Forsikring'!C87+'Tryg Forsikring'!C87</f>
        <v>381365364.22175068</v>
      </c>
      <c r="D87" s="169">
        <f t="shared" si="24"/>
        <v>2.2000000000000002</v>
      </c>
      <c r="E87" s="234">
        <f>'ACE European Group'!F87+'Danica Pensjonsforsikring'!F87+'DNB Livsforsikring'!F87+'Eika Forsikring AS'!F87+'Frende Livsforsikring'!F87+'Frende Skadeforsikring'!F87+'Gjensidige Forsikring'!F87+'Gjensidige Pensjon'!F87+'Handelsbanken Liv'!F87+'If Skadeforsikring NUF'!F87+KLP!F87+'KLP Bedriftspensjon AS'!F87+'KLP Skadeforsikring AS'!F87+'Landbruksforsikring AS'!F87+'NEMI Forsikring'!F87+'Nordea Liv '!F87+'Oslo Pensjonsforsikring'!F87+'SHB Liv'!F87+'Silver Pensjonsforsikring AS'!F87+'Sparebank 1'!F87+'Storebrand Livsforsikring'!F87+'Telenor Forsikring'!F87+'Tryg Forsikring'!F87</f>
        <v>177731566.44936433</v>
      </c>
      <c r="F87" s="234">
        <f>'ACE European Group'!G87+'Danica Pensjonsforsikring'!G87+'DNB Livsforsikring'!G87+'Eika Forsikring AS'!G87+'Frende Livsforsikring'!G87+'Frende Skadeforsikring'!G87+'Gjensidige Forsikring'!G87+'Gjensidige Pensjon'!G87+'Handelsbanken Liv'!G87+'If Skadeforsikring NUF'!G87+KLP!G87+'KLP Bedriftspensjon AS'!G87+'KLP Skadeforsikring AS'!G87+'Landbruksforsikring AS'!G87+'NEMI Forsikring'!G87+'Nordea Liv '!G87+'Oslo Pensjonsforsikring'!G87+'SHB Liv'!G87+'Silver Pensjonsforsikring AS'!G87+'Sparebank 1'!G87+'Storebrand Livsforsikring'!G87+'Telenor Forsikring'!G87+'Tryg Forsikring'!G87</f>
        <v>223725591.47072756</v>
      </c>
      <c r="G87" s="169">
        <f t="shared" si="25"/>
        <v>25.9</v>
      </c>
      <c r="H87" s="328">
        <f t="shared" ref="H87:H111" si="36">SUM(B87,E87)</f>
        <v>550713768.58463633</v>
      </c>
      <c r="I87" s="328">
        <f t="shared" ref="I87:I111" si="37">SUM(C87,F87)</f>
        <v>605090955.69247818</v>
      </c>
      <c r="J87" s="169">
        <f t="shared" si="28"/>
        <v>9.9</v>
      </c>
      <c r="L87" s="141"/>
    </row>
    <row r="88" spans="1:12" ht="15.75" customHeight="1" x14ac:dyDescent="0.2">
      <c r="A88" s="20" t="s">
        <v>9</v>
      </c>
      <c r="B88" s="232">
        <f>'ACE European Group'!B88+'Danica Pensjonsforsikring'!B88+'DNB Livsforsikring'!B88+'Eika Forsikring AS'!B88+'Frende Livsforsikring'!B88+'Frende Skadeforsikring'!B88+'Gjensidige Forsikring'!B88+'Gjensidige Pensjon'!B88+'Handelsbanken Liv'!B88+'If Skadeforsikring NUF'!B88+KLP!B88+'KLP Bedriftspensjon AS'!B88+'KLP Skadeforsikring AS'!B88+'Landbruksforsikring AS'!B88+'NEMI Forsikring'!B88+'Nordea Liv '!B88+'Oslo Pensjonsforsikring'!B88+'SHB Liv'!B88+'Silver Pensjonsforsikring AS'!B88+'Sparebank 1'!B88+'Storebrand Livsforsikring'!B88+'Telenor Forsikring'!B88+'Tryg Forsikring'!B88</f>
        <v>370609518.45220196</v>
      </c>
      <c r="C88" s="232">
        <f>'ACE European Group'!C88+'Danica Pensjonsforsikring'!C88+'DNB Livsforsikring'!C88+'Eika Forsikring AS'!C88+'Frende Livsforsikring'!C88+'Frende Skadeforsikring'!C88+'Gjensidige Forsikring'!C88+'Gjensidige Pensjon'!C88+'Handelsbanken Liv'!C88+'If Skadeforsikring NUF'!C88+KLP!C88+'KLP Bedriftspensjon AS'!C88+'KLP Skadeforsikring AS'!C88+'Landbruksforsikring AS'!C88+'NEMI Forsikring'!C88+'Nordea Liv '!C88+'Oslo Pensjonsforsikring'!C88+'SHB Liv'!C88+'Silver Pensjonsforsikring AS'!C88+'Sparebank 1'!C88+'Storebrand Livsforsikring'!C88+'Telenor Forsikring'!C88+'Tryg Forsikring'!C88</f>
        <v>373339144.61535072</v>
      </c>
      <c r="D88" s="164">
        <f t="shared" si="24"/>
        <v>0.7</v>
      </c>
      <c r="E88" s="43">
        <f>'ACE European Group'!F88+'Danica Pensjonsforsikring'!F88+'DNB Livsforsikring'!F88+'Eika Forsikring AS'!F88+'Frende Livsforsikring'!F88+'Frende Skadeforsikring'!F88+'Gjensidige Forsikring'!F88+'Gjensidige Pensjon'!F88+'Handelsbanken Liv'!F88+'If Skadeforsikring NUF'!F88+KLP!F88+'KLP Bedriftspensjon AS'!F88+'KLP Skadeforsikring AS'!F88+'Landbruksforsikring AS'!F88+'NEMI Forsikring'!F88+'Nordea Liv '!F88+'Oslo Pensjonsforsikring'!F88+'SHB Liv'!F88+'Silver Pensjonsforsikring AS'!F88+'Sparebank 1'!F88+'Storebrand Livsforsikring'!F88+'Telenor Forsikring'!F88+'Tryg Forsikring'!F88</f>
        <v>0</v>
      </c>
      <c r="F88" s="43">
        <f>'ACE European Group'!G88+'Danica Pensjonsforsikring'!G88+'DNB Livsforsikring'!G88+'Eika Forsikring AS'!G88+'Frende Livsforsikring'!G88+'Frende Skadeforsikring'!G88+'Gjensidige Forsikring'!G88+'Gjensidige Pensjon'!G88+'Handelsbanken Liv'!G88+'If Skadeforsikring NUF'!G88+KLP!G88+'KLP Bedriftspensjon AS'!G88+'KLP Skadeforsikring AS'!G88+'Landbruksforsikring AS'!G88+'NEMI Forsikring'!G88+'Nordea Liv '!G88+'Oslo Pensjonsforsikring'!G88+'SHB Liv'!G88+'Silver Pensjonsforsikring AS'!G88+'Sparebank 1'!G88+'Storebrand Livsforsikring'!G88+'Telenor Forsikring'!G88+'Tryg Forsikring'!G88</f>
        <v>0</v>
      </c>
      <c r="G88" s="164"/>
      <c r="H88" s="235">
        <f t="shared" si="36"/>
        <v>370609518.45220196</v>
      </c>
      <c r="I88" s="235">
        <f t="shared" si="37"/>
        <v>373339144.61535072</v>
      </c>
      <c r="J88" s="164">
        <f t="shared" si="28"/>
        <v>0.7</v>
      </c>
      <c r="L88" s="147"/>
    </row>
    <row r="89" spans="1:12" ht="15.75" customHeight="1" x14ac:dyDescent="0.2">
      <c r="A89" s="20" t="s">
        <v>10</v>
      </c>
      <c r="B89" s="232">
        <f>'ACE European Group'!B89+'Danica Pensjonsforsikring'!B89+'DNB Livsforsikring'!B89+'Eika Forsikring AS'!B89+'Frende Livsforsikring'!B89+'Frende Skadeforsikring'!B89+'Gjensidige Forsikring'!B89+'Gjensidige Pensjon'!B89+'Handelsbanken Liv'!B89+'If Skadeforsikring NUF'!B89+KLP!B89+'KLP Bedriftspensjon AS'!B89+'KLP Skadeforsikring AS'!B89+'Landbruksforsikring AS'!B89+'NEMI Forsikring'!B89+'Nordea Liv '!B89+'Oslo Pensjonsforsikring'!B89+'SHB Liv'!B89+'Silver Pensjonsforsikring AS'!B89+'Sparebank 1'!B89+'Storebrand Livsforsikring'!B89+'Telenor Forsikring'!B89+'Tryg Forsikring'!B89</f>
        <v>2273169.6015999997</v>
      </c>
      <c r="C89" s="232">
        <f>'ACE European Group'!C89+'Danica Pensjonsforsikring'!C89+'DNB Livsforsikring'!C89+'Eika Forsikring AS'!C89+'Frende Livsforsikring'!C89+'Frende Skadeforsikring'!C89+'Gjensidige Forsikring'!C89+'Gjensidige Pensjon'!C89+'Handelsbanken Liv'!C89+'If Skadeforsikring NUF'!C89+KLP!C89+'KLP Bedriftspensjon AS'!C89+'KLP Skadeforsikring AS'!C89+'Landbruksforsikring AS'!C89+'NEMI Forsikring'!C89+'Nordea Liv '!C89+'Oslo Pensjonsforsikring'!C89+'SHB Liv'!C89+'Silver Pensjonsforsikring AS'!C89+'Sparebank 1'!C89+'Storebrand Livsforsikring'!C89+'Telenor Forsikring'!C89+'Tryg Forsikring'!C89</f>
        <v>2514737.3594</v>
      </c>
      <c r="D89" s="164">
        <f t="shared" si="24"/>
        <v>10.6</v>
      </c>
      <c r="E89" s="43">
        <f>'ACE European Group'!F89+'Danica Pensjonsforsikring'!F89+'DNB Livsforsikring'!F89+'Eika Forsikring AS'!F89+'Frende Livsforsikring'!F89+'Frende Skadeforsikring'!F89+'Gjensidige Forsikring'!F89+'Gjensidige Pensjon'!F89+'Handelsbanken Liv'!F89+'If Skadeforsikring NUF'!F89+KLP!F89+'KLP Bedriftspensjon AS'!F89+'KLP Skadeforsikring AS'!F89+'Landbruksforsikring AS'!F89+'NEMI Forsikring'!F89+'Nordea Liv '!F89+'Oslo Pensjonsforsikring'!F89+'SHB Liv'!F89+'Silver Pensjonsforsikring AS'!F89+'Sparebank 1'!F89+'Storebrand Livsforsikring'!F89+'Telenor Forsikring'!F89+'Tryg Forsikring'!F89</f>
        <v>177516436.03479433</v>
      </c>
      <c r="F89" s="43">
        <f>'ACE European Group'!G89+'Danica Pensjonsforsikring'!G89+'DNB Livsforsikring'!G89+'Eika Forsikring AS'!G89+'Frende Livsforsikring'!G89+'Frende Skadeforsikring'!G89+'Gjensidige Forsikring'!G89+'Gjensidige Pensjon'!G89+'Handelsbanken Liv'!G89+'If Skadeforsikring NUF'!G89+KLP!G89+'KLP Bedriftspensjon AS'!G89+'KLP Skadeforsikring AS'!G89+'Landbruksforsikring AS'!G89+'NEMI Forsikring'!G89+'Nordea Liv '!G89+'Oslo Pensjonsforsikring'!G89+'SHB Liv'!G89+'Silver Pensjonsforsikring AS'!G89+'Sparebank 1'!G89+'Storebrand Livsforsikring'!G89+'Telenor Forsikring'!G89+'Tryg Forsikring'!G89</f>
        <v>223026656.68964756</v>
      </c>
      <c r="G89" s="164">
        <f t="shared" si="25"/>
        <v>25.6</v>
      </c>
      <c r="H89" s="235">
        <f t="shared" si="36"/>
        <v>179789605.63639432</v>
      </c>
      <c r="I89" s="235">
        <f t="shared" si="37"/>
        <v>225541394.04904756</v>
      </c>
      <c r="J89" s="164">
        <f t="shared" si="28"/>
        <v>25.4</v>
      </c>
    </row>
    <row r="90" spans="1:12" ht="15.75" customHeight="1" x14ac:dyDescent="0.2">
      <c r="A90" s="294" t="s">
        <v>316</v>
      </c>
      <c r="B90" s="43">
        <f>IF($A$1=4,'ACE European Group'!B90+'Danica Pensjonsforsikring'!B90+'DNB Livsforsikring'!B90+'Eika Forsikring AS'!B90+'Frende Livsforsikring'!B90+'Frende Skadeforsikring'!B90+'Gjensidige Forsikring'!B90+'Gjensidige Pensjon'!B90+'Handelsbanken Liv'!B90+'If Skadeforsikring NUF'!B90+KLP!B90+'KLP Bedriftspensjon AS'!B90+'KLP Skadeforsikring AS'!B90+'Landbruksforsikring AS'!B90+'NEMI Forsikring'!B90+'Nordea Liv '!B90+'Oslo Pensjonsforsikring'!B90+'SHB Liv'!B90+'Silver Pensjonsforsikring AS'!B90+'Sparebank 1'!B90+'Storebrand Livsforsikring'!B90+'Telenor Forsikring'!B90+'Tryg Forsikring'!B90,"")</f>
        <v>20.49</v>
      </c>
      <c r="C90" s="43">
        <f>IF($A$1=4,'ACE European Group'!C90+'Danica Pensjonsforsikring'!C90+'DNB Livsforsikring'!C90+'Eika Forsikring AS'!C90+'Frende Livsforsikring'!C90+'Frende Skadeforsikring'!C90+'Gjensidige Forsikring'!C90+'Gjensidige Pensjon'!C90+'Handelsbanken Liv'!C90+'If Skadeforsikring NUF'!C90+KLP!C90+'KLP Bedriftspensjon AS'!C90+'KLP Skadeforsikring AS'!C90+'Landbruksforsikring AS'!C90+'NEMI Forsikring'!C90+'Nordea Liv '!C90+'Oslo Pensjonsforsikring'!C90+'SHB Liv'!C90+'Silver Pensjonsforsikring AS'!C90+'Sparebank 1'!C90+'Storebrand Livsforsikring'!C90+'Telenor Forsikring'!C90+'Tryg Forsikring'!C90,"")</f>
        <v>0</v>
      </c>
      <c r="D90" s="174">
        <f t="shared" ref="D90:D95" si="38">IF($A$1=4,IF(B90=0, "    ---- ", IF(ABS(ROUND(100/B90*C90-100,1))&lt;999,ROUND(100/B90*C90-100,1),IF(ROUND(100/B90*C90-100,1)&gt;999,999,-999))),"")</f>
        <v>-100</v>
      </c>
      <c r="E90" s="43">
        <f>IF($A$1=4,'ACE European Group'!F90+'Danica Pensjonsforsikring'!F90+'DNB Livsforsikring'!F90+'Eika Forsikring AS'!F90+'Frende Livsforsikring'!F90+'Frende Skadeforsikring'!F90+'Gjensidige Forsikring'!F90+'Gjensidige Pensjon'!F90+'Handelsbanken Liv'!F90+'If Skadeforsikring NUF'!F90+KLP!F90+'KLP Bedriftspensjon AS'!F90+'KLP Skadeforsikring AS'!F90+'Landbruksforsikring AS'!F90+'NEMI Forsikring'!F90+'Nordea Liv '!F90+'Oslo Pensjonsforsikring'!F90+'SHB Liv'!F90+'Silver Pensjonsforsikring AS'!F90+'Sparebank 1'!F90+'Storebrand Livsforsikring'!F90+'Telenor Forsikring'!F90+'Tryg Forsikring'!F90,"")</f>
        <v>169546.93000000002</v>
      </c>
      <c r="F90" s="43">
        <f>IF($A$1=4,'ACE European Group'!G90+'Danica Pensjonsforsikring'!G90+'DNB Livsforsikring'!G90+'Eika Forsikring AS'!G90+'Frende Livsforsikring'!G90+'Frende Skadeforsikring'!G90+'Gjensidige Forsikring'!G90+'Gjensidige Pensjon'!G90+'Handelsbanken Liv'!G90+'If Skadeforsikring NUF'!G90+KLP!G90+'KLP Bedriftspensjon AS'!G90+'KLP Skadeforsikring AS'!G90+'Landbruksforsikring AS'!G90+'NEMI Forsikring'!G90+'Nordea Liv '!G90+'Oslo Pensjonsforsikring'!G90+'SHB Liv'!G90+'Silver Pensjonsforsikring AS'!G90+'Sparebank 1'!G90+'Storebrand Livsforsikring'!G90+'Telenor Forsikring'!G90+'Tryg Forsikring'!G90,"")</f>
        <v>149816.83600000007</v>
      </c>
      <c r="G90" s="164">
        <f t="shared" ref="G90:G95" si="39">IF($A$1=4,IF(E90=0, "    ---- ", IF(ABS(ROUND(100/E90*F90-100,1))&lt;999,ROUND(100/E90*F90-100,1),IF(ROUND(100/E90*F90-100,1)&gt;999,999,-999))),"")</f>
        <v>-11.6</v>
      </c>
      <c r="H90" s="235">
        <f t="shared" si="36"/>
        <v>169567.42</v>
      </c>
      <c r="I90" s="235">
        <f t="shared" si="37"/>
        <v>149816.83600000007</v>
      </c>
      <c r="J90" s="164">
        <f t="shared" si="28"/>
        <v>-11.6</v>
      </c>
    </row>
    <row r="91" spans="1:12" ht="15.75" customHeight="1" x14ac:dyDescent="0.2">
      <c r="A91" s="294" t="s">
        <v>12</v>
      </c>
      <c r="B91" s="233">
        <f>'ACE European Group'!B91+'Danica Pensjonsforsikring'!B91+'DNB Livsforsikring'!B91+'Eika Forsikring AS'!B91+'Frende Livsforsikring'!B91+'Frende Skadeforsikring'!B91+'Gjensidige Forsikring'!B91+'Gjensidige Pensjon'!B91+'Handelsbanken Liv'!B91+'If Skadeforsikring NUF'!B91+KLP!B91+'KLP Bedriftspensjon AS'!B91+'KLP Skadeforsikring AS'!B91+'Landbruksforsikring AS'!B91+'NEMI Forsikring'!B91+'Nordea Liv '!B91+'Oslo Pensjonsforsikring'!B91+'SHB Liv'!B91+'Silver Pensjonsforsikring AS'!B91+'Sparebank 1'!B91+'Storebrand Livsforsikring'!B91+'Telenor Forsikring'!B91+'Tryg Forsikring'!B91</f>
        <v>0</v>
      </c>
      <c r="C91" s="233">
        <f>'ACE European Group'!C91+'Danica Pensjonsforsikring'!C91+'DNB Livsforsikring'!C91+'Eika Forsikring AS'!C91+'Frende Livsforsikring'!C91+'Frende Skadeforsikring'!C91+'Gjensidige Forsikring'!C91+'Gjensidige Pensjon'!C91+'Handelsbanken Liv'!C91+'If Skadeforsikring NUF'!C91+KLP!C91+'KLP Bedriftspensjon AS'!C91+'KLP Skadeforsikring AS'!C91+'Landbruksforsikring AS'!C91+'NEMI Forsikring'!C91+'Nordea Liv '!C91+'Oslo Pensjonsforsikring'!C91+'SHB Liv'!C91+'Silver Pensjonsforsikring AS'!C91+'Sparebank 1'!C91+'Storebrand Livsforsikring'!C91+'Telenor Forsikring'!C91+'Tryg Forsikring'!C91</f>
        <v>0</v>
      </c>
      <c r="D91" s="174"/>
      <c r="E91" s="43">
        <f>IF($A$1=4,'ACE European Group'!F91+'Danica Pensjonsforsikring'!F91+'DNB Livsforsikring'!F91+'Eika Forsikring AS'!F91+'Frende Livsforsikring'!F91+'Frende Skadeforsikring'!F91+'Gjensidige Forsikring'!F91+'Gjensidige Pensjon'!F91+'Handelsbanken Liv'!F91+'If Skadeforsikring NUF'!F91+KLP!F91+'KLP Bedriftspensjon AS'!F91+'KLP Skadeforsikring AS'!F91+'Landbruksforsikring AS'!F91+'NEMI Forsikring'!F91+'Nordea Liv '!F91+'Oslo Pensjonsforsikring'!F91+'SHB Liv'!F91+'Silver Pensjonsforsikring AS'!F91+'Sparebank 1'!F91+'Storebrand Livsforsikring'!F91+'Telenor Forsikring'!F91+'Tryg Forsikring'!F91,"")</f>
        <v>158377.2184968295</v>
      </c>
      <c r="F91" s="43">
        <f>IF($A$1=4,'ACE European Group'!G91+'Danica Pensjonsforsikring'!G91+'DNB Livsforsikring'!G91+'Eika Forsikring AS'!G91+'Frende Livsforsikring'!G91+'Frende Skadeforsikring'!G91+'Gjensidige Forsikring'!G91+'Gjensidige Pensjon'!G91+'Handelsbanken Liv'!G91+'If Skadeforsikring NUF'!G91+KLP!G91+'KLP Bedriftspensjon AS'!G91+'KLP Skadeforsikring AS'!G91+'Landbruksforsikring AS'!G91+'NEMI Forsikring'!G91+'Nordea Liv '!G91+'Oslo Pensjonsforsikring'!G91+'SHB Liv'!G91+'Silver Pensjonsforsikring AS'!G91+'Sparebank 1'!G91+'Storebrand Livsforsikring'!G91+'Telenor Forsikring'!G91+'Tryg Forsikring'!G91,"")</f>
        <v>138058.44537516215</v>
      </c>
      <c r="G91" s="164">
        <f t="shared" si="39"/>
        <v>-12.8</v>
      </c>
      <c r="H91" s="235">
        <f t="shared" si="36"/>
        <v>158377.2184968295</v>
      </c>
      <c r="I91" s="235">
        <f t="shared" si="37"/>
        <v>138058.44537516215</v>
      </c>
      <c r="J91" s="164">
        <f t="shared" si="28"/>
        <v>-12.8</v>
      </c>
    </row>
    <row r="92" spans="1:12" ht="15.75" customHeight="1" x14ac:dyDescent="0.2">
      <c r="A92" s="294" t="s">
        <v>13</v>
      </c>
      <c r="B92" s="233">
        <f>'ACE European Group'!B92+'Danica Pensjonsforsikring'!B92+'DNB Livsforsikring'!B92+'Eika Forsikring AS'!B92+'Frende Livsforsikring'!B92+'Frende Skadeforsikring'!B92+'Gjensidige Forsikring'!B92+'Gjensidige Pensjon'!B92+'Handelsbanken Liv'!B92+'If Skadeforsikring NUF'!B92+KLP!B92+'KLP Bedriftspensjon AS'!B92+'KLP Skadeforsikring AS'!B92+'Landbruksforsikring AS'!B92+'NEMI Forsikring'!B92+'Nordea Liv '!B92+'Oslo Pensjonsforsikring'!B92+'SHB Liv'!B92+'Silver Pensjonsforsikring AS'!B92+'Sparebank 1'!B92+'Storebrand Livsforsikring'!B92+'Telenor Forsikring'!B92+'Tryg Forsikring'!B92</f>
        <v>0</v>
      </c>
      <c r="C92" s="233">
        <f>'ACE European Group'!C92+'Danica Pensjonsforsikring'!C92+'DNB Livsforsikring'!C92+'Eika Forsikring AS'!C92+'Frende Livsforsikring'!C92+'Frende Skadeforsikring'!C92+'Gjensidige Forsikring'!C92+'Gjensidige Pensjon'!C92+'Handelsbanken Liv'!C92+'If Skadeforsikring NUF'!C92+KLP!C92+'KLP Bedriftspensjon AS'!C92+'KLP Skadeforsikring AS'!C92+'Landbruksforsikring AS'!C92+'NEMI Forsikring'!C92+'Nordea Liv '!C92+'Oslo Pensjonsforsikring'!C92+'SHB Liv'!C92+'Silver Pensjonsforsikring AS'!C92+'Sparebank 1'!C92+'Storebrand Livsforsikring'!C92+'Telenor Forsikring'!C92+'Tryg Forsikring'!C92</f>
        <v>0</v>
      </c>
      <c r="D92" s="174"/>
      <c r="E92" s="43">
        <f>IF($A$1=4,'ACE European Group'!F92+'Danica Pensjonsforsikring'!F92+'DNB Livsforsikring'!F92+'Eika Forsikring AS'!F92+'Frende Livsforsikring'!F92+'Frende Skadeforsikring'!F92+'Gjensidige Forsikring'!F92+'Gjensidige Pensjon'!F92+'Handelsbanken Liv'!F92+'If Skadeforsikring NUF'!F92+KLP!F92+'KLP Bedriftspensjon AS'!F92+'KLP Skadeforsikring AS'!F92+'Landbruksforsikring AS'!F92+'NEMI Forsikring'!F92+'Nordea Liv '!F92+'Oslo Pensjonsforsikring'!F92+'SHB Liv'!F92+'Silver Pensjonsforsikring AS'!F92+'Sparebank 1'!F92+'Storebrand Livsforsikring'!F92+'Telenor Forsikring'!F92+'Tryg Forsikring'!F92,"")</f>
        <v>11169.7115031705</v>
      </c>
      <c r="F92" s="43">
        <f>IF($A$1=4,'ACE European Group'!G92+'Danica Pensjonsforsikring'!G92+'DNB Livsforsikring'!G92+'Eika Forsikring AS'!G92+'Frende Livsforsikring'!G92+'Frende Skadeforsikring'!G92+'Gjensidige Forsikring'!G92+'Gjensidige Pensjon'!G92+'Handelsbanken Liv'!G92+'If Skadeforsikring NUF'!G92+KLP!G92+'KLP Bedriftspensjon AS'!G92+'KLP Skadeforsikring AS'!G92+'Landbruksforsikring AS'!G92+'NEMI Forsikring'!G92+'Nordea Liv '!G92+'Oslo Pensjonsforsikring'!G92+'SHB Liv'!G92+'Silver Pensjonsforsikring AS'!G92+'Sparebank 1'!G92+'Storebrand Livsforsikring'!G92+'Telenor Forsikring'!G92+'Tryg Forsikring'!G92,"")</f>
        <v>11758.390624837901</v>
      </c>
      <c r="G92" s="164">
        <f t="shared" si="39"/>
        <v>5.3</v>
      </c>
      <c r="H92" s="235">
        <f t="shared" si="36"/>
        <v>11169.7115031705</v>
      </c>
      <c r="I92" s="235">
        <f t="shared" si="37"/>
        <v>11758.390624837901</v>
      </c>
      <c r="J92" s="164">
        <f t="shared" si="28"/>
        <v>5.3</v>
      </c>
    </row>
    <row r="93" spans="1:12" ht="15.75" customHeight="1" x14ac:dyDescent="0.2">
      <c r="A93" s="294" t="s">
        <v>317</v>
      </c>
      <c r="B93" s="43">
        <f>IF($A$1=4,'ACE European Group'!B93+'Danica Pensjonsforsikring'!B93+'DNB Livsforsikring'!B93+'Eika Forsikring AS'!B93+'Frende Livsforsikring'!B93+'Frende Skadeforsikring'!B93+'Gjensidige Forsikring'!B93+'Gjensidige Pensjon'!B93+'Handelsbanken Liv'!B93+'If Skadeforsikring NUF'!B93+KLP!B93+'KLP Bedriftspensjon AS'!B93+'KLP Skadeforsikring AS'!B93+'Landbruksforsikring AS'!B93+'NEMI Forsikring'!B93+'Nordea Liv '!B93+'Oslo Pensjonsforsikring'!B93+'SHB Liv'!B93+'Silver Pensjonsforsikring AS'!B93+'Sparebank 1'!B93+'Storebrand Livsforsikring'!B93+'Telenor Forsikring'!B93+'Tryg Forsikring'!B93,"")</f>
        <v>2273149.1115999999</v>
      </c>
      <c r="C93" s="43">
        <f>IF($A$1=4,'ACE European Group'!C93+'Danica Pensjonsforsikring'!C93+'DNB Livsforsikring'!C93+'Eika Forsikring AS'!C93+'Frende Livsforsikring'!C93+'Frende Skadeforsikring'!C93+'Gjensidige Forsikring'!C93+'Gjensidige Pensjon'!C93+'Handelsbanken Liv'!C93+'If Skadeforsikring NUF'!C93+KLP!C93+'KLP Bedriftspensjon AS'!C93+'KLP Skadeforsikring AS'!C93+'Landbruksforsikring AS'!C93+'NEMI Forsikring'!C93+'Nordea Liv '!C93+'Oslo Pensjonsforsikring'!C93+'SHB Liv'!C93+'Silver Pensjonsforsikring AS'!C93+'Sparebank 1'!C93+'Storebrand Livsforsikring'!C93+'Telenor Forsikring'!C93+'Tryg Forsikring'!C93,"")</f>
        <v>2514737.3594</v>
      </c>
      <c r="D93" s="174">
        <f t="shared" si="38"/>
        <v>10.6</v>
      </c>
      <c r="E93" s="43">
        <f>IF($A$1=4,'ACE European Group'!F93+'Danica Pensjonsforsikring'!F93+'DNB Livsforsikring'!F93+'Eika Forsikring AS'!F93+'Frende Livsforsikring'!F93+'Frende Skadeforsikring'!F93+'Gjensidige Forsikring'!F93+'Gjensidige Pensjon'!F93+'Handelsbanken Liv'!F93+'If Skadeforsikring NUF'!F93+KLP!F93+'KLP Bedriftspensjon AS'!F93+'KLP Skadeforsikring AS'!F93+'Landbruksforsikring AS'!F93+'NEMI Forsikring'!F93+'Nordea Liv '!F93+'Oslo Pensjonsforsikring'!F93+'SHB Liv'!F93+'Silver Pensjonsforsikring AS'!F93+'Sparebank 1'!F93+'Storebrand Livsforsikring'!F93+'Telenor Forsikring'!F93+'Tryg Forsikring'!F93,"")</f>
        <v>177346889.10479432</v>
      </c>
      <c r="F93" s="43">
        <f>IF($A$1=4,'ACE European Group'!G93+'Danica Pensjonsforsikring'!G93+'DNB Livsforsikring'!G93+'Eika Forsikring AS'!G93+'Frende Livsforsikring'!G93+'Frende Skadeforsikring'!G93+'Gjensidige Forsikring'!G93+'Gjensidige Pensjon'!G93+'Handelsbanken Liv'!G93+'If Skadeforsikring NUF'!G93+KLP!G93+'KLP Bedriftspensjon AS'!G93+'KLP Skadeforsikring AS'!G93+'Landbruksforsikring AS'!G93+'NEMI Forsikring'!G93+'Nordea Liv '!G93+'Oslo Pensjonsforsikring'!G93+'SHB Liv'!G93+'Silver Pensjonsforsikring AS'!G93+'Sparebank 1'!G93+'Storebrand Livsforsikring'!G93+'Telenor Forsikring'!G93+'Tryg Forsikring'!G93,"")</f>
        <v>222876839.85364756</v>
      </c>
      <c r="G93" s="164">
        <f t="shared" si="39"/>
        <v>25.7</v>
      </c>
      <c r="H93" s="235">
        <f t="shared" si="36"/>
        <v>179620038.21639434</v>
      </c>
      <c r="I93" s="235">
        <f t="shared" si="37"/>
        <v>225391577.21304756</v>
      </c>
      <c r="J93" s="164">
        <f t="shared" si="28"/>
        <v>25.5</v>
      </c>
    </row>
    <row r="94" spans="1:12" ht="15.75" customHeight="1" x14ac:dyDescent="0.2">
      <c r="A94" s="294" t="s">
        <v>12</v>
      </c>
      <c r="B94" s="233">
        <f>'ACE European Group'!B94+'Danica Pensjonsforsikring'!B94+'DNB Livsforsikring'!B94+'Eika Forsikring AS'!B94+'Frende Livsforsikring'!B94+'Frende Skadeforsikring'!B94+'Gjensidige Forsikring'!B94+'Gjensidige Pensjon'!B94+'Handelsbanken Liv'!B94+'If Skadeforsikring NUF'!B94+KLP!B94+'KLP Bedriftspensjon AS'!B94+'KLP Skadeforsikring AS'!B94+'Landbruksforsikring AS'!B94+'NEMI Forsikring'!B94+'Nordea Liv '!B94+'Oslo Pensjonsforsikring'!B94+'SHB Liv'!B94+'Silver Pensjonsforsikring AS'!B94+'Sparebank 1'!B94+'Storebrand Livsforsikring'!B94+'Telenor Forsikring'!B94+'Tryg Forsikring'!B94</f>
        <v>0</v>
      </c>
      <c r="C94" s="233">
        <f>'ACE European Group'!C94+'Danica Pensjonsforsikring'!C94+'DNB Livsforsikring'!C94+'Eika Forsikring AS'!C94+'Frende Livsforsikring'!C94+'Frende Skadeforsikring'!C94+'Gjensidige Forsikring'!C94+'Gjensidige Pensjon'!C94+'Handelsbanken Liv'!C94+'If Skadeforsikring NUF'!C94+KLP!C94+'KLP Bedriftspensjon AS'!C94+'KLP Skadeforsikring AS'!C94+'Landbruksforsikring AS'!C94+'NEMI Forsikring'!C94+'Nordea Liv '!C94+'Oslo Pensjonsforsikring'!C94+'SHB Liv'!C94+'Silver Pensjonsforsikring AS'!C94+'Sparebank 1'!C94+'Storebrand Livsforsikring'!C94+'Telenor Forsikring'!C94+'Tryg Forsikring'!C94</f>
        <v>0</v>
      </c>
      <c r="D94" s="174" t="str">
        <f t="shared" si="38"/>
        <v xml:space="preserve">    ---- </v>
      </c>
      <c r="E94" s="43">
        <f>IF($A$1=4,'ACE European Group'!F94+'Danica Pensjonsforsikring'!F94+'DNB Livsforsikring'!F94+'Eika Forsikring AS'!F94+'Frende Livsforsikring'!F94+'Frende Skadeforsikring'!F94+'Gjensidige Forsikring'!F94+'Gjensidige Pensjon'!F94+'Handelsbanken Liv'!F94+'If Skadeforsikring NUF'!F94+KLP!F94+'KLP Bedriftspensjon AS'!F94+'KLP Skadeforsikring AS'!F94+'Landbruksforsikring AS'!F94+'NEMI Forsikring'!F94+'Nordea Liv '!F94+'Oslo Pensjonsforsikring'!F94+'SHB Liv'!F94+'Silver Pensjonsforsikring AS'!F94+'Sparebank 1'!F94+'Storebrand Livsforsikring'!F94+'Telenor Forsikring'!F94+'Tryg Forsikring'!F94,"")</f>
        <v>5075132.7370084394</v>
      </c>
      <c r="F94" s="43">
        <f>IF($A$1=4,'ACE European Group'!G94+'Danica Pensjonsforsikring'!G94+'DNB Livsforsikring'!G94+'Eika Forsikring AS'!G94+'Frende Livsforsikring'!G94+'Frende Skadeforsikring'!G94+'Gjensidige Forsikring'!G94+'Gjensidige Pensjon'!G94+'Handelsbanken Liv'!G94+'If Skadeforsikring NUF'!G94+KLP!G94+'KLP Bedriftspensjon AS'!G94+'KLP Skadeforsikring AS'!G94+'Landbruksforsikring AS'!G94+'NEMI Forsikring'!G94+'Nordea Liv '!G94+'Oslo Pensjonsforsikring'!G94+'SHB Liv'!G94+'Silver Pensjonsforsikring AS'!G94+'Sparebank 1'!G94+'Storebrand Livsforsikring'!G94+'Telenor Forsikring'!G94+'Tryg Forsikring'!G94,"")</f>
        <v>3300577.8970802799</v>
      </c>
      <c r="G94" s="164">
        <f t="shared" si="39"/>
        <v>-35</v>
      </c>
      <c r="H94" s="235">
        <f t="shared" si="36"/>
        <v>5075132.7370084394</v>
      </c>
      <c r="I94" s="235">
        <f t="shared" si="37"/>
        <v>3300577.8970802799</v>
      </c>
      <c r="J94" s="164">
        <f t="shared" si="28"/>
        <v>-35</v>
      </c>
    </row>
    <row r="95" spans="1:12" ht="15.75" customHeight="1" x14ac:dyDescent="0.2">
      <c r="A95" s="294" t="s">
        <v>13</v>
      </c>
      <c r="B95" s="233">
        <f>'ACE European Group'!B95+'Danica Pensjonsforsikring'!B95+'DNB Livsforsikring'!B95+'Eika Forsikring AS'!B95+'Frende Livsforsikring'!B95+'Frende Skadeforsikring'!B95+'Gjensidige Forsikring'!B95+'Gjensidige Pensjon'!B95+'Handelsbanken Liv'!B95+'If Skadeforsikring NUF'!B95+KLP!B95+'KLP Bedriftspensjon AS'!B95+'KLP Skadeforsikring AS'!B95+'Landbruksforsikring AS'!B95+'NEMI Forsikring'!B95+'Nordea Liv '!B95+'Oslo Pensjonsforsikring'!B95+'SHB Liv'!B95+'Silver Pensjonsforsikring AS'!B95+'Sparebank 1'!B95+'Storebrand Livsforsikring'!B95+'Telenor Forsikring'!B95+'Tryg Forsikring'!B95</f>
        <v>0</v>
      </c>
      <c r="C95" s="233">
        <f>'ACE European Group'!C95+'Danica Pensjonsforsikring'!C95+'DNB Livsforsikring'!C95+'Eika Forsikring AS'!C95+'Frende Livsforsikring'!C95+'Frende Skadeforsikring'!C95+'Gjensidige Forsikring'!C95+'Gjensidige Pensjon'!C95+'Handelsbanken Liv'!C95+'If Skadeforsikring NUF'!C95+KLP!C95+'KLP Bedriftspensjon AS'!C95+'KLP Skadeforsikring AS'!C95+'Landbruksforsikring AS'!C95+'NEMI Forsikring'!C95+'Nordea Liv '!C95+'Oslo Pensjonsforsikring'!C95+'SHB Liv'!C95+'Silver Pensjonsforsikring AS'!C95+'Sparebank 1'!C95+'Storebrand Livsforsikring'!C95+'Telenor Forsikring'!C95+'Tryg Forsikring'!C95</f>
        <v>0</v>
      </c>
      <c r="D95" s="174" t="str">
        <f t="shared" si="38"/>
        <v xml:space="preserve">    ---- </v>
      </c>
      <c r="E95" s="43">
        <f>IF($A$1=4,'ACE European Group'!F95+'Danica Pensjonsforsikring'!F95+'DNB Livsforsikring'!F95+'Eika Forsikring AS'!F95+'Frende Livsforsikring'!F95+'Frende Skadeforsikring'!F95+'Gjensidige Forsikring'!F95+'Gjensidige Pensjon'!F95+'Handelsbanken Liv'!F95+'If Skadeforsikring NUF'!F95+KLP!F95+'KLP Bedriftspensjon AS'!F95+'KLP Skadeforsikring AS'!F95+'Landbruksforsikring AS'!F95+'NEMI Forsikring'!F95+'Nordea Liv '!F95+'Oslo Pensjonsforsikring'!F95+'SHB Liv'!F95+'Silver Pensjonsforsikring AS'!F95+'Sparebank 1'!F95+'Storebrand Livsforsikring'!F95+'Telenor Forsikring'!F95+'Tryg Forsikring'!F95,"")</f>
        <v>172271756.3677859</v>
      </c>
      <c r="F95" s="43">
        <f>IF($A$1=4,'ACE European Group'!G95+'Danica Pensjonsforsikring'!G95+'DNB Livsforsikring'!G95+'Eika Forsikring AS'!G95+'Frende Livsforsikring'!G95+'Frende Skadeforsikring'!G95+'Gjensidige Forsikring'!G95+'Gjensidige Pensjon'!G95+'Handelsbanken Liv'!G95+'If Skadeforsikring NUF'!G95+KLP!G95+'KLP Bedriftspensjon AS'!G95+'KLP Skadeforsikring AS'!G95+'Landbruksforsikring AS'!G95+'NEMI Forsikring'!G95+'Nordea Liv '!G95+'Oslo Pensjonsforsikring'!G95+'SHB Liv'!G95+'Silver Pensjonsforsikring AS'!G95+'Sparebank 1'!G95+'Storebrand Livsforsikring'!G95+'Telenor Forsikring'!G95+'Tryg Forsikring'!G95,"")</f>
        <v>219576261.95656729</v>
      </c>
      <c r="G95" s="164">
        <f t="shared" si="39"/>
        <v>27.5</v>
      </c>
      <c r="H95" s="235">
        <f t="shared" si="36"/>
        <v>172271756.3677859</v>
      </c>
      <c r="I95" s="235">
        <f t="shared" si="37"/>
        <v>219576261.95656729</v>
      </c>
      <c r="J95" s="164">
        <f t="shared" si="28"/>
        <v>27.5</v>
      </c>
    </row>
    <row r="96" spans="1:12" ht="15.75" customHeight="1" x14ac:dyDescent="0.2">
      <c r="A96" s="20" t="s">
        <v>395</v>
      </c>
      <c r="B96" s="232">
        <f>'ACE European Group'!B96+'Danica Pensjonsforsikring'!B96+'DNB Livsforsikring'!B96+'Eika Forsikring AS'!B96+'Frende Livsforsikring'!B96+'Frende Skadeforsikring'!B96+'Gjensidige Forsikring'!B96+'Gjensidige Pensjon'!B96+'Handelsbanken Liv'!B96+'If Skadeforsikring NUF'!B96+KLP!B96+'KLP Bedriftspensjon AS'!B96+'KLP Skadeforsikring AS'!B96+'Landbruksforsikring AS'!B96+'NEMI Forsikring'!B96+'Nordea Liv '!B96+'Oslo Pensjonsforsikring'!B96+'SHB Liv'!B96+'Silver Pensjonsforsikring AS'!B96+'Sparebank 1'!B96+'Storebrand Livsforsikring'!B96+'Telenor Forsikring'!B96+'Tryg Forsikring'!B96</f>
        <v>99514.081470000005</v>
      </c>
      <c r="C96" s="232">
        <f>'ACE European Group'!C96+'Danica Pensjonsforsikring'!C96+'DNB Livsforsikring'!C96+'Eika Forsikring AS'!C96+'Frende Livsforsikring'!C96+'Frende Skadeforsikring'!C96+'Gjensidige Forsikring'!C96+'Gjensidige Pensjon'!C96+'Handelsbanken Liv'!C96+'If Skadeforsikring NUF'!C96+KLP!C96+'KLP Bedriftspensjon AS'!C96+'KLP Skadeforsikring AS'!C96+'Landbruksforsikring AS'!C96+'NEMI Forsikring'!C96+'Nordea Liv '!C96+'Oslo Pensjonsforsikring'!C96+'SHB Liv'!C96+'Silver Pensjonsforsikring AS'!C96+'Sparebank 1'!C96+'Storebrand Livsforsikring'!C96+'Telenor Forsikring'!C96+'Tryg Forsikring'!C96</f>
        <v>473381.06141999998</v>
      </c>
      <c r="D96" s="164">
        <f t="shared" si="24"/>
        <v>375.7</v>
      </c>
      <c r="E96" s="43">
        <f>'ACE European Group'!F96+'Danica Pensjonsforsikring'!F96+'DNB Livsforsikring'!F96+'Eika Forsikring AS'!F96+'Frende Livsforsikring'!F96+'Frende Skadeforsikring'!F96+'Gjensidige Forsikring'!F96+'Gjensidige Pensjon'!F96+'Handelsbanken Liv'!F96+'If Skadeforsikring NUF'!F96+KLP!F96+'KLP Bedriftspensjon AS'!F96+'KLP Skadeforsikring AS'!F96+'Landbruksforsikring AS'!F96+'NEMI Forsikring'!F96+'Nordea Liv '!F96+'Oslo Pensjonsforsikring'!F96+'SHB Liv'!F96+'Silver Pensjonsforsikring AS'!F96+'Sparebank 1'!F96+'Storebrand Livsforsikring'!F96+'Telenor Forsikring'!F96+'Tryg Forsikring'!F96</f>
        <v>215130.41457000002</v>
      </c>
      <c r="F96" s="43">
        <f>'ACE European Group'!G96+'Danica Pensjonsforsikring'!G96+'DNB Livsforsikring'!G96+'Eika Forsikring AS'!G96+'Frende Livsforsikring'!G96+'Frende Skadeforsikring'!G96+'Gjensidige Forsikring'!G96+'Gjensidige Pensjon'!G96+'Handelsbanken Liv'!G96+'If Skadeforsikring NUF'!G96+KLP!G96+'KLP Bedriftspensjon AS'!G96+'KLP Skadeforsikring AS'!G96+'Landbruksforsikring AS'!G96+'NEMI Forsikring'!G96+'Nordea Liv '!G96+'Oslo Pensjonsforsikring'!G96+'SHB Liv'!G96+'Silver Pensjonsforsikring AS'!G96+'Sparebank 1'!G96+'Storebrand Livsforsikring'!G96+'Telenor Forsikring'!G96+'Tryg Forsikring'!G96</f>
        <v>698934.78107999999</v>
      </c>
      <c r="G96" s="164">
        <f t="shared" si="25"/>
        <v>224.9</v>
      </c>
      <c r="H96" s="235">
        <f t="shared" si="36"/>
        <v>314644.49604</v>
      </c>
      <c r="I96" s="235">
        <f t="shared" si="37"/>
        <v>1172315.8425</v>
      </c>
      <c r="J96" s="164">
        <f t="shared" si="28"/>
        <v>272.60000000000002</v>
      </c>
    </row>
    <row r="97" spans="1:10" ht="15.75" customHeight="1" x14ac:dyDescent="0.2">
      <c r="A97" s="20" t="s">
        <v>394</v>
      </c>
      <c r="B97" s="232">
        <f>'ACE European Group'!B97+'Danica Pensjonsforsikring'!B97+'DNB Livsforsikring'!B97+'Eika Forsikring AS'!B97+'Frende Livsforsikring'!B97+'Frende Skadeforsikring'!B97+'Gjensidige Forsikring'!B97+'Gjensidige Pensjon'!B97+'Handelsbanken Liv'!B97+'If Skadeforsikring NUF'!B97+KLP!B97+'KLP Bedriftspensjon AS'!B97+'KLP Skadeforsikring AS'!B97+'Landbruksforsikring AS'!B97+'NEMI Forsikring'!B97+'Nordea Liv '!B97+'Oslo Pensjonsforsikring'!B97+'SHB Liv'!B97+'Silver Pensjonsforsikring AS'!B97+'Sparebank 1'!B97+'Storebrand Livsforsikring'!B97+'Telenor Forsikring'!B97+'Tryg Forsikring'!B97</f>
        <v>0</v>
      </c>
      <c r="C97" s="232">
        <f>'ACE European Group'!C97+'Danica Pensjonsforsikring'!C97+'DNB Livsforsikring'!C97+'Eika Forsikring AS'!C97+'Frende Livsforsikring'!C97+'Frende Skadeforsikring'!C97+'Gjensidige Forsikring'!C97+'Gjensidige Pensjon'!C97+'Handelsbanken Liv'!C97+'If Skadeforsikring NUF'!C97+KLP!C97+'KLP Bedriftspensjon AS'!C97+'KLP Skadeforsikring AS'!C97+'Landbruksforsikring AS'!C97+'NEMI Forsikring'!C97+'Nordea Liv '!C97+'Oslo Pensjonsforsikring'!C97+'SHB Liv'!C97+'Silver Pensjonsforsikring AS'!C97+'Sparebank 1'!C97+'Storebrand Livsforsikring'!C97+'Telenor Forsikring'!C97+'Tryg Forsikring'!C97</f>
        <v>5038101.1855800003</v>
      </c>
      <c r="D97" s="164" t="str">
        <f t="shared" ref="D97" si="40">IF(B97=0, "    ---- ", IF(ABS(ROUND(100/B97*C97-100,1))&lt;999,ROUND(100/B97*C97-100,1),IF(ROUND(100/B97*C97-100,1)&gt;999,999,-999)))</f>
        <v xml:space="preserve">    ---- </v>
      </c>
      <c r="E97" s="43">
        <f>'ACE European Group'!F97+'Danica Pensjonsforsikring'!F97+'DNB Livsforsikring'!F97+'Eika Forsikring AS'!F97+'Frende Livsforsikring'!F97+'Frende Skadeforsikring'!F97+'Gjensidige Forsikring'!F97+'Gjensidige Pensjon'!F97+'Handelsbanken Liv'!F97+'If Skadeforsikring NUF'!F97+KLP!F97+'KLP Bedriftspensjon AS'!F97+'KLP Skadeforsikring AS'!F97+'Landbruksforsikring AS'!F97+'NEMI Forsikring'!F97+'Nordea Liv '!F97+'Oslo Pensjonsforsikring'!F97+'SHB Liv'!F97+'Silver Pensjonsforsikring AS'!F97+'Sparebank 1'!F97+'Storebrand Livsforsikring'!F97+'Telenor Forsikring'!F97+'Tryg Forsikring'!F97</f>
        <v>0</v>
      </c>
      <c r="F97" s="43">
        <f>'ACE European Group'!G97+'Danica Pensjonsforsikring'!G97+'DNB Livsforsikring'!G97+'Eika Forsikring AS'!G97+'Frende Livsforsikring'!G97+'Frende Skadeforsikring'!G97+'Gjensidige Forsikring'!G97+'Gjensidige Pensjon'!G97+'Handelsbanken Liv'!G97+'If Skadeforsikring NUF'!G97+KLP!G97+'KLP Bedriftspensjon AS'!G97+'KLP Skadeforsikring AS'!G97+'Landbruksforsikring AS'!G97+'NEMI Forsikring'!G97+'Nordea Liv '!G97+'Oslo Pensjonsforsikring'!G97+'SHB Liv'!G97+'Silver Pensjonsforsikring AS'!G97+'Sparebank 1'!G97+'Storebrand Livsforsikring'!G97+'Telenor Forsikring'!G97+'Tryg Forsikring'!G97</f>
        <v>0</v>
      </c>
      <c r="G97" s="164"/>
      <c r="H97" s="235">
        <f t="shared" ref="H97" si="41">SUM(B97,E97)</f>
        <v>0</v>
      </c>
      <c r="I97" s="235">
        <f t="shared" ref="I97" si="42">SUM(C97,F97)</f>
        <v>5038101.1855800003</v>
      </c>
      <c r="J97" s="164" t="str">
        <f t="shared" ref="J97" si="43">IF(H97=0, "    ---- ", IF(ABS(ROUND(100/H97*I97-100,1))&lt;999,ROUND(100/H97*I97-100,1),IF(ROUND(100/H97*I97-100,1)&gt;999,999,-999)))</f>
        <v xml:space="preserve">    ---- </v>
      </c>
    </row>
    <row r="98" spans="1:10" ht="15.75" customHeight="1" x14ac:dyDescent="0.2">
      <c r="A98" s="20" t="s">
        <v>318</v>
      </c>
      <c r="B98" s="232">
        <f>'ACE European Group'!B98+'Danica Pensjonsforsikring'!B98+'DNB Livsforsikring'!B98+'Eika Forsikring AS'!B98+'Frende Livsforsikring'!B98+'Frende Skadeforsikring'!B98+'Gjensidige Forsikring'!B98+'Gjensidige Pensjon'!B98+'Handelsbanken Liv'!B98+'If Skadeforsikring NUF'!B98+KLP!B98+'KLP Bedriftspensjon AS'!B98+'KLP Skadeforsikring AS'!B98+'Landbruksforsikring AS'!B98+'NEMI Forsikring'!B98+'Nordea Liv '!B98+'Oslo Pensjonsforsikring'!B98+'SHB Liv'!B98+'Silver Pensjonsforsikring AS'!B98+'Sparebank 1'!B98+'Storebrand Livsforsikring'!B98+'Telenor Forsikring'!B98+'Tryg Forsikring'!B98</f>
        <v>368048616.75780201</v>
      </c>
      <c r="C98" s="232">
        <f>'ACE European Group'!C98+'Danica Pensjonsforsikring'!C98+'DNB Livsforsikring'!C98+'Eika Forsikring AS'!C98+'Frende Livsforsikring'!C98+'Frende Skadeforsikring'!C98+'Gjensidige Forsikring'!C98+'Gjensidige Pensjon'!C98+'Handelsbanken Liv'!C98+'If Skadeforsikring NUF'!C98+KLP!C98+'KLP Bedriftspensjon AS'!C98+'KLP Skadeforsikring AS'!C98+'Landbruksforsikring AS'!C98+'NEMI Forsikring'!C98+'Nordea Liv '!C98+'Oslo Pensjonsforsikring'!C98+'SHB Liv'!C98+'Silver Pensjonsforsikring AS'!C98+'Sparebank 1'!C98+'Storebrand Livsforsikring'!C98+'Telenor Forsikring'!C98+'Tryg Forsikring'!C98</f>
        <v>371879115.02175069</v>
      </c>
      <c r="D98" s="164">
        <f t="shared" si="24"/>
        <v>1</v>
      </c>
      <c r="E98" s="43">
        <f>'ACE European Group'!F98+'Danica Pensjonsforsikring'!F98+'DNB Livsforsikring'!F98+'Eika Forsikring AS'!F98+'Frende Livsforsikring'!F98+'Frende Skadeforsikring'!F98+'Gjensidige Forsikring'!F98+'Gjensidige Pensjon'!F98+'Handelsbanken Liv'!F98+'If Skadeforsikring NUF'!F98+KLP!F98+'KLP Bedriftspensjon AS'!F98+'KLP Skadeforsikring AS'!F98+'Landbruksforsikring AS'!F98+'NEMI Forsikring'!F98+'Nordea Liv '!F98+'Oslo Pensjonsforsikring'!F98+'SHB Liv'!F98+'Silver Pensjonsforsikring AS'!F98+'Sparebank 1'!F98+'Storebrand Livsforsikring'!F98+'Telenor Forsikring'!F98+'Tryg Forsikring'!F98</f>
        <v>177131195.10062432</v>
      </c>
      <c r="F98" s="43">
        <f>'ACE European Group'!G98+'Danica Pensjonsforsikring'!G98+'DNB Livsforsikring'!G98+'Eika Forsikring AS'!G98+'Frende Livsforsikring'!G98+'Frende Skadeforsikring'!G98+'Gjensidige Forsikring'!G98+'Gjensidige Pensjon'!G98+'Handelsbanken Liv'!G98+'If Skadeforsikring NUF'!G98+KLP!G98+'KLP Bedriftspensjon AS'!G98+'KLP Skadeforsikring AS'!G98+'Landbruksforsikring AS'!G98+'NEMI Forsikring'!G98+'Nordea Liv '!G98+'Oslo Pensjonsforsikring'!G98+'SHB Liv'!G98+'Silver Pensjonsforsikring AS'!G98+'Sparebank 1'!G98+'Storebrand Livsforsikring'!G98+'Telenor Forsikring'!G98+'Tryg Forsikring'!G98</f>
        <v>222431376.75402755</v>
      </c>
      <c r="G98" s="164">
        <f t="shared" si="25"/>
        <v>25.6</v>
      </c>
      <c r="H98" s="235">
        <f t="shared" si="36"/>
        <v>545179811.85842633</v>
      </c>
      <c r="I98" s="235">
        <f t="shared" si="37"/>
        <v>594310491.77577829</v>
      </c>
      <c r="J98" s="164">
        <f t="shared" si="28"/>
        <v>9</v>
      </c>
    </row>
    <row r="99" spans="1:10" ht="15.75" customHeight="1" x14ac:dyDescent="0.2">
      <c r="A99" s="20" t="s">
        <v>9</v>
      </c>
      <c r="B99" s="232">
        <f>'ACE European Group'!B99+'Danica Pensjonsforsikring'!B99+'DNB Livsforsikring'!B99+'Eika Forsikring AS'!B99+'Frende Livsforsikring'!B99+'Frende Skadeforsikring'!B99+'Gjensidige Forsikring'!B99+'Gjensidige Pensjon'!B99+'Handelsbanken Liv'!B99+'If Skadeforsikring NUF'!B99+KLP!B99+'KLP Bedriftspensjon AS'!B99+'KLP Skadeforsikring AS'!B99+'Landbruksforsikring AS'!B99+'NEMI Forsikring'!B99+'Nordea Liv '!B99+'Oslo Pensjonsforsikring'!B99+'SHB Liv'!B99+'Silver Pensjonsforsikring AS'!B99+'Sparebank 1'!B99+'Storebrand Livsforsikring'!B99+'Telenor Forsikring'!B99+'Tryg Forsikring'!B99</f>
        <v>365775447.31820202</v>
      </c>
      <c r="C99" s="232">
        <f>'ACE European Group'!C99+'Danica Pensjonsforsikring'!C99+'DNB Livsforsikring'!C99+'Eika Forsikring AS'!C99+'Frende Livsforsikring'!C99+'Frende Skadeforsikring'!C99+'Gjensidige Forsikring'!C99+'Gjensidige Pensjon'!C99+'Handelsbanken Liv'!C99+'If Skadeforsikring NUF'!C99+KLP!C99+'KLP Bedriftspensjon AS'!C99+'KLP Skadeforsikring AS'!C99+'Landbruksforsikring AS'!C99+'NEMI Forsikring'!C99+'Nordea Liv '!C99+'Oslo Pensjonsforsikring'!C99+'SHB Liv'!C99+'Silver Pensjonsforsikring AS'!C99+'Sparebank 1'!C99+'Storebrand Livsforsikring'!C99+'Telenor Forsikring'!C99+'Tryg Forsikring'!C99</f>
        <v>369364377.66235065</v>
      </c>
      <c r="D99" s="164">
        <f t="shared" si="24"/>
        <v>1</v>
      </c>
      <c r="E99" s="43">
        <f>'ACE European Group'!F99+'Danica Pensjonsforsikring'!F99+'DNB Livsforsikring'!F99+'Eika Forsikring AS'!F99+'Frende Livsforsikring'!F99+'Frende Skadeforsikring'!F99+'Gjensidige Forsikring'!F99+'Gjensidige Pensjon'!F99+'Handelsbanken Liv'!F99+'If Skadeforsikring NUF'!F99+KLP!F99+'KLP Bedriftspensjon AS'!F99+'KLP Skadeforsikring AS'!F99+'Landbruksforsikring AS'!F99+'NEMI Forsikring'!F99+'Nordea Liv '!F99+'Oslo Pensjonsforsikring'!F99+'SHB Liv'!F99+'Silver Pensjonsforsikring AS'!F99+'Sparebank 1'!F99+'Storebrand Livsforsikring'!F99+'Telenor Forsikring'!F99+'Tryg Forsikring'!F99</f>
        <v>0</v>
      </c>
      <c r="F99" s="43">
        <f>'ACE European Group'!G99+'Danica Pensjonsforsikring'!G99+'DNB Livsforsikring'!G99+'Eika Forsikring AS'!G99+'Frende Livsforsikring'!G99+'Frende Skadeforsikring'!G99+'Gjensidige Forsikring'!G99+'Gjensidige Pensjon'!G99+'Handelsbanken Liv'!G99+'If Skadeforsikring NUF'!G99+KLP!G99+'KLP Bedriftspensjon AS'!G99+'KLP Skadeforsikring AS'!G99+'Landbruksforsikring AS'!G99+'NEMI Forsikring'!G99+'Nordea Liv '!G99+'Oslo Pensjonsforsikring'!G99+'SHB Liv'!G99+'Silver Pensjonsforsikring AS'!G99+'Sparebank 1'!G99+'Storebrand Livsforsikring'!G99+'Telenor Forsikring'!G99+'Tryg Forsikring'!G99</f>
        <v>0</v>
      </c>
      <c r="G99" s="164"/>
      <c r="H99" s="235">
        <f t="shared" si="36"/>
        <v>365775447.31820202</v>
      </c>
      <c r="I99" s="235">
        <f t="shared" si="37"/>
        <v>369364377.66235065</v>
      </c>
      <c r="J99" s="164">
        <f t="shared" si="28"/>
        <v>1</v>
      </c>
    </row>
    <row r="100" spans="1:10" ht="15.75" customHeight="1" x14ac:dyDescent="0.2">
      <c r="A100" s="20" t="s">
        <v>10</v>
      </c>
      <c r="B100" s="232">
        <f>'ACE European Group'!B100+'Danica Pensjonsforsikring'!B100+'DNB Livsforsikring'!B100+'Eika Forsikring AS'!B100+'Frende Livsforsikring'!B100+'Frende Skadeforsikring'!B100+'Gjensidige Forsikring'!B100+'Gjensidige Pensjon'!B100+'Handelsbanken Liv'!B100+'If Skadeforsikring NUF'!B100+KLP!B100+'KLP Bedriftspensjon AS'!B100+'KLP Skadeforsikring AS'!B100+'Landbruksforsikring AS'!B100+'NEMI Forsikring'!B100+'Nordea Liv '!B100+'Oslo Pensjonsforsikring'!B100+'SHB Liv'!B100+'Silver Pensjonsforsikring AS'!B100+'Sparebank 1'!B100+'Storebrand Livsforsikring'!B100+'Telenor Forsikring'!B100+'Tryg Forsikring'!B100</f>
        <v>2273169.4395999997</v>
      </c>
      <c r="C100" s="232">
        <f>'ACE European Group'!C100+'Danica Pensjonsforsikring'!C100+'DNB Livsforsikring'!C100+'Eika Forsikring AS'!C100+'Frende Livsforsikring'!C100+'Frende Skadeforsikring'!C100+'Gjensidige Forsikring'!C100+'Gjensidige Pensjon'!C100+'Handelsbanken Liv'!C100+'If Skadeforsikring NUF'!C100+KLP!C100+'KLP Bedriftspensjon AS'!C100+'KLP Skadeforsikring AS'!C100+'Landbruksforsikring AS'!C100+'NEMI Forsikring'!C100+'Nordea Liv '!C100+'Oslo Pensjonsforsikring'!C100+'SHB Liv'!C100+'Silver Pensjonsforsikring AS'!C100+'Sparebank 1'!C100+'Storebrand Livsforsikring'!C100+'Telenor Forsikring'!C100+'Tryg Forsikring'!C100</f>
        <v>2514737.3594</v>
      </c>
      <c r="D100" s="164">
        <f t="shared" si="24"/>
        <v>10.6</v>
      </c>
      <c r="E100" s="43">
        <f>'ACE European Group'!F100+'Danica Pensjonsforsikring'!F100+'DNB Livsforsikring'!F100+'Eika Forsikring AS'!F100+'Frende Livsforsikring'!F100+'Frende Skadeforsikring'!F100+'Gjensidige Forsikring'!F100+'Gjensidige Pensjon'!F100+'Handelsbanken Liv'!F100+'If Skadeforsikring NUF'!F100+KLP!F100+'KLP Bedriftspensjon AS'!F100+'KLP Skadeforsikring AS'!F100+'Landbruksforsikring AS'!F100+'NEMI Forsikring'!F100+'Nordea Liv '!F100+'Oslo Pensjonsforsikring'!F100+'SHB Liv'!F100+'Silver Pensjonsforsikring AS'!F100+'Sparebank 1'!F100+'Storebrand Livsforsikring'!F100+'Telenor Forsikring'!F100+'Tryg Forsikring'!F100</f>
        <v>177131195.10062432</v>
      </c>
      <c r="F100" s="43">
        <f>'ACE European Group'!G100+'Danica Pensjonsforsikring'!G100+'DNB Livsforsikring'!G100+'Eika Forsikring AS'!G100+'Frende Livsforsikring'!G100+'Frende Skadeforsikring'!G100+'Gjensidige Forsikring'!G100+'Gjensidige Pensjon'!G100+'Handelsbanken Liv'!G100+'If Skadeforsikring NUF'!G100+KLP!G100+'KLP Bedriftspensjon AS'!G100+'KLP Skadeforsikring AS'!G100+'Landbruksforsikring AS'!G100+'NEMI Forsikring'!G100+'Nordea Liv '!G100+'Oslo Pensjonsforsikring'!G100+'SHB Liv'!G100+'Silver Pensjonsforsikring AS'!G100+'Sparebank 1'!G100+'Storebrand Livsforsikring'!G100+'Telenor Forsikring'!G100+'Tryg Forsikring'!G100</f>
        <v>222431376.75402755</v>
      </c>
      <c r="G100" s="164">
        <f t="shared" si="25"/>
        <v>25.6</v>
      </c>
      <c r="H100" s="235">
        <f t="shared" si="36"/>
        <v>179404364.54022431</v>
      </c>
      <c r="I100" s="235">
        <f t="shared" si="37"/>
        <v>224946114.11342755</v>
      </c>
      <c r="J100" s="164">
        <f t="shared" si="28"/>
        <v>25.4</v>
      </c>
    </row>
    <row r="101" spans="1:10" ht="15.75" customHeight="1" x14ac:dyDescent="0.2">
      <c r="A101" s="294" t="s">
        <v>316</v>
      </c>
      <c r="B101" s="43">
        <f>IF($A$1=4,'ACE European Group'!B101+'Danica Pensjonsforsikring'!B101+'DNB Livsforsikring'!B101+'Eika Forsikring AS'!B101+'Frende Livsforsikring'!B101+'Frende Skadeforsikring'!B101+'Gjensidige Forsikring'!B101+'Gjensidige Pensjon'!B101+'Handelsbanken Liv'!B101+'If Skadeforsikring NUF'!B101+KLP!B101+'KLP Bedriftspensjon AS'!B101+'KLP Skadeforsikring AS'!B101+'Landbruksforsikring AS'!B101+'NEMI Forsikring'!B101+'Nordea Liv '!B101+'Oslo Pensjonsforsikring'!B101+'SHB Liv'!B101+'Silver Pensjonsforsikring AS'!B101+'Sparebank 1'!B101+'Storebrand Livsforsikring'!B101+'Telenor Forsikring'!B101+'Tryg Forsikring'!B101,"")</f>
        <v>0</v>
      </c>
      <c r="C101" s="43">
        <f>IF($A$1=4,'ACE European Group'!C101+'Danica Pensjonsforsikring'!C101+'DNB Livsforsikring'!C101+'Eika Forsikring AS'!C101+'Frende Livsforsikring'!C101+'Frende Skadeforsikring'!C101+'Gjensidige Forsikring'!C101+'Gjensidige Pensjon'!C101+'Handelsbanken Liv'!C101+'If Skadeforsikring NUF'!C101+KLP!C101+'KLP Bedriftspensjon AS'!C101+'KLP Skadeforsikring AS'!C101+'Landbruksforsikring AS'!C101+'NEMI Forsikring'!C101+'Nordea Liv '!C101+'Oslo Pensjonsforsikring'!C101+'SHB Liv'!C101+'Silver Pensjonsforsikring AS'!C101+'Sparebank 1'!C101+'Storebrand Livsforsikring'!C101+'Telenor Forsikring'!C101+'Tryg Forsikring'!C101,"")</f>
        <v>0</v>
      </c>
      <c r="D101" s="174"/>
      <c r="E101" s="43"/>
      <c r="F101" s="43"/>
      <c r="G101" s="164"/>
      <c r="H101" s="235"/>
      <c r="I101" s="235"/>
      <c r="J101" s="164"/>
    </row>
    <row r="102" spans="1:10" ht="15.75" customHeight="1" x14ac:dyDescent="0.2">
      <c r="A102" s="294" t="s">
        <v>12</v>
      </c>
      <c r="B102" s="233">
        <f>'ACE European Group'!B102+'Danica Pensjonsforsikring'!B102+'DNB Livsforsikring'!B102+'Eika Forsikring AS'!B102+'Frende Livsforsikring'!B102+'Frende Skadeforsikring'!B102+'Gjensidige Forsikring'!B102+'Gjensidige Pensjon'!B102+'Handelsbanken Liv'!B102+'If Skadeforsikring NUF'!B102+KLP!B102+'KLP Bedriftspensjon AS'!B102+'KLP Skadeforsikring AS'!B102+'Landbruksforsikring AS'!B102+'NEMI Forsikring'!B102+'Nordea Liv '!B102+'Oslo Pensjonsforsikring'!B102+'SHB Liv'!B102+'Silver Pensjonsforsikring AS'!B102+'Sparebank 1'!B102+'Storebrand Livsforsikring'!B102+'Telenor Forsikring'!B102+'Tryg Forsikring'!B102</f>
        <v>0</v>
      </c>
      <c r="C102" s="233">
        <f>'ACE European Group'!C102+'Danica Pensjonsforsikring'!C102+'DNB Livsforsikring'!C102+'Eika Forsikring AS'!C102+'Frende Livsforsikring'!C102+'Frende Skadeforsikring'!C102+'Gjensidige Forsikring'!C102+'Gjensidige Pensjon'!C102+'Handelsbanken Liv'!C102+'If Skadeforsikring NUF'!C102+KLP!C102+'KLP Bedriftspensjon AS'!C102+'KLP Skadeforsikring AS'!C102+'Landbruksforsikring AS'!C102+'NEMI Forsikring'!C102+'Nordea Liv '!C102+'Oslo Pensjonsforsikring'!C102+'SHB Liv'!C102+'Silver Pensjonsforsikring AS'!C102+'Sparebank 1'!C102+'Storebrand Livsforsikring'!C102+'Telenor Forsikring'!C102+'Tryg Forsikring'!C102</f>
        <v>0</v>
      </c>
      <c r="D102" s="174"/>
      <c r="E102" s="43"/>
      <c r="F102" s="43"/>
      <c r="G102" s="164"/>
      <c r="H102" s="235"/>
      <c r="I102" s="235"/>
      <c r="J102" s="164"/>
    </row>
    <row r="103" spans="1:10" ht="15.75" customHeight="1" x14ac:dyDescent="0.2">
      <c r="A103" s="294" t="s">
        <v>13</v>
      </c>
      <c r="B103" s="233">
        <f>'ACE European Group'!B103+'Danica Pensjonsforsikring'!B103+'DNB Livsforsikring'!B103+'Eika Forsikring AS'!B103+'Frende Livsforsikring'!B103+'Frende Skadeforsikring'!B103+'Gjensidige Forsikring'!B103+'Gjensidige Pensjon'!B103+'Handelsbanken Liv'!B103+'If Skadeforsikring NUF'!B103+KLP!B103+'KLP Bedriftspensjon AS'!B103+'KLP Skadeforsikring AS'!B103+'Landbruksforsikring AS'!B103+'NEMI Forsikring'!B103+'Nordea Liv '!B103+'Oslo Pensjonsforsikring'!B103+'SHB Liv'!B103+'Silver Pensjonsforsikring AS'!B103+'Sparebank 1'!B103+'Storebrand Livsforsikring'!B103+'Telenor Forsikring'!B103+'Tryg Forsikring'!B103</f>
        <v>0</v>
      </c>
      <c r="C103" s="233">
        <f>'ACE European Group'!C103+'Danica Pensjonsforsikring'!C103+'DNB Livsforsikring'!C103+'Eika Forsikring AS'!C103+'Frende Livsforsikring'!C103+'Frende Skadeforsikring'!C103+'Gjensidige Forsikring'!C103+'Gjensidige Pensjon'!C103+'Handelsbanken Liv'!C103+'If Skadeforsikring NUF'!C103+KLP!C103+'KLP Bedriftspensjon AS'!C103+'KLP Skadeforsikring AS'!C103+'Landbruksforsikring AS'!C103+'NEMI Forsikring'!C103+'Nordea Liv '!C103+'Oslo Pensjonsforsikring'!C103+'SHB Liv'!C103+'Silver Pensjonsforsikring AS'!C103+'Sparebank 1'!C103+'Storebrand Livsforsikring'!C103+'Telenor Forsikring'!C103+'Tryg Forsikring'!C103</f>
        <v>0</v>
      </c>
      <c r="D103" s="174"/>
      <c r="E103" s="43"/>
      <c r="F103" s="43"/>
      <c r="G103" s="164"/>
      <c r="H103" s="235"/>
      <c r="I103" s="235"/>
      <c r="J103" s="164"/>
    </row>
    <row r="104" spans="1:10" ht="15.75" customHeight="1" x14ac:dyDescent="0.2">
      <c r="A104" s="294" t="s">
        <v>317</v>
      </c>
      <c r="B104" s="43">
        <f>IF($A$1=4,'ACE European Group'!B104+'Danica Pensjonsforsikring'!B104+'DNB Livsforsikring'!B104+'Eika Forsikring AS'!B104+'Frende Livsforsikring'!B104+'Frende Skadeforsikring'!B104+'Gjensidige Forsikring'!B104+'Gjensidige Pensjon'!B104+'Handelsbanken Liv'!B104+'If Skadeforsikring NUF'!B104+KLP!B104+'KLP Bedriftspensjon AS'!B104+'KLP Skadeforsikring AS'!B104+'Landbruksforsikring AS'!B104+'NEMI Forsikring'!B104+'Nordea Liv '!B104+'Oslo Pensjonsforsikring'!B104+'SHB Liv'!B104+'Silver Pensjonsforsikring AS'!B104+'Sparebank 1'!B104+'Storebrand Livsforsikring'!B104+'Telenor Forsikring'!B104+'Tryg Forsikring'!B104,"")</f>
        <v>2273169.4395999997</v>
      </c>
      <c r="C104" s="43">
        <f>IF($A$1=4,'ACE European Group'!C104+'Danica Pensjonsforsikring'!C104+'DNB Livsforsikring'!C104+'Eika Forsikring AS'!C104+'Frende Livsforsikring'!C104+'Frende Skadeforsikring'!C104+'Gjensidige Forsikring'!C104+'Gjensidige Pensjon'!C104+'Handelsbanken Liv'!C104+'If Skadeforsikring NUF'!C104+KLP!C104+'KLP Bedriftspensjon AS'!C104+'KLP Skadeforsikring AS'!C104+'Landbruksforsikring AS'!C104+'NEMI Forsikring'!C104+'Nordea Liv '!C104+'Oslo Pensjonsforsikring'!C104+'SHB Liv'!C104+'Silver Pensjonsforsikring AS'!C104+'Sparebank 1'!C104+'Storebrand Livsforsikring'!C104+'Telenor Forsikring'!C104+'Tryg Forsikring'!C104,"")</f>
        <v>2514737.3594</v>
      </c>
      <c r="D104" s="174">
        <f t="shared" ref="D104" si="44">IF($A$1=4,IF(B104=0, "    ---- ", IF(ABS(ROUND(100/B104*C104-100,1))&lt;999,ROUND(100/B104*C104-100,1),IF(ROUND(100/B104*C104-100,1)&gt;999,999,-999))),"")</f>
        <v>10.6</v>
      </c>
      <c r="E104" s="43">
        <f>IF($A$1=4,'ACE European Group'!F104+'Danica Pensjonsforsikring'!F104+'DNB Livsforsikring'!F104+'Eika Forsikring AS'!F104+'Frende Livsforsikring'!F104+'Frende Skadeforsikring'!F104+'Gjensidige Forsikring'!F104+'Gjensidige Pensjon'!F104+'Handelsbanken Liv'!F104+'If Skadeforsikring NUF'!F104+KLP!F104+'KLP Bedriftspensjon AS'!F104+'KLP Skadeforsikring AS'!F104+'Landbruksforsikring AS'!F104+'NEMI Forsikring'!F104+'Nordea Liv '!F104+'Oslo Pensjonsforsikring'!F104+'SHB Liv'!F104+'Silver Pensjonsforsikring AS'!F104+'Sparebank 1'!F104+'Storebrand Livsforsikring'!F104+'Telenor Forsikring'!F104+'Tryg Forsikring'!F104,"")</f>
        <v>177131195.10062432</v>
      </c>
      <c r="F104" s="43">
        <f>IF($A$1=4,'ACE European Group'!G104+'Danica Pensjonsforsikring'!G104+'DNB Livsforsikring'!G104+'Eika Forsikring AS'!G104+'Frende Livsforsikring'!G104+'Frende Skadeforsikring'!G104+'Gjensidige Forsikring'!G104+'Gjensidige Pensjon'!G104+'Handelsbanken Liv'!G104+'If Skadeforsikring NUF'!G104+KLP!G104+'KLP Bedriftspensjon AS'!G104+'KLP Skadeforsikring AS'!G104+'Landbruksforsikring AS'!G104+'NEMI Forsikring'!G104+'Nordea Liv '!G104+'Oslo Pensjonsforsikring'!G104+'SHB Liv'!G104+'Silver Pensjonsforsikring AS'!G104+'Sparebank 1'!G104+'Storebrand Livsforsikring'!G104+'Telenor Forsikring'!G104+'Tryg Forsikring'!G104,"")</f>
        <v>222431376.75402755</v>
      </c>
      <c r="G104" s="164">
        <f t="shared" ref="G104:G106" si="45">IF($A$1=4,IF(E104=0, "    ---- ", IF(ABS(ROUND(100/E104*F104-100,1))&lt;999,ROUND(100/E104*F104-100,1),IF(ROUND(100/E104*F104-100,1)&gt;999,999,-999))),"")</f>
        <v>25.6</v>
      </c>
      <c r="H104" s="235">
        <f t="shared" si="36"/>
        <v>179404364.54022431</v>
      </c>
      <c r="I104" s="235">
        <f t="shared" si="37"/>
        <v>224946114.11342755</v>
      </c>
      <c r="J104" s="164">
        <f t="shared" si="28"/>
        <v>25.4</v>
      </c>
    </row>
    <row r="105" spans="1:10" ht="15.75" customHeight="1" x14ac:dyDescent="0.2">
      <c r="A105" s="294" t="s">
        <v>12</v>
      </c>
      <c r="B105" s="233">
        <f>'ACE European Group'!B105+'Danica Pensjonsforsikring'!B105+'DNB Livsforsikring'!B105+'Eika Forsikring AS'!B105+'Frende Livsforsikring'!B105+'Frende Skadeforsikring'!B105+'Gjensidige Forsikring'!B105+'Gjensidige Pensjon'!B105+'Handelsbanken Liv'!B105+'If Skadeforsikring NUF'!B105+KLP!B105+'KLP Bedriftspensjon AS'!B105+'KLP Skadeforsikring AS'!B105+'Landbruksforsikring AS'!B105+'NEMI Forsikring'!B105+'Nordea Liv '!B105+'Oslo Pensjonsforsikring'!B105+'SHB Liv'!B105+'Silver Pensjonsforsikring AS'!B105+'Sparebank 1'!B105+'Storebrand Livsforsikring'!B105+'Telenor Forsikring'!B105+'Tryg Forsikring'!B105</f>
        <v>0</v>
      </c>
      <c r="C105" s="233">
        <f>'ACE European Group'!C105+'Danica Pensjonsforsikring'!C105+'DNB Livsforsikring'!C105+'Eika Forsikring AS'!C105+'Frende Livsforsikring'!C105+'Frende Skadeforsikring'!C105+'Gjensidige Forsikring'!C105+'Gjensidige Pensjon'!C105+'Handelsbanken Liv'!C105+'If Skadeforsikring NUF'!C105+KLP!C105+'KLP Bedriftspensjon AS'!C105+'KLP Skadeforsikring AS'!C105+'Landbruksforsikring AS'!C105+'NEMI Forsikring'!C105+'Nordea Liv '!C105+'Oslo Pensjonsforsikring'!C105+'SHB Liv'!C105+'Silver Pensjonsforsikring AS'!C105+'Sparebank 1'!C105+'Storebrand Livsforsikring'!C105+'Telenor Forsikring'!C105+'Tryg Forsikring'!C105</f>
        <v>0</v>
      </c>
      <c r="D105" s="174"/>
      <c r="E105" s="43">
        <f>IF($A$1=4,'ACE European Group'!F105+'Danica Pensjonsforsikring'!F105+'DNB Livsforsikring'!F105+'Eika Forsikring AS'!F105+'Frende Livsforsikring'!F105+'Frende Skadeforsikring'!F105+'Gjensidige Forsikring'!F105+'Gjensidige Pensjon'!F105+'Handelsbanken Liv'!F105+'If Skadeforsikring NUF'!F105+KLP!F105+'KLP Bedriftspensjon AS'!F105+'KLP Skadeforsikring AS'!F105+'Landbruksforsikring AS'!F105+'NEMI Forsikring'!F105+'Nordea Liv '!F105+'Oslo Pensjonsforsikring'!F105+'SHB Liv'!F105+'Silver Pensjonsforsikring AS'!F105+'Sparebank 1'!F105+'Storebrand Livsforsikring'!F105+'Telenor Forsikring'!F105+'Tryg Forsikring'!F105,"")</f>
        <v>4912209.7370084394</v>
      </c>
      <c r="F105" s="43">
        <f>IF($A$1=4,'ACE European Group'!G105+'Danica Pensjonsforsikring'!G105+'DNB Livsforsikring'!G105+'Eika Forsikring AS'!G105+'Frende Livsforsikring'!G105+'Frende Skadeforsikring'!G105+'Gjensidige Forsikring'!G105+'Gjensidige Pensjon'!G105+'Handelsbanken Liv'!G105+'If Skadeforsikring NUF'!G105+KLP!G105+'KLP Bedriftspensjon AS'!G105+'KLP Skadeforsikring AS'!G105+'Landbruksforsikring AS'!G105+'NEMI Forsikring'!G105+'Nordea Liv '!G105+'Oslo Pensjonsforsikring'!G105+'SHB Liv'!G105+'Silver Pensjonsforsikring AS'!G105+'Sparebank 1'!G105+'Storebrand Livsforsikring'!G105+'Telenor Forsikring'!G105+'Tryg Forsikring'!G105,"")</f>
        <v>2916025.8970802799</v>
      </c>
      <c r="G105" s="164">
        <f t="shared" si="45"/>
        <v>-40.6</v>
      </c>
      <c r="H105" s="235">
        <f t="shared" si="36"/>
        <v>4912209.7370084394</v>
      </c>
      <c r="I105" s="235">
        <f t="shared" si="37"/>
        <v>2916025.8970802799</v>
      </c>
      <c r="J105" s="164">
        <f t="shared" si="28"/>
        <v>-40.6</v>
      </c>
    </row>
    <row r="106" spans="1:10" ht="15.75" customHeight="1" x14ac:dyDescent="0.2">
      <c r="A106" s="294" t="s">
        <v>13</v>
      </c>
      <c r="B106" s="233">
        <f>'ACE European Group'!B106+'Danica Pensjonsforsikring'!B106+'DNB Livsforsikring'!B106+'Eika Forsikring AS'!B106+'Frende Livsforsikring'!B106+'Frende Skadeforsikring'!B106+'Gjensidige Forsikring'!B106+'Gjensidige Pensjon'!B106+'Handelsbanken Liv'!B106+'If Skadeforsikring NUF'!B106+KLP!B106+'KLP Bedriftspensjon AS'!B106+'KLP Skadeforsikring AS'!B106+'Landbruksforsikring AS'!B106+'NEMI Forsikring'!B106+'Nordea Liv '!B106+'Oslo Pensjonsforsikring'!B106+'SHB Liv'!B106+'Silver Pensjonsforsikring AS'!B106+'Sparebank 1'!B106+'Storebrand Livsforsikring'!B106+'Telenor Forsikring'!B106+'Tryg Forsikring'!B106</f>
        <v>0</v>
      </c>
      <c r="C106" s="233">
        <f>'ACE European Group'!C106+'Danica Pensjonsforsikring'!C106+'DNB Livsforsikring'!C106+'Eika Forsikring AS'!C106+'Frende Livsforsikring'!C106+'Frende Skadeforsikring'!C106+'Gjensidige Forsikring'!C106+'Gjensidige Pensjon'!C106+'Handelsbanken Liv'!C106+'If Skadeforsikring NUF'!C106+KLP!C106+'KLP Bedriftspensjon AS'!C106+'KLP Skadeforsikring AS'!C106+'Landbruksforsikring AS'!C106+'NEMI Forsikring'!C106+'Nordea Liv '!C106+'Oslo Pensjonsforsikring'!C106+'SHB Liv'!C106+'Silver Pensjonsforsikring AS'!C106+'Sparebank 1'!C106+'Storebrand Livsforsikring'!C106+'Telenor Forsikring'!C106+'Tryg Forsikring'!C106</f>
        <v>0</v>
      </c>
      <c r="D106" s="174"/>
      <c r="E106" s="43">
        <f>IF($A$1=4,'ACE European Group'!F106+'Danica Pensjonsforsikring'!F106+'DNB Livsforsikring'!F106+'Eika Forsikring AS'!F106+'Frende Livsforsikring'!F106+'Frende Skadeforsikring'!F106+'Gjensidige Forsikring'!F106+'Gjensidige Pensjon'!F106+'Handelsbanken Liv'!F106+'If Skadeforsikring NUF'!F106+KLP!F106+'KLP Bedriftspensjon AS'!F106+'KLP Skadeforsikring AS'!F106+'Landbruksforsikring AS'!F106+'NEMI Forsikring'!F106+'Nordea Liv '!F106+'Oslo Pensjonsforsikring'!F106+'SHB Liv'!F106+'Silver Pensjonsforsikring AS'!F106+'Sparebank 1'!F106+'Storebrand Livsforsikring'!F106+'Telenor Forsikring'!F106+'Tryg Forsikring'!F106,"")</f>
        <v>172218985.3636159</v>
      </c>
      <c r="F106" s="43">
        <f>IF($A$1=4,'ACE European Group'!G106+'Danica Pensjonsforsikring'!G106+'DNB Livsforsikring'!G106+'Eika Forsikring AS'!G106+'Frende Livsforsikring'!G106+'Frende Skadeforsikring'!G106+'Gjensidige Forsikring'!G106+'Gjensidige Pensjon'!G106+'Handelsbanken Liv'!G106+'If Skadeforsikring NUF'!G106+KLP!G106+'KLP Bedriftspensjon AS'!G106+'KLP Skadeforsikring AS'!G106+'Landbruksforsikring AS'!G106+'NEMI Forsikring'!G106+'Nordea Liv '!G106+'Oslo Pensjonsforsikring'!G106+'SHB Liv'!G106+'Silver Pensjonsforsikring AS'!G106+'Sparebank 1'!G106+'Storebrand Livsforsikring'!G106+'Telenor Forsikring'!G106+'Tryg Forsikring'!G106,"")</f>
        <v>219515350.85694727</v>
      </c>
      <c r="G106" s="164">
        <f t="shared" si="45"/>
        <v>27.5</v>
      </c>
      <c r="H106" s="235">
        <f t="shared" si="36"/>
        <v>172218985.3636159</v>
      </c>
      <c r="I106" s="235">
        <f t="shared" si="37"/>
        <v>219515350.85694727</v>
      </c>
      <c r="J106" s="164">
        <f t="shared" si="28"/>
        <v>27.5</v>
      </c>
    </row>
    <row r="107" spans="1:10" ht="15.75" customHeight="1" x14ac:dyDescent="0.2">
      <c r="A107" s="20" t="s">
        <v>327</v>
      </c>
      <c r="B107" s="232">
        <f>'ACE European Group'!B107+'Danica Pensjonsforsikring'!B107+'DNB Livsforsikring'!B107+'Eika Forsikring AS'!B107+'Frende Livsforsikring'!B107+'Frende Skadeforsikring'!B107+'Gjensidige Forsikring'!B107+'Gjensidige Pensjon'!B107+'Handelsbanken Liv'!B107+'If Skadeforsikring NUF'!B107+KLP!B107+'KLP Bedriftspensjon AS'!B107+'KLP Skadeforsikring AS'!B107+'Landbruksforsikring AS'!B107+'NEMI Forsikring'!B107+'Nordea Liv '!B107+'Oslo Pensjonsforsikring'!B107+'SHB Liv'!B107+'Silver Pensjonsforsikring AS'!B107+'Sparebank 1'!B107+'Storebrand Livsforsikring'!B107+'Telenor Forsikring'!B107+'Tryg Forsikring'!B107</f>
        <v>4834071.1340000005</v>
      </c>
      <c r="C107" s="232">
        <f>'ACE European Group'!C107+'Danica Pensjonsforsikring'!C107+'DNB Livsforsikring'!C107+'Eika Forsikring AS'!C107+'Frende Livsforsikring'!C107+'Frende Skadeforsikring'!C107+'Gjensidige Forsikring'!C107+'Gjensidige Pensjon'!C107+'Handelsbanken Liv'!C107+'If Skadeforsikring NUF'!C107+KLP!C107+'KLP Bedriftspensjon AS'!C107+'KLP Skadeforsikring AS'!C107+'Landbruksforsikring AS'!C107+'NEMI Forsikring'!C107+'Nordea Liv '!C107+'Oslo Pensjonsforsikring'!C107+'SHB Liv'!C107+'Silver Pensjonsforsikring AS'!C107+'Sparebank 1'!C107+'Storebrand Livsforsikring'!C107+'Telenor Forsikring'!C107+'Tryg Forsikring'!C107</f>
        <v>3974766.9530000002</v>
      </c>
      <c r="D107" s="164">
        <f t="shared" si="24"/>
        <v>-17.8</v>
      </c>
      <c r="E107" s="43">
        <f>'ACE European Group'!F107+'Danica Pensjonsforsikring'!F107+'DNB Livsforsikring'!F107+'Eika Forsikring AS'!F107+'Frende Livsforsikring'!F107+'Frende Skadeforsikring'!F107+'Gjensidige Forsikring'!F107+'Gjensidige Pensjon'!F107+'Handelsbanken Liv'!F107+'If Skadeforsikring NUF'!F107+KLP!F107+'KLP Bedriftspensjon AS'!F107+'KLP Skadeforsikring AS'!F107+'Landbruksforsikring AS'!F107+'NEMI Forsikring'!F107+'Nordea Liv '!F107+'Oslo Pensjonsforsikring'!F107+'SHB Liv'!F107+'Silver Pensjonsforsikring AS'!F107+'Sparebank 1'!F107+'Storebrand Livsforsikring'!F107+'Telenor Forsikring'!F107+'Tryg Forsikring'!F107</f>
        <v>385240.93417000002</v>
      </c>
      <c r="F107" s="43">
        <f>'ACE European Group'!G107+'Danica Pensjonsforsikring'!G107+'DNB Livsforsikring'!G107+'Eika Forsikring AS'!G107+'Frende Livsforsikring'!G107+'Frende Skadeforsikring'!G107+'Gjensidige Forsikring'!G107+'Gjensidige Pensjon'!G107+'Handelsbanken Liv'!G107+'If Skadeforsikring NUF'!G107+KLP!G107+'KLP Bedriftspensjon AS'!G107+'KLP Skadeforsikring AS'!G107+'Landbruksforsikring AS'!G107+'NEMI Forsikring'!G107+'Nordea Liv '!G107+'Oslo Pensjonsforsikring'!G107+'SHB Liv'!G107+'Silver Pensjonsforsikring AS'!G107+'Sparebank 1'!G107+'Storebrand Livsforsikring'!G107+'Telenor Forsikring'!G107+'Tryg Forsikring'!G107</f>
        <v>595279.93562</v>
      </c>
      <c r="G107" s="164">
        <f t="shared" si="25"/>
        <v>54.5</v>
      </c>
      <c r="H107" s="235">
        <f t="shared" si="36"/>
        <v>5219312.0681700008</v>
      </c>
      <c r="I107" s="235">
        <f t="shared" si="37"/>
        <v>4570046.8886200003</v>
      </c>
      <c r="J107" s="164">
        <f t="shared" si="28"/>
        <v>-12.4</v>
      </c>
    </row>
    <row r="108" spans="1:10" ht="15.75" customHeight="1" x14ac:dyDescent="0.2">
      <c r="A108" s="20" t="s">
        <v>328</v>
      </c>
      <c r="B108" s="232">
        <f>'ACE European Group'!B108+'Danica Pensjonsforsikring'!B108+'DNB Livsforsikring'!B108+'Eika Forsikring AS'!B108+'Frende Livsforsikring'!B108+'Frende Skadeforsikring'!B108+'Gjensidige Forsikring'!B108+'Gjensidige Pensjon'!B108+'Handelsbanken Liv'!B108+'If Skadeforsikring NUF'!B108+KLP!B108+'KLP Bedriftspensjon AS'!B108+'KLP Skadeforsikring AS'!B108+'Landbruksforsikring AS'!B108+'NEMI Forsikring'!B108+'Nordea Liv '!B108+'Oslo Pensjonsforsikring'!B108+'SHB Liv'!B108+'Silver Pensjonsforsikring AS'!B108+'Sparebank 1'!B108+'Storebrand Livsforsikring'!B108+'Telenor Forsikring'!B108+'Tryg Forsikring'!B108</f>
        <v>269456256.5503034</v>
      </c>
      <c r="C108" s="232">
        <f>'ACE European Group'!C108+'Danica Pensjonsforsikring'!C108+'DNB Livsforsikring'!C108+'Eika Forsikring AS'!C108+'Frende Livsforsikring'!C108+'Frende Skadeforsikring'!C108+'Gjensidige Forsikring'!C108+'Gjensidige Pensjon'!C108+'Handelsbanken Liv'!C108+'If Skadeforsikring NUF'!C108+KLP!C108+'KLP Bedriftspensjon AS'!C108+'KLP Skadeforsikring AS'!C108+'Landbruksforsikring AS'!C108+'NEMI Forsikring'!C108+'Nordea Liv '!C108+'Oslo Pensjonsforsikring'!C108+'SHB Liv'!C108+'Silver Pensjonsforsikring AS'!C108+'Sparebank 1'!C108+'Storebrand Livsforsikring'!C108+'Telenor Forsikring'!C108+'Tryg Forsikring'!C108</f>
        <v>301241250.4167369</v>
      </c>
      <c r="D108" s="164">
        <f t="shared" si="24"/>
        <v>11.8</v>
      </c>
      <c r="E108" s="43">
        <f>'ACE European Group'!F108+'Danica Pensjonsforsikring'!F108+'DNB Livsforsikring'!F108+'Eika Forsikring AS'!F108+'Frende Livsforsikring'!F108+'Frende Skadeforsikring'!F108+'Gjensidige Forsikring'!F108+'Gjensidige Pensjon'!F108+'Handelsbanken Liv'!F108+'If Skadeforsikring NUF'!F108+KLP!F108+'KLP Bedriftspensjon AS'!F108+'KLP Skadeforsikring AS'!F108+'Landbruksforsikring AS'!F108+'NEMI Forsikring'!F108+'Nordea Liv '!F108+'Oslo Pensjonsforsikring'!F108+'SHB Liv'!F108+'Silver Pensjonsforsikring AS'!F108+'Sparebank 1'!F108+'Storebrand Livsforsikring'!F108+'Telenor Forsikring'!F108+'Tryg Forsikring'!F108</f>
        <v>5819697.2010000004</v>
      </c>
      <c r="F108" s="43">
        <f>'ACE European Group'!G108+'Danica Pensjonsforsikring'!G108+'DNB Livsforsikring'!G108+'Eika Forsikring AS'!G108+'Frende Livsforsikring'!G108+'Frende Skadeforsikring'!G108+'Gjensidige Forsikring'!G108+'Gjensidige Pensjon'!G108+'Handelsbanken Liv'!G108+'If Skadeforsikring NUF'!G108+KLP!G108+'KLP Bedriftspensjon AS'!G108+'KLP Skadeforsikring AS'!G108+'Landbruksforsikring AS'!G108+'NEMI Forsikring'!G108+'Nordea Liv '!G108+'Oslo Pensjonsforsikring'!G108+'SHB Liv'!G108+'Silver Pensjonsforsikring AS'!G108+'Sparebank 1'!G108+'Storebrand Livsforsikring'!G108+'Telenor Forsikring'!G108+'Tryg Forsikring'!G108</f>
        <v>7239264.432</v>
      </c>
      <c r="G108" s="164">
        <f t="shared" si="25"/>
        <v>24.4</v>
      </c>
      <c r="H108" s="235">
        <f t="shared" si="36"/>
        <v>275275953.75130337</v>
      </c>
      <c r="I108" s="235">
        <f t="shared" si="37"/>
        <v>308480514.84873688</v>
      </c>
      <c r="J108" s="164">
        <f t="shared" si="28"/>
        <v>12.1</v>
      </c>
    </row>
    <row r="109" spans="1:10" ht="15.75" customHeight="1" x14ac:dyDescent="0.2">
      <c r="A109" s="20" t="s">
        <v>320</v>
      </c>
      <c r="B109" s="232">
        <f>'ACE European Group'!B109+'Danica Pensjonsforsikring'!B109+'DNB Livsforsikring'!B109+'Eika Forsikring AS'!B109+'Frende Livsforsikring'!B109+'Frende Skadeforsikring'!B109+'Gjensidige Forsikring'!B109+'Gjensidige Pensjon'!B109+'Handelsbanken Liv'!B109+'If Skadeforsikring NUF'!B109+KLP!B109+'KLP Bedriftspensjon AS'!B109+'KLP Skadeforsikring AS'!B109+'Landbruksforsikring AS'!B109+'NEMI Forsikring'!B109+'Nordea Liv '!B109+'Oslo Pensjonsforsikring'!B109+'SHB Liv'!B109+'Silver Pensjonsforsikring AS'!B109+'Sparebank 1'!B109+'Storebrand Livsforsikring'!B109+'Telenor Forsikring'!B109+'Tryg Forsikring'!B109</f>
        <v>746742.42926</v>
      </c>
      <c r="C109" s="232">
        <f>'ACE European Group'!C109+'Danica Pensjonsforsikring'!C109+'DNB Livsforsikring'!C109+'Eika Forsikring AS'!C109+'Frende Livsforsikring'!C109+'Frende Skadeforsikring'!C109+'Gjensidige Forsikring'!C109+'Gjensidige Pensjon'!C109+'Handelsbanken Liv'!C109+'If Skadeforsikring NUF'!C109+KLP!C109+'KLP Bedriftspensjon AS'!C109+'KLP Skadeforsikring AS'!C109+'Landbruksforsikring AS'!C109+'NEMI Forsikring'!C109+'Nordea Liv '!C109+'Oslo Pensjonsforsikring'!C109+'SHB Liv'!C109+'Silver Pensjonsforsikring AS'!C109+'Sparebank 1'!C109+'Storebrand Livsforsikring'!C109+'Telenor Forsikring'!C109+'Tryg Forsikring'!C109</f>
        <v>784494.71512000007</v>
      </c>
      <c r="D109" s="164">
        <f t="shared" si="24"/>
        <v>5.0999999999999996</v>
      </c>
      <c r="E109" s="43">
        <f>'ACE European Group'!F109+'Danica Pensjonsforsikring'!F109+'DNB Livsforsikring'!F109+'Eika Forsikring AS'!F109+'Frende Livsforsikring'!F109+'Frende Skadeforsikring'!F109+'Gjensidige Forsikring'!F109+'Gjensidige Pensjon'!F109+'Handelsbanken Liv'!F109+'If Skadeforsikring NUF'!F109+KLP!F109+'KLP Bedriftspensjon AS'!F109+'KLP Skadeforsikring AS'!F109+'Landbruksforsikring AS'!F109+'NEMI Forsikring'!F109+'Nordea Liv '!F109+'Oslo Pensjonsforsikring'!F109+'SHB Liv'!F109+'Silver Pensjonsforsikring AS'!F109+'Sparebank 1'!F109+'Storebrand Livsforsikring'!F109+'Telenor Forsikring'!F109+'Tryg Forsikring'!F109</f>
        <v>55781567.049887195</v>
      </c>
      <c r="F109" s="43">
        <f>'ACE European Group'!G109+'Danica Pensjonsforsikring'!G109+'DNB Livsforsikring'!G109+'Eika Forsikring AS'!G109+'Frende Livsforsikring'!G109+'Frende Skadeforsikring'!G109+'Gjensidige Forsikring'!G109+'Gjensidige Pensjon'!G109+'Handelsbanken Liv'!G109+'If Skadeforsikring NUF'!G109+KLP!G109+'KLP Bedriftspensjon AS'!G109+'KLP Skadeforsikring AS'!G109+'Landbruksforsikring AS'!G109+'NEMI Forsikring'!G109+'Nordea Liv '!G109+'Oslo Pensjonsforsikring'!G109+'SHB Liv'!G109+'Silver Pensjonsforsikring AS'!G109+'Sparebank 1'!G109+'Storebrand Livsforsikring'!G109+'Telenor Forsikring'!G109+'Tryg Forsikring'!G109</f>
        <v>73386182.44460541</v>
      </c>
      <c r="G109" s="164">
        <f t="shared" si="25"/>
        <v>31.6</v>
      </c>
      <c r="H109" s="235">
        <f t="shared" si="36"/>
        <v>56528309.479147196</v>
      </c>
      <c r="I109" s="235">
        <f t="shared" si="37"/>
        <v>74170677.159725413</v>
      </c>
      <c r="J109" s="164">
        <f t="shared" si="28"/>
        <v>31.2</v>
      </c>
    </row>
    <row r="110" spans="1:10" ht="15.75" customHeight="1" x14ac:dyDescent="0.2">
      <c r="A110" s="20" t="s">
        <v>321</v>
      </c>
      <c r="B110" s="232">
        <f>'ACE European Group'!B110+'Danica Pensjonsforsikring'!B110+'DNB Livsforsikring'!B110+'Eika Forsikring AS'!B110+'Frende Livsforsikring'!B110+'Frende Skadeforsikring'!B110+'Gjensidige Forsikring'!B110+'Gjensidige Pensjon'!B110+'Handelsbanken Liv'!B110+'If Skadeforsikring NUF'!B110+KLP!B110+'KLP Bedriftspensjon AS'!B110+'KLP Skadeforsikring AS'!B110+'Landbruksforsikring AS'!B110+'NEMI Forsikring'!B110+'Nordea Liv '!B110+'Oslo Pensjonsforsikring'!B110+'SHB Liv'!B110+'Silver Pensjonsforsikring AS'!B110+'Sparebank 1'!B110+'Storebrand Livsforsikring'!B110+'Telenor Forsikring'!B110+'Tryg Forsikring'!B110</f>
        <v>2077.2370000000001</v>
      </c>
      <c r="C110" s="232">
        <f>'ACE European Group'!C110+'Danica Pensjonsforsikring'!C110+'DNB Livsforsikring'!C110+'Eika Forsikring AS'!C110+'Frende Livsforsikring'!C110+'Frende Skadeforsikring'!C110+'Gjensidige Forsikring'!C110+'Gjensidige Pensjon'!C110+'Handelsbanken Liv'!C110+'If Skadeforsikring NUF'!C110+KLP!C110+'KLP Bedriftspensjon AS'!C110+'KLP Skadeforsikring AS'!C110+'Landbruksforsikring AS'!C110+'NEMI Forsikring'!C110+'Nordea Liv '!C110+'Oslo Pensjonsforsikring'!C110+'SHB Liv'!C110+'Silver Pensjonsforsikring AS'!C110+'Sparebank 1'!C110+'Storebrand Livsforsikring'!C110+'Telenor Forsikring'!C110+'Tryg Forsikring'!C110</f>
        <v>22614.257610000001</v>
      </c>
      <c r="D110" s="164">
        <f t="shared" si="24"/>
        <v>988.7</v>
      </c>
      <c r="E110" s="43">
        <f>'ACE European Group'!F110+'Danica Pensjonsforsikring'!F110+'DNB Livsforsikring'!F110+'Eika Forsikring AS'!F110+'Frende Livsforsikring'!F110+'Frende Skadeforsikring'!F110+'Gjensidige Forsikring'!F110+'Gjensidige Pensjon'!F110+'Handelsbanken Liv'!F110+'If Skadeforsikring NUF'!F110+KLP!F110+'KLP Bedriftspensjon AS'!F110+'KLP Skadeforsikring AS'!F110+'Landbruksforsikring AS'!F110+'NEMI Forsikring'!F110+'Nordea Liv '!F110+'Oslo Pensjonsforsikring'!F110+'SHB Liv'!F110+'Silver Pensjonsforsikring AS'!F110+'Sparebank 1'!F110+'Storebrand Livsforsikring'!F110+'Telenor Forsikring'!F110+'Tryg Forsikring'!F110</f>
        <v>0</v>
      </c>
      <c r="F110" s="43">
        <f>'ACE European Group'!G110+'Danica Pensjonsforsikring'!G110+'DNB Livsforsikring'!G110+'Eika Forsikring AS'!G110+'Frende Livsforsikring'!G110+'Frende Skadeforsikring'!G110+'Gjensidige Forsikring'!G110+'Gjensidige Pensjon'!G110+'Handelsbanken Liv'!G110+'If Skadeforsikring NUF'!G110+KLP!G110+'KLP Bedriftspensjon AS'!G110+'KLP Skadeforsikring AS'!G110+'Landbruksforsikring AS'!G110+'NEMI Forsikring'!G110+'Nordea Liv '!G110+'Oslo Pensjonsforsikring'!G110+'SHB Liv'!G110+'Silver Pensjonsforsikring AS'!G110+'Sparebank 1'!G110+'Storebrand Livsforsikring'!G110+'Telenor Forsikring'!G110+'Tryg Forsikring'!G110</f>
        <v>0</v>
      </c>
      <c r="G110" s="164"/>
      <c r="H110" s="235">
        <f t="shared" si="36"/>
        <v>2077.2370000000001</v>
      </c>
      <c r="I110" s="235">
        <f t="shared" si="37"/>
        <v>22614.257610000001</v>
      </c>
      <c r="J110" s="164">
        <f t="shared" si="28"/>
        <v>988.7</v>
      </c>
    </row>
    <row r="111" spans="1:10" s="42" customFormat="1" ht="15.75" customHeight="1" x14ac:dyDescent="0.2">
      <c r="A111" s="13" t="s">
        <v>24</v>
      </c>
      <c r="B111" s="306">
        <f>'ACE European Group'!B111+'Danica Pensjonsforsikring'!B111+'DNB Livsforsikring'!B111+'Eika Forsikring AS'!B111+'Frende Livsforsikring'!B111+'Frende Skadeforsikring'!B111+'Gjensidige Forsikring'!B111+'Gjensidige Pensjon'!B111+'Handelsbanken Liv'!B111+'If Skadeforsikring NUF'!B111+KLP!B111+'KLP Bedriftspensjon AS'!B111+'KLP Skadeforsikring AS'!B111+'Landbruksforsikring AS'!B111+'NEMI Forsikring'!B111+'Nordea Liv '!B111+'Oslo Pensjonsforsikring'!B111+'SHB Liv'!B111+'Silver Pensjonsforsikring AS'!B111+'Sparebank 1'!B111+'Storebrand Livsforsikring'!B111+'Telenor Forsikring'!B111+'Tryg Forsikring'!B111</f>
        <v>1238885.1512199999</v>
      </c>
      <c r="C111" s="306">
        <f>'ACE European Group'!C111+'Danica Pensjonsforsikring'!C111+'DNB Livsforsikring'!C111+'Eika Forsikring AS'!C111+'Frende Livsforsikring'!C111+'Frende Skadeforsikring'!C111+'Gjensidige Forsikring'!C111+'Gjensidige Pensjon'!C111+'Handelsbanken Liv'!C111+'If Skadeforsikring NUF'!C111+KLP!C111+'KLP Bedriftspensjon AS'!C111+'KLP Skadeforsikring AS'!C111+'Landbruksforsikring AS'!C111+'NEMI Forsikring'!C111+'Nordea Liv '!C111+'Oslo Pensjonsforsikring'!C111+'SHB Liv'!C111+'Silver Pensjonsforsikring AS'!C111+'Sparebank 1'!C111+'Storebrand Livsforsikring'!C111+'Telenor Forsikring'!C111+'Tryg Forsikring'!C111</f>
        <v>550777.30860999995</v>
      </c>
      <c r="D111" s="169">
        <f t="shared" si="24"/>
        <v>-55.5</v>
      </c>
      <c r="E111" s="234">
        <f>'ACE European Group'!F111+'Danica Pensjonsforsikring'!F111+'DNB Livsforsikring'!F111+'Eika Forsikring AS'!F111+'Frende Livsforsikring'!F111+'Frende Skadeforsikring'!F111+'Gjensidige Forsikring'!F111+'Gjensidige Pensjon'!F111+'Handelsbanken Liv'!F111+'If Skadeforsikring NUF'!F111+KLP!F111+'KLP Bedriftspensjon AS'!F111+'KLP Skadeforsikring AS'!F111+'Landbruksforsikring AS'!F111+'NEMI Forsikring'!F111+'Nordea Liv '!F111+'Oslo Pensjonsforsikring'!F111+'SHB Liv'!F111+'Silver Pensjonsforsikring AS'!F111+'Sparebank 1'!F111+'Storebrand Livsforsikring'!F111+'Telenor Forsikring'!F111+'Tryg Forsikring'!F111</f>
        <v>6066133.60054</v>
      </c>
      <c r="F111" s="234">
        <f>'ACE European Group'!G111+'Danica Pensjonsforsikring'!G111+'DNB Livsforsikring'!G111+'Eika Forsikring AS'!G111+'Frende Livsforsikring'!G111+'Frende Skadeforsikring'!G111+'Gjensidige Forsikring'!G111+'Gjensidige Pensjon'!G111+'Handelsbanken Liv'!G111+'If Skadeforsikring NUF'!G111+KLP!G111+'KLP Bedriftspensjon AS'!G111+'KLP Skadeforsikring AS'!G111+'Landbruksforsikring AS'!G111+'NEMI Forsikring'!G111+'Nordea Liv '!G111+'Oslo Pensjonsforsikring'!G111+'SHB Liv'!G111+'Silver Pensjonsforsikring AS'!G111+'Sparebank 1'!G111+'Storebrand Livsforsikring'!G111+'Telenor Forsikring'!G111+'Tryg Forsikring'!G111</f>
        <v>9597634.8014000002</v>
      </c>
      <c r="G111" s="169">
        <f t="shared" si="25"/>
        <v>58.2</v>
      </c>
      <c r="H111" s="328">
        <f t="shared" si="36"/>
        <v>7305018.7517600004</v>
      </c>
      <c r="I111" s="328">
        <f t="shared" si="37"/>
        <v>10148412.11001</v>
      </c>
      <c r="J111" s="169">
        <f t="shared" si="28"/>
        <v>38.9</v>
      </c>
    </row>
    <row r="112" spans="1:10" ht="15.75" customHeight="1" x14ac:dyDescent="0.2">
      <c r="A112" s="20" t="s">
        <v>9</v>
      </c>
      <c r="B112" s="232">
        <f>'ACE European Group'!B112+'Danica Pensjonsforsikring'!B112+'DNB Livsforsikring'!B112+'Eika Forsikring AS'!B112+'Frende Livsforsikring'!B112+'Frende Skadeforsikring'!B112+'Gjensidige Forsikring'!B112+'Gjensidige Pensjon'!B112+'Handelsbanken Liv'!B112+'If Skadeforsikring NUF'!B112+KLP!B112+'KLP Bedriftspensjon AS'!B112+'KLP Skadeforsikring AS'!B112+'Landbruksforsikring AS'!B112+'NEMI Forsikring'!B112+'Nordea Liv '!B112+'Oslo Pensjonsforsikring'!B112+'SHB Liv'!B112+'Silver Pensjonsforsikring AS'!B112+'Sparebank 1'!B112+'Storebrand Livsforsikring'!B112+'Telenor Forsikring'!B112+'Tryg Forsikring'!B112</f>
        <v>1234680.7219400001</v>
      </c>
      <c r="C112" s="232">
        <f>'ACE European Group'!C112+'Danica Pensjonsforsikring'!C112+'DNB Livsforsikring'!C112+'Eika Forsikring AS'!C112+'Frende Livsforsikring'!C112+'Frende Skadeforsikring'!C112+'Gjensidige Forsikring'!C112+'Gjensidige Pensjon'!C112+'Handelsbanken Liv'!C112+'If Skadeforsikring NUF'!C112+KLP!C112+'KLP Bedriftspensjon AS'!C112+'KLP Skadeforsikring AS'!C112+'Landbruksforsikring AS'!C112+'NEMI Forsikring'!C112+'Nordea Liv '!C112+'Oslo Pensjonsforsikring'!C112+'SHB Liv'!C112+'Silver Pensjonsforsikring AS'!C112+'Sparebank 1'!C112+'Storebrand Livsforsikring'!C112+'Telenor Forsikring'!C112+'Tryg Forsikring'!C112</f>
        <v>543866.2178499999</v>
      </c>
      <c r="D112" s="164">
        <f t="shared" ref="D112:D125" si="46">IF(B112=0, "    ---- ", IF(ABS(ROUND(100/B112*C112-100,1))&lt;999,ROUND(100/B112*C112-100,1),IF(ROUND(100/B112*C112-100,1)&gt;999,999,-999)))</f>
        <v>-56</v>
      </c>
      <c r="E112" s="43">
        <f>'ACE European Group'!F112+'Danica Pensjonsforsikring'!F112+'DNB Livsforsikring'!F112+'Eika Forsikring AS'!F112+'Frende Livsforsikring'!F112+'Frende Skadeforsikring'!F112+'Gjensidige Forsikring'!F112+'Gjensidige Pensjon'!F112+'Handelsbanken Liv'!F112+'If Skadeforsikring NUF'!F112+KLP!F112+'KLP Bedriftspensjon AS'!F112+'KLP Skadeforsikring AS'!F112+'Landbruksforsikring AS'!F112+'NEMI Forsikring'!F112+'Nordea Liv '!F112+'Oslo Pensjonsforsikring'!F112+'SHB Liv'!F112+'Silver Pensjonsforsikring AS'!F112+'Sparebank 1'!F112+'Storebrand Livsforsikring'!F112+'Telenor Forsikring'!F112+'Tryg Forsikring'!F112</f>
        <v>0</v>
      </c>
      <c r="F112" s="43">
        <f>'ACE European Group'!G112+'Danica Pensjonsforsikring'!G112+'DNB Livsforsikring'!G112+'Eika Forsikring AS'!G112+'Frende Livsforsikring'!G112+'Frende Skadeforsikring'!G112+'Gjensidige Forsikring'!G112+'Gjensidige Pensjon'!G112+'Handelsbanken Liv'!G112+'If Skadeforsikring NUF'!G112+KLP!G112+'KLP Bedriftspensjon AS'!G112+'KLP Skadeforsikring AS'!G112+'Landbruksforsikring AS'!G112+'NEMI Forsikring'!G112+'Nordea Liv '!G112+'Oslo Pensjonsforsikring'!G112+'SHB Liv'!G112+'Silver Pensjonsforsikring AS'!G112+'Sparebank 1'!G112+'Storebrand Livsforsikring'!G112+'Telenor Forsikring'!G112+'Tryg Forsikring'!G112</f>
        <v>0</v>
      </c>
      <c r="G112" s="164" t="str">
        <f t="shared" ref="G112:G125" si="47">IF(E112=0, "    ---- ", IF(ABS(ROUND(100/E112*F112-100,1))&lt;999,ROUND(100/E112*F112-100,1),IF(ROUND(100/E112*F112-100,1)&gt;999,999,-999)))</f>
        <v xml:space="preserve">    ---- </v>
      </c>
      <c r="H112" s="235">
        <f t="shared" ref="H112:H125" si="48">SUM(B112,E112)</f>
        <v>1234680.7219400001</v>
      </c>
      <c r="I112" s="235">
        <f t="shared" ref="I112:I125" si="49">SUM(C112,F112)</f>
        <v>543866.2178499999</v>
      </c>
      <c r="J112" s="164">
        <f t="shared" ref="J112:J125" si="50">IF(H112=0, "    ---- ", IF(ABS(ROUND(100/H112*I112-100,1))&lt;999,ROUND(100/H112*I112-100,1),IF(ROUND(100/H112*I112-100,1)&gt;999,999,-999)))</f>
        <v>-56</v>
      </c>
    </row>
    <row r="113" spans="1:10" ht="15.75" customHeight="1" x14ac:dyDescent="0.2">
      <c r="A113" s="20" t="s">
        <v>10</v>
      </c>
      <c r="B113" s="232">
        <f>'ACE European Group'!B113+'Danica Pensjonsforsikring'!B113+'DNB Livsforsikring'!B113+'Eika Forsikring AS'!B113+'Frende Livsforsikring'!B113+'Frende Skadeforsikring'!B113+'Gjensidige Forsikring'!B113+'Gjensidige Pensjon'!B113+'Handelsbanken Liv'!B113+'If Skadeforsikring NUF'!B113+KLP!B113+'KLP Bedriftspensjon AS'!B113+'KLP Skadeforsikring AS'!B113+'Landbruksforsikring AS'!B113+'NEMI Forsikring'!B113+'Nordea Liv '!B113+'Oslo Pensjonsforsikring'!B113+'SHB Liv'!B113+'Silver Pensjonsforsikring AS'!B113+'Sparebank 1'!B113+'Storebrand Livsforsikring'!B113+'Telenor Forsikring'!B113+'Tryg Forsikring'!B113</f>
        <v>4204.4292800000003</v>
      </c>
      <c r="C113" s="232">
        <f>'ACE European Group'!C113+'Danica Pensjonsforsikring'!C113+'DNB Livsforsikring'!C113+'Eika Forsikring AS'!C113+'Frende Livsforsikring'!C113+'Frende Skadeforsikring'!C113+'Gjensidige Forsikring'!C113+'Gjensidige Pensjon'!C113+'Handelsbanken Liv'!C113+'If Skadeforsikring NUF'!C113+KLP!C113+'KLP Bedriftspensjon AS'!C113+'KLP Skadeforsikring AS'!C113+'Landbruksforsikring AS'!C113+'NEMI Forsikring'!C113+'Nordea Liv '!C113+'Oslo Pensjonsforsikring'!C113+'SHB Liv'!C113+'Silver Pensjonsforsikring AS'!C113+'Sparebank 1'!C113+'Storebrand Livsforsikring'!C113+'Telenor Forsikring'!C113+'Tryg Forsikring'!C113</f>
        <v>2819.8829999999998</v>
      </c>
      <c r="D113" s="164">
        <f t="shared" si="46"/>
        <v>-32.9</v>
      </c>
      <c r="E113" s="43">
        <f>'ACE European Group'!F113+'Danica Pensjonsforsikring'!F113+'DNB Livsforsikring'!F113+'Eika Forsikring AS'!F113+'Frende Livsforsikring'!F113+'Frende Skadeforsikring'!F113+'Gjensidige Forsikring'!F113+'Gjensidige Pensjon'!F113+'Handelsbanken Liv'!F113+'If Skadeforsikring NUF'!F113+KLP!F113+'KLP Bedriftspensjon AS'!F113+'KLP Skadeforsikring AS'!F113+'Landbruksforsikring AS'!F113+'NEMI Forsikring'!F113+'Nordea Liv '!F113+'Oslo Pensjonsforsikring'!F113+'SHB Liv'!F113+'Silver Pensjonsforsikring AS'!F113+'Sparebank 1'!F113+'Storebrand Livsforsikring'!F113+'Telenor Forsikring'!F113+'Tryg Forsikring'!F113</f>
        <v>6066133.60054</v>
      </c>
      <c r="F113" s="43">
        <f>'ACE European Group'!G113+'Danica Pensjonsforsikring'!G113+'DNB Livsforsikring'!G113+'Eika Forsikring AS'!G113+'Frende Livsforsikring'!G113+'Frende Skadeforsikring'!G113+'Gjensidige Forsikring'!G113+'Gjensidige Pensjon'!G113+'Handelsbanken Liv'!G113+'If Skadeforsikring NUF'!G113+KLP!G113+'KLP Bedriftspensjon AS'!G113+'KLP Skadeforsikring AS'!G113+'Landbruksforsikring AS'!G113+'NEMI Forsikring'!G113+'Nordea Liv '!G113+'Oslo Pensjonsforsikring'!G113+'SHB Liv'!G113+'Silver Pensjonsforsikring AS'!G113+'Sparebank 1'!G113+'Storebrand Livsforsikring'!G113+'Telenor Forsikring'!G113+'Tryg Forsikring'!G113</f>
        <v>9596431.7744400017</v>
      </c>
      <c r="G113" s="169">
        <f t="shared" si="47"/>
        <v>58.2</v>
      </c>
      <c r="H113" s="235">
        <f t="shared" si="48"/>
        <v>6070338.0298199998</v>
      </c>
      <c r="I113" s="235">
        <f t="shared" si="49"/>
        <v>9599251.6574400011</v>
      </c>
      <c r="J113" s="169">
        <f t="shared" si="50"/>
        <v>58.1</v>
      </c>
    </row>
    <row r="114" spans="1:10" ht="15.75" customHeight="1" x14ac:dyDescent="0.2">
      <c r="A114" s="20" t="s">
        <v>29</v>
      </c>
      <c r="B114" s="232">
        <f>'ACE European Group'!B114+'Danica Pensjonsforsikring'!B114+'DNB Livsforsikring'!B114+'Eika Forsikring AS'!B114+'Frende Livsforsikring'!B114+'Frende Skadeforsikring'!B114+'Gjensidige Forsikring'!B114+'Gjensidige Pensjon'!B114+'Handelsbanken Liv'!B114+'If Skadeforsikring NUF'!B114+KLP!B114+'KLP Bedriftspensjon AS'!B114+'KLP Skadeforsikring AS'!B114+'Landbruksforsikring AS'!B114+'NEMI Forsikring'!B114+'Nordea Liv '!B114+'Oslo Pensjonsforsikring'!B114+'SHB Liv'!B114+'Silver Pensjonsforsikring AS'!B114+'Sparebank 1'!B114+'Storebrand Livsforsikring'!B114+'Telenor Forsikring'!B114+'Tryg Forsikring'!B114</f>
        <v>0</v>
      </c>
      <c r="C114" s="232">
        <f>'ACE European Group'!C114+'Danica Pensjonsforsikring'!C114+'DNB Livsforsikring'!C114+'Eika Forsikring AS'!C114+'Frende Livsforsikring'!C114+'Frende Skadeforsikring'!C114+'Gjensidige Forsikring'!C114+'Gjensidige Pensjon'!C114+'Handelsbanken Liv'!C114+'If Skadeforsikring NUF'!C114+KLP!C114+'KLP Bedriftspensjon AS'!C114+'KLP Skadeforsikring AS'!C114+'Landbruksforsikring AS'!C114+'NEMI Forsikring'!C114+'Nordea Liv '!C114+'Oslo Pensjonsforsikring'!C114+'SHB Liv'!C114+'Silver Pensjonsforsikring AS'!C114+'Sparebank 1'!C114+'Storebrand Livsforsikring'!C114+'Telenor Forsikring'!C114+'Tryg Forsikring'!C114</f>
        <v>4091.2077599999998</v>
      </c>
      <c r="D114" s="164" t="str">
        <f t="shared" si="46"/>
        <v xml:space="preserve">    ---- </v>
      </c>
      <c r="E114" s="43">
        <f>'ACE European Group'!F114+'Danica Pensjonsforsikring'!F114+'DNB Livsforsikring'!F114+'Eika Forsikring AS'!F114+'Frende Livsforsikring'!F114+'Frende Skadeforsikring'!F114+'Gjensidige Forsikring'!F114+'Gjensidige Pensjon'!F114+'Handelsbanken Liv'!F114+'If Skadeforsikring NUF'!F114+KLP!F114+'KLP Bedriftspensjon AS'!F114+'KLP Skadeforsikring AS'!F114+'Landbruksforsikring AS'!F114+'NEMI Forsikring'!F114+'Nordea Liv '!F114+'Oslo Pensjonsforsikring'!F114+'SHB Liv'!F114+'Silver Pensjonsforsikring AS'!F114+'Sparebank 1'!F114+'Storebrand Livsforsikring'!F114+'Telenor Forsikring'!F114+'Tryg Forsikring'!F114</f>
        <v>0</v>
      </c>
      <c r="F114" s="43">
        <f>'ACE European Group'!G114+'Danica Pensjonsforsikring'!G114+'DNB Livsforsikring'!G114+'Eika Forsikring AS'!G114+'Frende Livsforsikring'!G114+'Frende Skadeforsikring'!G114+'Gjensidige Forsikring'!G114+'Gjensidige Pensjon'!G114+'Handelsbanken Liv'!G114+'If Skadeforsikring NUF'!G114+KLP!G114+'KLP Bedriftspensjon AS'!G114+'KLP Skadeforsikring AS'!G114+'Landbruksforsikring AS'!G114+'NEMI Forsikring'!G114+'Nordea Liv '!G114+'Oslo Pensjonsforsikring'!G114+'SHB Liv'!G114+'Silver Pensjonsforsikring AS'!G114+'Sparebank 1'!G114+'Storebrand Livsforsikring'!G114+'Telenor Forsikring'!G114+'Tryg Forsikring'!G114</f>
        <v>1203.0269599999999</v>
      </c>
      <c r="G114" s="169" t="str">
        <f t="shared" si="47"/>
        <v xml:space="preserve">    ---- </v>
      </c>
      <c r="H114" s="235">
        <f t="shared" si="48"/>
        <v>0</v>
      </c>
      <c r="I114" s="235">
        <f t="shared" si="49"/>
        <v>5294.2347199999995</v>
      </c>
      <c r="J114" s="169" t="str">
        <f t="shared" si="50"/>
        <v xml:space="preserve">    ---- </v>
      </c>
    </row>
    <row r="115" spans="1:10" ht="15.75" customHeight="1" x14ac:dyDescent="0.2">
      <c r="A115" s="294" t="s">
        <v>15</v>
      </c>
      <c r="B115" s="43">
        <f>IF($A$1=4,'ACE European Group'!B115+'Danica Pensjonsforsikring'!B115+'DNB Livsforsikring'!B115+'Eika Forsikring AS'!B115+'Frende Livsforsikring'!B115+'Frende Skadeforsikring'!B115+'Gjensidige Forsikring'!B115+'Gjensidige Pensjon'!B115+'Handelsbanken Liv'!B115+'If Skadeforsikring NUF'!B115+KLP!B115+'KLP Bedriftspensjon AS'!B115+'KLP Skadeforsikring AS'!B115+'Landbruksforsikring AS'!B115+'NEMI Forsikring'!B115+'Nordea Liv '!B115+'Oslo Pensjonsforsikring'!B115+'SHB Liv'!B115+'Silver Pensjonsforsikring AS'!B115+'Sparebank 1'!B115+'Storebrand Livsforsikring'!B115+'Telenor Forsikring'!B115+'Tryg Forsikring'!B115,"")</f>
        <v>1786.3810000000001</v>
      </c>
      <c r="C115" s="43">
        <f>IF($A$1=4,'ACE European Group'!C115+'Danica Pensjonsforsikring'!C115+'DNB Livsforsikring'!C115+'Eika Forsikring AS'!C115+'Frende Livsforsikring'!C115+'Frende Skadeforsikring'!C115+'Gjensidige Forsikring'!C115+'Gjensidige Pensjon'!C115+'Handelsbanken Liv'!C115+'If Skadeforsikring NUF'!C115+KLP!C115+'KLP Bedriftspensjon AS'!C115+'KLP Skadeforsikring AS'!C115+'Landbruksforsikring AS'!C115+'NEMI Forsikring'!C115+'Nordea Liv '!C115+'Oslo Pensjonsforsikring'!C115+'SHB Liv'!C115+'Silver Pensjonsforsikring AS'!C115+'Sparebank 1'!C115+'Storebrand Livsforsikring'!C115+'Telenor Forsikring'!C115+'Tryg Forsikring'!C115,"")</f>
        <v>12340.65101</v>
      </c>
      <c r="D115" s="174">
        <f>IF($A$1=4,IF(B115=0, "    ---- ", IF(ABS(ROUND(100/B115*C115-100,1))&lt;999,ROUND(100/B115*C115-100,1),IF(ROUND(100/B115*C115-100,1)&gt;999,999,-999))),"")</f>
        <v>590.79999999999995</v>
      </c>
      <c r="E115" s="43">
        <f>IF($A$1=4,'ACE European Group'!F115+'Danica Pensjonsforsikring'!F115+'DNB Livsforsikring'!F115+'Eika Forsikring AS'!F115+'Frende Livsforsikring'!F115+'Frende Skadeforsikring'!F115+'Gjensidige Forsikring'!F115+'Gjensidige Pensjon'!F115+'Handelsbanken Liv'!F115+'If Skadeforsikring NUF'!F115+KLP!F115+'KLP Bedriftspensjon AS'!F115+'KLP Skadeforsikring AS'!F115+'Landbruksforsikring AS'!F115+'NEMI Forsikring'!F115+'Nordea Liv '!F115+'Oslo Pensjonsforsikring'!F115+'SHB Liv'!F115+'Silver Pensjonsforsikring AS'!F115+'Sparebank 1'!F115+'Storebrand Livsforsikring'!F115+'Telenor Forsikring'!F115+'Tryg Forsikring'!F115,"")</f>
        <v>179436</v>
      </c>
      <c r="F115" s="43">
        <f>IF($A$1=4,'ACE European Group'!G115+'Danica Pensjonsforsikring'!G115+'DNB Livsforsikring'!G115+'Eika Forsikring AS'!G115+'Frende Livsforsikring'!G115+'Frende Skadeforsikring'!G115+'Gjensidige Forsikring'!G115+'Gjensidige Pensjon'!G115+'Handelsbanken Liv'!G115+'If Skadeforsikring NUF'!G115+KLP!G115+'KLP Bedriftspensjon AS'!G115+'KLP Skadeforsikring AS'!G115+'Landbruksforsikring AS'!G115+'NEMI Forsikring'!G115+'Nordea Liv '!G115+'Oslo Pensjonsforsikring'!G115+'SHB Liv'!G115+'Silver Pensjonsforsikring AS'!G115+'Sparebank 1'!G115+'Storebrand Livsforsikring'!G115+'Telenor Forsikring'!G115+'Tryg Forsikring'!G115,"")</f>
        <v>541695</v>
      </c>
      <c r="G115" s="164">
        <f>IF($A$1=4,IF(E115=0, "    ---- ", IF(ABS(ROUND(100/E115*F115-100,1))&lt;999,ROUND(100/E115*F115-100,1),IF(ROUND(100/E115*F115-100,1)&gt;999,999,-999))),"")</f>
        <v>201.9</v>
      </c>
      <c r="H115" s="235">
        <f t="shared" si="48"/>
        <v>181222.38099999999</v>
      </c>
      <c r="I115" s="235">
        <f t="shared" si="49"/>
        <v>554035.65101000003</v>
      </c>
      <c r="J115" s="164">
        <f t="shared" si="50"/>
        <v>205.7</v>
      </c>
    </row>
    <row r="116" spans="1:10" ht="15.75" customHeight="1" x14ac:dyDescent="0.2">
      <c r="A116" s="20" t="s">
        <v>329</v>
      </c>
      <c r="B116" s="232">
        <f>'ACE European Group'!B116+'Danica Pensjonsforsikring'!B116+'DNB Livsforsikring'!B116+'Eika Forsikring AS'!B116+'Frende Livsforsikring'!B116+'Frende Skadeforsikring'!B116+'Gjensidige Forsikring'!B116+'Gjensidige Pensjon'!B116+'Handelsbanken Liv'!B116+'If Skadeforsikring NUF'!B116+KLP!B116+'KLP Bedriftspensjon AS'!B116+'KLP Skadeforsikring AS'!B116+'Landbruksforsikring AS'!B116+'NEMI Forsikring'!B116+'Nordea Liv '!B116+'Oslo Pensjonsforsikring'!B116+'SHB Liv'!B116+'Silver Pensjonsforsikring AS'!B116+'Sparebank 1'!B116+'Storebrand Livsforsikring'!B116+'Telenor Forsikring'!B116+'Tryg Forsikring'!B116</f>
        <v>557576.28151</v>
      </c>
      <c r="C116" s="232">
        <f>'ACE European Group'!C116+'Danica Pensjonsforsikring'!C116+'DNB Livsforsikring'!C116+'Eika Forsikring AS'!C116+'Frende Livsforsikring'!C116+'Frende Skadeforsikring'!C116+'Gjensidige Forsikring'!C116+'Gjensidige Pensjon'!C116+'Handelsbanken Liv'!C116+'If Skadeforsikring NUF'!C116+KLP!C116+'KLP Bedriftspensjon AS'!C116+'KLP Skadeforsikring AS'!C116+'Landbruksforsikring AS'!C116+'NEMI Forsikring'!C116+'Nordea Liv '!C116+'Oslo Pensjonsforsikring'!C116+'SHB Liv'!C116+'Silver Pensjonsforsikring AS'!C116+'Sparebank 1'!C116+'Storebrand Livsforsikring'!C116+'Telenor Forsikring'!C116+'Tryg Forsikring'!C116</f>
        <v>138671.5</v>
      </c>
      <c r="D116" s="164">
        <f t="shared" si="46"/>
        <v>-75.099999999999994</v>
      </c>
      <c r="E116" s="43">
        <f>'ACE European Group'!F116+'Danica Pensjonsforsikring'!F116+'DNB Livsforsikring'!F116+'Eika Forsikring AS'!F116+'Frende Livsforsikring'!F116+'Frende Skadeforsikring'!F116+'Gjensidige Forsikring'!F116+'Gjensidige Pensjon'!F116+'Handelsbanken Liv'!F116+'If Skadeforsikring NUF'!F116+KLP!F116+'KLP Bedriftspensjon AS'!F116+'KLP Skadeforsikring AS'!F116+'Landbruksforsikring AS'!F116+'NEMI Forsikring'!F116+'Nordea Liv '!F116+'Oslo Pensjonsforsikring'!F116+'SHB Liv'!F116+'Silver Pensjonsforsikring AS'!F116+'Sparebank 1'!F116+'Storebrand Livsforsikring'!F116+'Telenor Forsikring'!F116+'Tryg Forsikring'!F116</f>
        <v>64717.866999999998</v>
      </c>
      <c r="F116" s="43">
        <f>'ACE European Group'!G116+'Danica Pensjonsforsikring'!G116+'DNB Livsforsikring'!G116+'Eika Forsikring AS'!G116+'Frende Livsforsikring'!G116+'Frende Skadeforsikring'!G116+'Gjensidige Forsikring'!G116+'Gjensidige Pensjon'!G116+'Handelsbanken Liv'!G116+'If Skadeforsikring NUF'!G116+KLP!G116+'KLP Bedriftspensjon AS'!G116+'KLP Skadeforsikring AS'!G116+'Landbruksforsikring AS'!G116+'NEMI Forsikring'!G116+'Nordea Liv '!G116+'Oslo Pensjonsforsikring'!G116+'SHB Liv'!G116+'Silver Pensjonsforsikring AS'!G116+'Sparebank 1'!G116+'Storebrand Livsforsikring'!G116+'Telenor Forsikring'!G116+'Tryg Forsikring'!G116</f>
        <v>16268.552</v>
      </c>
      <c r="G116" s="164">
        <f t="shared" si="47"/>
        <v>-74.900000000000006</v>
      </c>
      <c r="H116" s="235">
        <f t="shared" si="48"/>
        <v>622294.14850999997</v>
      </c>
      <c r="I116" s="235">
        <f t="shared" si="49"/>
        <v>154940.052</v>
      </c>
      <c r="J116" s="164">
        <f t="shared" si="50"/>
        <v>-75.099999999999994</v>
      </c>
    </row>
    <row r="117" spans="1:10" ht="15.75" customHeight="1" x14ac:dyDescent="0.2">
      <c r="A117" s="20" t="s">
        <v>322</v>
      </c>
      <c r="B117" s="232">
        <f>'ACE European Group'!B117+'Danica Pensjonsforsikring'!B117+'DNB Livsforsikring'!B117+'Eika Forsikring AS'!B117+'Frende Livsforsikring'!B117+'Frende Skadeforsikring'!B117+'Gjensidige Forsikring'!B117+'Gjensidige Pensjon'!B117+'Handelsbanken Liv'!B117+'If Skadeforsikring NUF'!B117+KLP!B117+'KLP Bedriftspensjon AS'!B117+'KLP Skadeforsikring AS'!B117+'Landbruksforsikring AS'!B117+'NEMI Forsikring'!B117+'Nordea Liv '!B117+'Oslo Pensjonsforsikring'!B117+'SHB Liv'!B117+'Silver Pensjonsforsikring AS'!B117+'Sparebank 1'!B117+'Storebrand Livsforsikring'!B117+'Telenor Forsikring'!B117+'Tryg Forsikring'!B117</f>
        <v>13.897</v>
      </c>
      <c r="C117" s="232">
        <f>'ACE European Group'!C117+'Danica Pensjonsforsikring'!C117+'DNB Livsforsikring'!C117+'Eika Forsikring AS'!C117+'Frende Livsforsikring'!C117+'Frende Skadeforsikring'!C117+'Gjensidige Forsikring'!C117+'Gjensidige Pensjon'!C117+'Handelsbanken Liv'!C117+'If Skadeforsikring NUF'!C117+KLP!C117+'KLP Bedriftspensjon AS'!C117+'KLP Skadeforsikring AS'!C117+'Landbruksforsikring AS'!C117+'NEMI Forsikring'!C117+'Nordea Liv '!C117+'Oslo Pensjonsforsikring'!C117+'SHB Liv'!C117+'Silver Pensjonsforsikring AS'!C117+'Sparebank 1'!C117+'Storebrand Livsforsikring'!C117+'Telenor Forsikring'!C117+'Tryg Forsikring'!C117</f>
        <v>924.41134999999997</v>
      </c>
      <c r="D117" s="164">
        <f t="shared" si="46"/>
        <v>999</v>
      </c>
      <c r="E117" s="43">
        <f>'ACE European Group'!F117+'Danica Pensjonsforsikring'!F117+'DNB Livsforsikring'!F117+'Eika Forsikring AS'!F117+'Frende Livsforsikring'!F117+'Frende Skadeforsikring'!F117+'Gjensidige Forsikring'!F117+'Gjensidige Pensjon'!F117+'Handelsbanken Liv'!F117+'If Skadeforsikring NUF'!F117+KLP!F117+'KLP Bedriftspensjon AS'!F117+'KLP Skadeforsikring AS'!F117+'Landbruksforsikring AS'!F117+'NEMI Forsikring'!F117+'Nordea Liv '!F117+'Oslo Pensjonsforsikring'!F117+'SHB Liv'!F117+'Silver Pensjonsforsikring AS'!F117+'Sparebank 1'!F117+'Storebrand Livsforsikring'!F117+'Telenor Forsikring'!F117+'Tryg Forsikring'!F117</f>
        <v>1126753.2276900001</v>
      </c>
      <c r="F117" s="43">
        <f>'ACE European Group'!G117+'Danica Pensjonsforsikring'!G117+'DNB Livsforsikring'!G117+'Eika Forsikring AS'!G117+'Frende Livsforsikring'!G117+'Frende Skadeforsikring'!G117+'Gjensidige Forsikring'!G117+'Gjensidige Pensjon'!G117+'Handelsbanken Liv'!G117+'If Skadeforsikring NUF'!G117+KLP!G117+'KLP Bedriftspensjon AS'!G117+'KLP Skadeforsikring AS'!G117+'Landbruksforsikring AS'!G117+'NEMI Forsikring'!G117+'Nordea Liv '!G117+'Oslo Pensjonsforsikring'!G117+'SHB Liv'!G117+'Silver Pensjonsforsikring AS'!G117+'Sparebank 1'!G117+'Storebrand Livsforsikring'!G117+'Telenor Forsikring'!G117+'Tryg Forsikring'!G117</f>
        <v>1933192.3790099998</v>
      </c>
      <c r="G117" s="164">
        <f t="shared" si="47"/>
        <v>71.599999999999994</v>
      </c>
      <c r="H117" s="235">
        <f t="shared" si="48"/>
        <v>1126767.1246900002</v>
      </c>
      <c r="I117" s="235">
        <f t="shared" si="49"/>
        <v>1934116.7903599998</v>
      </c>
      <c r="J117" s="164">
        <f t="shared" si="50"/>
        <v>71.7</v>
      </c>
    </row>
    <row r="118" spans="1:10" ht="15.75" customHeight="1" x14ac:dyDescent="0.2">
      <c r="A118" s="20" t="s">
        <v>321</v>
      </c>
      <c r="B118" s="232">
        <f>'ACE European Group'!B118+'Danica Pensjonsforsikring'!B118+'DNB Livsforsikring'!B118+'Eika Forsikring AS'!B118+'Frende Livsforsikring'!B118+'Frende Skadeforsikring'!B118+'Gjensidige Forsikring'!B118+'Gjensidige Pensjon'!B118+'Handelsbanken Liv'!B118+'If Skadeforsikring NUF'!B118+KLP!B118+'KLP Bedriftspensjon AS'!B118+'KLP Skadeforsikring AS'!B118+'Landbruksforsikring AS'!B118+'NEMI Forsikring'!B118+'Nordea Liv '!B118+'Oslo Pensjonsforsikring'!B118+'SHB Liv'!B118+'Silver Pensjonsforsikring AS'!B118+'Sparebank 1'!B118+'Storebrand Livsforsikring'!B118+'Telenor Forsikring'!B118+'Tryg Forsikring'!B118</f>
        <v>0</v>
      </c>
      <c r="C118" s="232">
        <f>'ACE European Group'!C118+'Danica Pensjonsforsikring'!C118+'DNB Livsforsikring'!C118+'Eika Forsikring AS'!C118+'Frende Livsforsikring'!C118+'Frende Skadeforsikring'!C118+'Gjensidige Forsikring'!C118+'Gjensidige Pensjon'!C118+'Handelsbanken Liv'!C118+'If Skadeforsikring NUF'!C118+KLP!C118+'KLP Bedriftspensjon AS'!C118+'KLP Skadeforsikring AS'!C118+'Landbruksforsikring AS'!C118+'NEMI Forsikring'!C118+'Nordea Liv '!C118+'Oslo Pensjonsforsikring'!C118+'SHB Liv'!C118+'Silver Pensjonsforsikring AS'!C118+'Sparebank 1'!C118+'Storebrand Livsforsikring'!C118+'Telenor Forsikring'!C118+'Tryg Forsikring'!C118</f>
        <v>0</v>
      </c>
      <c r="D118" s="164"/>
      <c r="E118" s="43">
        <f>'ACE European Group'!F118+'Danica Pensjonsforsikring'!F118+'DNB Livsforsikring'!F118+'Eika Forsikring AS'!F118+'Frende Livsforsikring'!F118+'Frende Skadeforsikring'!F118+'Gjensidige Forsikring'!F118+'Gjensidige Pensjon'!F118+'Handelsbanken Liv'!F118+'If Skadeforsikring NUF'!F118+KLP!F118+'KLP Bedriftspensjon AS'!F118+'KLP Skadeforsikring AS'!F118+'Landbruksforsikring AS'!F118+'NEMI Forsikring'!F118+'Nordea Liv '!F118+'Oslo Pensjonsforsikring'!F118+'SHB Liv'!F118+'Silver Pensjonsforsikring AS'!F118+'Sparebank 1'!F118+'Storebrand Livsforsikring'!F118+'Telenor Forsikring'!F118+'Tryg Forsikring'!F118</f>
        <v>0</v>
      </c>
      <c r="F118" s="43">
        <f>'ACE European Group'!G118+'Danica Pensjonsforsikring'!G118+'DNB Livsforsikring'!G118+'Eika Forsikring AS'!G118+'Frende Livsforsikring'!G118+'Frende Skadeforsikring'!G118+'Gjensidige Forsikring'!G118+'Gjensidige Pensjon'!G118+'Handelsbanken Liv'!G118+'If Skadeforsikring NUF'!G118+KLP!G118+'KLP Bedriftspensjon AS'!G118+'KLP Skadeforsikring AS'!G118+'Landbruksforsikring AS'!G118+'NEMI Forsikring'!G118+'Nordea Liv '!G118+'Oslo Pensjonsforsikring'!G118+'SHB Liv'!G118+'Silver Pensjonsforsikring AS'!G118+'Sparebank 1'!G118+'Storebrand Livsforsikring'!G118+'Telenor Forsikring'!G118+'Tryg Forsikring'!G118</f>
        <v>0</v>
      </c>
      <c r="G118" s="164"/>
      <c r="H118" s="235">
        <f t="shared" si="48"/>
        <v>0</v>
      </c>
      <c r="I118" s="235">
        <f t="shared" si="49"/>
        <v>0</v>
      </c>
      <c r="J118" s="164"/>
    </row>
    <row r="119" spans="1:10" s="42" customFormat="1" ht="15.75" customHeight="1" x14ac:dyDescent="0.2">
      <c r="A119" s="13" t="s">
        <v>23</v>
      </c>
      <c r="B119" s="328">
        <f>'ACE European Group'!B119+'Danica Pensjonsforsikring'!B119+'DNB Livsforsikring'!B119+'Eika Forsikring AS'!B119+'Frende Livsforsikring'!B119+'Frende Skadeforsikring'!B119+'Gjensidige Forsikring'!B119+'Gjensidige Pensjon'!B119+'Handelsbanken Liv'!B119+'If Skadeforsikring NUF'!B119+KLP!B119+'KLP Bedriftspensjon AS'!B119+'KLP Skadeforsikring AS'!B119+'Landbruksforsikring AS'!B119+'NEMI Forsikring'!B119+'Nordea Liv '!B119+'Oslo Pensjonsforsikring'!B119+'SHB Liv'!B119+'Silver Pensjonsforsikring AS'!B119+'Sparebank 1'!B119+'Storebrand Livsforsikring'!B119+'Telenor Forsikring'!B119+'Tryg Forsikring'!B119</f>
        <v>872976.52811000007</v>
      </c>
      <c r="C119" s="328">
        <f>'ACE European Group'!C119+'Danica Pensjonsforsikring'!C119+'DNB Livsforsikring'!C119+'Eika Forsikring AS'!C119+'Frende Livsforsikring'!C119+'Frende Skadeforsikring'!C119+'Gjensidige Forsikring'!C119+'Gjensidige Pensjon'!C119+'Handelsbanken Liv'!C119+'If Skadeforsikring NUF'!C119+KLP!C119+'KLP Bedriftspensjon AS'!C119+'KLP Skadeforsikring AS'!C119+'Landbruksforsikring AS'!C119+'NEMI Forsikring'!C119+'Nordea Liv '!C119+'Oslo Pensjonsforsikring'!C119+'SHB Liv'!C119+'Silver Pensjonsforsikring AS'!C119+'Sparebank 1'!C119+'Storebrand Livsforsikring'!C119+'Telenor Forsikring'!C119+'Tryg Forsikring'!C119</f>
        <v>448876.83178999997</v>
      </c>
      <c r="D119" s="169">
        <f t="shared" si="46"/>
        <v>-48.6</v>
      </c>
      <c r="E119" s="234">
        <f>'ACE European Group'!F119+'Danica Pensjonsforsikring'!F119+'DNB Livsforsikring'!F119+'Eika Forsikring AS'!F119+'Frende Livsforsikring'!F119+'Frende Skadeforsikring'!F119+'Gjensidige Forsikring'!F119+'Gjensidige Pensjon'!F119+'Handelsbanken Liv'!F119+'If Skadeforsikring NUF'!F119+KLP!F119+'KLP Bedriftspensjon AS'!F119+'KLP Skadeforsikring AS'!F119+'Landbruksforsikring AS'!F119+'NEMI Forsikring'!F119+'Nordea Liv '!F119+'Oslo Pensjonsforsikring'!F119+'SHB Liv'!F119+'Silver Pensjonsforsikring AS'!F119+'Sparebank 1'!F119+'Storebrand Livsforsikring'!F119+'Telenor Forsikring'!F119+'Tryg Forsikring'!F119</f>
        <v>6203039.4937200006</v>
      </c>
      <c r="F119" s="234">
        <f>'ACE European Group'!G119+'Danica Pensjonsforsikring'!G119+'DNB Livsforsikring'!G119+'Eika Forsikring AS'!G119+'Frende Livsforsikring'!G119+'Frende Skadeforsikring'!G119+'Gjensidige Forsikring'!G119+'Gjensidige Pensjon'!G119+'Handelsbanken Liv'!G119+'If Skadeforsikring NUF'!G119+KLP!G119+'KLP Bedriftspensjon AS'!G119+'KLP Skadeforsikring AS'!G119+'Landbruksforsikring AS'!G119+'NEMI Forsikring'!G119+'Nordea Liv '!G119+'Oslo Pensjonsforsikring'!G119+'SHB Liv'!G119+'Silver Pensjonsforsikring AS'!G119+'Sparebank 1'!G119+'Storebrand Livsforsikring'!G119+'Telenor Forsikring'!G119+'Tryg Forsikring'!G119</f>
        <v>9752651.3782299999</v>
      </c>
      <c r="G119" s="169">
        <f t="shared" si="47"/>
        <v>57.2</v>
      </c>
      <c r="H119" s="328">
        <f t="shared" si="48"/>
        <v>7076016.0218300009</v>
      </c>
      <c r="I119" s="328">
        <f t="shared" si="49"/>
        <v>10201528.21002</v>
      </c>
      <c r="J119" s="169">
        <f t="shared" si="50"/>
        <v>44.2</v>
      </c>
    </row>
    <row r="120" spans="1:10" ht="15.75" customHeight="1" x14ac:dyDescent="0.2">
      <c r="A120" s="20" t="s">
        <v>9</v>
      </c>
      <c r="B120" s="235">
        <f>'ACE European Group'!B120+'Danica Pensjonsforsikring'!B120+'DNB Livsforsikring'!B120+'Eika Forsikring AS'!B120+'Frende Livsforsikring'!B120+'Frende Skadeforsikring'!B120+'Gjensidige Forsikring'!B120+'Gjensidige Pensjon'!B120+'Handelsbanken Liv'!B120+'If Skadeforsikring NUF'!B120+KLP!B120+'KLP Bedriftspensjon AS'!B120+'KLP Skadeforsikring AS'!B120+'Landbruksforsikring AS'!B120+'NEMI Forsikring'!B120+'Nordea Liv '!B120+'Oslo Pensjonsforsikring'!B120+'SHB Liv'!B120+'Silver Pensjonsforsikring AS'!B120+'Sparebank 1'!B120+'Storebrand Livsforsikring'!B120+'Telenor Forsikring'!B120+'Tryg Forsikring'!B120</f>
        <v>826701.78600000008</v>
      </c>
      <c r="C120" s="235">
        <f>'ACE European Group'!C120+'Danica Pensjonsforsikring'!C120+'DNB Livsforsikring'!C120+'Eika Forsikring AS'!C120+'Frende Livsforsikring'!C120+'Frende Skadeforsikring'!C120+'Gjensidige Forsikring'!C120+'Gjensidige Pensjon'!C120+'Handelsbanken Liv'!C120+'If Skadeforsikring NUF'!C120+KLP!C120+'KLP Bedriftspensjon AS'!C120+'KLP Skadeforsikring AS'!C120+'Landbruksforsikring AS'!C120+'NEMI Forsikring'!C120+'Nordea Liv '!C120+'Oslo Pensjonsforsikring'!C120+'SHB Liv'!C120+'Silver Pensjonsforsikring AS'!C120+'Sparebank 1'!C120+'Storebrand Livsforsikring'!C120+'Telenor Forsikring'!C120+'Tryg Forsikring'!C120</f>
        <v>411171.41423999984</v>
      </c>
      <c r="D120" s="164">
        <f t="shared" si="46"/>
        <v>-50.3</v>
      </c>
      <c r="E120" s="43">
        <f>'ACE European Group'!F120+'Danica Pensjonsforsikring'!F120+'DNB Livsforsikring'!F120+'Eika Forsikring AS'!F120+'Frende Livsforsikring'!F120+'Frende Skadeforsikring'!F120+'Gjensidige Forsikring'!F120+'Gjensidige Pensjon'!F120+'Handelsbanken Liv'!F120+'If Skadeforsikring NUF'!F120+KLP!F120+'KLP Bedriftspensjon AS'!F120+'KLP Skadeforsikring AS'!F120+'Landbruksforsikring AS'!F120+'NEMI Forsikring'!F120+'Nordea Liv '!F120+'Oslo Pensjonsforsikring'!F120+'SHB Liv'!F120+'Silver Pensjonsforsikring AS'!F120+'Sparebank 1'!F120+'Storebrand Livsforsikring'!F120+'Telenor Forsikring'!F120+'Tryg Forsikring'!F120</f>
        <v>0</v>
      </c>
      <c r="F120" s="43">
        <f>'ACE European Group'!G120+'Danica Pensjonsforsikring'!G120+'DNB Livsforsikring'!G120+'Eika Forsikring AS'!G120+'Frende Livsforsikring'!G120+'Frende Skadeforsikring'!G120+'Gjensidige Forsikring'!G120+'Gjensidige Pensjon'!G120+'Handelsbanken Liv'!G120+'If Skadeforsikring NUF'!G120+KLP!G120+'KLP Bedriftspensjon AS'!G120+'KLP Skadeforsikring AS'!G120+'Landbruksforsikring AS'!G120+'NEMI Forsikring'!G120+'Nordea Liv '!G120+'Oslo Pensjonsforsikring'!G120+'SHB Liv'!G120+'Silver Pensjonsforsikring AS'!G120+'Sparebank 1'!G120+'Storebrand Livsforsikring'!G120+'Telenor Forsikring'!G120+'Tryg Forsikring'!G120</f>
        <v>0</v>
      </c>
      <c r="G120" s="164"/>
      <c r="H120" s="235">
        <f t="shared" si="48"/>
        <v>826701.78600000008</v>
      </c>
      <c r="I120" s="235">
        <f t="shared" si="49"/>
        <v>411171.41423999984</v>
      </c>
      <c r="J120" s="164">
        <f t="shared" si="50"/>
        <v>-50.3</v>
      </c>
    </row>
    <row r="121" spans="1:10" ht="15.75" customHeight="1" x14ac:dyDescent="0.2">
      <c r="A121" s="20" t="s">
        <v>10</v>
      </c>
      <c r="B121" s="235">
        <f>'ACE European Group'!B121+'Danica Pensjonsforsikring'!B121+'DNB Livsforsikring'!B121+'Eika Forsikring AS'!B121+'Frende Livsforsikring'!B121+'Frende Skadeforsikring'!B121+'Gjensidige Forsikring'!B121+'Gjensidige Pensjon'!B121+'Handelsbanken Liv'!B121+'If Skadeforsikring NUF'!B121+KLP!B121+'KLP Bedriftspensjon AS'!B121+'KLP Skadeforsikring AS'!B121+'Landbruksforsikring AS'!B121+'NEMI Forsikring'!B121+'Nordea Liv '!B121+'Oslo Pensjonsforsikring'!B121+'SHB Liv'!B121+'Silver Pensjonsforsikring AS'!B121+'Sparebank 1'!B121+'Storebrand Livsforsikring'!B121+'Telenor Forsikring'!B121+'Tryg Forsikring'!B121</f>
        <v>46274.742109999999</v>
      </c>
      <c r="C121" s="235">
        <f>'ACE European Group'!C121+'Danica Pensjonsforsikring'!C121+'DNB Livsforsikring'!C121+'Eika Forsikring AS'!C121+'Frende Livsforsikring'!C121+'Frende Skadeforsikring'!C121+'Gjensidige Forsikring'!C121+'Gjensidige Pensjon'!C121+'Handelsbanken Liv'!C121+'If Skadeforsikring NUF'!C121+KLP!C121+'KLP Bedriftspensjon AS'!C121+'KLP Skadeforsikring AS'!C121+'Landbruksforsikring AS'!C121+'NEMI Forsikring'!C121+'Nordea Liv '!C121+'Oslo Pensjonsforsikring'!C121+'SHB Liv'!C121+'Silver Pensjonsforsikring AS'!C121+'Sparebank 1'!C121+'Storebrand Livsforsikring'!C121+'Telenor Forsikring'!C121+'Tryg Forsikring'!C121</f>
        <v>37366.867539999999</v>
      </c>
      <c r="D121" s="164">
        <f t="shared" si="46"/>
        <v>-19.2</v>
      </c>
      <c r="E121" s="43">
        <f>'ACE European Group'!F121+'Danica Pensjonsforsikring'!F121+'DNB Livsforsikring'!F121+'Eika Forsikring AS'!F121+'Frende Livsforsikring'!F121+'Frende Skadeforsikring'!F121+'Gjensidige Forsikring'!F121+'Gjensidige Pensjon'!F121+'Handelsbanken Liv'!F121+'If Skadeforsikring NUF'!F121+KLP!F121+'KLP Bedriftspensjon AS'!F121+'KLP Skadeforsikring AS'!F121+'Landbruksforsikring AS'!F121+'NEMI Forsikring'!F121+'Nordea Liv '!F121+'Oslo Pensjonsforsikring'!F121+'SHB Liv'!F121+'Silver Pensjonsforsikring AS'!F121+'Sparebank 1'!F121+'Storebrand Livsforsikring'!F121+'Telenor Forsikring'!F121+'Tryg Forsikring'!F121</f>
        <v>6203039.4937200006</v>
      </c>
      <c r="F121" s="43">
        <f>'ACE European Group'!G121+'Danica Pensjonsforsikring'!G121+'DNB Livsforsikring'!G121+'Eika Forsikring AS'!G121+'Frende Livsforsikring'!G121+'Frende Skadeforsikring'!G121+'Gjensidige Forsikring'!G121+'Gjensidige Pensjon'!G121+'Handelsbanken Liv'!G121+'If Skadeforsikring NUF'!G121+KLP!G121+'KLP Bedriftspensjon AS'!G121+'KLP Skadeforsikring AS'!G121+'Landbruksforsikring AS'!G121+'NEMI Forsikring'!G121+'Nordea Liv '!G121+'Oslo Pensjonsforsikring'!G121+'SHB Liv'!G121+'Silver Pensjonsforsikring AS'!G121+'Sparebank 1'!G121+'Storebrand Livsforsikring'!G121+'Telenor Forsikring'!G121+'Tryg Forsikring'!G121</f>
        <v>9752651.3782299999</v>
      </c>
      <c r="G121" s="164">
        <f t="shared" si="47"/>
        <v>57.2</v>
      </c>
      <c r="H121" s="235">
        <f t="shared" si="48"/>
        <v>6249314.2358300006</v>
      </c>
      <c r="I121" s="235">
        <f t="shared" si="49"/>
        <v>9790018.2457699999</v>
      </c>
      <c r="J121" s="164">
        <f t="shared" si="50"/>
        <v>56.7</v>
      </c>
    </row>
    <row r="122" spans="1:10" ht="15.75" customHeight="1" x14ac:dyDescent="0.2">
      <c r="A122" s="20" t="s">
        <v>29</v>
      </c>
      <c r="B122" s="235">
        <f>'ACE European Group'!B122+'Danica Pensjonsforsikring'!B122+'DNB Livsforsikring'!B122+'Eika Forsikring AS'!B122+'Frende Livsforsikring'!B122+'Frende Skadeforsikring'!B122+'Gjensidige Forsikring'!B122+'Gjensidige Pensjon'!B122+'Handelsbanken Liv'!B122+'If Skadeforsikring NUF'!B122+KLP!B122+'KLP Bedriftspensjon AS'!B122+'KLP Skadeforsikring AS'!B122+'Landbruksforsikring AS'!B122+'NEMI Forsikring'!B122+'Nordea Liv '!B122+'Oslo Pensjonsforsikring'!B122+'SHB Liv'!B122+'Silver Pensjonsforsikring AS'!B122+'Sparebank 1'!B122+'Storebrand Livsforsikring'!B122+'Telenor Forsikring'!B122+'Tryg Forsikring'!B122</f>
        <v>0</v>
      </c>
      <c r="C122" s="235">
        <f>'ACE European Group'!C122+'Danica Pensjonsforsikring'!C122+'DNB Livsforsikring'!C122+'Eika Forsikring AS'!C122+'Frende Livsforsikring'!C122+'Frende Skadeforsikring'!C122+'Gjensidige Forsikring'!C122+'Gjensidige Pensjon'!C122+'Handelsbanken Liv'!C122+'If Skadeforsikring NUF'!C122+KLP!C122+'KLP Bedriftspensjon AS'!C122+'KLP Skadeforsikring AS'!C122+'Landbruksforsikring AS'!C122+'NEMI Forsikring'!C122+'Nordea Liv '!C122+'Oslo Pensjonsforsikring'!C122+'SHB Liv'!C122+'Silver Pensjonsforsikring AS'!C122+'Sparebank 1'!C122+'Storebrand Livsforsikring'!C122+'Telenor Forsikring'!C122+'Tryg Forsikring'!C122</f>
        <v>338.55001000000499</v>
      </c>
      <c r="D122" s="164" t="str">
        <f t="shared" si="46"/>
        <v xml:space="preserve">    ---- </v>
      </c>
      <c r="E122" s="43">
        <f>'ACE European Group'!F122+'Danica Pensjonsforsikring'!F122+'DNB Livsforsikring'!F122+'Eika Forsikring AS'!F122+'Frende Livsforsikring'!F122+'Frende Skadeforsikring'!F122+'Gjensidige Forsikring'!F122+'Gjensidige Pensjon'!F122+'Handelsbanken Liv'!F122+'If Skadeforsikring NUF'!F122+KLP!F122+'KLP Bedriftspensjon AS'!F122+'KLP Skadeforsikring AS'!F122+'Landbruksforsikring AS'!F122+'NEMI Forsikring'!F122+'Nordea Liv '!F122+'Oslo Pensjonsforsikring'!F122+'SHB Liv'!F122+'Silver Pensjonsforsikring AS'!F122+'Sparebank 1'!F122+'Storebrand Livsforsikring'!F122+'Telenor Forsikring'!F122+'Tryg Forsikring'!F122</f>
        <v>0</v>
      </c>
      <c r="F122" s="43">
        <f>'ACE European Group'!G122+'Danica Pensjonsforsikring'!G122+'DNB Livsforsikring'!G122+'Eika Forsikring AS'!G122+'Frende Livsforsikring'!G122+'Frende Skadeforsikring'!G122+'Gjensidige Forsikring'!G122+'Gjensidige Pensjon'!G122+'Handelsbanken Liv'!G122+'If Skadeforsikring NUF'!G122+KLP!G122+'KLP Bedriftspensjon AS'!G122+'KLP Skadeforsikring AS'!G122+'Landbruksforsikring AS'!G122+'NEMI Forsikring'!G122+'Nordea Liv '!G122+'Oslo Pensjonsforsikring'!G122+'SHB Liv'!G122+'Silver Pensjonsforsikring AS'!G122+'Sparebank 1'!G122+'Storebrand Livsforsikring'!G122+'Telenor Forsikring'!G122+'Tryg Forsikring'!G122</f>
        <v>0</v>
      </c>
      <c r="G122" s="164"/>
      <c r="H122" s="235">
        <f t="shared" si="48"/>
        <v>0</v>
      </c>
      <c r="I122" s="235">
        <f t="shared" si="49"/>
        <v>338.55001000000499</v>
      </c>
      <c r="J122" s="164" t="str">
        <f t="shared" si="50"/>
        <v xml:space="preserve">    ---- </v>
      </c>
    </row>
    <row r="123" spans="1:10" ht="15.75" customHeight="1" x14ac:dyDescent="0.2">
      <c r="A123" s="294" t="s">
        <v>14</v>
      </c>
      <c r="B123" s="43">
        <f>IF($A$1=4,'ACE European Group'!B123+'Danica Pensjonsforsikring'!B123+'DNB Livsforsikring'!B123+'Eika Forsikring AS'!B123+'Frende Livsforsikring'!B123+'Frende Skadeforsikring'!B123+'Gjensidige Forsikring'!B123+'Gjensidige Pensjon'!B123+'Handelsbanken Liv'!B123+'If Skadeforsikring NUF'!B123+KLP!B123+'KLP Bedriftspensjon AS'!B123+'KLP Skadeforsikring AS'!B123+'Landbruksforsikring AS'!B123+'NEMI Forsikring'!B123+'Nordea Liv '!B123+'Oslo Pensjonsforsikring'!B123+'SHB Liv'!B123+'Silver Pensjonsforsikring AS'!B123+'Sparebank 1'!B123+'Storebrand Livsforsikring'!B123+'Telenor Forsikring'!B123+'Tryg Forsikring'!B123,"")</f>
        <v>0</v>
      </c>
      <c r="C123" s="43">
        <f>IF($A$1=4,'ACE European Group'!C123+'Danica Pensjonsforsikring'!C123+'DNB Livsforsikring'!C123+'Eika Forsikring AS'!C123+'Frende Livsforsikring'!C123+'Frende Skadeforsikring'!C123+'Gjensidige Forsikring'!C123+'Gjensidige Pensjon'!C123+'Handelsbanken Liv'!C123+'If Skadeforsikring NUF'!C123+KLP!C123+'KLP Bedriftspensjon AS'!C123+'KLP Skadeforsikring AS'!C123+'Landbruksforsikring AS'!C123+'NEMI Forsikring'!C123+'Nordea Liv '!C123+'Oslo Pensjonsforsikring'!C123+'SHB Liv'!C123+'Silver Pensjonsforsikring AS'!C123+'Sparebank 1'!C123+'Storebrand Livsforsikring'!C123+'Telenor Forsikring'!C123+'Tryg Forsikring'!C123,"")</f>
        <v>0</v>
      </c>
      <c r="D123" s="174"/>
      <c r="E123" s="43">
        <f>IF($A$1=4,'ACE European Group'!F123+'Danica Pensjonsforsikring'!F123+'DNB Livsforsikring'!F123+'Eika Forsikring AS'!F123+'Frende Livsforsikring'!F123+'Frende Skadeforsikring'!F123+'Gjensidige Forsikring'!F123+'Gjensidige Pensjon'!F123+'Handelsbanken Liv'!F123+'If Skadeforsikring NUF'!F123+KLP!F123+'KLP Bedriftspensjon AS'!F123+'KLP Skadeforsikring AS'!F123+'Landbruksforsikring AS'!F123+'NEMI Forsikring'!F123+'Nordea Liv '!F123+'Oslo Pensjonsforsikring'!F123+'SHB Liv'!F123+'Silver Pensjonsforsikring AS'!F123+'Sparebank 1'!F123+'Storebrand Livsforsikring'!F123+'Telenor Forsikring'!F123+'Tryg Forsikring'!F123,"")</f>
        <v>0</v>
      </c>
      <c r="F123" s="43">
        <f>IF($A$1=4,'ACE European Group'!G123+'Danica Pensjonsforsikring'!G123+'DNB Livsforsikring'!G123+'Eika Forsikring AS'!G123+'Frende Livsforsikring'!G123+'Frende Skadeforsikring'!G123+'Gjensidige Forsikring'!G123+'Gjensidige Pensjon'!G123+'Handelsbanken Liv'!G123+'If Skadeforsikring NUF'!G123+KLP!G123+'KLP Bedriftspensjon AS'!G123+'KLP Skadeforsikring AS'!G123+'Landbruksforsikring AS'!G123+'NEMI Forsikring'!G123+'Nordea Liv '!G123+'Oslo Pensjonsforsikring'!G123+'SHB Liv'!G123+'Silver Pensjonsforsikring AS'!G123+'Sparebank 1'!G123+'Storebrand Livsforsikring'!G123+'Telenor Forsikring'!G123+'Tryg Forsikring'!G123,"")</f>
        <v>0</v>
      </c>
      <c r="G123" s="164"/>
      <c r="H123" s="235">
        <f t="shared" si="48"/>
        <v>0</v>
      </c>
      <c r="I123" s="235">
        <f t="shared" si="49"/>
        <v>0</v>
      </c>
      <c r="J123" s="164"/>
    </row>
    <row r="124" spans="1:10" ht="15.75" customHeight="1" x14ac:dyDescent="0.2">
      <c r="A124" s="20" t="s">
        <v>319</v>
      </c>
      <c r="B124" s="235">
        <f>'ACE European Group'!B124+'Danica Pensjonsforsikring'!B124+'DNB Livsforsikring'!B124+'Eika Forsikring AS'!B124+'Frende Livsforsikring'!B124+'Frende Skadeforsikring'!B124+'Gjensidige Forsikring'!B124+'Gjensidige Pensjon'!B124+'Handelsbanken Liv'!B124+'If Skadeforsikring NUF'!B124+KLP!B124+'KLP Bedriftspensjon AS'!B124+'KLP Skadeforsikring AS'!B124+'Landbruksforsikring AS'!B124+'NEMI Forsikring'!B124+'Nordea Liv '!B124+'Oslo Pensjonsforsikring'!B124+'SHB Liv'!B124+'Silver Pensjonsforsikring AS'!B124+'Sparebank 1'!B124+'Storebrand Livsforsikring'!B124+'Telenor Forsikring'!B124+'Tryg Forsikring'!B124</f>
        <v>74590.690999999992</v>
      </c>
      <c r="C124" s="235">
        <f>'ACE European Group'!C124+'Danica Pensjonsforsikring'!C124+'DNB Livsforsikring'!C124+'Eika Forsikring AS'!C124+'Frende Livsforsikring'!C124+'Frende Skadeforsikring'!C124+'Gjensidige Forsikring'!C124+'Gjensidige Pensjon'!C124+'Handelsbanken Liv'!C124+'If Skadeforsikring NUF'!C124+KLP!C124+'KLP Bedriftspensjon AS'!C124+'KLP Skadeforsikring AS'!C124+'Landbruksforsikring AS'!C124+'NEMI Forsikring'!C124+'Nordea Liv '!C124+'Oslo Pensjonsforsikring'!C124+'SHB Liv'!C124+'Silver Pensjonsforsikring AS'!C124+'Sparebank 1'!C124+'Storebrand Livsforsikring'!C124+'Telenor Forsikring'!C124+'Tryg Forsikring'!C124</f>
        <v>72055.745999999999</v>
      </c>
      <c r="D124" s="164">
        <f t="shared" si="46"/>
        <v>-3.4</v>
      </c>
      <c r="E124" s="43">
        <f>'ACE European Group'!F124+'Danica Pensjonsforsikring'!F124+'DNB Livsforsikring'!F124+'Eika Forsikring AS'!F124+'Frende Livsforsikring'!F124+'Frende Skadeforsikring'!F124+'Gjensidige Forsikring'!F124+'Gjensidige Pensjon'!F124+'Handelsbanken Liv'!F124+'If Skadeforsikring NUF'!F124+KLP!F124+'KLP Bedriftspensjon AS'!F124+'KLP Skadeforsikring AS'!F124+'Landbruksforsikring AS'!F124+'NEMI Forsikring'!F124+'Nordea Liv '!F124+'Oslo Pensjonsforsikring'!F124+'SHB Liv'!F124+'Silver Pensjonsforsikring AS'!F124+'Sparebank 1'!F124+'Storebrand Livsforsikring'!F124+'Telenor Forsikring'!F124+'Tryg Forsikring'!F124</f>
        <v>35574.688000000002</v>
      </c>
      <c r="F124" s="43">
        <f>'ACE European Group'!G124+'Danica Pensjonsforsikring'!G124+'DNB Livsforsikring'!G124+'Eika Forsikring AS'!G124+'Frende Livsforsikring'!G124+'Frende Skadeforsikring'!G124+'Gjensidige Forsikring'!G124+'Gjensidige Pensjon'!G124+'Handelsbanken Liv'!G124+'If Skadeforsikring NUF'!G124+KLP!G124+'KLP Bedriftspensjon AS'!G124+'KLP Skadeforsikring AS'!G124+'Landbruksforsikring AS'!G124+'NEMI Forsikring'!G124+'Nordea Liv '!G124+'Oslo Pensjonsforsikring'!G124+'SHB Liv'!G124+'Silver Pensjonsforsikring AS'!G124+'Sparebank 1'!G124+'Storebrand Livsforsikring'!G124+'Telenor Forsikring'!G124+'Tryg Forsikring'!G124</f>
        <v>13851.26</v>
      </c>
      <c r="G124" s="164">
        <f t="shared" si="47"/>
        <v>-61.1</v>
      </c>
      <c r="H124" s="235">
        <f t="shared" si="48"/>
        <v>110165.37899999999</v>
      </c>
      <c r="I124" s="235">
        <f t="shared" si="49"/>
        <v>85907.005999999994</v>
      </c>
      <c r="J124" s="164">
        <f t="shared" si="50"/>
        <v>-22</v>
      </c>
    </row>
    <row r="125" spans="1:10" ht="15.75" customHeight="1" x14ac:dyDescent="0.2">
      <c r="A125" s="20" t="s">
        <v>320</v>
      </c>
      <c r="B125" s="235">
        <f>'ACE European Group'!B125+'Danica Pensjonsforsikring'!B125+'DNB Livsforsikring'!B125+'Eika Forsikring AS'!B125+'Frende Livsforsikring'!B125+'Frende Skadeforsikring'!B125+'Gjensidige Forsikring'!B125+'Gjensidige Pensjon'!B125+'Handelsbanken Liv'!B125+'If Skadeforsikring NUF'!B125+KLP!B125+'KLP Bedriftspensjon AS'!B125+'KLP Skadeforsikring AS'!B125+'Landbruksforsikring AS'!B125+'NEMI Forsikring'!B125+'Nordea Liv '!B125+'Oslo Pensjonsforsikring'!B125+'SHB Liv'!B125+'Silver Pensjonsforsikring AS'!B125+'Sparebank 1'!B125+'Storebrand Livsforsikring'!B125+'Telenor Forsikring'!B125+'Tryg Forsikring'!B125</f>
        <v>3675.8640500000001</v>
      </c>
      <c r="C125" s="235">
        <f>'ACE European Group'!C125+'Danica Pensjonsforsikring'!C125+'DNB Livsforsikring'!C125+'Eika Forsikring AS'!C125+'Frende Livsforsikring'!C125+'Frende Skadeforsikring'!C125+'Gjensidige Forsikring'!C125+'Gjensidige Pensjon'!C125+'Handelsbanken Liv'!C125+'If Skadeforsikring NUF'!C125+KLP!C125+'KLP Bedriftspensjon AS'!C125+'KLP Skadeforsikring AS'!C125+'Landbruksforsikring AS'!C125+'NEMI Forsikring'!C125+'Nordea Liv '!C125+'Oslo Pensjonsforsikring'!C125+'SHB Liv'!C125+'Silver Pensjonsforsikring AS'!C125+'Sparebank 1'!C125+'Storebrand Livsforsikring'!C125+'Telenor Forsikring'!C125+'Tryg Forsikring'!C125</f>
        <v>4794.4091499999995</v>
      </c>
      <c r="D125" s="164">
        <f t="shared" si="46"/>
        <v>30.4</v>
      </c>
      <c r="E125" s="43">
        <f>'ACE European Group'!F125+'Danica Pensjonsforsikring'!F125+'DNB Livsforsikring'!F125+'Eika Forsikring AS'!F125+'Frende Livsforsikring'!F125+'Frende Skadeforsikring'!F125+'Gjensidige Forsikring'!F125+'Gjensidige Pensjon'!F125+'Handelsbanken Liv'!F125+'If Skadeforsikring NUF'!F125+KLP!F125+'KLP Bedriftspensjon AS'!F125+'KLP Skadeforsikring AS'!F125+'Landbruksforsikring AS'!F125+'NEMI Forsikring'!F125+'Nordea Liv '!F125+'Oslo Pensjonsforsikring'!F125+'SHB Liv'!F125+'Silver Pensjonsforsikring AS'!F125+'Sparebank 1'!F125+'Storebrand Livsforsikring'!F125+'Telenor Forsikring'!F125+'Tryg Forsikring'!F125</f>
        <v>906135.74958000006</v>
      </c>
      <c r="F125" s="43">
        <f>'ACE European Group'!G125+'Danica Pensjonsforsikring'!G125+'DNB Livsforsikring'!G125+'Eika Forsikring AS'!G125+'Frende Livsforsikring'!G125+'Frende Skadeforsikring'!G125+'Gjensidige Forsikring'!G125+'Gjensidige Pensjon'!G125+'Handelsbanken Liv'!G125+'If Skadeforsikring NUF'!G125+KLP!G125+'KLP Bedriftspensjon AS'!G125+'KLP Skadeforsikring AS'!G125+'Landbruksforsikring AS'!G125+'NEMI Forsikring'!G125+'Nordea Liv '!G125+'Oslo Pensjonsforsikring'!G125+'SHB Liv'!G125+'Silver Pensjonsforsikring AS'!G125+'Sparebank 1'!G125+'Storebrand Livsforsikring'!G125+'Telenor Forsikring'!G125+'Tryg Forsikring'!G125</f>
        <v>1835508.3165199999</v>
      </c>
      <c r="G125" s="164">
        <f t="shared" si="47"/>
        <v>102.6</v>
      </c>
      <c r="H125" s="235">
        <f t="shared" si="48"/>
        <v>909811.61363000004</v>
      </c>
      <c r="I125" s="235">
        <f t="shared" si="49"/>
        <v>1840302.7256699998</v>
      </c>
      <c r="J125" s="164">
        <f t="shared" si="50"/>
        <v>102.3</v>
      </c>
    </row>
    <row r="126" spans="1:10" ht="15.75" customHeight="1" x14ac:dyDescent="0.2">
      <c r="A126" s="10" t="s">
        <v>321</v>
      </c>
      <c r="B126" s="236">
        <f>'ACE European Group'!B126+'Danica Pensjonsforsikring'!B126+'DNB Livsforsikring'!B126+'Eika Forsikring AS'!B126+'Frende Livsforsikring'!B126+'Frende Skadeforsikring'!B126+'Gjensidige Forsikring'!B126+'Gjensidige Pensjon'!B126+'Handelsbanken Liv'!B126+'If Skadeforsikring NUF'!B126+KLP!B126+'KLP Bedriftspensjon AS'!B126+'KLP Skadeforsikring AS'!B126+'Landbruksforsikring AS'!B126+'NEMI Forsikring'!B126+'Nordea Liv '!B126+'Oslo Pensjonsforsikring'!B126+'SHB Liv'!B126+'Silver Pensjonsforsikring AS'!B126+'Sparebank 1'!B126+'Storebrand Livsforsikring'!B126+'Telenor Forsikring'!B126+'Tryg Forsikring'!B126</f>
        <v>0</v>
      </c>
      <c r="C126" s="237">
        <f>'ACE European Group'!C126+'Danica Pensjonsforsikring'!C126+'DNB Livsforsikring'!C126+'Eika Forsikring AS'!C126+'Frende Livsforsikring'!C126+'Frende Skadeforsikring'!C126+'Gjensidige Forsikring'!C126+'Gjensidige Pensjon'!C126+'Handelsbanken Liv'!C126+'If Skadeforsikring NUF'!C126+KLP!C126+'KLP Bedriftspensjon AS'!C126+'KLP Skadeforsikring AS'!C126+'Landbruksforsikring AS'!C126+'NEMI Forsikring'!C126+'Nordea Liv '!C126+'Oslo Pensjonsforsikring'!C126+'SHB Liv'!C126+'Silver Pensjonsforsikring AS'!C126+'Sparebank 1'!C126+'Storebrand Livsforsikring'!C126+'Telenor Forsikring'!C126+'Tryg Forsikring'!C126</f>
        <v>0</v>
      </c>
      <c r="D126" s="165"/>
      <c r="E126" s="44"/>
      <c r="F126" s="44"/>
      <c r="G126" s="165"/>
      <c r="H126" s="236"/>
      <c r="I126" s="237"/>
      <c r="J126" s="165"/>
    </row>
    <row r="127" spans="1:10" ht="15.75" customHeight="1" x14ac:dyDescent="0.2">
      <c r="A127" s="153"/>
    </row>
    <row r="128" spans="1:10" ht="15.75" customHeight="1" x14ac:dyDescent="0.2">
      <c r="A128" s="147"/>
    </row>
    <row r="129" spans="1:10" ht="15.75" customHeight="1" x14ac:dyDescent="0.25">
      <c r="A129" s="163" t="s">
        <v>30</v>
      </c>
    </row>
    <row r="130" spans="1:10" ht="15.75" customHeight="1" x14ac:dyDescent="0.25">
      <c r="A130" s="147"/>
      <c r="B130" s="955"/>
      <c r="C130" s="955"/>
      <c r="D130" s="955"/>
      <c r="E130" s="955"/>
      <c r="F130" s="955"/>
      <c r="G130" s="955"/>
      <c r="H130" s="955"/>
      <c r="I130" s="955"/>
      <c r="J130" s="955"/>
    </row>
    <row r="131" spans="1:10" s="3" customFormat="1" ht="20.100000000000001" customHeight="1" x14ac:dyDescent="0.2">
      <c r="A131" s="142"/>
      <c r="B131" s="956" t="s">
        <v>0</v>
      </c>
      <c r="C131" s="957"/>
      <c r="D131" s="958"/>
      <c r="E131" s="957" t="s">
        <v>1</v>
      </c>
      <c r="F131" s="957"/>
      <c r="G131" s="957"/>
      <c r="H131" s="956" t="s">
        <v>2</v>
      </c>
      <c r="I131" s="957"/>
      <c r="J131" s="958"/>
    </row>
    <row r="132" spans="1:10" s="3" customFormat="1" ht="15.75" customHeight="1" x14ac:dyDescent="0.2">
      <c r="A132" s="139"/>
      <c r="B132" s="150" t="s">
        <v>504</v>
      </c>
      <c r="C132" s="150" t="s">
        <v>505</v>
      </c>
      <c r="D132" s="19" t="s">
        <v>3</v>
      </c>
      <c r="E132" s="150" t="s">
        <v>504</v>
      </c>
      <c r="F132" s="150" t="s">
        <v>505</v>
      </c>
      <c r="G132" s="19" t="s">
        <v>3</v>
      </c>
      <c r="H132" s="150" t="s">
        <v>504</v>
      </c>
      <c r="I132" s="150" t="s">
        <v>505</v>
      </c>
      <c r="J132" s="19" t="s">
        <v>3</v>
      </c>
    </row>
    <row r="133" spans="1:10" s="3" customFormat="1" ht="15.75" customHeight="1" x14ac:dyDescent="0.2">
      <c r="A133" s="934"/>
      <c r="B133" s="15"/>
      <c r="C133" s="15"/>
      <c r="D133" s="17" t="s">
        <v>4</v>
      </c>
      <c r="E133" s="16"/>
      <c r="F133" s="16"/>
      <c r="G133" s="15" t="s">
        <v>4</v>
      </c>
      <c r="H133" s="16"/>
      <c r="I133" s="16"/>
      <c r="J133" s="15" t="s">
        <v>4</v>
      </c>
    </row>
    <row r="134" spans="1:10" s="417" customFormat="1" ht="15.75" customHeight="1" x14ac:dyDescent="0.2">
      <c r="A134" s="14" t="s">
        <v>323</v>
      </c>
      <c r="B134" s="234">
        <f>'ACE European Group'!B134+'Danica Pensjonsforsikring'!B134+'DNB Livsforsikring'!B134+'Eika Forsikring AS'!B134+'Frende Livsforsikring'!B134+'Frende Skadeforsikring'!B134+'Gjensidige Forsikring'!B134+'Gjensidige Pensjon'!B134+'Handelsbanken Liv'!B134+'If Skadeforsikring NUF'!B134+KLP!B134+'KLP Bedriftspensjon AS'!B134+'KLP Skadeforsikring AS'!B134+'Landbruksforsikring AS'!B134+'NEMI Forsikring'!B134+'Nordea Liv '!B134+'Oslo Pensjonsforsikring'!B134+'SHB Liv'!B134+'Silver Pensjonsforsikring AS'!B134+'Sparebank 1'!B134+'Storebrand Livsforsikring'!B134+'Telenor Forsikring'!B134+'Tryg Forsikring'!B134</f>
        <v>37711667.575949997</v>
      </c>
      <c r="C134" s="234">
        <f>'ACE European Group'!C134+'Danica Pensjonsforsikring'!C134+'DNB Livsforsikring'!C134+'Eika Forsikring AS'!C134+'Frende Livsforsikring'!C134+'Frende Skadeforsikring'!C134+'Gjensidige Forsikring'!C134+'Gjensidige Pensjon'!C134+'Handelsbanken Liv'!C134+'If Skadeforsikring NUF'!C134+KLP!C134+'KLP Bedriftspensjon AS'!C134+'KLP Skadeforsikring AS'!C134+'Landbruksforsikring AS'!C134+'NEMI Forsikring'!C134+'Nordea Liv '!C134+'Oslo Pensjonsforsikring'!C134+'SHB Liv'!C134+'Silver Pensjonsforsikring AS'!C134+'Sparebank 1'!C134+'Storebrand Livsforsikring'!C134+'Telenor Forsikring'!C134+'Tryg Forsikring'!C134</f>
        <v>36286197.788429998</v>
      </c>
      <c r="D134" s="158">
        <f t="shared" ref="D134:D137" si="51">IF(B134=0, "    ---- ", IF(ABS(ROUND(100/B134*C134-100,1))&lt;999,ROUND(100/B134*C134-100,1),IF(ROUND(100/B134*C134-100,1)&gt;999,999,-999)))</f>
        <v>-3.8</v>
      </c>
      <c r="E134" s="234">
        <f>'ACE European Group'!F134+'Danica Pensjonsforsikring'!F134+'DNB Livsforsikring'!F134+'Eika Forsikring AS'!F134+'Frende Livsforsikring'!F134+'Frende Skadeforsikring'!F134+'Gjensidige Forsikring'!F134+'Gjensidige Pensjon'!F134+'Handelsbanken Liv'!F134+'If Skadeforsikring NUF'!F134+KLP!F134+'KLP Bedriftspensjon AS'!F134+'KLP Skadeforsikring AS'!F134+'Landbruksforsikring AS'!F134+'NEMI Forsikring'!F134+'Nordea Liv '!F134+'Oslo Pensjonsforsikring'!F134+'SHB Liv'!F134+'Silver Pensjonsforsikring AS'!F134+'Sparebank 1'!F134+'Storebrand Livsforsikring'!F134+'Telenor Forsikring'!F134+'Tryg Forsikring'!F134</f>
        <v>133629.31599999999</v>
      </c>
      <c r="F134" s="234">
        <f>'ACE European Group'!G134+'Danica Pensjonsforsikring'!G134+'DNB Livsforsikring'!G134+'Eika Forsikring AS'!G134+'Frende Livsforsikring'!G134+'Frende Skadeforsikring'!G134+'Gjensidige Forsikring'!G134+'Gjensidige Pensjon'!G134+'Handelsbanken Liv'!G134+'If Skadeforsikring NUF'!G134+KLP!G134+'KLP Bedriftspensjon AS'!G134+'KLP Skadeforsikring AS'!G134+'Landbruksforsikring AS'!G134+'NEMI Forsikring'!G134+'Nordea Liv '!G134+'Oslo Pensjonsforsikring'!G134+'SHB Liv'!G134+'Silver Pensjonsforsikring AS'!G134+'Sparebank 1'!G134+'Storebrand Livsforsikring'!G134+'Telenor Forsikring'!G134+'Tryg Forsikring'!G134</f>
        <v>130226.34600000001</v>
      </c>
      <c r="G134" s="158">
        <f t="shared" ref="G134:G136" si="52">IF(E134=0, "    ---- ", IF(ABS(ROUND(100/E134*F134-100,1))&lt;999,ROUND(100/E134*F134-100,1),IF(ROUND(100/E134*F134-100,1)&gt;999,999,-999)))</f>
        <v>-2.5</v>
      </c>
      <c r="H134" s="234">
        <f t="shared" ref="H134:I137" si="53">SUM(B134,E134)</f>
        <v>37845296.891949996</v>
      </c>
      <c r="I134" s="234">
        <f t="shared" si="53"/>
        <v>36416424.134429999</v>
      </c>
      <c r="J134" s="158">
        <f t="shared" ref="J134:J137" si="54">IF(H134=0, "    ---- ", IF(ABS(ROUND(100/H134*I134-100,1))&lt;999,ROUND(100/H134*I134-100,1),IF(ROUND(100/H134*I134-100,1)&gt;999,999,-999)))</f>
        <v>-3.8</v>
      </c>
    </row>
    <row r="135" spans="1:10" s="417" customFormat="1" ht="15.75" customHeight="1" x14ac:dyDescent="0.2">
      <c r="A135" s="13" t="s">
        <v>324</v>
      </c>
      <c r="B135" s="234">
        <f>'ACE European Group'!B135+'Danica Pensjonsforsikring'!B135+'DNB Livsforsikring'!B135+'Eika Forsikring AS'!B135+'Frende Livsforsikring'!B135+'Frende Skadeforsikring'!B135+'Gjensidige Forsikring'!B135+'Gjensidige Pensjon'!B135+'Handelsbanken Liv'!B135+'If Skadeforsikring NUF'!B135+KLP!B135+'KLP Bedriftspensjon AS'!B135+'KLP Skadeforsikring AS'!B135+'Landbruksforsikring AS'!B135+'NEMI Forsikring'!B135+'Nordea Liv '!B135+'Oslo Pensjonsforsikring'!B135+'SHB Liv'!B135+'Silver Pensjonsforsikring AS'!B135+'Sparebank 1'!B135+'Storebrand Livsforsikring'!B135+'Telenor Forsikring'!B135+'Tryg Forsikring'!B135</f>
        <v>489367156.48284</v>
      </c>
      <c r="C135" s="234">
        <f>'ACE European Group'!C135+'Danica Pensjonsforsikring'!C135+'DNB Livsforsikring'!C135+'Eika Forsikring AS'!C135+'Frende Livsforsikring'!C135+'Frende Skadeforsikring'!C135+'Gjensidige Forsikring'!C135+'Gjensidige Pensjon'!C135+'Handelsbanken Liv'!C135+'If Skadeforsikring NUF'!C135+KLP!C135+'KLP Bedriftspensjon AS'!C135+'KLP Skadeforsikring AS'!C135+'Landbruksforsikring AS'!C135+'NEMI Forsikring'!C135+'Nordea Liv '!C135+'Oslo Pensjonsforsikring'!C135+'SHB Liv'!C135+'Silver Pensjonsforsikring AS'!C135+'Sparebank 1'!C135+'Storebrand Livsforsikring'!C135+'Telenor Forsikring'!C135+'Tryg Forsikring'!C135</f>
        <v>517363092.28539997</v>
      </c>
      <c r="D135" s="158">
        <f t="shared" si="51"/>
        <v>5.7</v>
      </c>
      <c r="E135" s="234">
        <f>'ACE European Group'!F135+'Danica Pensjonsforsikring'!F135+'DNB Livsforsikring'!F135+'Eika Forsikring AS'!F135+'Frende Livsforsikring'!F135+'Frende Skadeforsikring'!F135+'Gjensidige Forsikring'!F135+'Gjensidige Pensjon'!F135+'Handelsbanken Liv'!F135+'If Skadeforsikring NUF'!F135+KLP!F135+'KLP Bedriftspensjon AS'!F135+'KLP Skadeforsikring AS'!F135+'Landbruksforsikring AS'!F135+'NEMI Forsikring'!F135+'Nordea Liv '!F135+'Oslo Pensjonsforsikring'!F135+'SHB Liv'!F135+'Silver Pensjonsforsikring AS'!F135+'Sparebank 1'!F135+'Storebrand Livsforsikring'!F135+'Telenor Forsikring'!F135+'Tryg Forsikring'!F135</f>
        <v>2181469.20615</v>
      </c>
      <c r="F135" s="234">
        <f>'ACE European Group'!G135+'Danica Pensjonsforsikring'!G135+'DNB Livsforsikring'!G135+'Eika Forsikring AS'!G135+'Frende Livsforsikring'!G135+'Frende Skadeforsikring'!G135+'Gjensidige Forsikring'!G135+'Gjensidige Pensjon'!G135+'Handelsbanken Liv'!G135+'If Skadeforsikring NUF'!G135+KLP!G135+'KLP Bedriftspensjon AS'!G135+'KLP Skadeforsikring AS'!G135+'Landbruksforsikring AS'!G135+'NEMI Forsikring'!G135+'Nordea Liv '!G135+'Oslo Pensjonsforsikring'!G135+'SHB Liv'!G135+'Silver Pensjonsforsikring AS'!G135+'Sparebank 1'!G135+'Storebrand Livsforsikring'!G135+'Telenor Forsikring'!G135+'Tryg Forsikring'!G135</f>
        <v>2373955.5961500001</v>
      </c>
      <c r="G135" s="158">
        <f t="shared" si="52"/>
        <v>8.8000000000000007</v>
      </c>
      <c r="H135" s="234">
        <f t="shared" si="53"/>
        <v>491548625.68899</v>
      </c>
      <c r="I135" s="234">
        <f t="shared" si="53"/>
        <v>519737047.88154995</v>
      </c>
      <c r="J135" s="158">
        <f t="shared" si="54"/>
        <v>5.7</v>
      </c>
    </row>
    <row r="136" spans="1:10" s="417" customFormat="1" ht="15.75" customHeight="1" x14ac:dyDescent="0.2">
      <c r="A136" s="13" t="s">
        <v>325</v>
      </c>
      <c r="B136" s="234">
        <f>'ACE European Group'!B136+'Danica Pensjonsforsikring'!B136+'DNB Livsforsikring'!B136+'Eika Forsikring AS'!B136+'Frende Livsforsikring'!B136+'Frende Skadeforsikring'!B136+'Gjensidige Forsikring'!B136+'Gjensidige Pensjon'!B136+'Handelsbanken Liv'!B136+'If Skadeforsikring NUF'!B136+KLP!B136+'KLP Bedriftspensjon AS'!B136+'KLP Skadeforsikring AS'!B136+'Landbruksforsikring AS'!B136+'NEMI Forsikring'!B136+'Nordea Liv '!B136+'Oslo Pensjonsforsikring'!B136+'SHB Liv'!B136+'Silver Pensjonsforsikring AS'!B136+'Sparebank 1'!B136+'Storebrand Livsforsikring'!B136+'Telenor Forsikring'!B136+'Tryg Forsikring'!B136</f>
        <v>3252327.7580000004</v>
      </c>
      <c r="C136" s="234">
        <f>'ACE European Group'!C136+'Danica Pensjonsforsikring'!C136+'DNB Livsforsikring'!C136+'Eika Forsikring AS'!C136+'Frende Livsforsikring'!C136+'Frende Skadeforsikring'!C136+'Gjensidige Forsikring'!C136+'Gjensidige Pensjon'!C136+'Handelsbanken Liv'!C136+'If Skadeforsikring NUF'!C136+KLP!C136+'KLP Bedriftspensjon AS'!C136+'KLP Skadeforsikring AS'!C136+'Landbruksforsikring AS'!C136+'NEMI Forsikring'!C136+'Nordea Liv '!C136+'Oslo Pensjonsforsikring'!C136+'SHB Liv'!C136+'Silver Pensjonsforsikring AS'!C136+'Sparebank 1'!C136+'Storebrand Livsforsikring'!C136+'Telenor Forsikring'!C136+'Tryg Forsikring'!C136</f>
        <v>272334.42499999999</v>
      </c>
      <c r="D136" s="158">
        <f t="shared" si="51"/>
        <v>-91.6</v>
      </c>
      <c r="E136" s="234">
        <f>'ACE European Group'!F136+'Danica Pensjonsforsikring'!F136+'DNB Livsforsikring'!F136+'Eika Forsikring AS'!F136+'Frende Livsforsikring'!F136+'Frende Skadeforsikring'!F136+'Gjensidige Forsikring'!F136+'Gjensidige Pensjon'!F136+'Handelsbanken Liv'!F136+'If Skadeforsikring NUF'!F136+KLP!F136+'KLP Bedriftspensjon AS'!F136+'KLP Skadeforsikring AS'!F136+'Landbruksforsikring AS'!F136+'NEMI Forsikring'!F136+'Nordea Liv '!F136+'Oslo Pensjonsforsikring'!F136+'SHB Liv'!F136+'Silver Pensjonsforsikring AS'!F136+'Sparebank 1'!F136+'Storebrand Livsforsikring'!F136+'Telenor Forsikring'!F136+'Tryg Forsikring'!F136</f>
        <v>-35.832000000000001</v>
      </c>
      <c r="F136" s="234">
        <f>'ACE European Group'!G136+'Danica Pensjonsforsikring'!G136+'DNB Livsforsikring'!G136+'Eika Forsikring AS'!G136+'Frende Livsforsikring'!G136+'Frende Skadeforsikring'!G136+'Gjensidige Forsikring'!G136+'Gjensidige Pensjon'!G136+'Handelsbanken Liv'!G136+'If Skadeforsikring NUF'!G136+KLP!G136+'KLP Bedriftspensjon AS'!G136+'KLP Skadeforsikring AS'!G136+'Landbruksforsikring AS'!G136+'NEMI Forsikring'!G136+'Nordea Liv '!G136+'Oslo Pensjonsforsikring'!G136+'SHB Liv'!G136+'Silver Pensjonsforsikring AS'!G136+'Sparebank 1'!G136+'Storebrand Livsforsikring'!G136+'Telenor Forsikring'!G136+'Tryg Forsikring'!G136</f>
        <v>25235.127</v>
      </c>
      <c r="G136" s="158">
        <f t="shared" si="52"/>
        <v>-999</v>
      </c>
      <c r="H136" s="234">
        <f t="shared" si="53"/>
        <v>3252291.9260000004</v>
      </c>
      <c r="I136" s="234">
        <f t="shared" si="53"/>
        <v>297569.55199999997</v>
      </c>
      <c r="J136" s="158">
        <f t="shared" si="54"/>
        <v>-90.9</v>
      </c>
    </row>
    <row r="137" spans="1:10" s="417" customFormat="1" ht="15.75" customHeight="1" x14ac:dyDescent="0.2">
      <c r="A137" s="40" t="s">
        <v>326</v>
      </c>
      <c r="B137" s="274">
        <f>'ACE European Group'!B137+'Danica Pensjonsforsikring'!B137+'DNB Livsforsikring'!B137+'Eika Forsikring AS'!B137+'Frende Livsforsikring'!B137+'Frende Skadeforsikring'!B137+'Gjensidige Forsikring'!B137+'Gjensidige Pensjon'!B137+'Handelsbanken Liv'!B137+'If Skadeforsikring NUF'!B137+KLP!B137+'KLP Bedriftspensjon AS'!B137+'KLP Skadeforsikring AS'!B137+'Landbruksforsikring AS'!B137+'NEMI Forsikring'!B137+'Nordea Liv '!B137+'Oslo Pensjonsforsikring'!B137+'SHB Liv'!B137+'Silver Pensjonsforsikring AS'!B137+'Sparebank 1'!B137+'Storebrand Livsforsikring'!B137+'Telenor Forsikring'!B137+'Tryg Forsikring'!B137</f>
        <v>1936486.4849999999</v>
      </c>
      <c r="C137" s="274">
        <f>'ACE European Group'!C137+'Danica Pensjonsforsikring'!C137+'DNB Livsforsikring'!C137+'Eika Forsikring AS'!C137+'Frende Livsforsikring'!C137+'Frende Skadeforsikring'!C137+'Gjensidige Forsikring'!C137+'Gjensidige Pensjon'!C137+'Handelsbanken Liv'!C137+'If Skadeforsikring NUF'!C137+KLP!C137+'KLP Bedriftspensjon AS'!C137+'KLP Skadeforsikring AS'!C137+'Landbruksforsikring AS'!C137+'NEMI Forsikring'!C137+'Nordea Liv '!C137+'Oslo Pensjonsforsikring'!C137+'SHB Liv'!C137+'Silver Pensjonsforsikring AS'!C137+'Sparebank 1'!C137+'Storebrand Livsforsikring'!C137+'Telenor Forsikring'!C137+'Tryg Forsikring'!C137</f>
        <v>387479.37900000002</v>
      </c>
      <c r="D137" s="168">
        <f t="shared" si="51"/>
        <v>-80</v>
      </c>
      <c r="E137" s="274">
        <f>'ACE European Group'!F137+'Danica Pensjonsforsikring'!F137+'DNB Livsforsikring'!F137+'Eika Forsikring AS'!F137+'Frende Livsforsikring'!F137+'Frende Skadeforsikring'!F137+'Gjensidige Forsikring'!F137+'Gjensidige Pensjon'!F137+'Handelsbanken Liv'!F137+'If Skadeforsikring NUF'!F137+KLP!F137+'KLP Bedriftspensjon AS'!F137+'KLP Skadeforsikring AS'!F137+'Landbruksforsikring AS'!F137+'NEMI Forsikring'!F137+'Nordea Liv '!F137+'Oslo Pensjonsforsikring'!F137+'SHB Liv'!F137+'Silver Pensjonsforsikring AS'!F137+'Sparebank 1'!F137+'Storebrand Livsforsikring'!F137+'Telenor Forsikring'!F137+'Tryg Forsikring'!F137</f>
        <v>0</v>
      </c>
      <c r="F137" s="274">
        <f>'ACE European Group'!G137+'Danica Pensjonsforsikring'!G137+'DNB Livsforsikring'!G137+'Eika Forsikring AS'!G137+'Frende Livsforsikring'!G137+'Frende Skadeforsikring'!G137+'Gjensidige Forsikring'!G137+'Gjensidige Pensjon'!G137+'Handelsbanken Liv'!G137+'If Skadeforsikring NUF'!G137+KLP!G137+'KLP Bedriftspensjon AS'!G137+'KLP Skadeforsikring AS'!G137+'Landbruksforsikring AS'!G137+'NEMI Forsikring'!G137+'Nordea Liv '!G137+'Oslo Pensjonsforsikring'!G137+'SHB Liv'!G137+'Silver Pensjonsforsikring AS'!G137+'Sparebank 1'!G137+'Storebrand Livsforsikring'!G137+'Telenor Forsikring'!G137+'Tryg Forsikring'!G137</f>
        <v>0</v>
      </c>
      <c r="G137" s="9"/>
      <c r="H137" s="274">
        <f t="shared" si="53"/>
        <v>1936486.4849999999</v>
      </c>
      <c r="I137" s="274">
        <f t="shared" si="53"/>
        <v>387479.37900000002</v>
      </c>
      <c r="J137" s="168">
        <f t="shared" si="54"/>
        <v>-80</v>
      </c>
    </row>
    <row r="138" spans="1:10" s="3" customFormat="1" ht="15.75" customHeight="1" x14ac:dyDescent="0.2">
      <c r="A138" s="8"/>
      <c r="E138" s="7"/>
      <c r="F138" s="7"/>
      <c r="G138" s="6"/>
      <c r="H138" s="7"/>
      <c r="I138" s="7"/>
      <c r="J138" s="6"/>
    </row>
    <row r="139" spans="1:10" ht="15.75" customHeight="1" x14ac:dyDescent="0.2"/>
    <row r="140" spans="1:10" ht="15.75" customHeight="1" x14ac:dyDescent="0.2"/>
    <row r="141" spans="1:10" ht="15.75" customHeight="1" x14ac:dyDescent="0.2"/>
    <row r="142" spans="1:10" ht="15.75" customHeight="1" x14ac:dyDescent="0.2"/>
    <row r="143" spans="1:10" ht="15.75" customHeight="1" x14ac:dyDescent="0.2"/>
    <row r="144" spans="1:10"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sheetData>
  <mergeCells count="27">
    <mergeCell ref="B131:D131"/>
    <mergeCell ref="E131:G131"/>
    <mergeCell ref="H131:J131"/>
    <mergeCell ref="B130:D130"/>
    <mergeCell ref="E130:G130"/>
    <mergeCell ref="H130:J130"/>
    <mergeCell ref="B63:D63"/>
    <mergeCell ref="E63:G63"/>
    <mergeCell ref="H63:J63"/>
    <mergeCell ref="B19:D19"/>
    <mergeCell ref="E19:G19"/>
    <mergeCell ref="H19:J19"/>
    <mergeCell ref="B62:D62"/>
    <mergeCell ref="E62:G62"/>
    <mergeCell ref="H62:J62"/>
    <mergeCell ref="B42:D42"/>
    <mergeCell ref="E42:G42"/>
    <mergeCell ref="H42:J42"/>
    <mergeCell ref="B18:D18"/>
    <mergeCell ref="E18:G18"/>
    <mergeCell ref="H18:J18"/>
    <mergeCell ref="B2:D2"/>
    <mergeCell ref="E2:G2"/>
    <mergeCell ref="H2:J2"/>
    <mergeCell ref="B4:D4"/>
    <mergeCell ref="E4:G4"/>
    <mergeCell ref="H4:J4"/>
  </mergeCells>
  <conditionalFormatting sqref="H101:I106">
    <cfRule type="expression" dxfId="1986" priority="46">
      <formula>kvartal&lt;4</formula>
    </cfRule>
  </conditionalFormatting>
  <conditionalFormatting sqref="B23:C27 E23:F27">
    <cfRule type="expression" dxfId="1985" priority="60">
      <formula>kvartal&lt;4</formula>
    </cfRule>
  </conditionalFormatting>
  <conditionalFormatting sqref="H23:I27">
    <cfRule type="expression" dxfId="1984" priority="59">
      <formula>kvartal&lt;4</formula>
    </cfRule>
  </conditionalFormatting>
  <conditionalFormatting sqref="H30:I33">
    <cfRule type="expression" dxfId="1983" priority="57">
      <formula>kvartal&lt;4</formula>
    </cfRule>
  </conditionalFormatting>
  <conditionalFormatting sqref="H69:I74">
    <cfRule type="expression" dxfId="1982" priority="54">
      <formula>kvartal&lt;4</formula>
    </cfRule>
  </conditionalFormatting>
  <conditionalFormatting sqref="H80:I85">
    <cfRule type="expression" dxfId="1981" priority="51">
      <formula>kvartal&lt;4</formula>
    </cfRule>
  </conditionalFormatting>
  <conditionalFormatting sqref="H90:I95">
    <cfRule type="expression" dxfId="1980" priority="47">
      <formula>kvartal&lt;4</formula>
    </cfRule>
  </conditionalFormatting>
  <conditionalFormatting sqref="H115:I115">
    <cfRule type="expression" dxfId="1979" priority="45">
      <formula>kvartal&lt;4</formula>
    </cfRule>
  </conditionalFormatting>
  <conditionalFormatting sqref="H123:I123">
    <cfRule type="expression" dxfId="1978" priority="44">
      <formula>kvartal&lt;4</formula>
    </cfRule>
  </conditionalFormatting>
  <conditionalFormatting sqref="A23:A26">
    <cfRule type="expression" dxfId="1977" priority="43">
      <formula>kvartal &lt; 4</formula>
    </cfRule>
  </conditionalFormatting>
  <conditionalFormatting sqref="A30:A33">
    <cfRule type="expression" dxfId="1976" priority="41">
      <formula>kvartal &lt; 4</formula>
    </cfRule>
  </conditionalFormatting>
  <conditionalFormatting sqref="A50:A52">
    <cfRule type="expression" dxfId="1975" priority="40">
      <formula>kvartal &lt; 4</formula>
    </cfRule>
  </conditionalFormatting>
  <conditionalFormatting sqref="A69:A74">
    <cfRule type="expression" dxfId="1974" priority="38">
      <formula>kvartal &lt; 4</formula>
    </cfRule>
  </conditionalFormatting>
  <conditionalFormatting sqref="A80:A85">
    <cfRule type="expression" dxfId="1973" priority="37">
      <formula>kvartal &lt; 4</formula>
    </cfRule>
  </conditionalFormatting>
  <conditionalFormatting sqref="A90:A95">
    <cfRule type="expression" dxfId="1972" priority="34">
      <formula>kvartal &lt; 4</formula>
    </cfRule>
  </conditionalFormatting>
  <conditionalFormatting sqref="A101:A106">
    <cfRule type="expression" dxfId="1971" priority="33">
      <formula>kvartal &lt; 4</formula>
    </cfRule>
  </conditionalFormatting>
  <conditionalFormatting sqref="A115">
    <cfRule type="expression" dxfId="1970" priority="32">
      <formula>kvartal &lt; 4</formula>
    </cfRule>
  </conditionalFormatting>
  <conditionalFormatting sqref="A123">
    <cfRule type="expression" dxfId="1969" priority="31">
      <formula>kvartal &lt; 4</formula>
    </cfRule>
  </conditionalFormatting>
  <conditionalFormatting sqref="A27">
    <cfRule type="expression" dxfId="1968" priority="30">
      <formula>kvartal &lt; 4</formula>
    </cfRule>
  </conditionalFormatting>
  <conditionalFormatting sqref="E30:F33">
    <cfRule type="expression" dxfId="1967" priority="27">
      <formula>kvartal&lt;4</formula>
    </cfRule>
  </conditionalFormatting>
  <conditionalFormatting sqref="B30:C33">
    <cfRule type="expression" dxfId="1966" priority="25">
      <formula>kvartal&lt;4</formula>
    </cfRule>
  </conditionalFormatting>
  <conditionalFormatting sqref="B50:C52">
    <cfRule type="expression" dxfId="1965" priority="24">
      <formula>kvartal&lt;4</formula>
    </cfRule>
  </conditionalFormatting>
  <conditionalFormatting sqref="B69:C69">
    <cfRule type="expression" dxfId="1964" priority="22">
      <formula>kvartal&lt;4</formula>
    </cfRule>
  </conditionalFormatting>
  <conditionalFormatting sqref="B72:C72">
    <cfRule type="expression" dxfId="1963" priority="21">
      <formula>kvartal&lt;4</formula>
    </cfRule>
  </conditionalFormatting>
  <conditionalFormatting sqref="B80:C80">
    <cfRule type="expression" dxfId="1962" priority="20">
      <formula>kvartal&lt;4</formula>
    </cfRule>
  </conditionalFormatting>
  <conditionalFormatting sqref="B83:C83">
    <cfRule type="expression" dxfId="1961" priority="19">
      <formula>kvartal&lt;4</formula>
    </cfRule>
  </conditionalFormatting>
  <conditionalFormatting sqref="B90:C90">
    <cfRule type="expression" dxfId="1960" priority="14">
      <formula>kvartal&lt;4</formula>
    </cfRule>
  </conditionalFormatting>
  <conditionalFormatting sqref="B93:C93">
    <cfRule type="expression" dxfId="1959" priority="13">
      <formula>kvartal&lt;4</formula>
    </cfRule>
  </conditionalFormatting>
  <conditionalFormatting sqref="B101:C101">
    <cfRule type="expression" dxfId="1958" priority="12">
      <formula>kvartal&lt;4</formula>
    </cfRule>
  </conditionalFormatting>
  <conditionalFormatting sqref="B104:C104">
    <cfRule type="expression" dxfId="1957" priority="11">
      <formula>kvartal&lt;4</formula>
    </cfRule>
  </conditionalFormatting>
  <conditionalFormatting sqref="B115:C115">
    <cfRule type="expression" dxfId="1956" priority="10">
      <formula>kvartal&lt;4</formula>
    </cfRule>
  </conditionalFormatting>
  <conditionalFormatting sqref="B123:C123">
    <cfRule type="expression" dxfId="1955" priority="9">
      <formula>kvartal&lt;4</formula>
    </cfRule>
  </conditionalFormatting>
  <conditionalFormatting sqref="E69:F74">
    <cfRule type="expression" dxfId="1954" priority="8">
      <formula>kvartal&lt;4</formula>
    </cfRule>
  </conditionalFormatting>
  <conditionalFormatting sqref="E80:F85">
    <cfRule type="expression" dxfId="1953" priority="7">
      <formula>kvartal&lt;4</formula>
    </cfRule>
  </conditionalFormatting>
  <conditionalFormatting sqref="E90:F95">
    <cfRule type="expression" dxfId="1952" priority="4">
      <formula>kvartal&lt;4</formula>
    </cfRule>
  </conditionalFormatting>
  <conditionalFormatting sqref="E101:F106">
    <cfRule type="expression" dxfId="1951" priority="3">
      <formula>kvartal&lt;4</formula>
    </cfRule>
  </conditionalFormatting>
  <conditionalFormatting sqref="E115:F115">
    <cfRule type="expression" dxfId="1950" priority="2">
      <formula>kvartal&lt;4</formula>
    </cfRule>
  </conditionalFormatting>
  <conditionalFormatting sqref="E123:F123">
    <cfRule type="expression" dxfId="1949" priority="1">
      <formula>kvartal&lt;4</formula>
    </cfRule>
  </conditionalFormatting>
  <pageMargins left="0.23622047244094491" right="0.23622047244094491" top="0.62992125984251968" bottom="0.59055118110236227" header="0.51181102362204722" footer="0.51181102362204722"/>
  <pageSetup paperSize="9" scale="55" fitToHeight="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dimension ref="A1:O144"/>
  <sheetViews>
    <sheetView showGridLines="0" topLeftCell="A13" zoomScale="90" zoomScaleNormal="90" workbookViewId="0">
      <pane xSplit="1" topLeftCell="B1" activePane="topRight" state="frozen"/>
      <selection activeCell="E38" sqref="E38"/>
      <selection pane="topRight"/>
    </sheetView>
  </sheetViews>
  <sheetFormatPr baseColWidth="10" defaultColWidth="11.42578125" defaultRowHeight="12.75" x14ac:dyDescent="0.2"/>
  <cols>
    <col min="1" max="1" width="41.5703125" style="147" customWidth="1"/>
    <col min="2" max="2" width="10.85546875" style="147" customWidth="1"/>
    <col min="3" max="3" width="11" style="147" customWidth="1"/>
    <col min="4" max="5" width="8.7109375" style="147" customWidth="1"/>
    <col min="6" max="7" width="10.85546875" style="147" customWidth="1"/>
    <col min="8" max="9" width="8.7109375" style="147" customWidth="1"/>
    <col min="10" max="11" width="10.85546875" style="147" customWidth="1"/>
    <col min="12" max="13" width="8.7109375" style="147" customWidth="1"/>
    <col min="14" max="14" width="11.42578125" style="147"/>
    <col min="15" max="15" width="3" style="146" bestFit="1" customWidth="1"/>
    <col min="16" max="16384" width="11.42578125" style="1"/>
  </cols>
  <sheetData>
    <row r="1" spans="1:15" x14ac:dyDescent="0.2">
      <c r="A1" s="170" t="s">
        <v>152</v>
      </c>
      <c r="B1" s="932"/>
      <c r="C1" s="247" t="s">
        <v>137</v>
      </c>
      <c r="D1" s="25"/>
      <c r="E1" s="25"/>
      <c r="F1" s="25"/>
      <c r="G1" s="25"/>
      <c r="H1" s="25"/>
      <c r="I1" s="25"/>
      <c r="J1" s="25"/>
      <c r="K1" s="25"/>
      <c r="L1" s="25"/>
      <c r="M1" s="25"/>
      <c r="O1" s="423"/>
    </row>
    <row r="2" spans="1:15" ht="15.75" x14ac:dyDescent="0.25">
      <c r="A2" s="163" t="s">
        <v>31</v>
      </c>
      <c r="B2" s="356"/>
      <c r="C2" s="356"/>
      <c r="D2" s="356"/>
      <c r="E2" s="356"/>
      <c r="F2" s="356"/>
      <c r="G2" s="356"/>
      <c r="H2" s="356"/>
      <c r="I2" s="356"/>
      <c r="J2" s="356"/>
      <c r="K2" s="356"/>
      <c r="L2" s="356"/>
      <c r="M2" s="356"/>
    </row>
    <row r="3" spans="1:15" ht="15.75" x14ac:dyDescent="0.25">
      <c r="A3" s="161"/>
      <c r="B3" s="356"/>
      <c r="C3" s="356"/>
      <c r="D3" s="356"/>
      <c r="E3" s="356"/>
      <c r="F3" s="356"/>
      <c r="G3" s="356"/>
      <c r="H3" s="356"/>
      <c r="I3" s="356"/>
      <c r="J3" s="356"/>
      <c r="K3" s="356"/>
      <c r="L3" s="356"/>
      <c r="M3" s="356"/>
    </row>
    <row r="4" spans="1:15" x14ac:dyDescent="0.2">
      <c r="A4" s="142"/>
      <c r="B4" s="960" t="s">
        <v>0</v>
      </c>
      <c r="C4" s="961"/>
      <c r="D4" s="961"/>
      <c r="E4" s="353"/>
      <c r="F4" s="960" t="s">
        <v>1</v>
      </c>
      <c r="G4" s="961"/>
      <c r="H4" s="961"/>
      <c r="I4" s="354"/>
      <c r="J4" s="960" t="s">
        <v>2</v>
      </c>
      <c r="K4" s="961"/>
      <c r="L4" s="961"/>
      <c r="M4" s="354"/>
    </row>
    <row r="5" spans="1:15" x14ac:dyDescent="0.2">
      <c r="A5" s="156"/>
      <c r="B5" s="150" t="s">
        <v>504</v>
      </c>
      <c r="C5" s="150" t="s">
        <v>505</v>
      </c>
      <c r="D5" s="243" t="s">
        <v>3</v>
      </c>
      <c r="E5" s="303" t="s">
        <v>32</v>
      </c>
      <c r="F5" s="150" t="s">
        <v>504</v>
      </c>
      <c r="G5" s="150" t="s">
        <v>505</v>
      </c>
      <c r="H5" s="243" t="s">
        <v>3</v>
      </c>
      <c r="I5" s="303" t="s">
        <v>32</v>
      </c>
      <c r="J5" s="150" t="s">
        <v>504</v>
      </c>
      <c r="K5" s="150" t="s">
        <v>505</v>
      </c>
      <c r="L5" s="243" t="s">
        <v>3</v>
      </c>
      <c r="M5" s="160" t="s">
        <v>32</v>
      </c>
      <c r="O5" s="931"/>
    </row>
    <row r="6" spans="1:15" x14ac:dyDescent="0.2">
      <c r="A6" s="933"/>
      <c r="B6" s="154"/>
      <c r="C6" s="154"/>
      <c r="D6" s="245" t="s">
        <v>4</v>
      </c>
      <c r="E6" s="154" t="s">
        <v>33</v>
      </c>
      <c r="F6" s="159"/>
      <c r="G6" s="159"/>
      <c r="H6" s="243" t="s">
        <v>4</v>
      </c>
      <c r="I6" s="154" t="s">
        <v>33</v>
      </c>
      <c r="J6" s="159"/>
      <c r="K6" s="159"/>
      <c r="L6" s="243" t="s">
        <v>4</v>
      </c>
      <c r="M6" s="154" t="s">
        <v>33</v>
      </c>
    </row>
    <row r="7" spans="1:15" ht="15.75" x14ac:dyDescent="0.2">
      <c r="A7" s="14" t="s">
        <v>26</v>
      </c>
      <c r="B7" s="359">
        <v>0</v>
      </c>
      <c r="C7" s="360">
        <v>0</v>
      </c>
      <c r="D7" s="368">
        <f t="shared" ref="D7:D12" si="0">IF(AND(_xlfn.NUMBERVALUE(B7)=0,_xlfn.NUMBERVALUE(C7)=0),,IF(B7=0, "    ---- ", IF(ABS(ROUND(100/B7*C7-100,1))&lt;999,IF(ROUND(100/B7*C7-100,1)=0,"    ---- ",ROUND(100/B7*C7-100,1)),IF(ROUND(100/B7*C7-100,1)&gt;999,999,-999))))</f>
        <v>0</v>
      </c>
      <c r="E7" s="369">
        <f>IFERROR(100/'Skjema total MA'!C7*C7,0)</f>
        <v>0</v>
      </c>
      <c r="F7" s="359">
        <v>0</v>
      </c>
      <c r="G7" s="360">
        <v>0</v>
      </c>
      <c r="H7" s="368">
        <f t="shared" ref="H7:H12" si="1">IF(AND(_xlfn.NUMBERVALUE(F7)=0,_xlfn.NUMBERVALUE(G7)=0),,IF(F7=0, "    ---- ", IF(ABS(ROUND(100/F7*G7-100,1))&lt;999,IF(ROUND(100/F7*G7-100,1)=0,"    ---- ",ROUND(100/F7*G7-100,1)),IF(ROUND(100/F7*G7-100,1)&gt;999,999,-999))))</f>
        <v>0</v>
      </c>
      <c r="I7" s="369">
        <f>IFERROR(100/'Skjema total MA'!F7*G7,0)</f>
        <v>0</v>
      </c>
      <c r="J7" s="370">
        <v>0</v>
      </c>
      <c r="K7" s="365">
        <v>0</v>
      </c>
      <c r="L7" s="368">
        <f t="shared" ref="L7:L12" si="2">IF(AND(_xlfn.NUMBERVALUE(J7)=0,_xlfn.NUMBERVALUE(K7)=0),,IF(J7=0, "    ---- ", IF(ABS(ROUND(100/J7*K7-100,1))&lt;999,IF(ROUND(100/J7*K7-100,1)=0,"    ---- ",ROUND(100/J7*K7-100,1)),IF(ROUND(100/J7*K7-100,1)&gt;999,999,-999))))</f>
        <v>0</v>
      </c>
      <c r="M7" s="369">
        <f>IFERROR(100/'Skjema total MA'!I7*K7,0)</f>
        <v>0</v>
      </c>
    </row>
    <row r="8" spans="1:15" ht="15.75" x14ac:dyDescent="0.2">
      <c r="A8" s="20" t="s">
        <v>28</v>
      </c>
      <c r="B8" s="362">
        <v>0</v>
      </c>
      <c r="C8" s="363">
        <v>0</v>
      </c>
      <c r="D8" s="371">
        <f>IF(AND(_xlfn.NUMBERVALUE(B8)=0,_xlfn.NUMBERVALUE(C8)=0),,IF(B8=0, "    ---- ", IF(ABS(ROUND(100/B8*C8-100,1))&lt;999,IF(ROUND(100/B8*C8-100,1)=0,"    ---- ",ROUND(100/B8*C8-100,1)),IF(ROUND(100/B8*C8-100,1)&gt;999,999,-999))))</f>
        <v>0</v>
      </c>
      <c r="E8" s="369">
        <f>IFERROR(100/'Skjema total MA'!C8*C8,0)</f>
        <v>0</v>
      </c>
      <c r="F8" s="372"/>
      <c r="G8" s="373"/>
      <c r="H8" s="371">
        <f t="shared" si="1"/>
        <v>0</v>
      </c>
      <c r="I8" s="369">
        <f>IFERROR(100/'Skjema total MA'!F8*G8,0)</f>
        <v>0</v>
      </c>
      <c r="J8" s="374">
        <v>0</v>
      </c>
      <c r="K8" s="363">
        <v>0</v>
      </c>
      <c r="L8" s="371">
        <f>IF(AND(_xlfn.NUMBERVALUE(J8)=0,_xlfn.NUMBERVALUE(K8)=0),,IF(J8=0, "    ---- ", IF(ABS(ROUND(100/J8*K8-100,1))&lt;999,IF(ROUND(100/J8*K8-100,1)=0,"    ---- ",ROUND(100/J8*K8-100,1)),IF(ROUND(100/J8*K8-100,1)&gt;999,999,-999))))</f>
        <v>0</v>
      </c>
      <c r="M8" s="369">
        <f>IFERROR(100/'Skjema total MA'!I8*K8,0)</f>
        <v>0</v>
      </c>
    </row>
    <row r="9" spans="1:15" ht="15.75" x14ac:dyDescent="0.2">
      <c r="A9" s="20" t="s">
        <v>27</v>
      </c>
      <c r="B9" s="362">
        <v>0</v>
      </c>
      <c r="C9" s="363">
        <v>0</v>
      </c>
      <c r="D9" s="371">
        <f t="shared" si="0"/>
        <v>0</v>
      </c>
      <c r="E9" s="369">
        <f>IFERROR(100/'Skjema total MA'!C9*C9,0)</f>
        <v>0</v>
      </c>
      <c r="F9" s="372"/>
      <c r="G9" s="373"/>
      <c r="H9" s="371">
        <f t="shared" si="1"/>
        <v>0</v>
      </c>
      <c r="I9" s="369">
        <f>IFERROR(100/'Skjema total MA'!F9*G9,0)</f>
        <v>0</v>
      </c>
      <c r="J9" s="374">
        <v>0</v>
      </c>
      <c r="K9" s="363">
        <v>0</v>
      </c>
      <c r="L9" s="371">
        <f>IF(AND(_xlfn.NUMBERVALUE(J9)=0,_xlfn.NUMBERVALUE(K9)=0),,IF(J9=0, "    ---- ", IF(ABS(ROUND(100/J9*K9-100,1))&lt;999,IF(ROUND(100/J9*K9-100,1)=0,"    ---- ",ROUND(100/J9*K9-100,1)),IF(ROUND(100/J9*K9-100,1)&gt;999,999,-999))))</f>
        <v>0</v>
      </c>
      <c r="M9" s="369">
        <f>IFERROR(100/'Skjema total MA'!I9*K9,0)</f>
        <v>0</v>
      </c>
    </row>
    <row r="10" spans="1:15" ht="15.75" x14ac:dyDescent="0.2">
      <c r="A10" s="13" t="s">
        <v>25</v>
      </c>
      <c r="B10" s="364">
        <v>0</v>
      </c>
      <c r="C10" s="365">
        <v>0</v>
      </c>
      <c r="D10" s="371">
        <f t="shared" si="0"/>
        <v>0</v>
      </c>
      <c r="E10" s="369">
        <f>IFERROR(100/'Skjema total MA'!C10*C10,0)</f>
        <v>0</v>
      </c>
      <c r="F10" s="364">
        <v>0</v>
      </c>
      <c r="G10" s="365">
        <v>0</v>
      </c>
      <c r="H10" s="371">
        <f t="shared" si="1"/>
        <v>0</v>
      </c>
      <c r="I10" s="369">
        <f>IFERROR(100/'Skjema total MA'!F10*G10,0)</f>
        <v>0</v>
      </c>
      <c r="J10" s="370">
        <v>0</v>
      </c>
      <c r="K10" s="365">
        <v>0</v>
      </c>
      <c r="L10" s="371">
        <f t="shared" si="2"/>
        <v>0</v>
      </c>
      <c r="M10" s="369">
        <f>IFERROR(100/'Skjema total MA'!I10*K10,0)</f>
        <v>0</v>
      </c>
    </row>
    <row r="11" spans="1:15" s="42" customFormat="1" ht="15.75" x14ac:dyDescent="0.2">
      <c r="A11" s="13" t="s">
        <v>24</v>
      </c>
      <c r="B11" s="364">
        <v>0</v>
      </c>
      <c r="C11" s="365">
        <v>0</v>
      </c>
      <c r="D11" s="371">
        <f t="shared" si="0"/>
        <v>0</v>
      </c>
      <c r="E11" s="369">
        <f>IFERROR(100/'Skjema total MA'!C11*C11,0)</f>
        <v>0</v>
      </c>
      <c r="F11" s="364">
        <v>0</v>
      </c>
      <c r="G11" s="365">
        <v>0</v>
      </c>
      <c r="H11" s="371">
        <f t="shared" si="1"/>
        <v>0</v>
      </c>
      <c r="I11" s="369">
        <f>IFERROR(100/'Skjema total MA'!F11*G11,0)</f>
        <v>0</v>
      </c>
      <c r="J11" s="370">
        <v>0</v>
      </c>
      <c r="K11" s="365">
        <v>0</v>
      </c>
      <c r="L11" s="371">
        <f t="shared" si="2"/>
        <v>0</v>
      </c>
      <c r="M11" s="369">
        <f>IFERROR(100/'Skjema total MA'!I11*K11,0)</f>
        <v>0</v>
      </c>
      <c r="N11" s="141"/>
      <c r="O11" s="146"/>
    </row>
    <row r="12" spans="1:15" s="42" customFormat="1" ht="15.75" x14ac:dyDescent="0.2">
      <c r="A12" s="40" t="s">
        <v>23</v>
      </c>
      <c r="B12" s="366">
        <v>0</v>
      </c>
      <c r="C12" s="367">
        <v>0</v>
      </c>
      <c r="D12" s="375">
        <f t="shared" si="0"/>
        <v>0</v>
      </c>
      <c r="E12" s="375">
        <f>IFERROR(100/'Skjema total MA'!C12*C12,0)</f>
        <v>0</v>
      </c>
      <c r="F12" s="366">
        <v>0</v>
      </c>
      <c r="G12" s="367">
        <v>0</v>
      </c>
      <c r="H12" s="375">
        <f t="shared" si="1"/>
        <v>0</v>
      </c>
      <c r="I12" s="375">
        <f>IFERROR(100/'Skjema total MA'!F12*G12,0)</f>
        <v>0</v>
      </c>
      <c r="J12" s="376">
        <v>0</v>
      </c>
      <c r="K12" s="367">
        <v>0</v>
      </c>
      <c r="L12" s="375">
        <f t="shared" si="2"/>
        <v>0</v>
      </c>
      <c r="M12" s="375">
        <f>IFERROR(100/'Skjema total MA'!I12*K12,0)</f>
        <v>0</v>
      </c>
      <c r="N12" s="141"/>
      <c r="O12" s="146"/>
    </row>
    <row r="13" spans="1:15" s="42" customFormat="1" x14ac:dyDescent="0.2">
      <c r="A13" s="166"/>
      <c r="B13" s="143"/>
      <c r="C13" s="32"/>
      <c r="D13" s="157"/>
      <c r="E13" s="157"/>
      <c r="F13" s="143"/>
      <c r="G13" s="32"/>
      <c r="H13" s="157"/>
      <c r="I13" s="157"/>
      <c r="J13" s="47"/>
      <c r="K13" s="47"/>
      <c r="L13" s="157"/>
      <c r="M13" s="157"/>
      <c r="N13" s="141"/>
      <c r="O13" s="423"/>
    </row>
    <row r="14" spans="1:15" x14ac:dyDescent="0.2">
      <c r="A14" s="151" t="s">
        <v>296</v>
      </c>
      <c r="B14" s="25"/>
    </row>
    <row r="15" spans="1:15" x14ac:dyDescent="0.2">
      <c r="F15" s="144"/>
      <c r="G15" s="144"/>
      <c r="H15" s="144"/>
      <c r="I15" s="144"/>
      <c r="J15" s="144"/>
      <c r="K15" s="144"/>
      <c r="L15" s="144"/>
      <c r="M15" s="144"/>
    </row>
    <row r="16" spans="1:15" s="3" customFormat="1" ht="15.75" x14ac:dyDescent="0.25">
      <c r="A16" s="162"/>
      <c r="B16" s="146"/>
      <c r="C16" s="152"/>
      <c r="D16" s="152"/>
      <c r="E16" s="152"/>
      <c r="F16" s="152"/>
      <c r="G16" s="152"/>
      <c r="H16" s="152"/>
      <c r="I16" s="152"/>
      <c r="J16" s="152"/>
      <c r="K16" s="152"/>
      <c r="L16" s="152"/>
      <c r="M16" s="152"/>
      <c r="N16" s="146"/>
      <c r="O16" s="146"/>
    </row>
    <row r="17" spans="1:15" ht="15.75" x14ac:dyDescent="0.25">
      <c r="A17" s="145" t="s">
        <v>293</v>
      </c>
      <c r="B17" s="155"/>
      <c r="C17" s="155"/>
      <c r="D17" s="149"/>
      <c r="E17" s="149"/>
      <c r="F17" s="155"/>
      <c r="G17" s="155"/>
      <c r="H17" s="155"/>
      <c r="I17" s="155"/>
      <c r="J17" s="155"/>
      <c r="K17" s="155"/>
      <c r="L17" s="155"/>
      <c r="M17" s="155"/>
    </row>
    <row r="18" spans="1:15" ht="15.75" x14ac:dyDescent="0.25">
      <c r="B18" s="355"/>
      <c r="C18" s="355"/>
      <c r="D18" s="355"/>
      <c r="E18" s="356"/>
      <c r="F18" s="355"/>
      <c r="G18" s="355"/>
      <c r="H18" s="355"/>
      <c r="I18" s="356"/>
      <c r="J18" s="355"/>
      <c r="K18" s="355"/>
      <c r="L18" s="355"/>
      <c r="M18" s="356"/>
    </row>
    <row r="19" spans="1:15" x14ac:dyDescent="0.2">
      <c r="A19" s="142"/>
      <c r="B19" s="960" t="s">
        <v>0</v>
      </c>
      <c r="C19" s="961"/>
      <c r="D19" s="961"/>
      <c r="E19" s="353"/>
      <c r="F19" s="960" t="s">
        <v>1</v>
      </c>
      <c r="G19" s="961"/>
      <c r="H19" s="961"/>
      <c r="I19" s="354"/>
      <c r="J19" s="960" t="s">
        <v>2</v>
      </c>
      <c r="K19" s="961"/>
      <c r="L19" s="961"/>
      <c r="M19" s="354"/>
    </row>
    <row r="20" spans="1:15" x14ac:dyDescent="0.2">
      <c r="A20" s="139" t="s">
        <v>5</v>
      </c>
      <c r="B20" s="240" t="s">
        <v>504</v>
      </c>
      <c r="C20" s="240" t="s">
        <v>505</v>
      </c>
      <c r="D20" s="160" t="s">
        <v>3</v>
      </c>
      <c r="E20" s="303" t="s">
        <v>32</v>
      </c>
      <c r="F20" s="240" t="s">
        <v>504</v>
      </c>
      <c r="G20" s="240" t="s">
        <v>505</v>
      </c>
      <c r="H20" s="160" t="s">
        <v>3</v>
      </c>
      <c r="I20" s="303" t="s">
        <v>32</v>
      </c>
      <c r="J20" s="240" t="s">
        <v>504</v>
      </c>
      <c r="K20" s="240" t="s">
        <v>505</v>
      </c>
      <c r="L20" s="160" t="s">
        <v>3</v>
      </c>
      <c r="M20" s="160" t="s">
        <v>32</v>
      </c>
    </row>
    <row r="21" spans="1:15" x14ac:dyDescent="0.2">
      <c r="A21" s="934"/>
      <c r="B21" s="154"/>
      <c r="C21" s="154"/>
      <c r="D21" s="245" t="s">
        <v>4</v>
      </c>
      <c r="E21" s="154" t="s">
        <v>33</v>
      </c>
      <c r="F21" s="159"/>
      <c r="G21" s="159"/>
      <c r="H21" s="243" t="s">
        <v>4</v>
      </c>
      <c r="I21" s="154" t="s">
        <v>33</v>
      </c>
      <c r="J21" s="159"/>
      <c r="K21" s="159"/>
      <c r="L21" s="154" t="s">
        <v>4</v>
      </c>
      <c r="M21" s="154" t="s">
        <v>33</v>
      </c>
    </row>
    <row r="22" spans="1:15" ht="15.75" x14ac:dyDescent="0.2">
      <c r="A22" s="14" t="s">
        <v>26</v>
      </c>
      <c r="B22" s="359">
        <v>0</v>
      </c>
      <c r="C22" s="360">
        <v>0</v>
      </c>
      <c r="D22" s="368">
        <f t="shared" ref="D22:D39" si="3">IF(AND(_xlfn.NUMBERVALUE(B22)=0,_xlfn.NUMBERVALUE(C22)=0),,IF(B22=0, "    ---- ", IF(ABS(ROUND(100/B22*C22-100,1))&lt;999,IF(ROUND(100/B22*C22-100,1)=0,"    ---- ",ROUND(100/B22*C22-100,1)),IF(ROUND(100/B22*C22-100,1)&gt;999,999,-999))))</f>
        <v>0</v>
      </c>
      <c r="E22" s="369"/>
      <c r="F22" s="377"/>
      <c r="G22" s="360"/>
      <c r="H22" s="368"/>
      <c r="I22" s="369"/>
      <c r="J22" s="359"/>
      <c r="K22" s="359"/>
      <c r="L22" s="368"/>
      <c r="M22" s="369"/>
    </row>
    <row r="23" spans="1:15" ht="15.75" x14ac:dyDescent="0.2">
      <c r="A23" s="294" t="s">
        <v>305</v>
      </c>
      <c r="B23" s="361">
        <v>0</v>
      </c>
      <c r="C23" s="361">
        <v>0</v>
      </c>
      <c r="D23" s="371">
        <f t="shared" si="3"/>
        <v>0</v>
      </c>
      <c r="E23" s="396"/>
      <c r="F23" s="361"/>
      <c r="G23" s="361"/>
      <c r="H23" s="371"/>
      <c r="I23" s="369"/>
      <c r="J23" s="361"/>
      <c r="K23" s="361"/>
      <c r="L23" s="371"/>
      <c r="M23" s="369"/>
    </row>
    <row r="24" spans="1:15" ht="15.75" x14ac:dyDescent="0.2">
      <c r="A24" s="294" t="s">
        <v>306</v>
      </c>
      <c r="B24" s="361">
        <v>0</v>
      </c>
      <c r="C24" s="361">
        <v>0</v>
      </c>
      <c r="D24" s="371">
        <f t="shared" si="3"/>
        <v>0</v>
      </c>
      <c r="E24" s="396"/>
      <c r="F24" s="361"/>
      <c r="G24" s="361"/>
      <c r="H24" s="371"/>
      <c r="I24" s="369"/>
      <c r="J24" s="361"/>
      <c r="K24" s="361"/>
      <c r="L24" s="371"/>
      <c r="M24" s="369"/>
    </row>
    <row r="25" spans="1:15" ht="15.75" x14ac:dyDescent="0.2">
      <c r="A25" s="294" t="s">
        <v>406</v>
      </c>
      <c r="B25" s="361">
        <v>0</v>
      </c>
      <c r="C25" s="361">
        <v>0</v>
      </c>
      <c r="D25" s="371">
        <f t="shared" si="3"/>
        <v>0</v>
      </c>
      <c r="E25" s="396"/>
      <c r="F25" s="361"/>
      <c r="G25" s="361"/>
      <c r="H25" s="371"/>
      <c r="I25" s="369"/>
      <c r="J25" s="361"/>
      <c r="K25" s="361"/>
      <c r="L25" s="371"/>
      <c r="M25" s="369"/>
    </row>
    <row r="26" spans="1:15" ht="15.75" x14ac:dyDescent="0.2">
      <c r="A26" s="294" t="s">
        <v>307</v>
      </c>
      <c r="B26" s="361">
        <v>0</v>
      </c>
      <c r="C26" s="361">
        <v>0</v>
      </c>
      <c r="D26" s="371">
        <f t="shared" ref="D26" si="4">IF(AND(_xlfn.NUMBERVALUE(B26)=0,_xlfn.NUMBERVALUE(C26)=0),,IF(B26=0, "    ---- ", IF(ABS(ROUND(100/B26*C26-100,1))&lt;999,IF(ROUND(100/B26*C26-100,1)=0,"    ---- ",ROUND(100/B26*C26-100,1)),IF(ROUND(100/B26*C26-100,1)&gt;999,999,-999))))</f>
        <v>0</v>
      </c>
      <c r="E26" s="396"/>
      <c r="F26" s="361"/>
      <c r="G26" s="361"/>
      <c r="H26" s="371"/>
      <c r="I26" s="369"/>
      <c r="J26" s="361"/>
      <c r="K26" s="361"/>
      <c r="L26" s="371"/>
      <c r="M26" s="369"/>
    </row>
    <row r="27" spans="1:15" x14ac:dyDescent="0.2">
      <c r="A27" s="294" t="s">
        <v>11</v>
      </c>
      <c r="B27" s="361">
        <v>0</v>
      </c>
      <c r="C27" s="361">
        <v>0</v>
      </c>
      <c r="D27" s="371">
        <f t="shared" si="3"/>
        <v>0</v>
      </c>
      <c r="E27" s="396"/>
      <c r="F27" s="361"/>
      <c r="G27" s="361"/>
      <c r="H27" s="371"/>
      <c r="I27" s="369"/>
      <c r="J27" s="361"/>
      <c r="K27" s="361"/>
      <c r="L27" s="371"/>
      <c r="M27" s="369"/>
    </row>
    <row r="28" spans="1:15" ht="15.75" x14ac:dyDescent="0.2">
      <c r="A28" s="48" t="s">
        <v>297</v>
      </c>
      <c r="B28" s="362">
        <v>0</v>
      </c>
      <c r="C28" s="363">
        <v>0</v>
      </c>
      <c r="D28" s="371">
        <f t="shared" si="3"/>
        <v>0</v>
      </c>
      <c r="E28" s="369"/>
      <c r="F28" s="374"/>
      <c r="G28" s="363"/>
      <c r="H28" s="371"/>
      <c r="I28" s="369"/>
      <c r="J28" s="362"/>
      <c r="K28" s="362"/>
      <c r="L28" s="371"/>
      <c r="M28" s="369"/>
    </row>
    <row r="29" spans="1:15" s="3" customFormat="1" ht="15.75" x14ac:dyDescent="0.2">
      <c r="A29" s="13" t="s">
        <v>25</v>
      </c>
      <c r="B29" s="364">
        <v>0</v>
      </c>
      <c r="C29" s="365">
        <v>0</v>
      </c>
      <c r="D29" s="371">
        <f t="shared" si="3"/>
        <v>0</v>
      </c>
      <c r="E29" s="369"/>
      <c r="F29" s="370"/>
      <c r="G29" s="365"/>
      <c r="H29" s="371"/>
      <c r="I29" s="369"/>
      <c r="J29" s="364"/>
      <c r="K29" s="364"/>
      <c r="L29" s="371"/>
      <c r="M29" s="369"/>
      <c r="N29" s="146"/>
      <c r="O29" s="146"/>
    </row>
    <row r="30" spans="1:15" s="3" customFormat="1" ht="15.75" x14ac:dyDescent="0.2">
      <c r="A30" s="294" t="s">
        <v>305</v>
      </c>
      <c r="B30" s="361">
        <v>0</v>
      </c>
      <c r="C30" s="361">
        <v>0</v>
      </c>
      <c r="D30" s="371">
        <f t="shared" si="3"/>
        <v>0</v>
      </c>
      <c r="E30" s="396"/>
      <c r="F30" s="361"/>
      <c r="G30" s="361"/>
      <c r="H30" s="371"/>
      <c r="I30" s="369"/>
      <c r="J30" s="361"/>
      <c r="K30" s="361"/>
      <c r="L30" s="371"/>
      <c r="M30" s="369"/>
      <c r="N30" s="146"/>
      <c r="O30" s="146"/>
    </row>
    <row r="31" spans="1:15" s="3" customFormat="1" ht="15.75" x14ac:dyDescent="0.2">
      <c r="A31" s="294" t="s">
        <v>306</v>
      </c>
      <c r="B31" s="361">
        <v>0</v>
      </c>
      <c r="C31" s="361">
        <v>0</v>
      </c>
      <c r="D31" s="371">
        <f t="shared" si="3"/>
        <v>0</v>
      </c>
      <c r="E31" s="396"/>
      <c r="F31" s="361"/>
      <c r="G31" s="361"/>
      <c r="H31" s="371"/>
      <c r="I31" s="369"/>
      <c r="J31" s="361"/>
      <c r="K31" s="361"/>
      <c r="L31" s="371"/>
      <c r="M31" s="369"/>
      <c r="N31" s="146"/>
      <c r="O31" s="146"/>
    </row>
    <row r="32" spans="1:15" ht="15.75" x14ac:dyDescent="0.2">
      <c r="A32" s="294" t="s">
        <v>406</v>
      </c>
      <c r="B32" s="361">
        <v>0</v>
      </c>
      <c r="C32" s="361">
        <v>0</v>
      </c>
      <c r="D32" s="371">
        <f t="shared" si="3"/>
        <v>0</v>
      </c>
      <c r="E32" s="396"/>
      <c r="F32" s="361"/>
      <c r="G32" s="361"/>
      <c r="H32" s="371"/>
      <c r="I32" s="369"/>
      <c r="J32" s="361"/>
      <c r="K32" s="361"/>
      <c r="L32" s="371"/>
      <c r="M32" s="369"/>
    </row>
    <row r="33" spans="1:15" ht="15.75" x14ac:dyDescent="0.2">
      <c r="A33" s="294" t="s">
        <v>307</v>
      </c>
      <c r="B33" s="361">
        <v>0</v>
      </c>
      <c r="C33" s="361">
        <v>0</v>
      </c>
      <c r="D33" s="371">
        <f t="shared" ref="D33" si="5">IF(AND(_xlfn.NUMBERVALUE(B33)=0,_xlfn.NUMBERVALUE(C33)=0),,IF(B33=0, "    ---- ", IF(ABS(ROUND(100/B33*C33-100,1))&lt;999,IF(ROUND(100/B33*C33-100,1)=0,"    ---- ",ROUND(100/B33*C33-100,1)),IF(ROUND(100/B33*C33-100,1)&gt;999,999,-999))))</f>
        <v>0</v>
      </c>
      <c r="E33" s="396"/>
      <c r="F33" s="361"/>
      <c r="G33" s="361"/>
      <c r="H33" s="371"/>
      <c r="I33" s="369"/>
      <c r="J33" s="361"/>
      <c r="K33" s="361"/>
      <c r="L33" s="371"/>
      <c r="M33" s="369"/>
    </row>
    <row r="34" spans="1:15" ht="15.75" x14ac:dyDescent="0.2">
      <c r="A34" s="13" t="s">
        <v>24</v>
      </c>
      <c r="B34" s="364">
        <v>0</v>
      </c>
      <c r="C34" s="365">
        <v>0</v>
      </c>
      <c r="D34" s="371">
        <f t="shared" si="3"/>
        <v>0</v>
      </c>
      <c r="E34" s="369"/>
      <c r="F34" s="370"/>
      <c r="G34" s="365"/>
      <c r="H34" s="371"/>
      <c r="I34" s="369"/>
      <c r="J34" s="364"/>
      <c r="K34" s="364"/>
      <c r="L34" s="371"/>
      <c r="M34" s="369"/>
    </row>
    <row r="35" spans="1:15" ht="15.75" x14ac:dyDescent="0.2">
      <c r="A35" s="13" t="s">
        <v>23</v>
      </c>
      <c r="B35" s="364">
        <v>0</v>
      </c>
      <c r="C35" s="365">
        <v>0</v>
      </c>
      <c r="D35" s="371">
        <f t="shared" si="3"/>
        <v>0</v>
      </c>
      <c r="E35" s="369">
        <f>IFERROR(100/'Skjema total MA'!C35*C35,0)</f>
        <v>0</v>
      </c>
      <c r="F35" s="370">
        <v>0</v>
      </c>
      <c r="G35" s="365">
        <v>0</v>
      </c>
      <c r="H35" s="371">
        <f t="shared" ref="H35:H39" si="6">IF(AND(_xlfn.NUMBERVALUE(F35)=0,_xlfn.NUMBERVALUE(G35)=0),,IF(F35=0, "    ---- ", IF(ABS(ROUND(100/F35*G35-100,1))&lt;999,IF(ROUND(100/F35*G35-100,1)=0,"    ---- ",ROUND(100/F35*G35-100,1)),IF(ROUND(100/F35*G35-100,1)&gt;999,999,-999))))</f>
        <v>0</v>
      </c>
      <c r="I35" s="369">
        <f>IFERROR(100/'Skjema total MA'!F35*G35,0)</f>
        <v>0</v>
      </c>
      <c r="J35" s="364">
        <f t="shared" ref="J35:K35" si="7">SUM(B35,F35)</f>
        <v>0</v>
      </c>
      <c r="K35" s="364">
        <f t="shared" si="7"/>
        <v>0</v>
      </c>
      <c r="L35" s="371">
        <f t="shared" ref="L35:L39" si="8">IF(AND(_xlfn.NUMBERVALUE(J35)=0,_xlfn.NUMBERVALUE(K35)=0),,IF(J35=0, "    ---- ", IF(ABS(ROUND(100/J35*K35-100,1))&lt;999,IF(ROUND(100/J35*K35-100,1)=0,"    ---- ",ROUND(100/J35*K35-100,1)),IF(ROUND(100/J35*K35-100,1)&gt;999,999,-999))))</f>
        <v>0</v>
      </c>
      <c r="M35" s="369">
        <f>IFERROR(100/'Skjema total MA'!I35*K35,0)</f>
        <v>0</v>
      </c>
    </row>
    <row r="36" spans="1:15" ht="15.75" x14ac:dyDescent="0.2">
      <c r="A36" s="12" t="s">
        <v>308</v>
      </c>
      <c r="B36" s="364">
        <v>0</v>
      </c>
      <c r="C36" s="365">
        <v>0</v>
      </c>
      <c r="D36" s="371">
        <f t="shared" si="3"/>
        <v>0</v>
      </c>
      <c r="E36" s="369">
        <f>100/'Skjema total MA'!C36*C36</f>
        <v>0</v>
      </c>
      <c r="F36" s="378"/>
      <c r="G36" s="379"/>
      <c r="H36" s="371">
        <f t="shared" si="6"/>
        <v>0</v>
      </c>
      <c r="I36" s="369">
        <f>IFERROR(100/'Skjema total MA'!F36*G36,0)</f>
        <v>0</v>
      </c>
      <c r="J36" s="364">
        <f t="shared" ref="J36:J39" si="9">SUM(B36,F36)</f>
        <v>0</v>
      </c>
      <c r="K36" s="364">
        <f t="shared" ref="K36:K39" si="10">SUM(C36,G36)</f>
        <v>0</v>
      </c>
      <c r="L36" s="371">
        <f t="shared" si="8"/>
        <v>0</v>
      </c>
      <c r="M36" s="369">
        <f>IFERROR(100/'Skjema total MA'!I36*K36,0)</f>
        <v>0</v>
      </c>
    </row>
    <row r="37" spans="1:15" ht="15.75" x14ac:dyDescent="0.2">
      <c r="A37" s="12" t="s">
        <v>309</v>
      </c>
      <c r="B37" s="364">
        <v>0</v>
      </c>
      <c r="C37" s="365">
        <v>0</v>
      </c>
      <c r="D37" s="371">
        <f t="shared" si="3"/>
        <v>0</v>
      </c>
      <c r="E37" s="369">
        <f>100/'Skjema total MA'!C37*C37</f>
        <v>0</v>
      </c>
      <c r="F37" s="378"/>
      <c r="G37" s="380"/>
      <c r="H37" s="371">
        <f t="shared" si="6"/>
        <v>0</v>
      </c>
      <c r="I37" s="369">
        <f>IFERROR(100/'Skjema total MA'!F37*G37,0)</f>
        <v>0</v>
      </c>
      <c r="J37" s="364">
        <f t="shared" si="9"/>
        <v>0</v>
      </c>
      <c r="K37" s="364">
        <f t="shared" si="10"/>
        <v>0</v>
      </c>
      <c r="L37" s="371">
        <f t="shared" si="8"/>
        <v>0</v>
      </c>
      <c r="M37" s="369">
        <f>IFERROR(100/'Skjema total MA'!I37*K37,0)</f>
        <v>0</v>
      </c>
    </row>
    <row r="38" spans="1:15" ht="15.75" x14ac:dyDescent="0.2">
      <c r="A38" s="12" t="s">
        <v>310</v>
      </c>
      <c r="B38" s="364">
        <v>0</v>
      </c>
      <c r="C38" s="365">
        <v>0</v>
      </c>
      <c r="D38" s="371">
        <f t="shared" si="3"/>
        <v>0</v>
      </c>
      <c r="E38" s="369"/>
      <c r="F38" s="378"/>
      <c r="G38" s="379"/>
      <c r="H38" s="371">
        <f t="shared" si="6"/>
        <v>0</v>
      </c>
      <c r="I38" s="369">
        <f>IFERROR(100/'Skjema total MA'!F38*G38,0)</f>
        <v>0</v>
      </c>
      <c r="J38" s="364">
        <f t="shared" si="9"/>
        <v>0</v>
      </c>
      <c r="K38" s="364">
        <f t="shared" si="10"/>
        <v>0</v>
      </c>
      <c r="L38" s="371">
        <f t="shared" si="8"/>
        <v>0</v>
      </c>
      <c r="M38" s="369">
        <f>IFERROR(100/'Skjema total MA'!I38*K38,0)</f>
        <v>0</v>
      </c>
    </row>
    <row r="39" spans="1:15" ht="15.75" x14ac:dyDescent="0.2">
      <c r="A39" s="18" t="s">
        <v>311</v>
      </c>
      <c r="B39" s="366">
        <v>0</v>
      </c>
      <c r="C39" s="367">
        <v>0</v>
      </c>
      <c r="D39" s="375">
        <f t="shared" si="3"/>
        <v>0</v>
      </c>
      <c r="E39" s="369">
        <f>100/'Skjema total MA'!C39*C39</f>
        <v>0</v>
      </c>
      <c r="F39" s="381"/>
      <c r="G39" s="382"/>
      <c r="H39" s="375">
        <f t="shared" si="6"/>
        <v>0</v>
      </c>
      <c r="I39" s="369">
        <f>IFERROR(100/'Skjema total MA'!F39*G39,0)</f>
        <v>0</v>
      </c>
      <c r="J39" s="364">
        <f t="shared" si="9"/>
        <v>0</v>
      </c>
      <c r="K39" s="364">
        <f t="shared" si="10"/>
        <v>0</v>
      </c>
      <c r="L39" s="375">
        <f t="shared" si="8"/>
        <v>0</v>
      </c>
      <c r="M39" s="375">
        <f>IFERROR(100/'Skjema total MA'!I39*K39,0)</f>
        <v>0</v>
      </c>
    </row>
    <row r="40" spans="1:15" ht="15.75" x14ac:dyDescent="0.25">
      <c r="A40" s="46"/>
      <c r="B40" s="252"/>
      <c r="C40" s="252"/>
      <c r="D40" s="358"/>
      <c r="E40" s="358"/>
      <c r="F40" s="358"/>
      <c r="G40" s="358"/>
      <c r="H40" s="358"/>
      <c r="I40" s="358"/>
      <c r="J40" s="358"/>
      <c r="K40" s="358"/>
      <c r="L40" s="358"/>
      <c r="M40" s="357"/>
    </row>
    <row r="41" spans="1:15" x14ac:dyDescent="0.2">
      <c r="A41" s="153"/>
    </row>
    <row r="42" spans="1:15" ht="15.75" x14ac:dyDescent="0.25">
      <c r="A42" s="145" t="s">
        <v>294</v>
      </c>
      <c r="B42" s="356"/>
      <c r="C42" s="356"/>
      <c r="D42" s="356"/>
      <c r="E42" s="356"/>
      <c r="F42" s="357"/>
      <c r="G42" s="357"/>
      <c r="H42" s="357"/>
      <c r="I42" s="357"/>
      <c r="J42" s="357"/>
      <c r="K42" s="357"/>
      <c r="L42" s="357"/>
      <c r="M42" s="357"/>
    </row>
    <row r="43" spans="1:15" ht="15.75" x14ac:dyDescent="0.25">
      <c r="A43" s="161"/>
      <c r="B43" s="355"/>
      <c r="C43" s="355"/>
      <c r="D43" s="355"/>
      <c r="E43" s="355"/>
      <c r="F43" s="357"/>
      <c r="G43" s="357"/>
      <c r="H43" s="357"/>
      <c r="I43" s="357"/>
      <c r="J43" s="357"/>
      <c r="K43" s="357"/>
      <c r="L43" s="357"/>
      <c r="M43" s="357"/>
    </row>
    <row r="44" spans="1:15" ht="15.75" x14ac:dyDescent="0.25">
      <c r="A44" s="246"/>
      <c r="B44" s="960" t="s">
        <v>0</v>
      </c>
      <c r="C44" s="961"/>
      <c r="D44" s="961"/>
      <c r="E44" s="241"/>
      <c r="F44" s="357"/>
      <c r="G44" s="357"/>
      <c r="H44" s="357"/>
      <c r="I44" s="357"/>
      <c r="J44" s="357"/>
      <c r="K44" s="357"/>
      <c r="L44" s="357"/>
      <c r="M44" s="357"/>
    </row>
    <row r="45" spans="1:15" s="3" customFormat="1" x14ac:dyDescent="0.2">
      <c r="A45" s="139"/>
      <c r="B45" s="171" t="s">
        <v>504</v>
      </c>
      <c r="C45" s="171" t="s">
        <v>505</v>
      </c>
      <c r="D45" s="160" t="s">
        <v>3</v>
      </c>
      <c r="E45" s="160" t="s">
        <v>32</v>
      </c>
      <c r="F45" s="173"/>
      <c r="G45" s="173"/>
      <c r="H45" s="172"/>
      <c r="I45" s="172"/>
      <c r="J45" s="173"/>
      <c r="K45" s="173"/>
      <c r="L45" s="172"/>
      <c r="M45" s="172"/>
      <c r="N45" s="146"/>
      <c r="O45" s="146"/>
    </row>
    <row r="46" spans="1:15" s="3" customFormat="1" x14ac:dyDescent="0.2">
      <c r="A46" s="934"/>
      <c r="B46" s="242"/>
      <c r="C46" s="242"/>
      <c r="D46" s="243" t="s">
        <v>4</v>
      </c>
      <c r="E46" s="154" t="s">
        <v>33</v>
      </c>
      <c r="F46" s="172"/>
      <c r="G46" s="172"/>
      <c r="H46" s="172"/>
      <c r="I46" s="172"/>
      <c r="J46" s="172"/>
      <c r="K46" s="172"/>
      <c r="L46" s="172"/>
      <c r="M46" s="172"/>
      <c r="N46" s="146"/>
      <c r="O46" s="146"/>
    </row>
    <row r="47" spans="1:15" s="417" customFormat="1" ht="15.75" x14ac:dyDescent="0.2">
      <c r="A47" s="14" t="s">
        <v>26</v>
      </c>
      <c r="B47" s="364">
        <f>SUM(B48:B49)</f>
        <v>0</v>
      </c>
      <c r="C47" s="365">
        <f>SUM(C48:C49)</f>
        <v>0</v>
      </c>
      <c r="D47" s="421">
        <f>IF(AND(_xlfn.NUMBERVALUE(B47)=0,_xlfn.NUMBERVALUE(C47)=0),,IF(B47=0, "    ---- ", IF(ABS(ROUND(100/B47*C47-100,1))&lt;999,IF(ROUND(100/B47*C47-100,1)=0,"    ---- ",ROUND(100/B47*C47-100,1)),IF(ROUND(100/B47*C47-100,1)&gt;999,999,-999))))</f>
        <v>0</v>
      </c>
      <c r="E47" s="422">
        <f>IFERROR(100/'Skjema total MA'!C47*C47,0)</f>
        <v>0</v>
      </c>
      <c r="F47" s="157"/>
      <c r="G47" s="172"/>
      <c r="H47" s="157"/>
      <c r="I47" s="157"/>
      <c r="J47" s="420"/>
      <c r="K47" s="420"/>
      <c r="L47" s="157"/>
      <c r="M47" s="157"/>
      <c r="N47" s="423"/>
      <c r="O47" s="423"/>
    </row>
    <row r="48" spans="1:15" s="3" customFormat="1" ht="15.75" x14ac:dyDescent="0.2">
      <c r="A48" s="37" t="s">
        <v>312</v>
      </c>
      <c r="B48" s="362">
        <v>0</v>
      </c>
      <c r="C48" s="363">
        <v>0</v>
      </c>
      <c r="D48" s="371">
        <f t="shared" ref="D48:D58" si="11">IF(AND(_xlfn.NUMBERVALUE(B48)=0,_xlfn.NUMBERVALUE(C48)=0),,IF(B48=0, "    ---- ", IF(ABS(ROUND(100/B48*C48-100,1))&lt;999,IF(ROUND(100/B48*C48-100,1)=0,"    ---- ",ROUND(100/B48*C48-100,1)),IF(ROUND(100/B48*C48-100,1)&gt;999,999,-999))))</f>
        <v>0</v>
      </c>
      <c r="E48" s="410"/>
      <c r="F48" s="143"/>
      <c r="G48" s="32"/>
      <c r="H48" s="143"/>
      <c r="I48" s="143"/>
      <c r="J48" s="32"/>
      <c r="K48" s="32"/>
      <c r="L48" s="157"/>
      <c r="M48" s="157"/>
      <c r="N48" s="146"/>
      <c r="O48" s="146"/>
    </row>
    <row r="49" spans="1:15" s="3" customFormat="1" ht="15.75" x14ac:dyDescent="0.2">
      <c r="A49" s="37" t="s">
        <v>313</v>
      </c>
      <c r="B49" s="362">
        <v>0</v>
      </c>
      <c r="C49" s="363">
        <v>0</v>
      </c>
      <c r="D49" s="371">
        <f t="shared" si="11"/>
        <v>0</v>
      </c>
      <c r="E49" s="410"/>
      <c r="F49" s="143"/>
      <c r="G49" s="32"/>
      <c r="H49" s="143"/>
      <c r="I49" s="143"/>
      <c r="J49" s="36"/>
      <c r="K49" s="36"/>
      <c r="L49" s="157"/>
      <c r="M49" s="157"/>
      <c r="N49" s="146"/>
      <c r="O49" s="146"/>
    </row>
    <row r="50" spans="1:15" s="3" customFormat="1" x14ac:dyDescent="0.2">
      <c r="A50" s="294" t="s">
        <v>6</v>
      </c>
      <c r="B50" s="361">
        <v>0</v>
      </c>
      <c r="C50" s="383">
        <v>0</v>
      </c>
      <c r="D50" s="371">
        <f t="shared" si="11"/>
        <v>0</v>
      </c>
      <c r="E50" s="411"/>
      <c r="F50" s="143"/>
      <c r="G50" s="32"/>
      <c r="H50" s="143"/>
      <c r="I50" s="143"/>
      <c r="J50" s="32"/>
      <c r="K50" s="32"/>
      <c r="L50" s="157"/>
      <c r="M50" s="157"/>
      <c r="N50" s="146"/>
      <c r="O50" s="146"/>
    </row>
    <row r="51" spans="1:15" s="3" customFormat="1" x14ac:dyDescent="0.2">
      <c r="A51" s="294" t="s">
        <v>7</v>
      </c>
      <c r="B51" s="361">
        <v>0</v>
      </c>
      <c r="C51" s="383">
        <v>0</v>
      </c>
      <c r="D51" s="371">
        <f t="shared" si="11"/>
        <v>0</v>
      </c>
      <c r="E51" s="411"/>
      <c r="F51" s="143"/>
      <c r="G51" s="32"/>
      <c r="H51" s="143"/>
      <c r="I51" s="143"/>
      <c r="J51" s="32"/>
      <c r="K51" s="32"/>
      <c r="L51" s="157"/>
      <c r="M51" s="157"/>
      <c r="N51" s="146"/>
      <c r="O51" s="146"/>
    </row>
    <row r="52" spans="1:15" s="3" customFormat="1" x14ac:dyDescent="0.2">
      <c r="A52" s="294" t="s">
        <v>8</v>
      </c>
      <c r="B52" s="361">
        <v>0</v>
      </c>
      <c r="C52" s="383">
        <v>0</v>
      </c>
      <c r="D52" s="371">
        <f t="shared" si="11"/>
        <v>0</v>
      </c>
      <c r="E52" s="411"/>
      <c r="F52" s="143"/>
      <c r="G52" s="32"/>
      <c r="H52" s="143"/>
      <c r="I52" s="143"/>
      <c r="J52" s="32"/>
      <c r="K52" s="32"/>
      <c r="L52" s="157"/>
      <c r="M52" s="157"/>
      <c r="N52" s="146"/>
      <c r="O52" s="146"/>
    </row>
    <row r="53" spans="1:15" s="3" customFormat="1" ht="15.75" x14ac:dyDescent="0.2">
      <c r="A53" s="38" t="s">
        <v>314</v>
      </c>
      <c r="B53" s="364">
        <v>0</v>
      </c>
      <c r="C53" s="365">
        <v>0</v>
      </c>
      <c r="D53" s="371">
        <f t="shared" si="11"/>
        <v>0</v>
      </c>
      <c r="E53" s="410"/>
      <c r="F53" s="143"/>
      <c r="G53" s="32"/>
      <c r="H53" s="143"/>
      <c r="I53" s="143"/>
      <c r="J53" s="32"/>
      <c r="K53" s="32"/>
      <c r="L53" s="157"/>
      <c r="M53" s="157"/>
      <c r="N53" s="146"/>
      <c r="O53" s="146"/>
    </row>
    <row r="54" spans="1:15" s="3" customFormat="1" ht="15.75" x14ac:dyDescent="0.2">
      <c r="A54" s="37" t="s">
        <v>312</v>
      </c>
      <c r="B54" s="362">
        <v>0</v>
      </c>
      <c r="C54" s="363">
        <v>0</v>
      </c>
      <c r="D54" s="371">
        <f t="shared" si="11"/>
        <v>0</v>
      </c>
      <c r="E54" s="410">
        <f>IFERROR(100/'Skjema total MA'!C54*C54,0)</f>
        <v>0</v>
      </c>
      <c r="F54" s="143"/>
      <c r="G54" s="32"/>
      <c r="H54" s="143"/>
      <c r="I54" s="143"/>
      <c r="J54" s="32"/>
      <c r="K54" s="32"/>
      <c r="L54" s="157"/>
      <c r="M54" s="157"/>
      <c r="N54" s="146"/>
      <c r="O54" s="146"/>
    </row>
    <row r="55" spans="1:15" s="3" customFormat="1" ht="15.75" x14ac:dyDescent="0.2">
      <c r="A55" s="37" t="s">
        <v>313</v>
      </c>
      <c r="B55" s="362">
        <v>0</v>
      </c>
      <c r="C55" s="363">
        <v>0</v>
      </c>
      <c r="D55" s="371">
        <f t="shared" si="11"/>
        <v>0</v>
      </c>
      <c r="E55" s="410">
        <f>IFERROR(100/'Skjema total MA'!C55*C55,0)</f>
        <v>0</v>
      </c>
      <c r="F55" s="143"/>
      <c r="G55" s="32"/>
      <c r="H55" s="143"/>
      <c r="I55" s="143"/>
      <c r="J55" s="32"/>
      <c r="K55" s="32"/>
      <c r="L55" s="157"/>
      <c r="M55" s="157"/>
      <c r="N55" s="146"/>
      <c r="O55" s="146"/>
    </row>
    <row r="56" spans="1:15" s="3" customFormat="1" ht="15.75" x14ac:dyDescent="0.2">
      <c r="A56" s="38" t="s">
        <v>315</v>
      </c>
      <c r="B56" s="364">
        <v>0</v>
      </c>
      <c r="C56" s="365">
        <v>0</v>
      </c>
      <c r="D56" s="371">
        <f t="shared" si="11"/>
        <v>0</v>
      </c>
      <c r="E56" s="410">
        <f>IFERROR(100/'Skjema total MA'!C56*C56,0)</f>
        <v>0</v>
      </c>
      <c r="F56" s="143"/>
      <c r="G56" s="32"/>
      <c r="H56" s="143"/>
      <c r="I56" s="143"/>
      <c r="J56" s="32"/>
      <c r="K56" s="32"/>
      <c r="L56" s="157"/>
      <c r="M56" s="157"/>
      <c r="N56" s="146"/>
      <c r="O56" s="146"/>
    </row>
    <row r="57" spans="1:15" s="3" customFormat="1" ht="15.75" x14ac:dyDescent="0.2">
      <c r="A57" s="37" t="s">
        <v>312</v>
      </c>
      <c r="B57" s="362">
        <v>0</v>
      </c>
      <c r="C57" s="363">
        <v>0</v>
      </c>
      <c r="D57" s="371">
        <f t="shared" si="11"/>
        <v>0</v>
      </c>
      <c r="E57" s="410">
        <f>IFERROR(100/'Skjema total MA'!C57*C57,0)</f>
        <v>0</v>
      </c>
      <c r="F57" s="143"/>
      <c r="G57" s="32"/>
      <c r="H57" s="143"/>
      <c r="I57" s="143"/>
      <c r="J57" s="32"/>
      <c r="K57" s="32"/>
      <c r="L57" s="157"/>
      <c r="M57" s="157"/>
      <c r="N57" s="146"/>
      <c r="O57" s="146"/>
    </row>
    <row r="58" spans="1:15" s="3" customFormat="1" ht="15.75" x14ac:dyDescent="0.2">
      <c r="A58" s="45" t="s">
        <v>313</v>
      </c>
      <c r="B58" s="384">
        <v>0</v>
      </c>
      <c r="C58" s="385">
        <v>0</v>
      </c>
      <c r="D58" s="375">
        <f t="shared" si="11"/>
        <v>0</v>
      </c>
      <c r="E58" s="412">
        <f>IFERROR(100/'Skjema total MA'!C58*C58,0)</f>
        <v>0</v>
      </c>
      <c r="F58" s="143"/>
      <c r="G58" s="32"/>
      <c r="H58" s="143"/>
      <c r="I58" s="143"/>
      <c r="J58" s="32"/>
      <c r="K58" s="32"/>
      <c r="L58" s="157"/>
      <c r="M58" s="157"/>
      <c r="N58" s="146"/>
      <c r="O58" s="146"/>
    </row>
    <row r="59" spans="1:15" s="3" customFormat="1" ht="15.75" x14ac:dyDescent="0.25">
      <c r="A59" s="162"/>
      <c r="B59" s="152"/>
      <c r="C59" s="152"/>
      <c r="D59" s="152"/>
      <c r="E59" s="152"/>
      <c r="F59" s="140"/>
      <c r="G59" s="140"/>
      <c r="H59" s="140"/>
      <c r="I59" s="140"/>
      <c r="J59" s="140"/>
      <c r="K59" s="140"/>
      <c r="L59" s="140"/>
      <c r="M59" s="140"/>
      <c r="N59" s="146"/>
      <c r="O59" s="146"/>
    </row>
    <row r="60" spans="1:15" x14ac:dyDescent="0.2">
      <c r="A60" s="153"/>
    </row>
    <row r="61" spans="1:15" ht="15.75" x14ac:dyDescent="0.25">
      <c r="A61" s="145" t="s">
        <v>295</v>
      </c>
      <c r="C61" s="25"/>
      <c r="D61" s="25"/>
      <c r="E61" s="25"/>
      <c r="F61" s="25"/>
      <c r="G61" s="25"/>
      <c r="H61" s="25"/>
      <c r="I61" s="25"/>
      <c r="J61" s="25"/>
      <c r="K61" s="25"/>
      <c r="L61" s="25"/>
      <c r="M61" s="25"/>
    </row>
    <row r="62" spans="1:15" ht="15.75" x14ac:dyDescent="0.25">
      <c r="B62" s="355"/>
      <c r="C62" s="355"/>
      <c r="D62" s="355"/>
      <c r="E62" s="356"/>
      <c r="F62" s="355"/>
      <c r="G62" s="355"/>
      <c r="H62" s="355"/>
      <c r="I62" s="356"/>
      <c r="J62" s="355"/>
      <c r="K62" s="355"/>
      <c r="L62" s="355"/>
      <c r="M62" s="356"/>
    </row>
    <row r="63" spans="1:15" x14ac:dyDescent="0.2">
      <c r="A63" s="142"/>
      <c r="B63" s="960" t="s">
        <v>0</v>
      </c>
      <c r="C63" s="961"/>
      <c r="D63" s="962"/>
      <c r="E63" s="352"/>
      <c r="F63" s="961" t="s">
        <v>1</v>
      </c>
      <c r="G63" s="961"/>
      <c r="H63" s="961"/>
      <c r="I63" s="354"/>
      <c r="J63" s="960" t="s">
        <v>2</v>
      </c>
      <c r="K63" s="961"/>
      <c r="L63" s="961"/>
      <c r="M63" s="354"/>
    </row>
    <row r="64" spans="1:15" x14ac:dyDescent="0.2">
      <c r="A64" s="139"/>
      <c r="B64" s="150" t="s">
        <v>504</v>
      </c>
      <c r="C64" s="150" t="s">
        <v>505</v>
      </c>
      <c r="D64" s="243" t="s">
        <v>3</v>
      </c>
      <c r="E64" s="303" t="s">
        <v>32</v>
      </c>
      <c r="F64" s="150" t="s">
        <v>504</v>
      </c>
      <c r="G64" s="150" t="s">
        <v>505</v>
      </c>
      <c r="H64" s="243" t="s">
        <v>3</v>
      </c>
      <c r="I64" s="303" t="s">
        <v>32</v>
      </c>
      <c r="J64" s="150" t="s">
        <v>504</v>
      </c>
      <c r="K64" s="150" t="s">
        <v>505</v>
      </c>
      <c r="L64" s="243" t="s">
        <v>3</v>
      </c>
      <c r="M64" s="160" t="s">
        <v>32</v>
      </c>
    </row>
    <row r="65" spans="1:15" x14ac:dyDescent="0.2">
      <c r="A65" s="934"/>
      <c r="B65" s="154"/>
      <c r="C65" s="154"/>
      <c r="D65" s="245" t="s">
        <v>4</v>
      </c>
      <c r="E65" s="154" t="s">
        <v>33</v>
      </c>
      <c r="F65" s="159"/>
      <c r="G65" s="159"/>
      <c r="H65" s="243" t="s">
        <v>4</v>
      </c>
      <c r="I65" s="154" t="s">
        <v>33</v>
      </c>
      <c r="J65" s="159"/>
      <c r="K65" s="204"/>
      <c r="L65" s="154" t="s">
        <v>4</v>
      </c>
      <c r="M65" s="154" t="s">
        <v>33</v>
      </c>
    </row>
    <row r="66" spans="1:15" ht="15.75" x14ac:dyDescent="0.2">
      <c r="A66" s="14" t="s">
        <v>26</v>
      </c>
      <c r="B66" s="386">
        <f>B67+B68+B75</f>
        <v>0</v>
      </c>
      <c r="C66" s="386">
        <f>C67+C68+C75</f>
        <v>0</v>
      </c>
      <c r="D66" s="368">
        <f t="shared" ref="D66:D111" si="12">IF(AND(_xlfn.NUMBERVALUE(B66)=0,_xlfn.NUMBERVALUE(C66)=0),,IF(B66=0, "    ---- ", IF(ABS(ROUND(100/B66*C66-100,1))&lt;999,IF(ROUND(100/B66*C66-100,1)=0,"    ---- ",ROUND(100/B66*C66-100,1)),IF(ROUND(100/B66*C66-100,1)&gt;999,999,-999))))</f>
        <v>0</v>
      </c>
      <c r="E66" s="369">
        <f>IFERROR(100/'Skjema total MA'!C66*C66,0)</f>
        <v>0</v>
      </c>
      <c r="F66" s="386">
        <f>F67+F68+F75</f>
        <v>0</v>
      </c>
      <c r="G66" s="386">
        <f>G67+G68+G75</f>
        <v>0</v>
      </c>
      <c r="H66" s="368">
        <f t="shared" ref="H66:H88" si="13">IF(AND(_xlfn.NUMBERVALUE(F66)=0,_xlfn.NUMBERVALUE(G66)=0),,IF(F66=0, "    ---- ", IF(ABS(ROUND(100/F66*G66-100,1))&lt;999,IF(ROUND(100/F66*G66-100,1)=0,"    ---- ",ROUND(100/F66*G66-100,1)),IF(ROUND(100/F66*G66-100,1)&gt;999,999,-999))))</f>
        <v>0</v>
      </c>
      <c r="I66" s="369">
        <f>IFERROR(100/'Skjema total MA'!F66*G66,0)</f>
        <v>0</v>
      </c>
      <c r="J66" s="365">
        <f t="shared" ref="J66:K67" si="14">SUM(B66,F66)</f>
        <v>0</v>
      </c>
      <c r="K66" s="359">
        <f t="shared" si="14"/>
        <v>0</v>
      </c>
      <c r="L66" s="371">
        <f t="shared" ref="L66:L88" si="15">IF(AND(_xlfn.NUMBERVALUE(J66)=0,_xlfn.NUMBERVALUE(K66)=0),,IF(J66=0, "    ---- ", IF(ABS(ROUND(100/J66*K66-100,1))&lt;999,IF(ROUND(100/J66*K66-100,1)=0,"    ---- ",ROUND(100/J66*K66-100,1)),IF(ROUND(100/J66*K66-100,1)&gt;999,999,-999))))</f>
        <v>0</v>
      </c>
      <c r="M66" s="369">
        <f>IFERROR(100/'Skjema total MA'!I66*K66,0)</f>
        <v>0</v>
      </c>
    </row>
    <row r="67" spans="1:15" x14ac:dyDescent="0.2">
      <c r="A67" s="20" t="s">
        <v>9</v>
      </c>
      <c r="B67" s="362">
        <v>0</v>
      </c>
      <c r="C67" s="387">
        <v>0</v>
      </c>
      <c r="D67" s="371">
        <f t="shared" si="12"/>
        <v>0</v>
      </c>
      <c r="E67" s="369">
        <f>IFERROR(100/'Skjema total MA'!C67*C67,0)</f>
        <v>0</v>
      </c>
      <c r="F67" s="374">
        <v>0</v>
      </c>
      <c r="G67" s="387">
        <v>0</v>
      </c>
      <c r="H67" s="371">
        <f t="shared" si="13"/>
        <v>0</v>
      </c>
      <c r="I67" s="369">
        <f>IFERROR(100/'Skjema total MA'!F67*G67,0)</f>
        <v>0</v>
      </c>
      <c r="J67" s="363">
        <f t="shared" si="14"/>
        <v>0</v>
      </c>
      <c r="K67" s="362">
        <f t="shared" si="14"/>
        <v>0</v>
      </c>
      <c r="L67" s="371">
        <f t="shared" si="15"/>
        <v>0</v>
      </c>
      <c r="M67" s="369">
        <f>IFERROR(100/'Skjema total MA'!I67*K67,0)</f>
        <v>0</v>
      </c>
    </row>
    <row r="68" spans="1:15" x14ac:dyDescent="0.2">
      <c r="A68" s="20" t="s">
        <v>10</v>
      </c>
      <c r="B68" s="388">
        <v>0</v>
      </c>
      <c r="C68" s="389">
        <v>0</v>
      </c>
      <c r="D68" s="371">
        <f t="shared" si="12"/>
        <v>0</v>
      </c>
      <c r="E68" s="369"/>
      <c r="F68" s="388"/>
      <c r="G68" s="389"/>
      <c r="H68" s="371"/>
      <c r="I68" s="369"/>
      <c r="J68" s="363"/>
      <c r="K68" s="362"/>
      <c r="L68" s="371"/>
      <c r="M68" s="369"/>
    </row>
    <row r="69" spans="1:15" ht="15.75" x14ac:dyDescent="0.2">
      <c r="A69" s="294" t="s">
        <v>316</v>
      </c>
      <c r="B69" s="362">
        <v>0</v>
      </c>
      <c r="C69" s="362">
        <v>0</v>
      </c>
      <c r="D69" s="371">
        <f t="shared" si="12"/>
        <v>0</v>
      </c>
      <c r="E69" s="396"/>
      <c r="F69" s="362"/>
      <c r="G69" s="362"/>
      <c r="H69" s="371"/>
      <c r="I69" s="369"/>
      <c r="J69" s="361"/>
      <c r="K69" s="361"/>
      <c r="L69" s="371"/>
      <c r="M69" s="369"/>
    </row>
    <row r="70" spans="1:15" x14ac:dyDescent="0.2">
      <c r="A70" s="294" t="s">
        <v>12</v>
      </c>
      <c r="B70" s="390"/>
      <c r="C70" s="391"/>
      <c r="D70" s="371">
        <f t="shared" si="12"/>
        <v>0</v>
      </c>
      <c r="E70" s="396"/>
      <c r="F70" s="362"/>
      <c r="G70" s="362"/>
      <c r="H70" s="371"/>
      <c r="I70" s="369"/>
      <c r="J70" s="361"/>
      <c r="K70" s="361"/>
      <c r="L70" s="371"/>
      <c r="M70" s="369"/>
    </row>
    <row r="71" spans="1:15" x14ac:dyDescent="0.2">
      <c r="A71" s="294" t="s">
        <v>13</v>
      </c>
      <c r="B71" s="392"/>
      <c r="C71" s="393"/>
      <c r="D71" s="371">
        <f t="shared" si="12"/>
        <v>0</v>
      </c>
      <c r="E71" s="396"/>
      <c r="F71" s="362"/>
      <c r="G71" s="362"/>
      <c r="H71" s="371"/>
      <c r="I71" s="369"/>
      <c r="J71" s="361"/>
      <c r="K71" s="361"/>
      <c r="L71" s="371"/>
      <c r="M71" s="369"/>
    </row>
    <row r="72" spans="1:15" ht="15.75" x14ac:dyDescent="0.2">
      <c r="A72" s="294" t="s">
        <v>317</v>
      </c>
      <c r="B72" s="362">
        <v>0</v>
      </c>
      <c r="C72" s="362">
        <v>0</v>
      </c>
      <c r="D72" s="371">
        <f t="shared" si="12"/>
        <v>0</v>
      </c>
      <c r="E72" s="396"/>
      <c r="F72" s="362"/>
      <c r="G72" s="362"/>
      <c r="H72" s="371"/>
      <c r="I72" s="369"/>
      <c r="J72" s="361"/>
      <c r="K72" s="361"/>
      <c r="L72" s="371"/>
      <c r="M72" s="369"/>
    </row>
    <row r="73" spans="1:15" x14ac:dyDescent="0.2">
      <c r="A73" s="294" t="s">
        <v>12</v>
      </c>
      <c r="B73" s="392"/>
      <c r="C73" s="393"/>
      <c r="D73" s="371">
        <f t="shared" si="12"/>
        <v>0</v>
      </c>
      <c r="E73" s="396"/>
      <c r="F73" s="362"/>
      <c r="G73" s="362"/>
      <c r="H73" s="371"/>
      <c r="I73" s="369"/>
      <c r="J73" s="361"/>
      <c r="K73" s="361"/>
      <c r="L73" s="371"/>
      <c r="M73" s="369"/>
    </row>
    <row r="74" spans="1:15" s="3" customFormat="1" x14ac:dyDescent="0.2">
      <c r="A74" s="294" t="s">
        <v>13</v>
      </c>
      <c r="B74" s="392"/>
      <c r="C74" s="393"/>
      <c r="D74" s="371">
        <f t="shared" si="12"/>
        <v>0</v>
      </c>
      <c r="E74" s="396"/>
      <c r="F74" s="362"/>
      <c r="G74" s="362"/>
      <c r="H74" s="371"/>
      <c r="I74" s="369"/>
      <c r="J74" s="361"/>
      <c r="K74" s="361"/>
      <c r="L74" s="371"/>
      <c r="M74" s="369"/>
      <c r="N74" s="146"/>
      <c r="O74" s="146"/>
    </row>
    <row r="75" spans="1:15" s="3" customFormat="1" x14ac:dyDescent="0.2">
      <c r="A75" s="20" t="s">
        <v>395</v>
      </c>
      <c r="B75" s="374">
        <v>0</v>
      </c>
      <c r="C75" s="387">
        <v>0</v>
      </c>
      <c r="D75" s="371">
        <f t="shared" si="12"/>
        <v>0</v>
      </c>
      <c r="E75" s="369"/>
      <c r="F75" s="374"/>
      <c r="G75" s="387"/>
      <c r="H75" s="371"/>
      <c r="I75" s="369"/>
      <c r="J75" s="363"/>
      <c r="K75" s="362"/>
      <c r="L75" s="371"/>
      <c r="M75" s="369"/>
      <c r="N75" s="146"/>
      <c r="O75" s="146"/>
    </row>
    <row r="76" spans="1:15" s="3" customFormat="1" x14ac:dyDescent="0.2">
      <c r="A76" s="20" t="s">
        <v>394</v>
      </c>
      <c r="B76" s="374">
        <v>0</v>
      </c>
      <c r="C76" s="387">
        <v>0</v>
      </c>
      <c r="D76" s="371">
        <f t="shared" ref="D76" si="16">IF(AND(_xlfn.NUMBERVALUE(B76)=0,_xlfn.NUMBERVALUE(C76)=0),,IF(B76=0, "    ---- ", IF(ABS(ROUND(100/B76*C76-100,1))&lt;999,IF(ROUND(100/B76*C76-100,1)=0,"    ---- ",ROUND(100/B76*C76-100,1)),IF(ROUND(100/B76*C76-100,1)&gt;999,999,-999))))</f>
        <v>0</v>
      </c>
      <c r="E76" s="369"/>
      <c r="F76" s="374"/>
      <c r="G76" s="387"/>
      <c r="H76" s="371"/>
      <c r="I76" s="369"/>
      <c r="J76" s="363"/>
      <c r="K76" s="362"/>
      <c r="L76" s="371"/>
      <c r="M76" s="369"/>
      <c r="N76" s="146"/>
      <c r="O76" s="146"/>
    </row>
    <row r="77" spans="1:15" ht="15.75" x14ac:dyDescent="0.2">
      <c r="A77" s="20" t="s">
        <v>318</v>
      </c>
      <c r="B77" s="374">
        <v>0</v>
      </c>
      <c r="C77" s="374">
        <v>0</v>
      </c>
      <c r="D77" s="371">
        <f t="shared" si="12"/>
        <v>0</v>
      </c>
      <c r="E77" s="369"/>
      <c r="F77" s="374"/>
      <c r="G77" s="387"/>
      <c r="H77" s="371"/>
      <c r="I77" s="369"/>
      <c r="J77" s="363"/>
      <c r="K77" s="362"/>
      <c r="L77" s="371"/>
      <c r="M77" s="369"/>
    </row>
    <row r="78" spans="1:15" x14ac:dyDescent="0.2">
      <c r="A78" s="20" t="s">
        <v>9</v>
      </c>
      <c r="B78" s="374">
        <v>0</v>
      </c>
      <c r="C78" s="387">
        <v>0</v>
      </c>
      <c r="D78" s="371">
        <f t="shared" si="12"/>
        <v>0</v>
      </c>
      <c r="E78" s="369"/>
      <c r="F78" s="374"/>
      <c r="G78" s="387"/>
      <c r="H78" s="371"/>
      <c r="I78" s="369"/>
      <c r="J78" s="363"/>
      <c r="K78" s="362"/>
      <c r="L78" s="371"/>
      <c r="M78" s="369"/>
    </row>
    <row r="79" spans="1:15" x14ac:dyDescent="0.2">
      <c r="A79" s="20" t="s">
        <v>10</v>
      </c>
      <c r="B79" s="388">
        <v>0</v>
      </c>
      <c r="C79" s="389">
        <v>0</v>
      </c>
      <c r="D79" s="371">
        <f t="shared" si="12"/>
        <v>0</v>
      </c>
      <c r="E79" s="369"/>
      <c r="F79" s="388"/>
      <c r="G79" s="389"/>
      <c r="H79" s="371"/>
      <c r="I79" s="369"/>
      <c r="J79" s="363"/>
      <c r="K79" s="362"/>
      <c r="L79" s="371"/>
      <c r="M79" s="369"/>
    </row>
    <row r="80" spans="1:15" ht="15.75" x14ac:dyDescent="0.2">
      <c r="A80" s="294" t="s">
        <v>316</v>
      </c>
      <c r="B80" s="362">
        <v>0</v>
      </c>
      <c r="C80" s="362">
        <v>0</v>
      </c>
      <c r="D80" s="371">
        <f t="shared" si="12"/>
        <v>0</v>
      </c>
      <c r="E80" s="396"/>
      <c r="F80" s="362"/>
      <c r="G80" s="362"/>
      <c r="H80" s="371"/>
      <c r="I80" s="369"/>
      <c r="J80" s="361"/>
      <c r="K80" s="361"/>
      <c r="L80" s="371"/>
      <c r="M80" s="369"/>
    </row>
    <row r="81" spans="1:13" x14ac:dyDescent="0.2">
      <c r="A81" s="294" t="s">
        <v>12</v>
      </c>
      <c r="B81" s="392"/>
      <c r="C81" s="393"/>
      <c r="D81" s="371">
        <f t="shared" si="12"/>
        <v>0</v>
      </c>
      <c r="E81" s="396"/>
      <c r="F81" s="362"/>
      <c r="G81" s="362"/>
      <c r="H81" s="371"/>
      <c r="I81" s="369"/>
      <c r="J81" s="361"/>
      <c r="K81" s="361"/>
      <c r="L81" s="371"/>
      <c r="M81" s="369"/>
    </row>
    <row r="82" spans="1:13" x14ac:dyDescent="0.2">
      <c r="A82" s="294" t="s">
        <v>13</v>
      </c>
      <c r="B82" s="392"/>
      <c r="C82" s="393"/>
      <c r="D82" s="371">
        <f t="shared" si="12"/>
        <v>0</v>
      </c>
      <c r="E82" s="396"/>
      <c r="F82" s="362"/>
      <c r="G82" s="362"/>
      <c r="H82" s="371"/>
      <c r="I82" s="369"/>
      <c r="J82" s="361"/>
      <c r="K82" s="361"/>
      <c r="L82" s="371"/>
      <c r="M82" s="369"/>
    </row>
    <row r="83" spans="1:13" ht="15.75" x14ac:dyDescent="0.2">
      <c r="A83" s="294" t="s">
        <v>317</v>
      </c>
      <c r="B83" s="362">
        <v>0</v>
      </c>
      <c r="C83" s="362">
        <v>0</v>
      </c>
      <c r="D83" s="371">
        <f t="shared" si="12"/>
        <v>0</v>
      </c>
      <c r="E83" s="396"/>
      <c r="F83" s="362"/>
      <c r="G83" s="362"/>
      <c r="H83" s="371"/>
      <c r="I83" s="369"/>
      <c r="J83" s="361"/>
      <c r="K83" s="361"/>
      <c r="L83" s="371"/>
      <c r="M83" s="369"/>
    </row>
    <row r="84" spans="1:13" x14ac:dyDescent="0.2">
      <c r="A84" s="294" t="s">
        <v>12</v>
      </c>
      <c r="B84" s="392"/>
      <c r="C84" s="393"/>
      <c r="D84" s="371">
        <f t="shared" si="12"/>
        <v>0</v>
      </c>
      <c r="E84" s="396"/>
      <c r="F84" s="362"/>
      <c r="G84" s="362"/>
      <c r="H84" s="371"/>
      <c r="I84" s="369"/>
      <c r="J84" s="361"/>
      <c r="K84" s="361"/>
      <c r="L84" s="371"/>
      <c r="M84" s="369"/>
    </row>
    <row r="85" spans="1:13" x14ac:dyDescent="0.2">
      <c r="A85" s="294" t="s">
        <v>13</v>
      </c>
      <c r="B85" s="392"/>
      <c r="C85" s="393"/>
      <c r="D85" s="371">
        <f t="shared" si="12"/>
        <v>0</v>
      </c>
      <c r="E85" s="396"/>
      <c r="F85" s="362"/>
      <c r="G85" s="362"/>
      <c r="H85" s="371"/>
      <c r="I85" s="369"/>
      <c r="J85" s="361"/>
      <c r="K85" s="361"/>
      <c r="L85" s="371"/>
      <c r="M85" s="369"/>
    </row>
    <row r="86" spans="1:13" ht="15.75" x14ac:dyDescent="0.2">
      <c r="A86" s="20" t="s">
        <v>327</v>
      </c>
      <c r="B86" s="374">
        <v>0</v>
      </c>
      <c r="C86" s="387">
        <v>0</v>
      </c>
      <c r="D86" s="371">
        <f t="shared" si="12"/>
        <v>0</v>
      </c>
      <c r="E86" s="369"/>
      <c r="F86" s="374"/>
      <c r="G86" s="387"/>
      <c r="H86" s="371"/>
      <c r="I86" s="369"/>
      <c r="J86" s="363"/>
      <c r="K86" s="362"/>
      <c r="L86" s="371"/>
      <c r="M86" s="369"/>
    </row>
    <row r="87" spans="1:13" ht="15.75" x14ac:dyDescent="0.2">
      <c r="A87" s="13" t="s">
        <v>25</v>
      </c>
      <c r="B87" s="386">
        <f>B88+B89+B96</f>
        <v>0</v>
      </c>
      <c r="C87" s="386">
        <f>C88+C89+C96</f>
        <v>0</v>
      </c>
      <c r="D87" s="371">
        <f t="shared" si="12"/>
        <v>0</v>
      </c>
      <c r="E87" s="369"/>
      <c r="F87" s="386"/>
      <c r="G87" s="386"/>
      <c r="H87" s="371"/>
      <c r="I87" s="369"/>
      <c r="J87" s="365"/>
      <c r="K87" s="364"/>
      <c r="L87" s="371"/>
      <c r="M87" s="369"/>
    </row>
    <row r="88" spans="1:13" x14ac:dyDescent="0.2">
      <c r="A88" s="20" t="s">
        <v>9</v>
      </c>
      <c r="B88" s="374">
        <v>0</v>
      </c>
      <c r="C88" s="387">
        <v>0</v>
      </c>
      <c r="D88" s="371">
        <f t="shared" si="12"/>
        <v>0</v>
      </c>
      <c r="E88" s="369">
        <f>IFERROR(100/'Skjema total MA'!C88*C88,0)</f>
        <v>0</v>
      </c>
      <c r="F88" s="374">
        <v>0</v>
      </c>
      <c r="G88" s="387">
        <v>0</v>
      </c>
      <c r="H88" s="371">
        <f t="shared" si="13"/>
        <v>0</v>
      </c>
      <c r="I88" s="369">
        <f>IFERROR(100/'Skjema total MA'!F88*G88,0)</f>
        <v>0</v>
      </c>
      <c r="J88" s="363">
        <f t="shared" ref="J88:K88" si="17">SUM(B88,F88)</f>
        <v>0</v>
      </c>
      <c r="K88" s="362">
        <f t="shared" si="17"/>
        <v>0</v>
      </c>
      <c r="L88" s="371">
        <f t="shared" si="15"/>
        <v>0</v>
      </c>
      <c r="M88" s="369">
        <f>IFERROR(100/'Skjema total MA'!I88*K88,0)</f>
        <v>0</v>
      </c>
    </row>
    <row r="89" spans="1:13" x14ac:dyDescent="0.2">
      <c r="A89" s="20" t="s">
        <v>10</v>
      </c>
      <c r="B89" s="374">
        <v>0</v>
      </c>
      <c r="C89" s="387">
        <v>0</v>
      </c>
      <c r="D89" s="371">
        <f t="shared" si="12"/>
        <v>0</v>
      </c>
      <c r="E89" s="369"/>
      <c r="F89" s="374"/>
      <c r="G89" s="387"/>
      <c r="H89" s="371"/>
      <c r="I89" s="369"/>
      <c r="J89" s="363"/>
      <c r="K89" s="362"/>
      <c r="L89" s="371"/>
      <c r="M89" s="369">
        <f>IFERROR(100/'Skjema total MA'!I89*K89,0)</f>
        <v>0</v>
      </c>
    </row>
    <row r="90" spans="1:13" ht="15.75" x14ac:dyDescent="0.2">
      <c r="A90" s="294" t="s">
        <v>316</v>
      </c>
      <c r="B90" s="362">
        <v>0</v>
      </c>
      <c r="C90" s="362">
        <v>0</v>
      </c>
      <c r="D90" s="371">
        <f t="shared" si="12"/>
        <v>0</v>
      </c>
      <c r="E90" s="396"/>
      <c r="F90" s="362"/>
      <c r="G90" s="362"/>
      <c r="H90" s="371"/>
      <c r="I90" s="369"/>
      <c r="J90" s="361"/>
      <c r="K90" s="361"/>
      <c r="L90" s="371"/>
      <c r="M90" s="369">
        <f>IFERROR(100/'Skjema total MA'!I90*K90,0)</f>
        <v>0</v>
      </c>
    </row>
    <row r="91" spans="1:13" x14ac:dyDescent="0.2">
      <c r="A91" s="294" t="s">
        <v>12</v>
      </c>
      <c r="B91" s="392"/>
      <c r="C91" s="393"/>
      <c r="D91" s="371">
        <f t="shared" si="12"/>
        <v>0</v>
      </c>
      <c r="E91" s="396"/>
      <c r="F91" s="362"/>
      <c r="G91" s="362"/>
      <c r="H91" s="371"/>
      <c r="I91" s="369"/>
      <c r="J91" s="361"/>
      <c r="K91" s="361"/>
      <c r="L91" s="371"/>
      <c r="M91" s="369">
        <f>IFERROR(100/'Skjema total MA'!I91*K91,0)</f>
        <v>0</v>
      </c>
    </row>
    <row r="92" spans="1:13" x14ac:dyDescent="0.2">
      <c r="A92" s="294" t="s">
        <v>13</v>
      </c>
      <c r="B92" s="392"/>
      <c r="C92" s="393"/>
      <c r="D92" s="371">
        <f t="shared" si="12"/>
        <v>0</v>
      </c>
      <c r="E92" s="396"/>
      <c r="F92" s="362"/>
      <c r="G92" s="362"/>
      <c r="H92" s="371"/>
      <c r="I92" s="369"/>
      <c r="J92" s="361"/>
      <c r="K92" s="361"/>
      <c r="L92" s="371"/>
      <c r="M92" s="369">
        <f>IFERROR(100/'Skjema total MA'!I92*K92,0)</f>
        <v>0</v>
      </c>
    </row>
    <row r="93" spans="1:13" ht="15.75" x14ac:dyDescent="0.2">
      <c r="A93" s="294" t="s">
        <v>317</v>
      </c>
      <c r="B93" s="362">
        <v>0</v>
      </c>
      <c r="C93" s="362">
        <v>0</v>
      </c>
      <c r="D93" s="371">
        <f t="shared" si="12"/>
        <v>0</v>
      </c>
      <c r="E93" s="396"/>
      <c r="F93" s="362"/>
      <c r="G93" s="362"/>
      <c r="H93" s="371"/>
      <c r="I93" s="369"/>
      <c r="J93" s="361"/>
      <c r="K93" s="361"/>
      <c r="L93" s="371"/>
      <c r="M93" s="369">
        <f>IFERROR(100/'Skjema total MA'!I93*K93,0)</f>
        <v>0</v>
      </c>
    </row>
    <row r="94" spans="1:13" x14ac:dyDescent="0.2">
      <c r="A94" s="294" t="s">
        <v>12</v>
      </c>
      <c r="B94" s="392"/>
      <c r="C94" s="393"/>
      <c r="D94" s="371">
        <f t="shared" si="12"/>
        <v>0</v>
      </c>
      <c r="E94" s="396"/>
      <c r="F94" s="362"/>
      <c r="G94" s="362"/>
      <c r="H94" s="371"/>
      <c r="I94" s="369"/>
      <c r="J94" s="361"/>
      <c r="K94" s="361"/>
      <c r="L94" s="371"/>
      <c r="M94" s="369">
        <f>IFERROR(100/'Skjema total MA'!I94*K94,0)</f>
        <v>0</v>
      </c>
    </row>
    <row r="95" spans="1:13" x14ac:dyDescent="0.2">
      <c r="A95" s="294" t="s">
        <v>13</v>
      </c>
      <c r="B95" s="392"/>
      <c r="C95" s="393"/>
      <c r="D95" s="371">
        <f t="shared" si="12"/>
        <v>0</v>
      </c>
      <c r="E95" s="396"/>
      <c r="F95" s="362"/>
      <c r="G95" s="362"/>
      <c r="H95" s="371"/>
      <c r="I95" s="369"/>
      <c r="J95" s="361"/>
      <c r="K95" s="361"/>
      <c r="L95" s="371"/>
      <c r="M95" s="369">
        <f>IFERROR(100/'Skjema total MA'!I95*K95,0)</f>
        <v>0</v>
      </c>
    </row>
    <row r="96" spans="1:13" x14ac:dyDescent="0.2">
      <c r="A96" s="20" t="s">
        <v>393</v>
      </c>
      <c r="B96" s="374">
        <v>0</v>
      </c>
      <c r="C96" s="387">
        <v>0</v>
      </c>
      <c r="D96" s="371">
        <f t="shared" si="12"/>
        <v>0</v>
      </c>
      <c r="E96" s="369"/>
      <c r="F96" s="374"/>
      <c r="G96" s="387"/>
      <c r="H96" s="371"/>
      <c r="I96" s="369"/>
      <c r="J96" s="363"/>
      <c r="K96" s="362"/>
      <c r="L96" s="371"/>
      <c r="M96" s="369">
        <f>IFERROR(100/'Skjema total MA'!I96*K96,0)</f>
        <v>0</v>
      </c>
    </row>
    <row r="97" spans="1:13" x14ac:dyDescent="0.2">
      <c r="A97" s="20" t="s">
        <v>392</v>
      </c>
      <c r="B97" s="374">
        <v>0</v>
      </c>
      <c r="C97" s="387">
        <v>0</v>
      </c>
      <c r="D97" s="371">
        <f t="shared" ref="D97" si="18">IF(AND(_xlfn.NUMBERVALUE(B97)=0,_xlfn.NUMBERVALUE(C97)=0),,IF(B97=0, "    ---- ", IF(ABS(ROUND(100/B97*C97-100,1))&lt;999,IF(ROUND(100/B97*C97-100,1)=0,"    ---- ",ROUND(100/B97*C97-100,1)),IF(ROUND(100/B97*C97-100,1)&gt;999,999,-999))))</f>
        <v>0</v>
      </c>
      <c r="E97" s="369"/>
      <c r="F97" s="374"/>
      <c r="G97" s="387"/>
      <c r="H97" s="371"/>
      <c r="I97" s="369"/>
      <c r="J97" s="363"/>
      <c r="K97" s="362"/>
      <c r="L97" s="371"/>
      <c r="M97" s="369">
        <f>IFERROR(100/'Skjema total MA'!I98*K97,0)</f>
        <v>0</v>
      </c>
    </row>
    <row r="98" spans="1:13" ht="15.75" x14ac:dyDescent="0.2">
      <c r="A98" s="20" t="s">
        <v>318</v>
      </c>
      <c r="B98" s="374">
        <v>0</v>
      </c>
      <c r="C98" s="374">
        <v>0</v>
      </c>
      <c r="D98" s="371">
        <f t="shared" si="12"/>
        <v>0</v>
      </c>
      <c r="E98" s="369"/>
      <c r="F98" s="388"/>
      <c r="G98" s="388"/>
      <c r="H98" s="371"/>
      <c r="I98" s="369"/>
      <c r="J98" s="363"/>
      <c r="K98" s="362"/>
      <c r="L98" s="371"/>
      <c r="M98" s="369">
        <f>IFERROR(100/'Skjema total MA'!I98*K98,0)</f>
        <v>0</v>
      </c>
    </row>
    <row r="99" spans="1:13" x14ac:dyDescent="0.2">
      <c r="A99" s="20" t="s">
        <v>9</v>
      </c>
      <c r="B99" s="388">
        <v>0</v>
      </c>
      <c r="C99" s="389">
        <v>0</v>
      </c>
      <c r="D99" s="371">
        <f t="shared" si="12"/>
        <v>0</v>
      </c>
      <c r="E99" s="369"/>
      <c r="F99" s="374"/>
      <c r="G99" s="387"/>
      <c r="H99" s="371"/>
      <c r="I99" s="369"/>
      <c r="J99" s="363"/>
      <c r="K99" s="362"/>
      <c r="L99" s="371"/>
      <c r="M99" s="369">
        <f>IFERROR(100/'Skjema total MA'!I99*K99,0)</f>
        <v>0</v>
      </c>
    </row>
    <row r="100" spans="1:13" x14ac:dyDescent="0.2">
      <c r="A100" s="20" t="s">
        <v>10</v>
      </c>
      <c r="B100" s="388">
        <v>0</v>
      </c>
      <c r="C100" s="389">
        <v>0</v>
      </c>
      <c r="D100" s="371">
        <f t="shared" si="12"/>
        <v>0</v>
      </c>
      <c r="E100" s="369"/>
      <c r="F100" s="374"/>
      <c r="G100" s="374"/>
      <c r="H100" s="371"/>
      <c r="I100" s="369"/>
      <c r="J100" s="363"/>
      <c r="K100" s="362"/>
      <c r="L100" s="371"/>
      <c r="M100" s="369">
        <f>IFERROR(100/'Skjema total MA'!I100*K100,0)</f>
        <v>0</v>
      </c>
    </row>
    <row r="101" spans="1:13" ht="15.75" x14ac:dyDescent="0.2">
      <c r="A101" s="294" t="s">
        <v>316</v>
      </c>
      <c r="B101" s="362">
        <v>0</v>
      </c>
      <c r="C101" s="362">
        <v>0</v>
      </c>
      <c r="D101" s="371">
        <f t="shared" si="12"/>
        <v>0</v>
      </c>
      <c r="E101" s="396"/>
      <c r="F101" s="362"/>
      <c r="G101" s="362"/>
      <c r="H101" s="371"/>
      <c r="I101" s="369"/>
      <c r="J101" s="361"/>
      <c r="K101" s="361"/>
      <c r="L101" s="371"/>
      <c r="M101" s="369">
        <f>IFERROR(100/'Skjema total MA'!I101*K101,0)</f>
        <v>0</v>
      </c>
    </row>
    <row r="102" spans="1:13" x14ac:dyDescent="0.2">
      <c r="A102" s="294" t="s">
        <v>12</v>
      </c>
      <c r="B102" s="392"/>
      <c r="C102" s="393"/>
      <c r="D102" s="371">
        <f t="shared" si="12"/>
        <v>0</v>
      </c>
      <c r="E102" s="396"/>
      <c r="F102" s="362"/>
      <c r="G102" s="362"/>
      <c r="H102" s="371"/>
      <c r="I102" s="369"/>
      <c r="J102" s="361"/>
      <c r="K102" s="361"/>
      <c r="L102" s="371"/>
      <c r="M102" s="369">
        <f>IFERROR(100/'Skjema total MA'!I102*K102,0)</f>
        <v>0</v>
      </c>
    </row>
    <row r="103" spans="1:13" x14ac:dyDescent="0.2">
      <c r="A103" s="294" t="s">
        <v>13</v>
      </c>
      <c r="B103" s="392"/>
      <c r="C103" s="393"/>
      <c r="D103" s="371">
        <f t="shared" si="12"/>
        <v>0</v>
      </c>
      <c r="E103" s="396"/>
      <c r="F103" s="362"/>
      <c r="G103" s="362"/>
      <c r="H103" s="371"/>
      <c r="I103" s="369"/>
      <c r="J103" s="361"/>
      <c r="K103" s="361"/>
      <c r="L103" s="371"/>
      <c r="M103" s="369">
        <f>IFERROR(100/'Skjema total MA'!I103*K103,0)</f>
        <v>0</v>
      </c>
    </row>
    <row r="104" spans="1:13" ht="15.75" x14ac:dyDescent="0.2">
      <c r="A104" s="294" t="s">
        <v>317</v>
      </c>
      <c r="B104" s="362">
        <v>0</v>
      </c>
      <c r="C104" s="362">
        <v>0</v>
      </c>
      <c r="D104" s="371">
        <f t="shared" si="12"/>
        <v>0</v>
      </c>
      <c r="E104" s="396"/>
      <c r="F104" s="362"/>
      <c r="G104" s="362"/>
      <c r="H104" s="371"/>
      <c r="I104" s="369"/>
      <c r="J104" s="361"/>
      <c r="K104" s="361"/>
      <c r="L104" s="371"/>
      <c r="M104" s="369">
        <f>IFERROR(100/'Skjema total MA'!I104*K104,0)</f>
        <v>0</v>
      </c>
    </row>
    <row r="105" spans="1:13" x14ac:dyDescent="0.2">
      <c r="A105" s="294" t="s">
        <v>12</v>
      </c>
      <c r="B105" s="392"/>
      <c r="C105" s="393"/>
      <c r="D105" s="371">
        <f t="shared" si="12"/>
        <v>0</v>
      </c>
      <c r="E105" s="396"/>
      <c r="F105" s="362"/>
      <c r="G105" s="362"/>
      <c r="H105" s="371"/>
      <c r="I105" s="369"/>
      <c r="J105" s="361"/>
      <c r="K105" s="361"/>
      <c r="L105" s="371"/>
      <c r="M105" s="369">
        <f>IFERROR(100/'Skjema total MA'!I105*K105,0)</f>
        <v>0</v>
      </c>
    </row>
    <row r="106" spans="1:13" x14ac:dyDescent="0.2">
      <c r="A106" s="294" t="s">
        <v>13</v>
      </c>
      <c r="B106" s="392"/>
      <c r="C106" s="393"/>
      <c r="D106" s="371">
        <f t="shared" si="12"/>
        <v>0</v>
      </c>
      <c r="E106" s="396"/>
      <c r="F106" s="362"/>
      <c r="G106" s="362"/>
      <c r="H106" s="371"/>
      <c r="I106" s="369"/>
      <c r="J106" s="361"/>
      <c r="K106" s="361"/>
      <c r="L106" s="371"/>
      <c r="M106" s="369">
        <f>IFERROR(100/'Skjema total MA'!I106*K106,0)</f>
        <v>0</v>
      </c>
    </row>
    <row r="107" spans="1:13" ht="15.75" x14ac:dyDescent="0.2">
      <c r="A107" s="20" t="s">
        <v>327</v>
      </c>
      <c r="B107" s="374">
        <v>0</v>
      </c>
      <c r="C107" s="387">
        <v>0</v>
      </c>
      <c r="D107" s="371">
        <f t="shared" si="12"/>
        <v>0</v>
      </c>
      <c r="E107" s="369"/>
      <c r="F107" s="374"/>
      <c r="G107" s="387"/>
      <c r="H107" s="371"/>
      <c r="I107" s="369"/>
      <c r="J107" s="363"/>
      <c r="K107" s="362"/>
      <c r="L107" s="371"/>
      <c r="M107" s="369">
        <f>IFERROR(100/'Skjema total MA'!I107*K107,0)</f>
        <v>0</v>
      </c>
    </row>
    <row r="108" spans="1:13" ht="15.75" x14ac:dyDescent="0.2">
      <c r="A108" s="20" t="s">
        <v>328</v>
      </c>
      <c r="B108" s="374">
        <v>0</v>
      </c>
      <c r="C108" s="374">
        <v>0</v>
      </c>
      <c r="D108" s="371">
        <f t="shared" si="12"/>
        <v>0</v>
      </c>
      <c r="E108" s="369"/>
      <c r="F108" s="374"/>
      <c r="G108" s="374"/>
      <c r="H108" s="371"/>
      <c r="I108" s="369"/>
      <c r="J108" s="363"/>
      <c r="K108" s="362"/>
      <c r="L108" s="371"/>
      <c r="M108" s="369">
        <f>IFERROR(100/'Skjema total MA'!I108*K108,0)</f>
        <v>0</v>
      </c>
    </row>
    <row r="109" spans="1:13" ht="15.75" x14ac:dyDescent="0.2">
      <c r="A109" s="20" t="s">
        <v>320</v>
      </c>
      <c r="B109" s="374">
        <v>0</v>
      </c>
      <c r="C109" s="374">
        <v>0</v>
      </c>
      <c r="D109" s="371">
        <f t="shared" si="12"/>
        <v>0</v>
      </c>
      <c r="E109" s="369"/>
      <c r="F109" s="374"/>
      <c r="G109" s="374"/>
      <c r="H109" s="371"/>
      <c r="I109" s="369"/>
      <c r="J109" s="363"/>
      <c r="K109" s="362"/>
      <c r="L109" s="371"/>
      <c r="M109" s="369">
        <f>IFERROR(100/'Skjema total MA'!I109*K109,0)</f>
        <v>0</v>
      </c>
    </row>
    <row r="110" spans="1:13" ht="15.75" x14ac:dyDescent="0.2">
      <c r="A110" s="20" t="s">
        <v>321</v>
      </c>
      <c r="B110" s="374">
        <v>0</v>
      </c>
      <c r="C110" s="374">
        <v>0</v>
      </c>
      <c r="D110" s="371">
        <f t="shared" si="12"/>
        <v>0</v>
      </c>
      <c r="E110" s="369"/>
      <c r="F110" s="374"/>
      <c r="G110" s="374"/>
      <c r="H110" s="371"/>
      <c r="I110" s="369"/>
      <c r="J110" s="363"/>
      <c r="K110" s="362"/>
      <c r="L110" s="371"/>
      <c r="M110" s="369">
        <f>IFERROR(100/'Skjema total MA'!I110*K110,0)</f>
        <v>0</v>
      </c>
    </row>
    <row r="111" spans="1:13" ht="15.75" x14ac:dyDescent="0.2">
      <c r="A111" s="13" t="s">
        <v>24</v>
      </c>
      <c r="B111" s="370">
        <f>SUM(B112:B114)</f>
        <v>0</v>
      </c>
      <c r="C111" s="394">
        <f>SUM(C112:C114)</f>
        <v>0</v>
      </c>
      <c r="D111" s="371">
        <f t="shared" si="12"/>
        <v>0</v>
      </c>
      <c r="E111" s="369"/>
      <c r="F111" s="370"/>
      <c r="G111" s="394"/>
      <c r="H111" s="371"/>
      <c r="I111" s="369"/>
      <c r="J111" s="365"/>
      <c r="K111" s="364"/>
      <c r="L111" s="371"/>
      <c r="M111" s="369">
        <f>IFERROR(100/'Skjema total MA'!I111*K111,0)</f>
        <v>0</v>
      </c>
    </row>
    <row r="112" spans="1:13" x14ac:dyDescent="0.2">
      <c r="A112" s="20" t="s">
        <v>9</v>
      </c>
      <c r="B112" s="374">
        <v>0</v>
      </c>
      <c r="C112" s="387">
        <v>0</v>
      </c>
      <c r="D112" s="371">
        <f t="shared" ref="D112:D126" si="19">IF(AND(_xlfn.NUMBERVALUE(B112)=0,_xlfn.NUMBERVALUE(C112)=0),,IF(B112=0, "    ---- ", IF(ABS(ROUND(100/B112*C112-100,1))&lt;999,IF(ROUND(100/B112*C112-100,1)=0,"    ---- ",ROUND(100/B112*C112-100,1)),IF(ROUND(100/B112*C112-100,1)&gt;999,999,-999))))</f>
        <v>0</v>
      </c>
      <c r="E112" s="369"/>
      <c r="F112" s="374"/>
      <c r="G112" s="387"/>
      <c r="H112" s="371"/>
      <c r="I112" s="369"/>
      <c r="J112" s="363"/>
      <c r="K112" s="362"/>
      <c r="L112" s="371"/>
      <c r="M112" s="369">
        <f>IFERROR(100/'Skjema total MA'!I112*K112,0)</f>
        <v>0</v>
      </c>
    </row>
    <row r="113" spans="1:14" x14ac:dyDescent="0.2">
      <c r="A113" s="20" t="s">
        <v>10</v>
      </c>
      <c r="B113" s="374">
        <v>0</v>
      </c>
      <c r="C113" s="387">
        <v>0</v>
      </c>
      <c r="D113" s="371">
        <f t="shared" si="19"/>
        <v>0</v>
      </c>
      <c r="E113" s="369"/>
      <c r="F113" s="374"/>
      <c r="G113" s="387"/>
      <c r="H113" s="371"/>
      <c r="I113" s="369"/>
      <c r="J113" s="363"/>
      <c r="K113" s="362"/>
      <c r="L113" s="371"/>
      <c r="M113" s="369">
        <f>IFERROR(100/'Skjema total MA'!I113*K113,0)</f>
        <v>0</v>
      </c>
    </row>
    <row r="114" spans="1:14" x14ac:dyDescent="0.2">
      <c r="A114" s="20" t="s">
        <v>29</v>
      </c>
      <c r="B114" s="374">
        <v>0</v>
      </c>
      <c r="C114" s="387">
        <v>0</v>
      </c>
      <c r="D114" s="371">
        <f t="shared" si="19"/>
        <v>0</v>
      </c>
      <c r="E114" s="369"/>
      <c r="F114" s="374"/>
      <c r="G114" s="387"/>
      <c r="H114" s="371"/>
      <c r="I114" s="369"/>
      <c r="J114" s="363"/>
      <c r="K114" s="362"/>
      <c r="L114" s="371"/>
      <c r="M114" s="369">
        <f>IFERROR(100/'Skjema total MA'!I114*K114,0)</f>
        <v>0</v>
      </c>
    </row>
    <row r="115" spans="1:14" x14ac:dyDescent="0.2">
      <c r="A115" s="294" t="s">
        <v>15</v>
      </c>
      <c r="B115" s="362">
        <v>0</v>
      </c>
      <c r="C115" s="362">
        <v>0</v>
      </c>
      <c r="D115" s="371">
        <f t="shared" si="19"/>
        <v>0</v>
      </c>
      <c r="E115" s="396"/>
      <c r="F115" s="362"/>
      <c r="G115" s="362"/>
      <c r="H115" s="371"/>
      <c r="I115" s="369"/>
      <c r="J115" s="361"/>
      <c r="K115" s="361"/>
      <c r="L115" s="371"/>
      <c r="M115" s="369">
        <f>IFERROR(100/'Skjema total MA'!I115*K115,0)</f>
        <v>0</v>
      </c>
    </row>
    <row r="116" spans="1:14" ht="15.75" x14ac:dyDescent="0.2">
      <c r="A116" s="20" t="s">
        <v>329</v>
      </c>
      <c r="B116" s="374">
        <v>0</v>
      </c>
      <c r="C116" s="374">
        <v>0</v>
      </c>
      <c r="D116" s="371">
        <f t="shared" si="19"/>
        <v>0</v>
      </c>
      <c r="E116" s="369"/>
      <c r="F116" s="374"/>
      <c r="G116" s="374"/>
      <c r="H116" s="371"/>
      <c r="I116" s="369"/>
      <c r="J116" s="363"/>
      <c r="K116" s="362"/>
      <c r="L116" s="371"/>
      <c r="M116" s="369">
        <f>IFERROR(100/'Skjema total MA'!I116*K116,0)</f>
        <v>0</v>
      </c>
    </row>
    <row r="117" spans="1:14" ht="15.75" x14ac:dyDescent="0.2">
      <c r="A117" s="20" t="s">
        <v>322</v>
      </c>
      <c r="B117" s="374">
        <v>0</v>
      </c>
      <c r="C117" s="374">
        <v>0</v>
      </c>
      <c r="D117" s="371">
        <f t="shared" si="19"/>
        <v>0</v>
      </c>
      <c r="E117" s="369"/>
      <c r="F117" s="374"/>
      <c r="G117" s="374"/>
      <c r="H117" s="371"/>
      <c r="I117" s="369"/>
      <c r="J117" s="363"/>
      <c r="K117" s="362"/>
      <c r="L117" s="371"/>
      <c r="M117" s="369">
        <f>IFERROR(100/'Skjema total MA'!I117*K117,0)</f>
        <v>0</v>
      </c>
    </row>
    <row r="118" spans="1:14" ht="15.75" x14ac:dyDescent="0.2">
      <c r="A118" s="20" t="s">
        <v>321</v>
      </c>
      <c r="B118" s="374">
        <v>0</v>
      </c>
      <c r="C118" s="374">
        <v>0</v>
      </c>
      <c r="D118" s="371">
        <f t="shared" si="19"/>
        <v>0</v>
      </c>
      <c r="E118" s="369"/>
      <c r="F118" s="374"/>
      <c r="G118" s="374"/>
      <c r="H118" s="371"/>
      <c r="I118" s="369"/>
      <c r="J118" s="363"/>
      <c r="K118" s="362"/>
      <c r="L118" s="371"/>
      <c r="M118" s="369">
        <f>IFERROR(100/'Skjema total MA'!I118*K118,0)</f>
        <v>0</v>
      </c>
    </row>
    <row r="119" spans="1:14" ht="15.75" x14ac:dyDescent="0.2">
      <c r="A119" s="13" t="s">
        <v>23</v>
      </c>
      <c r="B119" s="370">
        <f>SUM(B120:B122)</f>
        <v>0</v>
      </c>
      <c r="C119" s="394">
        <f>SUM(C120:C122)</f>
        <v>0</v>
      </c>
      <c r="D119" s="371">
        <f t="shared" si="19"/>
        <v>0</v>
      </c>
      <c r="E119" s="369">
        <f>IFERROR(100/'Skjema total MA'!C119*C119,0)</f>
        <v>0</v>
      </c>
      <c r="F119" s="370">
        <f>SUM(F120:F122)</f>
        <v>0</v>
      </c>
      <c r="G119" s="394">
        <f>SUM(G120:G122)</f>
        <v>0</v>
      </c>
      <c r="H119" s="371">
        <f t="shared" ref="H119:H126" si="20">IF(AND(_xlfn.NUMBERVALUE(F119)=0,_xlfn.NUMBERVALUE(G119)=0),,IF(F119=0, "    ---- ", IF(ABS(ROUND(100/F119*G119-100,1))&lt;999,IF(ROUND(100/F119*G119-100,1)=0,"    ---- ",ROUND(100/F119*G119-100,1)),IF(ROUND(100/F119*G119-100,1)&gt;999,999,-999))))</f>
        <v>0</v>
      </c>
      <c r="I119" s="369">
        <f>IFERROR(100/'Skjema total MA'!F119*G119,0)</f>
        <v>0</v>
      </c>
      <c r="J119" s="365">
        <f t="shared" ref="J119:K126" si="21">SUM(B119,F119)</f>
        <v>0</v>
      </c>
      <c r="K119" s="364">
        <f t="shared" si="21"/>
        <v>0</v>
      </c>
      <c r="L119" s="371">
        <f t="shared" ref="L119:L126" si="22">IF(AND(_xlfn.NUMBERVALUE(J119)=0,_xlfn.NUMBERVALUE(K119)=0),,IF(J119=0, "    ---- ", IF(ABS(ROUND(100/J119*K119-100,1))&lt;999,IF(ROUND(100/J119*K119-100,1)=0,"    ---- ",ROUND(100/J119*K119-100,1)),IF(ROUND(100/J119*K119-100,1)&gt;999,999,-999))))</f>
        <v>0</v>
      </c>
      <c r="M119" s="369">
        <f>IFERROR(100/'Skjema total MA'!I119*K119,0)</f>
        <v>0</v>
      </c>
    </row>
    <row r="120" spans="1:14" x14ac:dyDescent="0.2">
      <c r="A120" s="20" t="s">
        <v>9</v>
      </c>
      <c r="B120" s="374">
        <v>0</v>
      </c>
      <c r="C120" s="387">
        <v>0</v>
      </c>
      <c r="D120" s="371">
        <f t="shared" si="19"/>
        <v>0</v>
      </c>
      <c r="E120" s="369">
        <f>IFERROR(100/'Skjema total MA'!C120*C120,0)</f>
        <v>0</v>
      </c>
      <c r="F120" s="374">
        <v>0</v>
      </c>
      <c r="G120" s="387">
        <v>0</v>
      </c>
      <c r="H120" s="371">
        <f t="shared" si="20"/>
        <v>0</v>
      </c>
      <c r="I120" s="369">
        <f>IFERROR(100/'Skjema total MA'!F120*G120,0)</f>
        <v>0</v>
      </c>
      <c r="J120" s="363">
        <f t="shared" si="21"/>
        <v>0</v>
      </c>
      <c r="K120" s="362">
        <f t="shared" si="21"/>
        <v>0</v>
      </c>
      <c r="L120" s="371">
        <f t="shared" si="22"/>
        <v>0</v>
      </c>
      <c r="M120" s="369">
        <f>IFERROR(100/'Skjema total MA'!I120*K120,0)</f>
        <v>0</v>
      </c>
    </row>
    <row r="121" spans="1:14" x14ac:dyDescent="0.2">
      <c r="A121" s="20" t="s">
        <v>10</v>
      </c>
      <c r="B121" s="374">
        <v>0</v>
      </c>
      <c r="C121" s="387">
        <v>0</v>
      </c>
      <c r="D121" s="371">
        <f t="shared" si="19"/>
        <v>0</v>
      </c>
      <c r="E121" s="369">
        <f>IFERROR(100/'Skjema total MA'!C121*C121,0)</f>
        <v>0</v>
      </c>
      <c r="F121" s="374">
        <v>0</v>
      </c>
      <c r="G121" s="387">
        <v>0</v>
      </c>
      <c r="H121" s="371">
        <f t="shared" si="20"/>
        <v>0</v>
      </c>
      <c r="I121" s="369">
        <f>IFERROR(100/'Skjema total MA'!F121*G121,0)</f>
        <v>0</v>
      </c>
      <c r="J121" s="363">
        <f t="shared" si="21"/>
        <v>0</v>
      </c>
      <c r="K121" s="362">
        <f t="shared" si="21"/>
        <v>0</v>
      </c>
      <c r="L121" s="371">
        <f t="shared" si="22"/>
        <v>0</v>
      </c>
      <c r="M121" s="369">
        <f>IFERROR(100/'Skjema total MA'!I121*K121,0)</f>
        <v>0</v>
      </c>
    </row>
    <row r="122" spans="1:14" x14ac:dyDescent="0.2">
      <c r="A122" s="20" t="s">
        <v>29</v>
      </c>
      <c r="B122" s="374">
        <v>0</v>
      </c>
      <c r="C122" s="387">
        <v>0</v>
      </c>
      <c r="D122" s="371">
        <f t="shared" si="19"/>
        <v>0</v>
      </c>
      <c r="E122" s="369"/>
      <c r="F122" s="374"/>
      <c r="G122" s="387"/>
      <c r="H122" s="371"/>
      <c r="I122" s="369"/>
      <c r="J122" s="363"/>
      <c r="K122" s="362"/>
      <c r="L122" s="371"/>
      <c r="M122" s="369">
        <f>IFERROR(100/'Skjema total MA'!I122*K122,0)</f>
        <v>0</v>
      </c>
    </row>
    <row r="123" spans="1:14" x14ac:dyDescent="0.2">
      <c r="A123" s="294" t="s">
        <v>14</v>
      </c>
      <c r="B123" s="362">
        <v>0</v>
      </c>
      <c r="C123" s="362">
        <v>0</v>
      </c>
      <c r="D123" s="371">
        <f t="shared" si="19"/>
        <v>0</v>
      </c>
      <c r="E123" s="396"/>
      <c r="F123" s="362"/>
      <c r="G123" s="362"/>
      <c r="H123" s="371"/>
      <c r="I123" s="369"/>
      <c r="J123" s="361"/>
      <c r="K123" s="361"/>
      <c r="L123" s="371"/>
      <c r="M123" s="369">
        <f>IFERROR(100/'Skjema total MA'!I123*K123,0)</f>
        <v>0</v>
      </c>
    </row>
    <row r="124" spans="1:14" ht="15.75" x14ac:dyDescent="0.2">
      <c r="A124" s="20" t="s">
        <v>319</v>
      </c>
      <c r="B124" s="374">
        <v>0</v>
      </c>
      <c r="C124" s="374">
        <v>0</v>
      </c>
      <c r="D124" s="371">
        <f t="shared" si="19"/>
        <v>0</v>
      </c>
      <c r="E124" s="369"/>
      <c r="F124" s="374"/>
      <c r="G124" s="374"/>
      <c r="H124" s="371"/>
      <c r="I124" s="369"/>
      <c r="J124" s="363"/>
      <c r="K124" s="362"/>
      <c r="L124" s="371"/>
      <c r="M124" s="369">
        <f>IFERROR(100/'Skjema total MA'!I124*K124,0)</f>
        <v>0</v>
      </c>
    </row>
    <row r="125" spans="1:14" ht="15.75" x14ac:dyDescent="0.2">
      <c r="A125" s="20" t="s">
        <v>320</v>
      </c>
      <c r="B125" s="374">
        <v>0</v>
      </c>
      <c r="C125" s="374">
        <v>0</v>
      </c>
      <c r="D125" s="371">
        <f t="shared" si="19"/>
        <v>0</v>
      </c>
      <c r="E125" s="369">
        <f>IFERROR(100/'Skjema total MA'!C125*C125,0)</f>
        <v>0</v>
      </c>
      <c r="F125" s="374">
        <v>0</v>
      </c>
      <c r="G125" s="374">
        <v>0</v>
      </c>
      <c r="H125" s="371">
        <f t="shared" si="20"/>
        <v>0</v>
      </c>
      <c r="I125" s="369">
        <f>IFERROR(100/'Skjema total MA'!F125*G125,0)</f>
        <v>0</v>
      </c>
      <c r="J125" s="363">
        <f t="shared" si="21"/>
        <v>0</v>
      </c>
      <c r="K125" s="362">
        <f t="shared" si="21"/>
        <v>0</v>
      </c>
      <c r="L125" s="371">
        <f t="shared" si="22"/>
        <v>0</v>
      </c>
      <c r="M125" s="369">
        <f>IFERROR(100/'Skjema total MA'!I125*K125,0)</f>
        <v>0</v>
      </c>
    </row>
    <row r="126" spans="1:14" ht="15.75" x14ac:dyDescent="0.2">
      <c r="A126" s="10" t="s">
        <v>321</v>
      </c>
      <c r="B126" s="384">
        <v>0</v>
      </c>
      <c r="C126" s="384">
        <v>0</v>
      </c>
      <c r="D126" s="375">
        <f t="shared" si="19"/>
        <v>0</v>
      </c>
      <c r="E126" s="395">
        <f>IFERROR(100/'Skjema total MA'!C126*C126,0)</f>
        <v>0</v>
      </c>
      <c r="F126" s="384">
        <v>0</v>
      </c>
      <c r="G126" s="384">
        <v>0</v>
      </c>
      <c r="H126" s="375">
        <f t="shared" si="20"/>
        <v>0</v>
      </c>
      <c r="I126" s="375">
        <f>IFERROR(100/'Skjema total MA'!F126*G126,0)</f>
        <v>0</v>
      </c>
      <c r="J126" s="385">
        <f t="shared" si="21"/>
        <v>0</v>
      </c>
      <c r="K126" s="384">
        <f t="shared" si="21"/>
        <v>0</v>
      </c>
      <c r="L126" s="375">
        <f t="shared" si="22"/>
        <v>0</v>
      </c>
      <c r="M126" s="375">
        <f>IFERROR(100/'Skjema total MA'!I126*K126,0)</f>
        <v>0</v>
      </c>
    </row>
    <row r="127" spans="1:14" x14ac:dyDescent="0.2">
      <c r="A127" s="153"/>
      <c r="L127" s="25"/>
      <c r="M127" s="25"/>
      <c r="N127" s="25"/>
    </row>
    <row r="128" spans="1:14" x14ac:dyDescent="0.2">
      <c r="L128" s="25"/>
      <c r="M128" s="25"/>
      <c r="N128" s="25"/>
    </row>
    <row r="129" spans="1:15" ht="15.75" x14ac:dyDescent="0.25">
      <c r="A129" s="163" t="s">
        <v>30</v>
      </c>
    </row>
    <row r="130" spans="1:15" ht="15.75" x14ac:dyDescent="0.25">
      <c r="B130" s="355"/>
      <c r="C130" s="355"/>
      <c r="D130" s="355"/>
      <c r="E130" s="356"/>
      <c r="F130" s="355"/>
      <c r="G130" s="355"/>
      <c r="H130" s="355"/>
      <c r="I130" s="356"/>
      <c r="J130" s="355"/>
      <c r="K130" s="355"/>
      <c r="L130" s="355"/>
      <c r="M130" s="356"/>
    </row>
    <row r="131" spans="1:15" s="3" customFormat="1" x14ac:dyDescent="0.2">
      <c r="A131" s="142"/>
      <c r="B131" s="960" t="s">
        <v>0</v>
      </c>
      <c r="C131" s="961"/>
      <c r="D131" s="961"/>
      <c r="E131" s="353"/>
      <c r="F131" s="960" t="s">
        <v>1</v>
      </c>
      <c r="G131" s="961"/>
      <c r="H131" s="961"/>
      <c r="I131" s="354"/>
      <c r="J131" s="960" t="s">
        <v>2</v>
      </c>
      <c r="K131" s="961"/>
      <c r="L131" s="961"/>
      <c r="M131" s="354"/>
      <c r="N131" s="146"/>
      <c r="O131" s="146"/>
    </row>
    <row r="132" spans="1:15" s="3" customFormat="1" x14ac:dyDescent="0.2">
      <c r="A132" s="139"/>
      <c r="B132" s="150" t="s">
        <v>504</v>
      </c>
      <c r="C132" s="150" t="s">
        <v>505</v>
      </c>
      <c r="D132" s="243" t="s">
        <v>3</v>
      </c>
      <c r="E132" s="303" t="s">
        <v>32</v>
      </c>
      <c r="F132" s="150" t="s">
        <v>504</v>
      </c>
      <c r="G132" s="150" t="s">
        <v>505</v>
      </c>
      <c r="H132" s="204" t="s">
        <v>3</v>
      </c>
      <c r="I132" s="303" t="s">
        <v>32</v>
      </c>
      <c r="J132" s="244" t="s">
        <v>504</v>
      </c>
      <c r="K132" s="244" t="s">
        <v>505</v>
      </c>
      <c r="L132" s="245" t="s">
        <v>3</v>
      </c>
      <c r="M132" s="160" t="s">
        <v>32</v>
      </c>
      <c r="N132" s="146"/>
      <c r="O132" s="146"/>
    </row>
    <row r="133" spans="1:15" s="3" customFormat="1" x14ac:dyDescent="0.2">
      <c r="A133" s="934"/>
      <c r="B133" s="154"/>
      <c r="C133" s="154"/>
      <c r="D133" s="245" t="s">
        <v>4</v>
      </c>
      <c r="E133" s="154" t="s">
        <v>33</v>
      </c>
      <c r="F133" s="159"/>
      <c r="G133" s="159"/>
      <c r="H133" s="204" t="s">
        <v>4</v>
      </c>
      <c r="I133" s="154" t="s">
        <v>33</v>
      </c>
      <c r="J133" s="154"/>
      <c r="K133" s="154"/>
      <c r="L133" s="148" t="s">
        <v>4</v>
      </c>
      <c r="M133" s="154" t="s">
        <v>33</v>
      </c>
      <c r="N133" s="146"/>
      <c r="O133" s="146"/>
    </row>
    <row r="134" spans="1:15" s="3" customFormat="1" ht="15.75" x14ac:dyDescent="0.2">
      <c r="A134" s="14" t="s">
        <v>323</v>
      </c>
      <c r="B134" s="364">
        <v>0</v>
      </c>
      <c r="C134" s="365">
        <v>0</v>
      </c>
      <c r="D134" s="368">
        <f t="shared" ref="D134:D137" si="23">IF(AND(_xlfn.NUMBERVALUE(B134)=0,_xlfn.NUMBERVALUE(C134)=0),,IF(B134=0, "    ---- ", IF(ABS(ROUND(100/B134*C134-100,1))&lt;999,IF(ROUND(100/B134*C134-100,1)=0,"    ---- ",ROUND(100/B134*C134-100,1)),IF(ROUND(100/B134*C134-100,1)&gt;999,999,-999))))</f>
        <v>0</v>
      </c>
      <c r="E134" s="369">
        <f>IFERROR(100/'Skjema total MA'!C134*C134,0)</f>
        <v>0</v>
      </c>
      <c r="F134" s="359">
        <v>0</v>
      </c>
      <c r="G134" s="360">
        <v>0</v>
      </c>
      <c r="H134" s="397">
        <f t="shared" ref="H134:H137" si="24">IF(AND(_xlfn.NUMBERVALUE(F134)=0,_xlfn.NUMBERVALUE(G134)=0),,IF(F134=0, "    ---- ", IF(ABS(ROUND(100/F134*G134-100,1))&lt;999,IF(ROUND(100/F134*G134-100,1)=0,"    ---- ",ROUND(100/F134*G134-100,1)),IF(ROUND(100/F134*G134-100,1)&gt;999,999,-999))))</f>
        <v>0</v>
      </c>
      <c r="I134" s="369">
        <f>IFERROR(100/'Skjema total MA'!F134*G134,0)</f>
        <v>0</v>
      </c>
      <c r="J134" s="377">
        <f t="shared" ref="J134:K137" si="25">SUM(B134,F134)</f>
        <v>0</v>
      </c>
      <c r="K134" s="377">
        <f t="shared" si="25"/>
        <v>0</v>
      </c>
      <c r="L134" s="368">
        <f t="shared" ref="L134:L137" si="26">IF(AND(_xlfn.NUMBERVALUE(J134)=0,_xlfn.NUMBERVALUE(K134)=0),,IF(J134=0, "    ---- ", IF(ABS(ROUND(100/J134*K134-100,1))&lt;999,IF(ROUND(100/J134*K134-100,1)=0,"    ---- ",ROUND(100/J134*K134-100,1)),IF(ROUND(100/J134*K134-100,1)&gt;999,999,-999))))</f>
        <v>0</v>
      </c>
      <c r="M134" s="369">
        <f>IFERROR(100/'Skjema total MA'!I134*K134,0)</f>
        <v>0</v>
      </c>
      <c r="N134" s="146"/>
      <c r="O134" s="146"/>
    </row>
    <row r="135" spans="1:15" s="3" customFormat="1" ht="15.75" x14ac:dyDescent="0.2">
      <c r="A135" s="13" t="s">
        <v>324</v>
      </c>
      <c r="B135" s="364">
        <v>0</v>
      </c>
      <c r="C135" s="365">
        <v>0</v>
      </c>
      <c r="D135" s="371">
        <f t="shared" si="23"/>
        <v>0</v>
      </c>
      <c r="E135" s="369">
        <f>IFERROR(100/'Skjema total MA'!C135*C135,0)</f>
        <v>0</v>
      </c>
      <c r="F135" s="364">
        <v>0</v>
      </c>
      <c r="G135" s="365">
        <v>0</v>
      </c>
      <c r="H135" s="398">
        <f t="shared" si="24"/>
        <v>0</v>
      </c>
      <c r="I135" s="369">
        <f>IFERROR(100/'Skjema total MA'!F135*G135,0)</f>
        <v>0</v>
      </c>
      <c r="J135" s="370">
        <f t="shared" si="25"/>
        <v>0</v>
      </c>
      <c r="K135" s="370">
        <f t="shared" si="25"/>
        <v>0</v>
      </c>
      <c r="L135" s="371">
        <f t="shared" si="26"/>
        <v>0</v>
      </c>
      <c r="M135" s="369">
        <f>IFERROR(100/'Skjema total MA'!I135*K135,0)</f>
        <v>0</v>
      </c>
      <c r="N135" s="146"/>
      <c r="O135" s="146"/>
    </row>
    <row r="136" spans="1:15" s="3" customFormat="1" ht="15.75" x14ac:dyDescent="0.2">
      <c r="A136" s="13" t="s">
        <v>325</v>
      </c>
      <c r="B136" s="364">
        <v>0</v>
      </c>
      <c r="C136" s="365">
        <v>0</v>
      </c>
      <c r="D136" s="371">
        <f t="shared" si="23"/>
        <v>0</v>
      </c>
      <c r="E136" s="369">
        <f>IFERROR(100/'Skjema total MA'!C136*C136,0)</f>
        <v>0</v>
      </c>
      <c r="F136" s="364">
        <v>0</v>
      </c>
      <c r="G136" s="365">
        <v>0</v>
      </c>
      <c r="H136" s="398">
        <f t="shared" si="24"/>
        <v>0</v>
      </c>
      <c r="I136" s="369">
        <f>IFERROR(100/'Skjema total MA'!F136*G136,0)</f>
        <v>0</v>
      </c>
      <c r="J136" s="370">
        <f t="shared" si="25"/>
        <v>0</v>
      </c>
      <c r="K136" s="370">
        <f t="shared" si="25"/>
        <v>0</v>
      </c>
      <c r="L136" s="371">
        <f t="shared" si="26"/>
        <v>0</v>
      </c>
      <c r="M136" s="369">
        <f>IFERROR(100/'Skjema total MA'!I136*K136,0)</f>
        <v>0</v>
      </c>
      <c r="N136" s="146"/>
      <c r="O136" s="146"/>
    </row>
    <row r="137" spans="1:15" s="3" customFormat="1" ht="15.75" x14ac:dyDescent="0.2">
      <c r="A137" s="40" t="s">
        <v>326</v>
      </c>
      <c r="B137" s="366">
        <v>0</v>
      </c>
      <c r="C137" s="367">
        <v>0</v>
      </c>
      <c r="D137" s="375">
        <f t="shared" si="23"/>
        <v>0</v>
      </c>
      <c r="E137" s="395">
        <f>IFERROR(100/'Skjema total MA'!C137*C137,0)</f>
        <v>0</v>
      </c>
      <c r="F137" s="366">
        <v>0</v>
      </c>
      <c r="G137" s="367">
        <v>0</v>
      </c>
      <c r="H137" s="399">
        <f t="shared" si="24"/>
        <v>0</v>
      </c>
      <c r="I137" s="395">
        <f>IFERROR(100/'Skjema total MA'!F137*G137,0)</f>
        <v>0</v>
      </c>
      <c r="J137" s="376">
        <f t="shared" si="25"/>
        <v>0</v>
      </c>
      <c r="K137" s="376">
        <f t="shared" si="25"/>
        <v>0</v>
      </c>
      <c r="L137" s="375">
        <f t="shared" si="26"/>
        <v>0</v>
      </c>
      <c r="M137" s="375">
        <f>IFERROR(100/'Skjema total MA'!I137*K137,0)</f>
        <v>0</v>
      </c>
      <c r="N137" s="146"/>
      <c r="O137" s="146"/>
    </row>
    <row r="138" spans="1:15" s="3" customFormat="1" x14ac:dyDescent="0.2">
      <c r="A138" s="166"/>
      <c r="B138" s="32"/>
      <c r="C138" s="32"/>
      <c r="D138" s="157"/>
      <c r="E138" s="157"/>
      <c r="F138" s="32"/>
      <c r="G138" s="32"/>
      <c r="H138" s="157"/>
      <c r="I138" s="157"/>
      <c r="J138" s="32"/>
      <c r="K138" s="32"/>
      <c r="L138" s="157"/>
      <c r="M138" s="157"/>
      <c r="N138" s="146"/>
      <c r="O138" s="146"/>
    </row>
    <row r="139" spans="1:15" x14ac:dyDescent="0.2">
      <c r="A139" s="166"/>
      <c r="B139" s="32"/>
      <c r="C139" s="32"/>
      <c r="D139" s="157"/>
      <c r="E139" s="157"/>
      <c r="F139" s="32"/>
      <c r="G139" s="32"/>
      <c r="H139" s="157"/>
      <c r="I139" s="157"/>
      <c r="J139" s="32"/>
      <c r="K139" s="32"/>
      <c r="L139" s="157"/>
      <c r="M139" s="157"/>
      <c r="N139" s="146"/>
    </row>
    <row r="140" spans="1:15" x14ac:dyDescent="0.2">
      <c r="A140" s="166"/>
      <c r="B140" s="32"/>
      <c r="C140" s="32"/>
      <c r="D140" s="157"/>
      <c r="E140" s="157"/>
      <c r="F140" s="32"/>
      <c r="G140" s="32"/>
      <c r="H140" s="157"/>
      <c r="I140" s="157"/>
      <c r="J140" s="32"/>
      <c r="K140" s="32"/>
      <c r="L140" s="157"/>
      <c r="M140" s="157"/>
      <c r="N140" s="146"/>
    </row>
    <row r="141" spans="1:15" x14ac:dyDescent="0.2">
      <c r="A141" s="144"/>
      <c r="B141" s="144"/>
      <c r="C141" s="144"/>
      <c r="D141" s="144"/>
      <c r="E141" s="144"/>
      <c r="F141" s="144"/>
      <c r="G141" s="144"/>
      <c r="H141" s="144"/>
      <c r="I141" s="144"/>
      <c r="J141" s="144"/>
      <c r="K141" s="144"/>
      <c r="L141" s="144"/>
      <c r="M141" s="144"/>
      <c r="N141" s="144"/>
    </row>
    <row r="142" spans="1:15" ht="15.75" x14ac:dyDescent="0.25">
      <c r="B142" s="140"/>
      <c r="C142" s="140"/>
      <c r="D142" s="140"/>
      <c r="E142" s="140"/>
      <c r="F142" s="140"/>
      <c r="G142" s="140"/>
      <c r="H142" s="140"/>
      <c r="I142" s="140"/>
      <c r="J142" s="140"/>
      <c r="K142" s="140"/>
      <c r="L142" s="140"/>
      <c r="M142" s="140"/>
      <c r="N142" s="140"/>
    </row>
    <row r="143" spans="1:15" ht="15.75" x14ac:dyDescent="0.25">
      <c r="B143" s="155"/>
      <c r="C143" s="155"/>
      <c r="D143" s="155"/>
      <c r="E143" s="155"/>
      <c r="F143" s="155"/>
      <c r="G143" s="155"/>
      <c r="H143" s="155"/>
      <c r="I143" s="155"/>
      <c r="J143" s="155"/>
      <c r="K143" s="155"/>
      <c r="L143" s="155"/>
      <c r="M143" s="155"/>
      <c r="N143" s="155"/>
      <c r="O143" s="152"/>
    </row>
    <row r="144" spans="1:15" ht="15.75" x14ac:dyDescent="0.25">
      <c r="B144" s="155"/>
      <c r="C144" s="155"/>
      <c r="D144" s="155"/>
      <c r="E144" s="155"/>
      <c r="F144" s="155"/>
      <c r="G144" s="155"/>
      <c r="H144" s="155"/>
      <c r="I144" s="155"/>
      <c r="J144" s="155"/>
      <c r="K144" s="155"/>
      <c r="L144" s="155"/>
      <c r="M144" s="155"/>
      <c r="N144" s="155"/>
      <c r="O144" s="152"/>
    </row>
  </sheetData>
  <mergeCells count="13">
    <mergeCell ref="B44:D44"/>
    <mergeCell ref="J19:L19"/>
    <mergeCell ref="F19:H19"/>
    <mergeCell ref="B19:D19"/>
    <mergeCell ref="J4:L4"/>
    <mergeCell ref="F4:H4"/>
    <mergeCell ref="B4:D4"/>
    <mergeCell ref="J131:L131"/>
    <mergeCell ref="F131:H131"/>
    <mergeCell ref="B131:D131"/>
    <mergeCell ref="J63:L63"/>
    <mergeCell ref="F63:H63"/>
    <mergeCell ref="B63:D63"/>
  </mergeCells>
  <conditionalFormatting sqref="B50:C52">
    <cfRule type="expression" dxfId="1948" priority="132">
      <formula>kvartal &lt; 4</formula>
    </cfRule>
  </conditionalFormatting>
  <conditionalFormatting sqref="B30">
    <cfRule type="expression" dxfId="1947" priority="130">
      <formula>kvartal &lt; 4</formula>
    </cfRule>
  </conditionalFormatting>
  <conditionalFormatting sqref="B31">
    <cfRule type="expression" dxfId="1946" priority="129">
      <formula>kvartal &lt; 4</formula>
    </cfRule>
  </conditionalFormatting>
  <conditionalFormatting sqref="B32:B33">
    <cfRule type="expression" dxfId="1945" priority="128">
      <formula>kvartal &lt; 4</formula>
    </cfRule>
  </conditionalFormatting>
  <conditionalFormatting sqref="C30">
    <cfRule type="expression" dxfId="1944" priority="127">
      <formula>kvartal &lt; 4</formula>
    </cfRule>
  </conditionalFormatting>
  <conditionalFormatting sqref="C31">
    <cfRule type="expression" dxfId="1943" priority="126">
      <formula>kvartal &lt; 4</formula>
    </cfRule>
  </conditionalFormatting>
  <conditionalFormatting sqref="C32:C33">
    <cfRule type="expression" dxfId="1942" priority="125">
      <formula>kvartal &lt; 4</formula>
    </cfRule>
  </conditionalFormatting>
  <conditionalFormatting sqref="B23:C26">
    <cfRule type="expression" dxfId="1941" priority="124">
      <formula>kvartal &lt; 4</formula>
    </cfRule>
  </conditionalFormatting>
  <conditionalFormatting sqref="F23:G26">
    <cfRule type="expression" dxfId="1940" priority="120">
      <formula>kvartal &lt; 4</formula>
    </cfRule>
  </conditionalFormatting>
  <conditionalFormatting sqref="F30">
    <cfRule type="expression" dxfId="1939" priority="113">
      <formula>kvartal &lt; 4</formula>
    </cfRule>
  </conditionalFormatting>
  <conditionalFormatting sqref="F31">
    <cfRule type="expression" dxfId="1938" priority="112">
      <formula>kvartal &lt; 4</formula>
    </cfRule>
  </conditionalFormatting>
  <conditionalFormatting sqref="F32:F33">
    <cfRule type="expression" dxfId="1937" priority="111">
      <formula>kvartal &lt; 4</formula>
    </cfRule>
  </conditionalFormatting>
  <conditionalFormatting sqref="G30">
    <cfRule type="expression" dxfId="1936" priority="110">
      <formula>kvartal &lt; 4</formula>
    </cfRule>
  </conditionalFormatting>
  <conditionalFormatting sqref="G31">
    <cfRule type="expression" dxfId="1935" priority="109">
      <formula>kvartal &lt; 4</formula>
    </cfRule>
  </conditionalFormatting>
  <conditionalFormatting sqref="G32:G33">
    <cfRule type="expression" dxfId="1934" priority="108">
      <formula>kvartal &lt; 4</formula>
    </cfRule>
  </conditionalFormatting>
  <conditionalFormatting sqref="B27">
    <cfRule type="expression" dxfId="1933" priority="107">
      <formula>kvartal &lt; 4</formula>
    </cfRule>
  </conditionalFormatting>
  <conditionalFormatting sqref="C27">
    <cfRule type="expression" dxfId="1932" priority="106">
      <formula>kvartal &lt; 4</formula>
    </cfRule>
  </conditionalFormatting>
  <conditionalFormatting sqref="F27">
    <cfRule type="expression" dxfId="1931" priority="105">
      <formula>kvartal &lt; 4</formula>
    </cfRule>
  </conditionalFormatting>
  <conditionalFormatting sqref="G27">
    <cfRule type="expression" dxfId="1930" priority="104">
      <formula>kvartal &lt; 4</formula>
    </cfRule>
  </conditionalFormatting>
  <conditionalFormatting sqref="J23:K27">
    <cfRule type="expression" dxfId="1929" priority="103">
      <formula>kvartal &lt; 4</formula>
    </cfRule>
  </conditionalFormatting>
  <conditionalFormatting sqref="J30:K33">
    <cfRule type="expression" dxfId="1928" priority="101">
      <formula>kvartal &lt; 4</formula>
    </cfRule>
  </conditionalFormatting>
  <conditionalFormatting sqref="B69">
    <cfRule type="expression" dxfId="1927" priority="100">
      <formula>kvartal &lt; 4</formula>
    </cfRule>
  </conditionalFormatting>
  <conditionalFormatting sqref="C69">
    <cfRule type="expression" dxfId="1926" priority="99">
      <formula>kvartal &lt; 4</formula>
    </cfRule>
  </conditionalFormatting>
  <conditionalFormatting sqref="B72">
    <cfRule type="expression" dxfId="1925" priority="98">
      <formula>kvartal &lt; 4</formula>
    </cfRule>
  </conditionalFormatting>
  <conditionalFormatting sqref="C72">
    <cfRule type="expression" dxfId="1924" priority="97">
      <formula>kvartal &lt; 4</formula>
    </cfRule>
  </conditionalFormatting>
  <conditionalFormatting sqref="B80">
    <cfRule type="expression" dxfId="1923" priority="96">
      <formula>kvartal &lt; 4</formula>
    </cfRule>
  </conditionalFormatting>
  <conditionalFormatting sqref="C80">
    <cfRule type="expression" dxfId="1922" priority="95">
      <formula>kvartal &lt; 4</formula>
    </cfRule>
  </conditionalFormatting>
  <conditionalFormatting sqref="B83">
    <cfRule type="expression" dxfId="1921" priority="94">
      <formula>kvartal &lt; 4</formula>
    </cfRule>
  </conditionalFormatting>
  <conditionalFormatting sqref="C83">
    <cfRule type="expression" dxfId="1920" priority="93">
      <formula>kvartal &lt; 4</formula>
    </cfRule>
  </conditionalFormatting>
  <conditionalFormatting sqref="B90">
    <cfRule type="expression" dxfId="1919" priority="84">
      <formula>kvartal &lt; 4</formula>
    </cfRule>
  </conditionalFormatting>
  <conditionalFormatting sqref="C90">
    <cfRule type="expression" dxfId="1918" priority="83">
      <formula>kvartal &lt; 4</formula>
    </cfRule>
  </conditionalFormatting>
  <conditionalFormatting sqref="B93">
    <cfRule type="expression" dxfId="1917" priority="82">
      <formula>kvartal &lt; 4</formula>
    </cfRule>
  </conditionalFormatting>
  <conditionalFormatting sqref="C93">
    <cfRule type="expression" dxfId="1916" priority="81">
      <formula>kvartal &lt; 4</formula>
    </cfRule>
  </conditionalFormatting>
  <conditionalFormatting sqref="B101">
    <cfRule type="expression" dxfId="1915" priority="80">
      <formula>kvartal &lt; 4</formula>
    </cfRule>
  </conditionalFormatting>
  <conditionalFormatting sqref="C101">
    <cfRule type="expression" dxfId="1914" priority="79">
      <formula>kvartal &lt; 4</formula>
    </cfRule>
  </conditionalFormatting>
  <conditionalFormatting sqref="B104">
    <cfRule type="expression" dxfId="1913" priority="78">
      <formula>kvartal &lt; 4</formula>
    </cfRule>
  </conditionalFormatting>
  <conditionalFormatting sqref="C104">
    <cfRule type="expression" dxfId="1912" priority="77">
      <formula>kvartal &lt; 4</formula>
    </cfRule>
  </conditionalFormatting>
  <conditionalFormatting sqref="B115">
    <cfRule type="expression" dxfId="1911" priority="76">
      <formula>kvartal &lt; 4</formula>
    </cfRule>
  </conditionalFormatting>
  <conditionalFormatting sqref="C115">
    <cfRule type="expression" dxfId="1910" priority="75">
      <formula>kvartal &lt; 4</formula>
    </cfRule>
  </conditionalFormatting>
  <conditionalFormatting sqref="B123">
    <cfRule type="expression" dxfId="1909" priority="74">
      <formula>kvartal &lt; 4</formula>
    </cfRule>
  </conditionalFormatting>
  <conditionalFormatting sqref="C123">
    <cfRule type="expression" dxfId="1908" priority="73">
      <formula>kvartal &lt; 4</formula>
    </cfRule>
  </conditionalFormatting>
  <conditionalFormatting sqref="F70">
    <cfRule type="expression" dxfId="1907" priority="72">
      <formula>kvartal &lt; 4</formula>
    </cfRule>
  </conditionalFormatting>
  <conditionalFormatting sqref="G70">
    <cfRule type="expression" dxfId="1906" priority="71">
      <formula>kvartal &lt; 4</formula>
    </cfRule>
  </conditionalFormatting>
  <conditionalFormatting sqref="F71:G71">
    <cfRule type="expression" dxfId="1905" priority="70">
      <formula>kvartal &lt; 4</formula>
    </cfRule>
  </conditionalFormatting>
  <conditionalFormatting sqref="F73:G74">
    <cfRule type="expression" dxfId="1904" priority="69">
      <formula>kvartal &lt; 4</formula>
    </cfRule>
  </conditionalFormatting>
  <conditionalFormatting sqref="F81:G82">
    <cfRule type="expression" dxfId="1903" priority="68">
      <formula>kvartal &lt; 4</formula>
    </cfRule>
  </conditionalFormatting>
  <conditionalFormatting sqref="F84:G85">
    <cfRule type="expression" dxfId="1902" priority="67">
      <formula>kvartal &lt; 4</formula>
    </cfRule>
  </conditionalFormatting>
  <conditionalFormatting sqref="F91:G92">
    <cfRule type="expression" dxfId="1901" priority="62">
      <formula>kvartal &lt; 4</formula>
    </cfRule>
  </conditionalFormatting>
  <conditionalFormatting sqref="F94:G95">
    <cfRule type="expression" dxfId="1900" priority="61">
      <formula>kvartal &lt; 4</formula>
    </cfRule>
  </conditionalFormatting>
  <conditionalFormatting sqref="F102:G103">
    <cfRule type="expression" dxfId="1899" priority="60">
      <formula>kvartal &lt; 4</formula>
    </cfRule>
  </conditionalFormatting>
  <conditionalFormatting sqref="F105:G106">
    <cfRule type="expression" dxfId="1898" priority="59">
      <formula>kvartal &lt; 4</formula>
    </cfRule>
  </conditionalFormatting>
  <conditionalFormatting sqref="F115">
    <cfRule type="expression" dxfId="1897" priority="58">
      <formula>kvartal &lt; 4</formula>
    </cfRule>
  </conditionalFormatting>
  <conditionalFormatting sqref="G115">
    <cfRule type="expression" dxfId="1896" priority="57">
      <formula>kvartal &lt; 4</formula>
    </cfRule>
  </conditionalFormatting>
  <conditionalFormatting sqref="F123:G123">
    <cfRule type="expression" dxfId="1895" priority="56">
      <formula>kvartal &lt; 4</formula>
    </cfRule>
  </conditionalFormatting>
  <conditionalFormatting sqref="F69:G69">
    <cfRule type="expression" dxfId="1894" priority="55">
      <formula>kvartal &lt; 4</formula>
    </cfRule>
  </conditionalFormatting>
  <conditionalFormatting sqref="F72:G72">
    <cfRule type="expression" dxfId="1893" priority="54">
      <formula>kvartal &lt; 4</formula>
    </cfRule>
  </conditionalFormatting>
  <conditionalFormatting sqref="F80:G80">
    <cfRule type="expression" dxfId="1892" priority="53">
      <formula>kvartal &lt; 4</formula>
    </cfRule>
  </conditionalFormatting>
  <conditionalFormatting sqref="F83:G83">
    <cfRule type="expression" dxfId="1891" priority="52">
      <formula>kvartal &lt; 4</formula>
    </cfRule>
  </conditionalFormatting>
  <conditionalFormatting sqref="F90:G90">
    <cfRule type="expression" dxfId="1890" priority="46">
      <formula>kvartal &lt; 4</formula>
    </cfRule>
  </conditionalFormatting>
  <conditionalFormatting sqref="F93">
    <cfRule type="expression" dxfId="1889" priority="45">
      <formula>kvartal &lt; 4</formula>
    </cfRule>
  </conditionalFormatting>
  <conditionalFormatting sqref="G93">
    <cfRule type="expression" dxfId="1888" priority="44">
      <formula>kvartal &lt; 4</formula>
    </cfRule>
  </conditionalFormatting>
  <conditionalFormatting sqref="F101">
    <cfRule type="expression" dxfId="1887" priority="43">
      <formula>kvartal &lt; 4</formula>
    </cfRule>
  </conditionalFormatting>
  <conditionalFormatting sqref="G101">
    <cfRule type="expression" dxfId="1886" priority="42">
      <formula>kvartal &lt; 4</formula>
    </cfRule>
  </conditionalFormatting>
  <conditionalFormatting sqref="G104">
    <cfRule type="expression" dxfId="1885" priority="41">
      <formula>kvartal &lt; 4</formula>
    </cfRule>
  </conditionalFormatting>
  <conditionalFormatting sqref="F104">
    <cfRule type="expression" dxfId="1884" priority="40">
      <formula>kvartal &lt; 4</formula>
    </cfRule>
  </conditionalFormatting>
  <conditionalFormatting sqref="J69:K73">
    <cfRule type="expression" dxfId="1883" priority="39">
      <formula>kvartal &lt; 4</formula>
    </cfRule>
  </conditionalFormatting>
  <conditionalFormatting sqref="J74:K74">
    <cfRule type="expression" dxfId="1882" priority="38">
      <formula>kvartal &lt; 4</formula>
    </cfRule>
  </conditionalFormatting>
  <conditionalFormatting sqref="J80:K85">
    <cfRule type="expression" dxfId="1881" priority="37">
      <formula>kvartal &lt; 4</formula>
    </cfRule>
  </conditionalFormatting>
  <conditionalFormatting sqref="J90:K95">
    <cfRule type="expression" dxfId="1880" priority="34">
      <formula>kvartal &lt; 4</formula>
    </cfRule>
  </conditionalFormatting>
  <conditionalFormatting sqref="J101:K106">
    <cfRule type="expression" dxfId="1879" priority="33">
      <formula>kvartal &lt; 4</formula>
    </cfRule>
  </conditionalFormatting>
  <conditionalFormatting sqref="J115:K115">
    <cfRule type="expression" dxfId="1878" priority="32">
      <formula>kvartal &lt; 4</formula>
    </cfRule>
  </conditionalFormatting>
  <conditionalFormatting sqref="J123:K123">
    <cfRule type="expression" dxfId="1877" priority="31">
      <formula>kvartal &lt; 4</formula>
    </cfRule>
  </conditionalFormatting>
  <conditionalFormatting sqref="A23:A26">
    <cfRule type="expression" dxfId="1876" priority="15">
      <formula>kvartal &lt; 4</formula>
    </cfRule>
  </conditionalFormatting>
  <conditionalFormatting sqref="A30:A33">
    <cfRule type="expression" dxfId="1875" priority="13">
      <formula>kvartal &lt; 4</formula>
    </cfRule>
  </conditionalFormatting>
  <conditionalFormatting sqref="A50:A52">
    <cfRule type="expression" dxfId="1874" priority="12">
      <formula>kvartal &lt; 4</formula>
    </cfRule>
  </conditionalFormatting>
  <conditionalFormatting sqref="A69:A74">
    <cfRule type="expression" dxfId="1873" priority="10">
      <formula>kvartal &lt; 4</formula>
    </cfRule>
  </conditionalFormatting>
  <conditionalFormatting sqref="A80:A85">
    <cfRule type="expression" dxfId="1872" priority="9">
      <formula>kvartal &lt; 4</formula>
    </cfRule>
  </conditionalFormatting>
  <conditionalFormatting sqref="A90:A95">
    <cfRule type="expression" dxfId="1871" priority="6">
      <formula>kvartal &lt; 4</formula>
    </cfRule>
  </conditionalFormatting>
  <conditionalFormatting sqref="A101:A106">
    <cfRule type="expression" dxfId="1870" priority="5">
      <formula>kvartal &lt; 4</formula>
    </cfRule>
  </conditionalFormatting>
  <conditionalFormatting sqref="A115">
    <cfRule type="expression" dxfId="1869" priority="4">
      <formula>kvartal &lt; 4</formula>
    </cfRule>
  </conditionalFormatting>
  <conditionalFormatting sqref="A123">
    <cfRule type="expression" dxfId="1868" priority="3">
      <formula>kvartal &lt; 4</formula>
    </cfRule>
  </conditionalFormatting>
  <conditionalFormatting sqref="A27">
    <cfRule type="expression" dxfId="1867" priority="2">
      <formula>kvartal &lt; 4</formula>
    </cfRule>
  </conditionalFormatting>
  <pageMargins left="0.70866141732283472" right="0.70866141732283472" top="0.78740157480314965" bottom="0.78740157480314965" header="0.31496062992125984" footer="0.31496062992125984"/>
  <pageSetup paperSize="9" scale="55" orientation="portrait" r:id="rId1"/>
  <rowBreaks count="1" manualBreakCount="1">
    <brk id="59"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dimension ref="A1:O144"/>
  <sheetViews>
    <sheetView showGridLines="0" zoomScale="90" zoomScaleNormal="90" workbookViewId="0"/>
  </sheetViews>
  <sheetFormatPr baseColWidth="10" defaultColWidth="11.42578125" defaultRowHeight="12.75" x14ac:dyDescent="0.2"/>
  <cols>
    <col min="1" max="1" width="41.5703125" style="147" customWidth="1"/>
    <col min="2" max="2" width="10.85546875" style="147" customWidth="1"/>
    <col min="3" max="3" width="11" style="147" customWidth="1"/>
    <col min="4" max="5" width="8.7109375" style="147" customWidth="1"/>
    <col min="6" max="7" width="10.85546875" style="147" customWidth="1"/>
    <col min="8" max="9" width="8.7109375" style="147" customWidth="1"/>
    <col min="10" max="11" width="10.85546875" style="147" customWidth="1"/>
    <col min="12" max="13" width="8.7109375" style="147" customWidth="1"/>
    <col min="14" max="14" width="11.42578125" style="147"/>
    <col min="15" max="15" width="3" style="146" bestFit="1" customWidth="1"/>
    <col min="16" max="16384" width="11.42578125" style="1"/>
  </cols>
  <sheetData>
    <row r="1" spans="1:15" x14ac:dyDescent="0.2">
      <c r="A1" s="170" t="s">
        <v>152</v>
      </c>
      <c r="B1" s="932"/>
      <c r="C1" s="247" t="s">
        <v>93</v>
      </c>
      <c r="D1" s="25"/>
      <c r="E1" s="25"/>
      <c r="F1" s="25"/>
      <c r="G1" s="25"/>
      <c r="H1" s="25"/>
      <c r="I1" s="25"/>
      <c r="J1" s="25"/>
      <c r="K1" s="25"/>
      <c r="L1" s="25"/>
      <c r="M1" s="25"/>
      <c r="O1" s="423"/>
    </row>
    <row r="2" spans="1:15" ht="15.75" x14ac:dyDescent="0.25">
      <c r="A2" s="163" t="s">
        <v>31</v>
      </c>
      <c r="B2" s="965"/>
      <c r="C2" s="965"/>
      <c r="D2" s="965"/>
      <c r="E2" s="403"/>
      <c r="F2" s="965"/>
      <c r="G2" s="965"/>
      <c r="H2" s="965"/>
      <c r="I2" s="403"/>
      <c r="J2" s="965"/>
      <c r="K2" s="965"/>
      <c r="L2" s="965"/>
      <c r="M2" s="403"/>
    </row>
    <row r="3" spans="1:15" ht="15.75" x14ac:dyDescent="0.25">
      <c r="A3" s="161"/>
      <c r="B3" s="403"/>
      <c r="C3" s="403"/>
      <c r="D3" s="403"/>
      <c r="E3" s="403"/>
      <c r="F3" s="403"/>
      <c r="G3" s="403"/>
      <c r="H3" s="403"/>
      <c r="I3" s="403"/>
      <c r="J3" s="403"/>
      <c r="K3" s="403"/>
      <c r="L3" s="403"/>
      <c r="M3" s="403"/>
    </row>
    <row r="4" spans="1:15" x14ac:dyDescent="0.2">
      <c r="A4" s="142"/>
      <c r="B4" s="960" t="s">
        <v>0</v>
      </c>
      <c r="C4" s="961"/>
      <c r="D4" s="961"/>
      <c r="E4" s="402"/>
      <c r="F4" s="960" t="s">
        <v>1</v>
      </c>
      <c r="G4" s="961"/>
      <c r="H4" s="961"/>
      <c r="I4" s="405"/>
      <c r="J4" s="960" t="s">
        <v>2</v>
      </c>
      <c r="K4" s="961"/>
      <c r="L4" s="961"/>
      <c r="M4" s="405"/>
    </row>
    <row r="5" spans="1:15" x14ac:dyDescent="0.2">
      <c r="A5" s="156"/>
      <c r="B5" s="150" t="s">
        <v>504</v>
      </c>
      <c r="C5" s="150" t="s">
        <v>505</v>
      </c>
      <c r="D5" s="243" t="s">
        <v>3</v>
      </c>
      <c r="E5" s="303" t="s">
        <v>32</v>
      </c>
      <c r="F5" s="150" t="s">
        <v>504</v>
      </c>
      <c r="G5" s="150" t="s">
        <v>505</v>
      </c>
      <c r="H5" s="243" t="s">
        <v>3</v>
      </c>
      <c r="I5" s="160" t="s">
        <v>32</v>
      </c>
      <c r="J5" s="150" t="s">
        <v>504</v>
      </c>
      <c r="K5" s="150" t="s">
        <v>505</v>
      </c>
      <c r="L5" s="243" t="s">
        <v>3</v>
      </c>
      <c r="M5" s="160" t="s">
        <v>32</v>
      </c>
      <c r="O5" s="931"/>
    </row>
    <row r="6" spans="1:15" x14ac:dyDescent="0.2">
      <c r="A6" s="933"/>
      <c r="B6" s="154"/>
      <c r="C6" s="154"/>
      <c r="D6" s="245" t="s">
        <v>4</v>
      </c>
      <c r="E6" s="154" t="s">
        <v>33</v>
      </c>
      <c r="F6" s="159"/>
      <c r="G6" s="159"/>
      <c r="H6" s="243" t="s">
        <v>4</v>
      </c>
      <c r="I6" s="154" t="s">
        <v>33</v>
      </c>
      <c r="J6" s="159"/>
      <c r="K6" s="159"/>
      <c r="L6" s="243" t="s">
        <v>4</v>
      </c>
      <c r="M6" s="154" t="s">
        <v>33</v>
      </c>
    </row>
    <row r="7" spans="1:15" ht="15.75" x14ac:dyDescent="0.2">
      <c r="A7" s="14" t="s">
        <v>26</v>
      </c>
      <c r="B7" s="304">
        <v>259295</v>
      </c>
      <c r="C7" s="305">
        <v>269409.05900000001</v>
      </c>
      <c r="D7" s="348">
        <f>IF(B7=0, "    ---- ", IF(ABS(ROUND(100/B7*C7-100,1))&lt;999,ROUND(100/B7*C7-100,1),IF(ROUND(100/B7*C7-100,1)&gt;999,999,-999)))</f>
        <v>3.9</v>
      </c>
      <c r="E7" s="11">
        <f>IFERROR(100/'Skjema total MA'!C7*C7,0)</f>
        <v>5.7766356332008195</v>
      </c>
      <c r="F7" s="304">
        <v>473611.30499999999</v>
      </c>
      <c r="G7" s="305">
        <v>395631.554</v>
      </c>
      <c r="H7" s="348">
        <f>IF(F7=0, "    ---- ", IF(ABS(ROUND(100/F7*G7-100,1))&lt;999,ROUND(100/F7*G7-100,1),IF(ROUND(100/F7*G7-100,1)&gt;999,999,-999)))</f>
        <v>-16.5</v>
      </c>
      <c r="I7" s="158">
        <f>IFERROR(100/'Skjema total MA'!F7*G7,0)</f>
        <v>4.4919346802382849</v>
      </c>
      <c r="J7" s="306">
        <v>732906.30499999993</v>
      </c>
      <c r="K7" s="307">
        <v>665040.61300000001</v>
      </c>
      <c r="L7" s="424">
        <f>IF(J7=0, "    ---- ", IF(ABS(ROUND(100/J7*K7-100,1))&lt;999,ROUND(100/J7*K7-100,1),IF(ROUND(100/J7*K7-100,1)&gt;999,999,-999)))</f>
        <v>-9.3000000000000007</v>
      </c>
      <c r="M7" s="11">
        <f>IFERROR(100/'Skjema total MA'!I7*K7,0)</f>
        <v>4.9366965319769198</v>
      </c>
    </row>
    <row r="8" spans="1:15" ht="15.75" x14ac:dyDescent="0.2">
      <c r="A8" s="20" t="s">
        <v>28</v>
      </c>
      <c r="B8" s="279">
        <v>131805.09299999999</v>
      </c>
      <c r="C8" s="280">
        <v>133686.85</v>
      </c>
      <c r="D8" s="164">
        <f>IF(AND(_xlfn.NUMBERVALUE(B8)=0,_xlfn.NUMBERVALUE(C8)=0),,IF(B8=0, "    ---- ", IF(ABS(ROUND(100/B8*C8-100,1))&lt;999,IF(ROUND(100/B8*C8-100,1)=0,"    ---- ",ROUND(100/B8*C8-100,1)),IF(ROUND(100/B8*C8-100,1)&gt;999,999,-999))))</f>
        <v>1.4</v>
      </c>
      <c r="E8" s="26">
        <f>IFERROR(100/'Skjema total MA'!C8*C8,0)</f>
        <v>5.3714480224747172</v>
      </c>
      <c r="F8" s="283"/>
      <c r="G8" s="284"/>
      <c r="H8" s="164"/>
      <c r="I8" s="158"/>
      <c r="J8" s="232">
        <v>131805.09299999999</v>
      </c>
      <c r="K8" s="285">
        <v>133686.85</v>
      </c>
      <c r="L8" s="164">
        <f>IF(AND(_xlfn.NUMBERVALUE(J8)=0,_xlfn.NUMBERVALUE(K8)=0),,IF(J8=0, "    ---- ", IF(ABS(ROUND(100/J8*K8-100,1))&lt;999,IF(ROUND(100/J8*K8-100,1)=0,"    ---- ",ROUND(100/J8*K8-100,1)),IF(ROUND(100/J8*K8-100,1)&gt;999,999,-999))))</f>
        <v>1.4</v>
      </c>
      <c r="M8" s="26">
        <f>IFERROR(100/'Skjema total MA'!I8*K8,0)</f>
        <v>5.3714480224747172</v>
      </c>
    </row>
    <row r="9" spans="1:15" ht="15.75" x14ac:dyDescent="0.2">
      <c r="A9" s="20" t="s">
        <v>27</v>
      </c>
      <c r="B9" s="279">
        <v>83894.281000000003</v>
      </c>
      <c r="C9" s="280">
        <v>78351.793999999994</v>
      </c>
      <c r="D9" s="164">
        <f t="shared" ref="D9:D10" si="0">IF(B9=0, "    ---- ", IF(ABS(ROUND(100/B9*C9-100,1))&lt;999,ROUND(100/B9*C9-100,1),IF(ROUND(100/B9*C9-100,1)&gt;999,999,-999)))</f>
        <v>-6.6</v>
      </c>
      <c r="E9" s="26">
        <f>IFERROR(100/'Skjema total MA'!C9*C9,0)</f>
        <v>7.241239457543613</v>
      </c>
      <c r="F9" s="283"/>
      <c r="G9" s="284"/>
      <c r="H9" s="164"/>
      <c r="I9" s="158"/>
      <c r="J9" s="232">
        <v>83894.281000000003</v>
      </c>
      <c r="K9" s="285">
        <v>78351.793999999994</v>
      </c>
      <c r="L9" s="164">
        <f>IF(AND(_xlfn.NUMBERVALUE(J9)=0,_xlfn.NUMBERVALUE(K9)=0),,IF(J9=0, "    ---- ", IF(ABS(ROUND(100/J9*K9-100,1))&lt;999,IF(ROUND(100/J9*K9-100,1)=0,"    ---- ",ROUND(100/J9*K9-100,1)),IF(ROUND(100/J9*K9-100,1)&gt;999,999,-999))))</f>
        <v>-6.6</v>
      </c>
      <c r="M9" s="26">
        <f>IFERROR(100/'Skjema total MA'!I9*K9,0)</f>
        <v>7.241239457543613</v>
      </c>
    </row>
    <row r="10" spans="1:15" ht="15.75" x14ac:dyDescent="0.2">
      <c r="A10" s="13" t="s">
        <v>25</v>
      </c>
      <c r="B10" s="308">
        <v>348168</v>
      </c>
      <c r="C10" s="309">
        <v>333708.51500000001</v>
      </c>
      <c r="D10" s="169">
        <f t="shared" si="0"/>
        <v>-4.2</v>
      </c>
      <c r="E10" s="11">
        <f>IFERROR(100/'Skjema total MA'!C10*C10,0)</f>
        <v>1.388248365758606</v>
      </c>
      <c r="F10" s="308">
        <v>2021196.916</v>
      </c>
      <c r="G10" s="309">
        <v>2516931.6469999999</v>
      </c>
      <c r="H10" s="169">
        <f t="shared" ref="H10:H12" si="1">IF(F10=0, "    ---- ", IF(ABS(ROUND(100/F10*G10-100,1))&lt;999,ROUND(100/F10*G10-100,1),IF(ROUND(100/F10*G10-100,1)&gt;999,999,-999)))</f>
        <v>24.5</v>
      </c>
      <c r="I10" s="158">
        <f>IFERROR(100/'Skjema total MA'!F10*G10,0)</f>
        <v>5.9529757582911511</v>
      </c>
      <c r="J10" s="306">
        <v>2369364.9160000002</v>
      </c>
      <c r="K10" s="307">
        <v>2850640.162</v>
      </c>
      <c r="L10" s="425">
        <f t="shared" ref="L10:L12" si="2">IF(J10=0, "    ---- ", IF(ABS(ROUND(100/J10*K10-100,1))&lt;999,ROUND(100/J10*K10-100,1),IF(ROUND(100/J10*K10-100,1)&gt;999,999,-999)))</f>
        <v>20.3</v>
      </c>
      <c r="M10" s="11">
        <f>IFERROR(100/'Skjema total MA'!I10*K10,0)</f>
        <v>4.2984199856042027</v>
      </c>
    </row>
    <row r="11" spans="1:15" s="42" customFormat="1" ht="15.75" x14ac:dyDescent="0.2">
      <c r="A11" s="13" t="s">
        <v>24</v>
      </c>
      <c r="B11" s="308"/>
      <c r="C11" s="309"/>
      <c r="D11" s="169"/>
      <c r="E11" s="11"/>
      <c r="F11" s="308">
        <v>121025.86</v>
      </c>
      <c r="G11" s="309">
        <v>64452.983</v>
      </c>
      <c r="H11" s="169">
        <f t="shared" si="1"/>
        <v>-46.7</v>
      </c>
      <c r="I11" s="158">
        <f>IFERROR(100/'Skjema total MA'!F11*G11,0)</f>
        <v>24.398951479614865</v>
      </c>
      <c r="J11" s="306">
        <v>121025.86</v>
      </c>
      <c r="K11" s="307">
        <v>64452.983</v>
      </c>
      <c r="L11" s="425">
        <f t="shared" si="2"/>
        <v>-46.7</v>
      </c>
      <c r="M11" s="11">
        <f>IFERROR(100/'Skjema total MA'!I11*K11,0)</f>
        <v>17.919090408308378</v>
      </c>
      <c r="N11" s="141"/>
      <c r="O11" s="146"/>
    </row>
    <row r="12" spans="1:15" s="42" customFormat="1" ht="15.75" x14ac:dyDescent="0.2">
      <c r="A12" s="40" t="s">
        <v>23</v>
      </c>
      <c r="B12" s="310"/>
      <c r="C12" s="311"/>
      <c r="D12" s="167"/>
      <c r="E12" s="35"/>
      <c r="F12" s="310">
        <v>29647.796999999999</v>
      </c>
      <c r="G12" s="311">
        <v>20199.294000000002</v>
      </c>
      <c r="H12" s="167">
        <f t="shared" si="1"/>
        <v>-31.9</v>
      </c>
      <c r="I12" s="167">
        <f>IFERROR(100/'Skjema total MA'!F12*G12,0)</f>
        <v>11.256920547397163</v>
      </c>
      <c r="J12" s="312">
        <v>29647.796999999999</v>
      </c>
      <c r="K12" s="313">
        <v>20199.294000000002</v>
      </c>
      <c r="L12" s="426">
        <f t="shared" si="2"/>
        <v>-31.9</v>
      </c>
      <c r="M12" s="35">
        <f>IFERROR(100/'Skjema total MA'!I12*K12,0)</f>
        <v>9.6965657827474381</v>
      </c>
      <c r="N12" s="141"/>
      <c r="O12" s="146"/>
    </row>
    <row r="13" spans="1:15" s="42" customFormat="1" x14ac:dyDescent="0.2">
      <c r="A13" s="166"/>
      <c r="B13" s="143"/>
      <c r="C13" s="32"/>
      <c r="D13" s="157"/>
      <c r="E13" s="157"/>
      <c r="F13" s="143"/>
      <c r="G13" s="32"/>
      <c r="H13" s="157"/>
      <c r="I13" s="157"/>
      <c r="J13" s="935"/>
      <c r="K13" s="47"/>
      <c r="L13" s="157"/>
      <c r="M13" s="157"/>
      <c r="N13" s="141"/>
      <c r="O13" s="423"/>
    </row>
    <row r="14" spans="1:15" x14ac:dyDescent="0.2">
      <c r="A14" s="151" t="s">
        <v>296</v>
      </c>
      <c r="B14" s="25"/>
    </row>
    <row r="15" spans="1:15" x14ac:dyDescent="0.2">
      <c r="F15" s="144"/>
      <c r="G15" s="144"/>
      <c r="H15" s="144"/>
      <c r="I15" s="144"/>
      <c r="J15" s="144"/>
      <c r="K15" s="144"/>
      <c r="L15" s="144"/>
      <c r="M15" s="144"/>
    </row>
    <row r="16" spans="1:15" s="3" customFormat="1" ht="15.75" x14ac:dyDescent="0.25">
      <c r="A16" s="162"/>
      <c r="B16" s="146"/>
      <c r="C16" s="152"/>
      <c r="D16" s="152"/>
      <c r="E16" s="152"/>
      <c r="F16" s="152"/>
      <c r="G16" s="152"/>
      <c r="H16" s="152"/>
      <c r="I16" s="152"/>
      <c r="J16" s="152"/>
      <c r="K16" s="152"/>
      <c r="L16" s="152"/>
      <c r="M16" s="152"/>
      <c r="N16" s="146"/>
      <c r="O16" s="146"/>
    </row>
    <row r="17" spans="1:15" ht="15.75" x14ac:dyDescent="0.25">
      <c r="A17" s="145" t="s">
        <v>293</v>
      </c>
      <c r="B17" s="155"/>
      <c r="C17" s="155"/>
      <c r="D17" s="149"/>
      <c r="E17" s="149"/>
      <c r="F17" s="155"/>
      <c r="G17" s="155"/>
      <c r="H17" s="155"/>
      <c r="I17" s="155"/>
      <c r="J17" s="155"/>
      <c r="K17" s="155"/>
      <c r="L17" s="155"/>
      <c r="M17" s="155"/>
    </row>
    <row r="18" spans="1:15" ht="15.75" x14ac:dyDescent="0.25">
      <c r="B18" s="963"/>
      <c r="C18" s="963"/>
      <c r="D18" s="963"/>
      <c r="E18" s="403"/>
      <c r="F18" s="963"/>
      <c r="G18" s="963"/>
      <c r="H18" s="963"/>
      <c r="I18" s="403"/>
      <c r="J18" s="963"/>
      <c r="K18" s="963"/>
      <c r="L18" s="963"/>
      <c r="M18" s="403"/>
    </row>
    <row r="19" spans="1:15" x14ac:dyDescent="0.2">
      <c r="A19" s="142"/>
      <c r="B19" s="960" t="s">
        <v>0</v>
      </c>
      <c r="C19" s="961"/>
      <c r="D19" s="961"/>
      <c r="E19" s="402"/>
      <c r="F19" s="960" t="s">
        <v>1</v>
      </c>
      <c r="G19" s="961"/>
      <c r="H19" s="961"/>
      <c r="I19" s="405"/>
      <c r="J19" s="960" t="s">
        <v>2</v>
      </c>
      <c r="K19" s="961"/>
      <c r="L19" s="961"/>
      <c r="M19" s="405"/>
    </row>
    <row r="20" spans="1:15" x14ac:dyDescent="0.2">
      <c r="A20" s="139" t="s">
        <v>5</v>
      </c>
      <c r="B20" s="240" t="s">
        <v>504</v>
      </c>
      <c r="C20" s="240" t="s">
        <v>505</v>
      </c>
      <c r="D20" s="160" t="s">
        <v>3</v>
      </c>
      <c r="E20" s="303" t="s">
        <v>32</v>
      </c>
      <c r="F20" s="240" t="s">
        <v>504</v>
      </c>
      <c r="G20" s="240" t="s">
        <v>505</v>
      </c>
      <c r="H20" s="160" t="s">
        <v>3</v>
      </c>
      <c r="I20" s="160" t="s">
        <v>32</v>
      </c>
      <c r="J20" s="240" t="s">
        <v>504</v>
      </c>
      <c r="K20" s="240" t="s">
        <v>505</v>
      </c>
      <c r="L20" s="160" t="s">
        <v>3</v>
      </c>
      <c r="M20" s="160" t="s">
        <v>32</v>
      </c>
    </row>
    <row r="21" spans="1:15" x14ac:dyDescent="0.2">
      <c r="A21" s="934"/>
      <c r="B21" s="154"/>
      <c r="C21" s="154"/>
      <c r="D21" s="245" t="s">
        <v>4</v>
      </c>
      <c r="E21" s="413" t="s">
        <v>33</v>
      </c>
      <c r="F21" s="159"/>
      <c r="G21" s="159"/>
      <c r="H21" s="243" t="s">
        <v>4</v>
      </c>
      <c r="I21" s="154" t="s">
        <v>33</v>
      </c>
      <c r="J21" s="159"/>
      <c r="K21" s="159"/>
      <c r="L21" s="154" t="s">
        <v>4</v>
      </c>
      <c r="M21" s="154" t="s">
        <v>33</v>
      </c>
    </row>
    <row r="22" spans="1:15" ht="15.75" x14ac:dyDescent="0.2">
      <c r="A22" s="14" t="s">
        <v>26</v>
      </c>
      <c r="B22" s="314">
        <v>18784</v>
      </c>
      <c r="C22" s="314">
        <v>17470.613000000001</v>
      </c>
      <c r="D22" s="253">
        <f t="shared" ref="D22" si="3">IF(B22=0, "    ---- ", IF(ABS(ROUND(100/B22*C22-100,1))&lt;999,ROUND(100/B22*C22-100,1),IF(ROUND(100/B22*C22-100,1)&gt;999,999,-999)))</f>
        <v>-7</v>
      </c>
      <c r="E22" s="22">
        <f>IFERROR(100/'Skjema total MA'!A22*C22,0)</f>
        <v>0</v>
      </c>
      <c r="F22" s="314">
        <f>F23+F24+F25+F26</f>
        <v>9714.7560000000012</v>
      </c>
      <c r="G22" s="314">
        <f>G23+G24+G25+G26</f>
        <v>61983.069000000003</v>
      </c>
      <c r="H22" s="348">
        <f t="shared" ref="H22:H35" si="4">IF(F22=0, "    ---- ", IF(ABS(ROUND(100/F22*G22-100,1))&lt;999,ROUND(100/F22*G22-100,1),IF(ROUND(100/F22*G22-100,1)&gt;999,999,-999)))</f>
        <v>538</v>
      </c>
      <c r="I22" s="158">
        <f>IFERROR(100/'Skjema total MA'!F22*G22,0)</f>
        <v>5.3417992286641569</v>
      </c>
      <c r="J22" s="314">
        <f>SUM(B22,F22)</f>
        <v>28498.756000000001</v>
      </c>
      <c r="K22" s="314">
        <f t="shared" ref="J22:K35" si="5">SUM(C22,G22)</f>
        <v>79453.682000000001</v>
      </c>
      <c r="L22" s="424">
        <f t="shared" ref="L22:L35" si="6">IF(J22=0, "    ---- ", IF(ABS(ROUND(100/J22*K22-100,1))&lt;999,ROUND(100/J22*K22-100,1),IF(ROUND(100/J22*K22-100,1)&gt;999,999,-999)))</f>
        <v>178.8</v>
      </c>
      <c r="M22" s="23">
        <f>IFERROR(100/'Skjema total MA'!I22*K22,0)</f>
        <v>2.846033081240849</v>
      </c>
    </row>
    <row r="23" spans="1:15" ht="15.75" x14ac:dyDescent="0.2">
      <c r="A23" s="294" t="s">
        <v>305</v>
      </c>
      <c r="B23" s="288"/>
      <c r="C23" s="288"/>
      <c r="D23" s="164"/>
      <c r="E23" s="414"/>
      <c r="F23" s="288">
        <v>7161.0590000000002</v>
      </c>
      <c r="G23" s="288">
        <v>6471.0280000000002</v>
      </c>
      <c r="H23" s="253">
        <f t="shared" si="4"/>
        <v>-9.6</v>
      </c>
      <c r="I23" s="238">
        <f>IFERROR(100/'Skjema total MA'!F23*G23,0)</f>
        <v>4.2124053304934268</v>
      </c>
      <c r="J23" s="43">
        <f t="shared" si="5"/>
        <v>7161.0590000000002</v>
      </c>
      <c r="K23" s="43">
        <f t="shared" si="5"/>
        <v>6471.0280000000002</v>
      </c>
      <c r="L23" s="253">
        <f t="shared" si="6"/>
        <v>-9.6</v>
      </c>
      <c r="M23" s="22">
        <f>IFERROR(100/'Skjema total MA'!I23*K23,0)</f>
        <v>0.37721764167830146</v>
      </c>
    </row>
    <row r="24" spans="1:15" ht="15.75" x14ac:dyDescent="0.2">
      <c r="A24" s="294" t="s">
        <v>306</v>
      </c>
      <c r="B24" s="288"/>
      <c r="C24" s="288"/>
      <c r="D24" s="164"/>
      <c r="E24" s="414"/>
      <c r="F24" s="288"/>
      <c r="G24" s="288"/>
      <c r="H24" s="164"/>
      <c r="I24" s="238"/>
      <c r="J24" s="288"/>
      <c r="K24" s="288"/>
      <c r="L24" s="164"/>
      <c r="M24" s="22"/>
    </row>
    <row r="25" spans="1:15" ht="15.75" x14ac:dyDescent="0.2">
      <c r="A25" s="294" t="s">
        <v>406</v>
      </c>
      <c r="B25" s="288"/>
      <c r="C25" s="288"/>
      <c r="D25" s="164"/>
      <c r="E25" s="414"/>
      <c r="F25" s="288">
        <v>2553.6970000000001</v>
      </c>
      <c r="G25" s="288">
        <v>2362.2919999999999</v>
      </c>
      <c r="H25" s="253">
        <f t="shared" ref="H25:H26" si="7">IF(F25=0, "    ---- ", IF(ABS(ROUND(100/F25*G25-100,1))&lt;999,ROUND(100/F25*G25-100,1),IF(ROUND(100/F25*G25-100,1)&gt;999,999,-999)))</f>
        <v>-7.5</v>
      </c>
      <c r="I25" s="238">
        <f>IFERROR(100/'Skjema total MA'!F25*G25,0)</f>
        <v>1.1647266476492151</v>
      </c>
      <c r="J25" s="43">
        <f t="shared" si="5"/>
        <v>2553.6970000000001</v>
      </c>
      <c r="K25" s="43">
        <f t="shared" si="5"/>
        <v>2362.2919999999999</v>
      </c>
      <c r="L25" s="253">
        <f t="shared" si="6"/>
        <v>-7.5</v>
      </c>
      <c r="M25" s="22">
        <f>IFERROR(100/'Skjema total MA'!I25*K25,0)</f>
        <v>1.0167088902138317</v>
      </c>
    </row>
    <row r="26" spans="1:15" ht="15.75" x14ac:dyDescent="0.2">
      <c r="A26" s="294" t="s">
        <v>307</v>
      </c>
      <c r="B26" s="288"/>
      <c r="C26" s="288"/>
      <c r="D26" s="164"/>
      <c r="E26" s="414"/>
      <c r="F26" s="288">
        <v>0</v>
      </c>
      <c r="G26" s="288">
        <v>53149.749000000003</v>
      </c>
      <c r="H26" s="253" t="str">
        <f t="shared" si="7"/>
        <v xml:space="preserve">    ---- </v>
      </c>
      <c r="I26" s="238">
        <f>IFERROR(100/'Skjema total MA'!F26*G26,0)</f>
        <v>6.6181742171552322</v>
      </c>
      <c r="J26" s="43">
        <f t="shared" si="5"/>
        <v>0</v>
      </c>
      <c r="K26" s="43">
        <f t="shared" si="5"/>
        <v>53149.749000000003</v>
      </c>
      <c r="L26" s="253" t="str">
        <f t="shared" si="6"/>
        <v xml:space="preserve">    ---- </v>
      </c>
      <c r="M26" s="22">
        <f>IFERROR(100/'Skjema total MA'!I26*K26,0)</f>
        <v>6.6181742171552322</v>
      </c>
    </row>
    <row r="27" spans="1:15" x14ac:dyDescent="0.2">
      <c r="A27" s="294" t="s">
        <v>11</v>
      </c>
      <c r="B27" s="288"/>
      <c r="C27" s="288"/>
      <c r="D27" s="164"/>
      <c r="E27" s="414"/>
      <c r="F27" s="288"/>
      <c r="G27" s="288"/>
      <c r="H27" s="164"/>
      <c r="I27" s="238"/>
      <c r="J27" s="288"/>
      <c r="K27" s="288"/>
      <c r="L27" s="164"/>
      <c r="M27" s="22"/>
    </row>
    <row r="28" spans="1:15" ht="15.75" x14ac:dyDescent="0.2">
      <c r="A28" s="48" t="s">
        <v>297</v>
      </c>
      <c r="B28" s="43">
        <v>18784</v>
      </c>
      <c r="C28" s="285">
        <v>17470.613000000001</v>
      </c>
      <c r="D28" s="164">
        <f t="shared" ref="D28:D29" si="8">IF(B28=0, "    ---- ", IF(ABS(ROUND(100/B28*C28-100,1))&lt;999,ROUND(100/B28*C28-100,1),IF(ROUND(100/B28*C28-100,1)&gt;999,999,-999)))</f>
        <v>-7</v>
      </c>
      <c r="E28" s="26">
        <f>IFERROR(100/'Skjema total MA'!C28*C28,0)</f>
        <v>1.0812871369506605</v>
      </c>
      <c r="F28" s="232"/>
      <c r="G28" s="285"/>
      <c r="H28" s="164"/>
      <c r="I28" s="174"/>
      <c r="J28" s="43">
        <f t="shared" si="5"/>
        <v>18784</v>
      </c>
      <c r="K28" s="43">
        <f t="shared" si="5"/>
        <v>17470.613000000001</v>
      </c>
      <c r="L28" s="253">
        <f t="shared" si="6"/>
        <v>-7</v>
      </c>
      <c r="M28" s="22">
        <f>IFERROR(100/'Skjema total MA'!I28*K28,0)</f>
        <v>1.0812871369506605</v>
      </c>
    </row>
    <row r="29" spans="1:15" s="3" customFormat="1" ht="15.75" x14ac:dyDescent="0.2">
      <c r="A29" s="13" t="s">
        <v>25</v>
      </c>
      <c r="B29" s="234">
        <v>59246</v>
      </c>
      <c r="C29" s="307">
        <v>82065</v>
      </c>
      <c r="D29" s="425">
        <f t="shared" si="8"/>
        <v>38.5</v>
      </c>
      <c r="E29" s="23">
        <f>IFERROR(100/'Skjema total MA'!A29*C29,0)</f>
        <v>0</v>
      </c>
      <c r="F29" s="306">
        <f>F30+F31+F32+F33</f>
        <v>2244425.1320000002</v>
      </c>
      <c r="G29" s="306">
        <f>G30+G31+G32+G33</f>
        <v>2315128.3429999999</v>
      </c>
      <c r="H29" s="169">
        <f t="shared" si="4"/>
        <v>3.2</v>
      </c>
      <c r="I29" s="158">
        <f>IFERROR(100/'Skjema total MA'!F29*G29,0)</f>
        <v>11.178422827587871</v>
      </c>
      <c r="J29" s="234">
        <f t="shared" si="5"/>
        <v>2303671.1320000002</v>
      </c>
      <c r="K29" s="234">
        <f t="shared" si="5"/>
        <v>2397193.3429999999</v>
      </c>
      <c r="L29" s="425">
        <f t="shared" si="6"/>
        <v>4.0999999999999996</v>
      </c>
      <c r="M29" s="23">
        <f>IFERROR(100/'Skjema total MA'!I29*K29,0)</f>
        <v>3.4169843684299961</v>
      </c>
      <c r="N29" s="146"/>
      <c r="O29" s="146"/>
    </row>
    <row r="30" spans="1:15" s="3" customFormat="1" ht="15.75" x14ac:dyDescent="0.2">
      <c r="A30" s="294" t="s">
        <v>305</v>
      </c>
      <c r="B30" s="288"/>
      <c r="C30" s="288"/>
      <c r="D30" s="164"/>
      <c r="E30" s="414"/>
      <c r="F30" s="288">
        <v>721512.19700000004</v>
      </c>
      <c r="G30" s="288">
        <v>725223.18200000003</v>
      </c>
      <c r="H30" s="253">
        <f t="shared" si="4"/>
        <v>0.5</v>
      </c>
      <c r="I30" s="238">
        <f>IFERROR(100/'Skjema total MA'!F30*G30,0)</f>
        <v>16.116993768234227</v>
      </c>
      <c r="J30" s="43">
        <f t="shared" si="5"/>
        <v>721512.19700000004</v>
      </c>
      <c r="K30" s="43">
        <f t="shared" si="5"/>
        <v>725223.18200000003</v>
      </c>
      <c r="L30" s="253">
        <f t="shared" si="6"/>
        <v>0.5</v>
      </c>
      <c r="M30" s="22">
        <f>IFERROR(100/'Skjema total MA'!I30*K30,0)</f>
        <v>4.1771715834631529</v>
      </c>
      <c r="N30" s="146"/>
      <c r="O30" s="146"/>
    </row>
    <row r="31" spans="1:15" s="3" customFormat="1" ht="15.75" x14ac:dyDescent="0.2">
      <c r="A31" s="294" t="s">
        <v>306</v>
      </c>
      <c r="B31" s="288"/>
      <c r="C31" s="288"/>
      <c r="D31" s="164"/>
      <c r="E31" s="414"/>
      <c r="F31" s="288">
        <v>1455570.0930000001</v>
      </c>
      <c r="G31" s="288">
        <v>1459408.5209999999</v>
      </c>
      <c r="H31" s="253">
        <f t="shared" si="4"/>
        <v>0.3</v>
      </c>
      <c r="I31" s="238">
        <f>IFERROR(100/'Skjema total MA'!F31*G31,0)</f>
        <v>12.964812242278345</v>
      </c>
      <c r="J31" s="43">
        <f t="shared" si="5"/>
        <v>1455570.0930000001</v>
      </c>
      <c r="K31" s="43">
        <f t="shared" si="5"/>
        <v>1459408.5209999999</v>
      </c>
      <c r="L31" s="253">
        <f t="shared" si="6"/>
        <v>0.3</v>
      </c>
      <c r="M31" s="22">
        <f>IFERROR(100/'Skjema total MA'!I31*K31,0)</f>
        <v>3.1425727422140777</v>
      </c>
      <c r="N31" s="146"/>
      <c r="O31" s="146"/>
    </row>
    <row r="32" spans="1:15" ht="15.75" x14ac:dyDescent="0.2">
      <c r="A32" s="294" t="s">
        <v>406</v>
      </c>
      <c r="B32" s="288"/>
      <c r="C32" s="288"/>
      <c r="D32" s="164"/>
      <c r="E32" s="414"/>
      <c r="F32" s="288">
        <v>67342.842000000004</v>
      </c>
      <c r="G32" s="288">
        <v>77287.159</v>
      </c>
      <c r="H32" s="253">
        <f t="shared" si="4"/>
        <v>14.8</v>
      </c>
      <c r="I32" s="238">
        <f>IFERROR(100/'Skjema total MA'!F32*G32,0)</f>
        <v>1.8704485833449196</v>
      </c>
      <c r="J32" s="43">
        <f t="shared" si="5"/>
        <v>67342.842000000004</v>
      </c>
      <c r="K32" s="43">
        <f t="shared" si="5"/>
        <v>77287.159</v>
      </c>
      <c r="L32" s="253">
        <f t="shared" si="6"/>
        <v>14.8</v>
      </c>
      <c r="M32" s="22">
        <f>IFERROR(100/'Skjema total MA'!I32*K32,0)</f>
        <v>1.4182667448811197</v>
      </c>
    </row>
    <row r="33" spans="1:15" ht="15.75" x14ac:dyDescent="0.2">
      <c r="A33" s="294" t="s">
        <v>307</v>
      </c>
      <c r="B33" s="288"/>
      <c r="C33" s="288"/>
      <c r="D33" s="164"/>
      <c r="E33" s="414"/>
      <c r="F33" s="288">
        <v>0</v>
      </c>
      <c r="G33" s="288">
        <v>53209.481</v>
      </c>
      <c r="H33" s="253" t="str">
        <f t="shared" si="4"/>
        <v xml:space="preserve">    ---- </v>
      </c>
      <c r="I33" s="238">
        <f>IFERROR(100/'Skjema total MA'!F34*G33,0)</f>
        <v>293.63246432014006</v>
      </c>
      <c r="J33" s="43">
        <f t="shared" si="5"/>
        <v>0</v>
      </c>
      <c r="K33" s="43">
        <f t="shared" si="5"/>
        <v>53209.481</v>
      </c>
      <c r="L33" s="253" t="str">
        <f t="shared" si="6"/>
        <v xml:space="preserve">    ---- </v>
      </c>
      <c r="M33" s="22">
        <f>IFERROR(100/'Skjema total MA'!I34*K33,0)</f>
        <v>90.106542588411997</v>
      </c>
    </row>
    <row r="34" spans="1:15" ht="15.75" x14ac:dyDescent="0.2">
      <c r="A34" s="13" t="s">
        <v>24</v>
      </c>
      <c r="B34" s="234"/>
      <c r="C34" s="307"/>
      <c r="D34" s="169"/>
      <c r="E34" s="11"/>
      <c r="F34" s="306">
        <v>41263.218000000001</v>
      </c>
      <c r="G34" s="307">
        <v>22994.113000000001</v>
      </c>
      <c r="H34" s="169">
        <f t="shared" si="4"/>
        <v>-44.3</v>
      </c>
      <c r="I34" s="158">
        <f>IFERROR(100/'Skjema total MA'!F34*G34,0)</f>
        <v>126.89125956792869</v>
      </c>
      <c r="J34" s="234">
        <f t="shared" si="5"/>
        <v>41263.218000000001</v>
      </c>
      <c r="K34" s="234">
        <f t="shared" si="5"/>
        <v>22994.113000000001</v>
      </c>
      <c r="L34" s="425">
        <f t="shared" si="6"/>
        <v>-44.3</v>
      </c>
      <c r="M34" s="23">
        <f>IFERROR(100/'Skjema total MA'!I34*K34,0)</f>
        <v>38.938925608337698</v>
      </c>
    </row>
    <row r="35" spans="1:15" ht="15.75" x14ac:dyDescent="0.2">
      <c r="A35" s="13" t="s">
        <v>23</v>
      </c>
      <c r="B35" s="234"/>
      <c r="C35" s="307"/>
      <c r="D35" s="169"/>
      <c r="E35" s="11"/>
      <c r="F35" s="306">
        <v>12488.239</v>
      </c>
      <c r="G35" s="307">
        <v>18422.098999999998</v>
      </c>
      <c r="H35" s="169">
        <f t="shared" si="4"/>
        <v>47.5</v>
      </c>
      <c r="I35" s="158">
        <f>IFERROR(100/'Skjema total MA'!F35*G35,0)</f>
        <v>20.04528000070388</v>
      </c>
      <c r="J35" s="234">
        <f t="shared" si="5"/>
        <v>12488.239</v>
      </c>
      <c r="K35" s="234">
        <f t="shared" si="5"/>
        <v>18422.098999999998</v>
      </c>
      <c r="L35" s="425">
        <f t="shared" si="6"/>
        <v>47.5</v>
      </c>
      <c r="M35" s="23">
        <f>IFERROR(100/'Skjema total MA'!I35*K35,0)</f>
        <v>70.138148341369103</v>
      </c>
    </row>
    <row r="36" spans="1:15" ht="15.75" x14ac:dyDescent="0.2">
      <c r="A36" s="12" t="s">
        <v>308</v>
      </c>
      <c r="B36" s="234"/>
      <c r="C36" s="307"/>
      <c r="D36" s="169"/>
      <c r="E36" s="11"/>
      <c r="F36" s="317"/>
      <c r="G36" s="318"/>
      <c r="H36" s="169"/>
      <c r="I36" s="427"/>
      <c r="J36" s="234"/>
      <c r="K36" s="234"/>
      <c r="L36" s="425"/>
      <c r="M36" s="23"/>
    </row>
    <row r="37" spans="1:15" ht="15.75" x14ac:dyDescent="0.2">
      <c r="A37" s="12" t="s">
        <v>309</v>
      </c>
      <c r="B37" s="234"/>
      <c r="C37" s="307"/>
      <c r="D37" s="169"/>
      <c r="E37" s="11"/>
      <c r="F37" s="317"/>
      <c r="G37" s="319"/>
      <c r="H37" s="169"/>
      <c r="I37" s="427"/>
      <c r="J37" s="234"/>
      <c r="K37" s="234"/>
      <c r="L37" s="425"/>
      <c r="M37" s="23"/>
    </row>
    <row r="38" spans="1:15" ht="15.75" x14ac:dyDescent="0.2">
      <c r="A38" s="12" t="s">
        <v>310</v>
      </c>
      <c r="B38" s="234"/>
      <c r="C38" s="307"/>
      <c r="D38" s="169"/>
      <c r="E38" s="11"/>
      <c r="F38" s="317"/>
      <c r="G38" s="318"/>
      <c r="H38" s="169"/>
      <c r="I38" s="427"/>
      <c r="J38" s="234"/>
      <c r="K38" s="234"/>
      <c r="L38" s="425"/>
      <c r="M38" s="23"/>
    </row>
    <row r="39" spans="1:15" ht="15.75" x14ac:dyDescent="0.2">
      <c r="A39" s="18" t="s">
        <v>311</v>
      </c>
      <c r="B39" s="274"/>
      <c r="C39" s="313"/>
      <c r="D39" s="167"/>
      <c r="E39" s="11"/>
      <c r="F39" s="320"/>
      <c r="G39" s="321"/>
      <c r="H39" s="167"/>
      <c r="I39" s="167"/>
      <c r="J39" s="234"/>
      <c r="K39" s="234"/>
      <c r="L39" s="426"/>
      <c r="M39" s="35"/>
    </row>
    <row r="40" spans="1:15" ht="15.75" x14ac:dyDescent="0.25">
      <c r="A40" s="46"/>
      <c r="B40" s="252"/>
      <c r="C40" s="252"/>
      <c r="D40" s="964"/>
      <c r="E40" s="964"/>
      <c r="F40" s="964"/>
      <c r="G40" s="964"/>
      <c r="H40" s="964"/>
      <c r="I40" s="964"/>
      <c r="J40" s="964"/>
      <c r="K40" s="964"/>
      <c r="L40" s="964"/>
      <c r="M40" s="404"/>
    </row>
    <row r="41" spans="1:15" x14ac:dyDescent="0.2">
      <c r="A41" s="153"/>
    </row>
    <row r="42" spans="1:15" ht="15.75" x14ac:dyDescent="0.25">
      <c r="A42" s="145" t="s">
        <v>294</v>
      </c>
      <c r="B42" s="965"/>
      <c r="C42" s="965"/>
      <c r="D42" s="965"/>
      <c r="E42" s="403"/>
      <c r="F42" s="966"/>
      <c r="G42" s="966"/>
      <c r="H42" s="966"/>
      <c r="I42" s="404"/>
      <c r="J42" s="966"/>
      <c r="K42" s="966"/>
      <c r="L42" s="966"/>
      <c r="M42" s="404"/>
    </row>
    <row r="43" spans="1:15" ht="15.75" x14ac:dyDescent="0.25">
      <c r="A43" s="161"/>
      <c r="B43" s="400"/>
      <c r="C43" s="400"/>
      <c r="D43" s="400"/>
      <c r="E43" s="400"/>
      <c r="F43" s="404"/>
      <c r="G43" s="404"/>
      <c r="H43" s="404"/>
      <c r="I43" s="404"/>
      <c r="J43" s="404"/>
      <c r="K43" s="404"/>
      <c r="L43" s="404"/>
      <c r="M43" s="404"/>
    </row>
    <row r="44" spans="1:15" ht="15.75" x14ac:dyDescent="0.25">
      <c r="A44" s="246"/>
      <c r="B44" s="960" t="s">
        <v>0</v>
      </c>
      <c r="C44" s="961"/>
      <c r="D44" s="961"/>
      <c r="E44" s="241"/>
      <c r="F44" s="404"/>
      <c r="G44" s="404"/>
      <c r="H44" s="404"/>
      <c r="I44" s="404"/>
      <c r="J44" s="404"/>
      <c r="K44" s="404"/>
      <c r="L44" s="404"/>
      <c r="M44" s="404"/>
    </row>
    <row r="45" spans="1:15" s="3" customFormat="1" x14ac:dyDescent="0.2">
      <c r="A45" s="139"/>
      <c r="B45" s="171" t="s">
        <v>504</v>
      </c>
      <c r="C45" s="171" t="s">
        <v>505</v>
      </c>
      <c r="D45" s="160" t="s">
        <v>3</v>
      </c>
      <c r="E45" s="160" t="s">
        <v>32</v>
      </c>
      <c r="F45" s="173"/>
      <c r="G45" s="173"/>
      <c r="H45" s="172"/>
      <c r="I45" s="172"/>
      <c r="J45" s="173"/>
      <c r="K45" s="173"/>
      <c r="L45" s="172"/>
      <c r="M45" s="172"/>
      <c r="N45" s="146"/>
      <c r="O45" s="146"/>
    </row>
    <row r="46" spans="1:15" s="3" customFormat="1" x14ac:dyDescent="0.2">
      <c r="A46" s="934"/>
      <c r="B46" s="242"/>
      <c r="C46" s="242"/>
      <c r="D46" s="243" t="s">
        <v>4</v>
      </c>
      <c r="E46" s="154" t="s">
        <v>33</v>
      </c>
      <c r="F46" s="172"/>
      <c r="G46" s="172"/>
      <c r="H46" s="172"/>
      <c r="I46" s="172"/>
      <c r="J46" s="172"/>
      <c r="K46" s="172"/>
      <c r="L46" s="172"/>
      <c r="M46" s="172"/>
      <c r="N46" s="146"/>
      <c r="O46" s="146"/>
    </row>
    <row r="47" spans="1:15" s="3" customFormat="1" ht="15.75" x14ac:dyDescent="0.2">
      <c r="A47" s="14" t="s">
        <v>26</v>
      </c>
      <c r="B47" s="308">
        <f>SUM(B48:B49)</f>
        <v>8660.8960000000006</v>
      </c>
      <c r="C47" s="309">
        <f>SUM(C48:C49)</f>
        <v>7900.4250000000002</v>
      </c>
      <c r="D47" s="424">
        <f t="shared" ref="D47:D48" si="9">IF(B47=0, "    ---- ", IF(ABS(ROUND(100/B47*C47-100,1))&lt;999,ROUND(100/B47*C47-100,1),IF(ROUND(100/B47*C47-100,1)&gt;999,999,-999)))</f>
        <v>-8.8000000000000007</v>
      </c>
      <c r="E47" s="11">
        <f>IFERROR(100/'Skjema total MA'!C47*C47,0)</f>
        <v>0.20743732333756801</v>
      </c>
      <c r="F47" s="143"/>
      <c r="G47" s="32"/>
      <c r="H47" s="157"/>
      <c r="I47" s="157"/>
      <c r="J47" s="36"/>
      <c r="K47" s="36"/>
      <c r="L47" s="157"/>
      <c r="M47" s="157"/>
      <c r="N47" s="146"/>
      <c r="O47" s="146"/>
    </row>
    <row r="48" spans="1:15" s="3" customFormat="1" ht="15.75" x14ac:dyDescent="0.2">
      <c r="A48" s="37" t="s">
        <v>312</v>
      </c>
      <c r="B48" s="279">
        <v>8660.8960000000006</v>
      </c>
      <c r="C48" s="280">
        <v>7900.4250000000002</v>
      </c>
      <c r="D48" s="253">
        <f t="shared" si="9"/>
        <v>-8.8000000000000007</v>
      </c>
      <c r="E48" s="26">
        <f>IFERROR(100/'Skjema total MA'!C48*C48,0)</f>
        <v>0.38554492278278929</v>
      </c>
      <c r="F48" s="143"/>
      <c r="G48" s="32"/>
      <c r="H48" s="143"/>
      <c r="I48" s="143"/>
      <c r="J48" s="32"/>
      <c r="K48" s="32"/>
      <c r="L48" s="157"/>
      <c r="M48" s="157"/>
      <c r="N48" s="146"/>
      <c r="O48" s="146"/>
    </row>
    <row r="49" spans="1:15" s="3" customFormat="1" ht="15.75" x14ac:dyDescent="0.2">
      <c r="A49" s="37" t="s">
        <v>313</v>
      </c>
      <c r="B49" s="43"/>
      <c r="C49" s="285"/>
      <c r="D49" s="253"/>
      <c r="E49" s="26"/>
      <c r="F49" s="143"/>
      <c r="G49" s="32"/>
      <c r="H49" s="143"/>
      <c r="I49" s="143"/>
      <c r="J49" s="36"/>
      <c r="K49" s="36"/>
      <c r="L49" s="157"/>
      <c r="M49" s="157"/>
      <c r="N49" s="146"/>
      <c r="O49" s="146"/>
    </row>
    <row r="50" spans="1:15" s="3" customFormat="1" x14ac:dyDescent="0.2">
      <c r="A50" s="294" t="s">
        <v>6</v>
      </c>
      <c r="B50" s="288"/>
      <c r="C50" s="289"/>
      <c r="D50" s="253"/>
      <c r="E50" s="22"/>
      <c r="F50" s="143"/>
      <c r="G50" s="32"/>
      <c r="H50" s="143"/>
      <c r="I50" s="143"/>
      <c r="J50" s="32"/>
      <c r="K50" s="32"/>
      <c r="L50" s="157"/>
      <c r="M50" s="157"/>
      <c r="N50" s="146"/>
      <c r="O50" s="146"/>
    </row>
    <row r="51" spans="1:15" s="3" customFormat="1" x14ac:dyDescent="0.2">
      <c r="A51" s="294" t="s">
        <v>7</v>
      </c>
      <c r="B51" s="288"/>
      <c r="C51" s="289"/>
      <c r="D51" s="253"/>
      <c r="E51" s="22"/>
      <c r="F51" s="143"/>
      <c r="G51" s="32"/>
      <c r="H51" s="143"/>
      <c r="I51" s="143"/>
      <c r="J51" s="32"/>
      <c r="K51" s="32"/>
      <c r="L51" s="157"/>
      <c r="M51" s="157"/>
      <c r="N51" s="146"/>
      <c r="O51" s="146"/>
    </row>
    <row r="52" spans="1:15" s="3" customFormat="1" x14ac:dyDescent="0.2">
      <c r="A52" s="294" t="s">
        <v>8</v>
      </c>
      <c r="B52" s="288"/>
      <c r="C52" s="289"/>
      <c r="D52" s="253"/>
      <c r="E52" s="22"/>
      <c r="F52" s="143"/>
      <c r="G52" s="32"/>
      <c r="H52" s="143"/>
      <c r="I52" s="143"/>
      <c r="J52" s="32"/>
      <c r="K52" s="32"/>
      <c r="L52" s="157"/>
      <c r="M52" s="157"/>
      <c r="N52" s="146"/>
      <c r="O52" s="146"/>
    </row>
    <row r="53" spans="1:15" s="3" customFormat="1" ht="15.75" x14ac:dyDescent="0.2">
      <c r="A53" s="38" t="s">
        <v>314</v>
      </c>
      <c r="B53" s="308"/>
      <c r="C53" s="309"/>
      <c r="D53" s="425"/>
      <c r="E53" s="11"/>
      <c r="F53" s="143"/>
      <c r="G53" s="32"/>
      <c r="H53" s="143"/>
      <c r="I53" s="143"/>
      <c r="J53" s="32"/>
      <c r="K53" s="32"/>
      <c r="L53" s="157"/>
      <c r="M53" s="157"/>
      <c r="N53" s="146"/>
      <c r="O53" s="146"/>
    </row>
    <row r="54" spans="1:15" s="3" customFormat="1" ht="15.75" x14ac:dyDescent="0.2">
      <c r="A54" s="37" t="s">
        <v>312</v>
      </c>
      <c r="B54" s="279"/>
      <c r="C54" s="280"/>
      <c r="D54" s="253"/>
      <c r="E54" s="26"/>
      <c r="F54" s="143"/>
      <c r="G54" s="32"/>
      <c r="H54" s="143"/>
      <c r="I54" s="143"/>
      <c r="J54" s="32"/>
      <c r="K54" s="32"/>
      <c r="L54" s="157"/>
      <c r="M54" s="157"/>
      <c r="N54" s="146"/>
      <c r="O54" s="146"/>
    </row>
    <row r="55" spans="1:15" s="3" customFormat="1" ht="15.75" x14ac:dyDescent="0.2">
      <c r="A55" s="37" t="s">
        <v>313</v>
      </c>
      <c r="B55" s="279"/>
      <c r="C55" s="280"/>
      <c r="D55" s="253"/>
      <c r="E55" s="26"/>
      <c r="F55" s="143"/>
      <c r="G55" s="32"/>
      <c r="H55" s="143"/>
      <c r="I55" s="143"/>
      <c r="J55" s="32"/>
      <c r="K55" s="32"/>
      <c r="L55" s="157"/>
      <c r="M55" s="157"/>
      <c r="N55" s="146"/>
      <c r="O55" s="146"/>
    </row>
    <row r="56" spans="1:15" s="3" customFormat="1" ht="15.75" x14ac:dyDescent="0.2">
      <c r="A56" s="38" t="s">
        <v>315</v>
      </c>
      <c r="B56" s="308"/>
      <c r="C56" s="309"/>
      <c r="D56" s="425"/>
      <c r="E56" s="11"/>
      <c r="F56" s="143"/>
      <c r="G56" s="32"/>
      <c r="H56" s="143"/>
      <c r="I56" s="143"/>
      <c r="J56" s="32"/>
      <c r="K56" s="32"/>
      <c r="L56" s="157"/>
      <c r="M56" s="157"/>
      <c r="N56" s="146"/>
      <c r="O56" s="146"/>
    </row>
    <row r="57" spans="1:15" s="3" customFormat="1" ht="15.75" x14ac:dyDescent="0.2">
      <c r="A57" s="37" t="s">
        <v>312</v>
      </c>
      <c r="B57" s="279"/>
      <c r="C57" s="280"/>
      <c r="D57" s="253"/>
      <c r="E57" s="26"/>
      <c r="F57" s="143"/>
      <c r="G57" s="32"/>
      <c r="H57" s="143"/>
      <c r="I57" s="143"/>
      <c r="J57" s="32"/>
      <c r="K57" s="32"/>
      <c r="L57" s="157"/>
      <c r="M57" s="157"/>
      <c r="N57" s="146"/>
      <c r="O57" s="146"/>
    </row>
    <row r="58" spans="1:15" s="3" customFormat="1" ht="15.75" x14ac:dyDescent="0.2">
      <c r="A58" s="45" t="s">
        <v>313</v>
      </c>
      <c r="B58" s="281"/>
      <c r="C58" s="282"/>
      <c r="D58" s="254"/>
      <c r="E58" s="21"/>
      <c r="F58" s="143"/>
      <c r="G58" s="32"/>
      <c r="H58" s="143"/>
      <c r="I58" s="143"/>
      <c r="J58" s="32"/>
      <c r="K58" s="32"/>
      <c r="L58" s="157"/>
      <c r="M58" s="157"/>
      <c r="N58" s="146"/>
      <c r="O58" s="146"/>
    </row>
    <row r="59" spans="1:15" s="3" customFormat="1" ht="15.75" x14ac:dyDescent="0.25">
      <c r="A59" s="162"/>
      <c r="B59" s="152"/>
      <c r="C59" s="152"/>
      <c r="D59" s="152"/>
      <c r="E59" s="152"/>
      <c r="F59" s="140"/>
      <c r="G59" s="140"/>
      <c r="H59" s="140"/>
      <c r="I59" s="140"/>
      <c r="J59" s="140"/>
      <c r="K59" s="140"/>
      <c r="L59" s="140"/>
      <c r="M59" s="140"/>
      <c r="N59" s="146"/>
      <c r="O59" s="146"/>
    </row>
    <row r="60" spans="1:15" x14ac:dyDescent="0.2">
      <c r="A60" s="153"/>
    </row>
    <row r="61" spans="1:15" ht="15.75" x14ac:dyDescent="0.25">
      <c r="A61" s="145" t="s">
        <v>295</v>
      </c>
      <c r="C61" s="25"/>
      <c r="D61" s="25"/>
      <c r="E61" s="25"/>
      <c r="F61" s="25"/>
      <c r="G61" s="25"/>
      <c r="H61" s="25"/>
      <c r="I61" s="25"/>
      <c r="J61" s="25"/>
      <c r="K61" s="25"/>
      <c r="L61" s="25"/>
      <c r="M61" s="25"/>
    </row>
    <row r="62" spans="1:15" ht="15.75" x14ac:dyDescent="0.25">
      <c r="B62" s="963"/>
      <c r="C62" s="963"/>
      <c r="D62" s="963"/>
      <c r="E62" s="403"/>
      <c r="F62" s="963"/>
      <c r="G62" s="963"/>
      <c r="H62" s="963"/>
      <c r="I62" s="403"/>
      <c r="J62" s="963"/>
      <c r="K62" s="963"/>
      <c r="L62" s="963"/>
      <c r="M62" s="403"/>
    </row>
    <row r="63" spans="1:15" x14ac:dyDescent="0.2">
      <c r="A63" s="142"/>
      <c r="B63" s="960" t="s">
        <v>0</v>
      </c>
      <c r="C63" s="961"/>
      <c r="D63" s="962"/>
      <c r="E63" s="401"/>
      <c r="F63" s="961" t="s">
        <v>1</v>
      </c>
      <c r="G63" s="961"/>
      <c r="H63" s="961"/>
      <c r="I63" s="405"/>
      <c r="J63" s="960" t="s">
        <v>2</v>
      </c>
      <c r="K63" s="961"/>
      <c r="L63" s="961"/>
      <c r="M63" s="405"/>
    </row>
    <row r="64" spans="1:15" x14ac:dyDescent="0.2">
      <c r="A64" s="139"/>
      <c r="B64" s="150" t="s">
        <v>504</v>
      </c>
      <c r="C64" s="150" t="s">
        <v>505</v>
      </c>
      <c r="D64" s="243" t="s">
        <v>3</v>
      </c>
      <c r="E64" s="303" t="s">
        <v>32</v>
      </c>
      <c r="F64" s="150" t="s">
        <v>504</v>
      </c>
      <c r="G64" s="150" t="s">
        <v>505</v>
      </c>
      <c r="H64" s="243" t="s">
        <v>3</v>
      </c>
      <c r="I64" s="303" t="s">
        <v>32</v>
      </c>
      <c r="J64" s="150" t="s">
        <v>504</v>
      </c>
      <c r="K64" s="150" t="s">
        <v>505</v>
      </c>
      <c r="L64" s="243" t="s">
        <v>3</v>
      </c>
      <c r="M64" s="160" t="s">
        <v>32</v>
      </c>
    </row>
    <row r="65" spans="1:15" x14ac:dyDescent="0.2">
      <c r="A65" s="934"/>
      <c r="B65" s="154"/>
      <c r="C65" s="154"/>
      <c r="D65" s="245" t="s">
        <v>4</v>
      </c>
      <c r="E65" s="154" t="s">
        <v>33</v>
      </c>
      <c r="F65" s="159"/>
      <c r="G65" s="159"/>
      <c r="H65" s="243" t="s">
        <v>4</v>
      </c>
      <c r="I65" s="154" t="s">
        <v>33</v>
      </c>
      <c r="J65" s="159"/>
      <c r="K65" s="204"/>
      <c r="L65" s="154" t="s">
        <v>4</v>
      </c>
      <c r="M65" s="154" t="s">
        <v>33</v>
      </c>
    </row>
    <row r="66" spans="1:15" ht="15.75" x14ac:dyDescent="0.2">
      <c r="A66" s="14" t="s">
        <v>26</v>
      </c>
      <c r="B66" s="350">
        <f>B67+B68+B75+B76</f>
        <v>105535.337</v>
      </c>
      <c r="C66" s="350">
        <f>C67+C68+C75+C76</f>
        <v>102993.24800000001</v>
      </c>
      <c r="D66" s="348">
        <f t="shared" ref="D66:D120" si="10">IF(B66=0, "    ---- ", IF(ABS(ROUND(100/B66*C66-100,1))&lt;999,ROUND(100/B66*C66-100,1),IF(ROUND(100/B66*C66-100,1)&gt;999,999,-999)))</f>
        <v>-2.4</v>
      </c>
      <c r="E66" s="11">
        <f>IFERROR(100/'Skjema total MA'!C66*C66,0)</f>
        <v>1.0450779543999522</v>
      </c>
      <c r="F66" s="350">
        <f>F67+F68+F75+F76</f>
        <v>1117923.8729999999</v>
      </c>
      <c r="G66" s="350">
        <f>G67+G68+G75+G76</f>
        <v>1316682.6440000001</v>
      </c>
      <c r="H66" s="348">
        <f t="shared" ref="H66:H125" si="11">IF(F66=0, "    ---- ", IF(ABS(ROUND(100/F66*G66-100,1))&lt;999,ROUND(100/F66*G66-100,1),IF(ROUND(100/F66*G66-100,1)&gt;999,999,-999)))</f>
        <v>17.8</v>
      </c>
      <c r="I66" s="11">
        <f>IFERROR(100/'Skjema total MA'!F66*G66,0)</f>
        <v>4.930130897163167</v>
      </c>
      <c r="J66" s="307">
        <f t="shared" ref="J66:K79" si="12">SUM(B66,F66)</f>
        <v>1223459.21</v>
      </c>
      <c r="K66" s="314">
        <f t="shared" si="12"/>
        <v>1419675.892</v>
      </c>
      <c r="L66" s="425">
        <f t="shared" ref="L66:L125" si="13">IF(J66=0, "    ---- ", IF(ABS(ROUND(100/J66*K66-100,1))&lt;999,ROUND(100/J66*K66-100,1),IF(ROUND(100/J66*K66-100,1)&gt;999,999,-999)))</f>
        <v>16</v>
      </c>
      <c r="M66" s="11">
        <f>IFERROR(100/'Skjema total MA'!I66*K66,0)</f>
        <v>3.8829350185145435</v>
      </c>
    </row>
    <row r="67" spans="1:15" x14ac:dyDescent="0.2">
      <c r="A67" s="20" t="s">
        <v>9</v>
      </c>
      <c r="B67" s="43">
        <v>105535.337</v>
      </c>
      <c r="C67" s="143">
        <v>102993.24800000001</v>
      </c>
      <c r="D67" s="164">
        <f t="shared" si="10"/>
        <v>-2.4</v>
      </c>
      <c r="E67" s="26">
        <f>IFERROR(100/'Skjema total MA'!C67*C67,0)</f>
        <v>1.2709712449481845</v>
      </c>
      <c r="F67" s="232"/>
      <c r="G67" s="143"/>
      <c r="H67" s="164"/>
      <c r="I67" s="26"/>
      <c r="J67" s="285">
        <f t="shared" si="12"/>
        <v>105535.337</v>
      </c>
      <c r="K67" s="43">
        <f t="shared" si="12"/>
        <v>102993.24800000001</v>
      </c>
      <c r="L67" s="253">
        <f t="shared" si="13"/>
        <v>-2.4</v>
      </c>
      <c r="M67" s="26">
        <f>IFERROR(100/'Skjema total MA'!I67*K67,0)</f>
        <v>1.2709712449481845</v>
      </c>
    </row>
    <row r="68" spans="1:15" x14ac:dyDescent="0.2">
      <c r="A68" s="20" t="s">
        <v>10</v>
      </c>
      <c r="B68" s="290"/>
      <c r="C68" s="291"/>
      <c r="D68" s="164"/>
      <c r="E68" s="26"/>
      <c r="F68" s="290">
        <v>1117923.8729999999</v>
      </c>
      <c r="G68" s="291">
        <v>1316682.6440000001</v>
      </c>
      <c r="H68" s="164">
        <f t="shared" si="11"/>
        <v>17.8</v>
      </c>
      <c r="I68" s="26">
        <f>IFERROR(100/'Skjema total MA'!F68*G68,0)</f>
        <v>4.9856981361409973</v>
      </c>
      <c r="J68" s="285">
        <f t="shared" si="12"/>
        <v>1117923.8729999999</v>
      </c>
      <c r="K68" s="43">
        <f t="shared" si="12"/>
        <v>1316682.6440000001</v>
      </c>
      <c r="L68" s="253">
        <f t="shared" si="13"/>
        <v>17.8</v>
      </c>
      <c r="M68" s="26">
        <f>IFERROR(100/'Skjema total MA'!I68*K68,0)</f>
        <v>4.9558271180512214</v>
      </c>
    </row>
    <row r="69" spans="1:15" ht="15.75" x14ac:dyDescent="0.2">
      <c r="A69" s="294" t="s">
        <v>316</v>
      </c>
      <c r="B69" s="279"/>
      <c r="C69" s="279"/>
      <c r="D69" s="164"/>
      <c r="E69" s="414"/>
      <c r="F69" s="279"/>
      <c r="G69" s="279"/>
      <c r="H69" s="164"/>
      <c r="I69" s="414"/>
      <c r="J69" s="288"/>
      <c r="K69" s="288"/>
      <c r="L69" s="164"/>
      <c r="M69" s="22"/>
    </row>
    <row r="70" spans="1:15" x14ac:dyDescent="0.2">
      <c r="A70" s="294" t="s">
        <v>12</v>
      </c>
      <c r="B70" s="292"/>
      <c r="C70" s="293"/>
      <c r="D70" s="164"/>
      <c r="E70" s="414"/>
      <c r="F70" s="279"/>
      <c r="G70" s="279"/>
      <c r="H70" s="164"/>
      <c r="I70" s="414"/>
      <c r="J70" s="288"/>
      <c r="K70" s="288"/>
      <c r="L70" s="164"/>
      <c r="M70" s="22"/>
    </row>
    <row r="71" spans="1:15" x14ac:dyDescent="0.2">
      <c r="A71" s="294" t="s">
        <v>13</v>
      </c>
      <c r="B71" s="233"/>
      <c r="C71" s="287"/>
      <c r="D71" s="164"/>
      <c r="E71" s="414"/>
      <c r="F71" s="279"/>
      <c r="G71" s="279"/>
      <c r="H71" s="164"/>
      <c r="I71" s="414"/>
      <c r="J71" s="288"/>
      <c r="K71" s="288"/>
      <c r="L71" s="164"/>
      <c r="M71" s="22"/>
    </row>
    <row r="72" spans="1:15" ht="15.75" x14ac:dyDescent="0.2">
      <c r="A72" s="294" t="s">
        <v>317</v>
      </c>
      <c r="B72" s="279"/>
      <c r="C72" s="279"/>
      <c r="D72" s="164"/>
      <c r="E72" s="414"/>
      <c r="F72" s="279">
        <v>1117923.8729999999</v>
      </c>
      <c r="G72" s="279">
        <v>1316682.6440000001</v>
      </c>
      <c r="H72" s="164">
        <f t="shared" si="11"/>
        <v>17.8</v>
      </c>
      <c r="I72" s="414">
        <f>IFERROR(100/'Skjema total MA'!F72*G72,0)</f>
        <v>4.9864491642141431</v>
      </c>
      <c r="J72" s="285">
        <f t="shared" si="12"/>
        <v>1117923.8729999999</v>
      </c>
      <c r="K72" s="285">
        <f t="shared" si="12"/>
        <v>1316682.6440000001</v>
      </c>
      <c r="L72" s="164">
        <f t="shared" ref="L72" si="14">IF(J72=0, "    ---- ", IF(ABS(ROUND(100/J72*K72-100,1))&lt;999,ROUND(100/J72*K72-100,1),IF(ROUND(100/J72*K72-100,1)&gt;999,999,-999)))</f>
        <v>17.8</v>
      </c>
      <c r="M72" s="22">
        <f>IFERROR(100/'Skjema total MA'!I72*K72,0)</f>
        <v>4.9599763519922089</v>
      </c>
    </row>
    <row r="73" spans="1:15" x14ac:dyDescent="0.2">
      <c r="A73" s="294" t="s">
        <v>12</v>
      </c>
      <c r="B73" s="233"/>
      <c r="C73" s="287"/>
      <c r="D73" s="164"/>
      <c r="E73" s="414"/>
      <c r="F73" s="279"/>
      <c r="G73" s="279"/>
      <c r="H73" s="164"/>
      <c r="I73" s="414"/>
      <c r="J73" s="288"/>
      <c r="K73" s="288"/>
      <c r="L73" s="164"/>
      <c r="M73" s="22"/>
    </row>
    <row r="74" spans="1:15" s="3" customFormat="1" x14ac:dyDescent="0.2">
      <c r="A74" s="294" t="s">
        <v>13</v>
      </c>
      <c r="B74" s="233"/>
      <c r="C74" s="287"/>
      <c r="D74" s="164"/>
      <c r="E74" s="414"/>
      <c r="F74" s="279">
        <v>1117923.8729999999</v>
      </c>
      <c r="G74" s="279">
        <v>1316682.6440000001</v>
      </c>
      <c r="H74" s="164">
        <f t="shared" si="11"/>
        <v>17.8</v>
      </c>
      <c r="I74" s="414">
        <f>IFERROR(100/'Skjema total MA'!F74*G74,0)</f>
        <v>5.050064994582562</v>
      </c>
      <c r="J74" s="285">
        <f>SUM(B74,F74)</f>
        <v>1117923.8729999999</v>
      </c>
      <c r="K74" s="285">
        <f>SUM(C74,G74)</f>
        <v>1316682.6440000001</v>
      </c>
      <c r="L74" s="164">
        <f t="shared" ref="L74" si="15">IF(J74=0, "    ---- ", IF(ABS(ROUND(100/J74*K74-100,1))&lt;999,ROUND(100/J74*K74-100,1),IF(ROUND(100/J74*K74-100,1)&gt;999,999,-999)))</f>
        <v>17.8</v>
      </c>
      <c r="M74" s="22">
        <f>IFERROR(100/'Skjema total MA'!I74*K74,0)</f>
        <v>5.050064994582562</v>
      </c>
      <c r="N74" s="146"/>
      <c r="O74" s="146"/>
    </row>
    <row r="75" spans="1:15" s="3" customFormat="1" x14ac:dyDescent="0.2">
      <c r="A75" s="20" t="s">
        <v>395</v>
      </c>
      <c r="B75" s="232"/>
      <c r="C75" s="143"/>
      <c r="D75" s="164"/>
      <c r="E75" s="26"/>
      <c r="F75" s="232"/>
      <c r="G75" s="143"/>
      <c r="H75" s="164"/>
      <c r="I75" s="26"/>
      <c r="J75" s="285"/>
      <c r="K75" s="285"/>
      <c r="L75" s="253"/>
      <c r="M75" s="26"/>
      <c r="N75" s="146"/>
      <c r="O75" s="146"/>
    </row>
    <row r="76" spans="1:15" s="3" customFormat="1" x14ac:dyDescent="0.2">
      <c r="A76" s="20" t="s">
        <v>394</v>
      </c>
      <c r="B76" s="232"/>
      <c r="C76" s="143"/>
      <c r="D76" s="164"/>
      <c r="E76" s="26"/>
      <c r="F76" s="232"/>
      <c r="G76" s="143"/>
      <c r="H76" s="164"/>
      <c r="I76" s="26"/>
      <c r="J76" s="285"/>
      <c r="K76" s="285"/>
      <c r="L76" s="253"/>
      <c r="M76" s="26"/>
      <c r="N76" s="146"/>
      <c r="O76" s="146"/>
    </row>
    <row r="77" spans="1:15" ht="15.75" x14ac:dyDescent="0.2">
      <c r="A77" s="20" t="s">
        <v>318</v>
      </c>
      <c r="B77" s="232">
        <v>105535.337</v>
      </c>
      <c r="C77" s="232">
        <v>102993.24800000001</v>
      </c>
      <c r="D77" s="164">
        <f t="shared" si="10"/>
        <v>-2.4</v>
      </c>
      <c r="E77" s="26">
        <f>IFERROR(100/'Skjema total MA'!C77*C77,0)</f>
        <v>1.2774100953733176</v>
      </c>
      <c r="F77" s="232">
        <v>1117923.8729999999</v>
      </c>
      <c r="G77" s="143">
        <v>1316682.6440000001</v>
      </c>
      <c r="H77" s="164">
        <f t="shared" si="11"/>
        <v>17.8</v>
      </c>
      <c r="I77" s="26">
        <f>IFERROR(100/'Skjema total MA'!F77*G77,0)</f>
        <v>4.988181337056254</v>
      </c>
      <c r="J77" s="285">
        <f t="shared" si="12"/>
        <v>1223459.21</v>
      </c>
      <c r="K77" s="285">
        <f t="shared" si="12"/>
        <v>1419675.892</v>
      </c>
      <c r="L77" s="253">
        <f t="shared" si="13"/>
        <v>16</v>
      </c>
      <c r="M77" s="26">
        <f>IFERROR(100/'Skjema total MA'!I77*K77,0)</f>
        <v>4.1199336965832511</v>
      </c>
    </row>
    <row r="78" spans="1:15" x14ac:dyDescent="0.2">
      <c r="A78" s="20" t="s">
        <v>9</v>
      </c>
      <c r="B78" s="232">
        <v>105535.337</v>
      </c>
      <c r="C78" s="143">
        <v>102993.24800000001</v>
      </c>
      <c r="D78" s="164">
        <f t="shared" si="10"/>
        <v>-2.4</v>
      </c>
      <c r="E78" s="26">
        <f>IFERROR(100/'Skjema total MA'!C78*C78,0)</f>
        <v>1.3024821954421926</v>
      </c>
      <c r="F78" s="232"/>
      <c r="G78" s="143"/>
      <c r="H78" s="164"/>
      <c r="I78" s="26"/>
      <c r="J78" s="285">
        <f t="shared" si="12"/>
        <v>105535.337</v>
      </c>
      <c r="K78" s="285">
        <f t="shared" si="12"/>
        <v>102993.24800000001</v>
      </c>
      <c r="L78" s="253">
        <f t="shared" si="13"/>
        <v>-2.4</v>
      </c>
      <c r="M78" s="26">
        <f>IFERROR(100/'Skjema total MA'!I78*K78,0)</f>
        <v>1.3024821954421926</v>
      </c>
    </row>
    <row r="79" spans="1:15" x14ac:dyDescent="0.2">
      <c r="A79" s="20" t="s">
        <v>10</v>
      </c>
      <c r="B79" s="290"/>
      <c r="C79" s="291"/>
      <c r="D79" s="164"/>
      <c r="E79" s="26"/>
      <c r="F79" s="290">
        <v>1117923.8729999999</v>
      </c>
      <c r="G79" s="291">
        <v>1316682.6440000001</v>
      </c>
      <c r="H79" s="164">
        <f t="shared" si="11"/>
        <v>17.8</v>
      </c>
      <c r="I79" s="26">
        <f>IFERROR(100/'Skjema total MA'!F79*G79,0)</f>
        <v>4.988181337056254</v>
      </c>
      <c r="J79" s="285">
        <f t="shared" si="12"/>
        <v>1117923.8729999999</v>
      </c>
      <c r="K79" s="285">
        <f t="shared" si="12"/>
        <v>1316682.6440000001</v>
      </c>
      <c r="L79" s="253">
        <f t="shared" si="13"/>
        <v>17.8</v>
      </c>
      <c r="M79" s="26">
        <f>IFERROR(100/'Skjema total MA'!I79*K79,0)</f>
        <v>4.9590235459647483</v>
      </c>
    </row>
    <row r="80" spans="1:15" ht="15.75" x14ac:dyDescent="0.2">
      <c r="A80" s="294" t="s">
        <v>316</v>
      </c>
      <c r="B80" s="279"/>
      <c r="C80" s="279"/>
      <c r="D80" s="164"/>
      <c r="E80" s="414"/>
      <c r="F80" s="279"/>
      <c r="G80" s="279"/>
      <c r="H80" s="164"/>
      <c r="I80" s="414"/>
      <c r="J80" s="288"/>
      <c r="K80" s="288"/>
      <c r="L80" s="164"/>
      <c r="M80" s="22"/>
    </row>
    <row r="81" spans="1:13" x14ac:dyDescent="0.2">
      <c r="A81" s="294" t="s">
        <v>12</v>
      </c>
      <c r="B81" s="233"/>
      <c r="C81" s="287"/>
      <c r="D81" s="164"/>
      <c r="E81" s="414"/>
      <c r="F81" s="279"/>
      <c r="G81" s="279"/>
      <c r="H81" s="164"/>
      <c r="I81" s="414"/>
      <c r="J81" s="288"/>
      <c r="K81" s="288"/>
      <c r="L81" s="164"/>
      <c r="M81" s="22"/>
    </row>
    <row r="82" spans="1:13" x14ac:dyDescent="0.2">
      <c r="A82" s="294" t="s">
        <v>13</v>
      </c>
      <c r="B82" s="233"/>
      <c r="C82" s="287"/>
      <c r="D82" s="164"/>
      <c r="E82" s="414"/>
      <c r="F82" s="279"/>
      <c r="G82" s="279"/>
      <c r="H82" s="164"/>
      <c r="I82" s="414"/>
      <c r="J82" s="288"/>
      <c r="K82" s="288"/>
      <c r="L82" s="164"/>
      <c r="M82" s="22"/>
    </row>
    <row r="83" spans="1:13" ht="15.75" x14ac:dyDescent="0.2">
      <c r="A83" s="294" t="s">
        <v>317</v>
      </c>
      <c r="B83" s="279"/>
      <c r="C83" s="279"/>
      <c r="D83" s="164"/>
      <c r="E83" s="414"/>
      <c r="F83" s="279">
        <v>1117923.8729999999</v>
      </c>
      <c r="G83" s="279">
        <v>1316682.6440000001</v>
      </c>
      <c r="H83" s="164">
        <f t="shared" si="11"/>
        <v>17.8</v>
      </c>
      <c r="I83" s="414">
        <f>IFERROR(100/'Skjema total MA'!F83*G83,0)</f>
        <v>4.988181337056254</v>
      </c>
      <c r="J83" s="285">
        <f t="shared" ref="J83:K83" si="16">SUM(B83,F83)</f>
        <v>1117923.8729999999</v>
      </c>
      <c r="K83" s="285">
        <f t="shared" si="16"/>
        <v>1316682.6440000001</v>
      </c>
      <c r="L83" s="164">
        <f t="shared" ref="L83" si="17">IF(J83=0, "    ---- ", IF(ABS(ROUND(100/J83*K83-100,1))&lt;999,ROUND(100/J83*K83-100,1),IF(ROUND(100/J83*K83-100,1)&gt;999,999,-999)))</f>
        <v>17.8</v>
      </c>
      <c r="M83" s="22">
        <f>IFERROR(100/'Skjema total MA'!I83*K83,0)</f>
        <v>4.9590235459647483</v>
      </c>
    </row>
    <row r="84" spans="1:13" x14ac:dyDescent="0.2">
      <c r="A84" s="294" t="s">
        <v>12</v>
      </c>
      <c r="B84" s="233"/>
      <c r="C84" s="287"/>
      <c r="D84" s="164"/>
      <c r="E84" s="414"/>
      <c r="F84" s="279"/>
      <c r="G84" s="279"/>
      <c r="H84" s="164"/>
      <c r="I84" s="414"/>
      <c r="J84" s="288"/>
      <c r="K84" s="288"/>
      <c r="L84" s="164"/>
      <c r="M84" s="22"/>
    </row>
    <row r="85" spans="1:13" x14ac:dyDescent="0.2">
      <c r="A85" s="294" t="s">
        <v>13</v>
      </c>
      <c r="B85" s="233"/>
      <c r="C85" s="287"/>
      <c r="D85" s="164"/>
      <c r="E85" s="414"/>
      <c r="F85" s="279">
        <v>1117923.8729999999</v>
      </c>
      <c r="G85" s="279">
        <v>1316682.6440000001</v>
      </c>
      <c r="H85" s="164">
        <f t="shared" si="11"/>
        <v>17.8</v>
      </c>
      <c r="I85" s="414">
        <f>IFERROR(100/'Skjema total MA'!F85*G85,0)</f>
        <v>5.0518075408124457</v>
      </c>
      <c r="J85" s="285">
        <f t="shared" ref="J85:K85" si="18">SUM(B85,F85)</f>
        <v>1117923.8729999999</v>
      </c>
      <c r="K85" s="285">
        <f t="shared" si="18"/>
        <v>1316682.6440000001</v>
      </c>
      <c r="L85" s="164">
        <f t="shared" ref="L85" si="19">IF(J85=0, "    ---- ", IF(ABS(ROUND(100/J85*K85-100,1))&lt;999,ROUND(100/J85*K85-100,1),IF(ROUND(100/J85*K85-100,1)&gt;999,999,-999)))</f>
        <v>17.8</v>
      </c>
      <c r="M85" s="22">
        <f>IFERROR(100/'Skjema total MA'!I85*K85,0)</f>
        <v>5.0518075408124457</v>
      </c>
    </row>
    <row r="86" spans="1:13" ht="15.75" x14ac:dyDescent="0.2">
      <c r="A86" s="20" t="s">
        <v>327</v>
      </c>
      <c r="B86" s="232"/>
      <c r="C86" s="143"/>
      <c r="D86" s="164"/>
      <c r="E86" s="26"/>
      <c r="F86" s="232"/>
      <c r="G86" s="143"/>
      <c r="H86" s="164"/>
      <c r="I86" s="26"/>
      <c r="J86" s="285"/>
      <c r="K86" s="285"/>
      <c r="L86" s="253"/>
      <c r="M86" s="26"/>
    </row>
    <row r="87" spans="1:13" ht="15.75" x14ac:dyDescent="0.2">
      <c r="A87" s="13" t="s">
        <v>25</v>
      </c>
      <c r="B87" s="350">
        <f>B88+B89+B96+B97</f>
        <v>529675.42500000005</v>
      </c>
      <c r="C87" s="350">
        <f>C88+C89+C96+C97</f>
        <v>607560.85</v>
      </c>
      <c r="D87" s="169">
        <f t="shared" si="10"/>
        <v>14.7</v>
      </c>
      <c r="E87" s="11">
        <f>IFERROR(100/'Skjema total MA'!C87*C87,0)</f>
        <v>0.15931201598232306</v>
      </c>
      <c r="F87" s="350">
        <f>F88+F89+F96+F97</f>
        <v>9771723.6429999992</v>
      </c>
      <c r="G87" s="350">
        <f>G88+G89+G96+G97</f>
        <v>12116668.290999999</v>
      </c>
      <c r="H87" s="169">
        <f t="shared" si="11"/>
        <v>24</v>
      </c>
      <c r="I87" s="11">
        <f>IFERROR(100/'Skjema total MA'!F87*G87,0)</f>
        <v>5.4158615522468532</v>
      </c>
      <c r="J87" s="307">
        <f t="shared" ref="J87:K111" si="20">SUM(B87,F87)</f>
        <v>10301399.068</v>
      </c>
      <c r="K87" s="307">
        <f t="shared" si="20"/>
        <v>12724229.140999999</v>
      </c>
      <c r="L87" s="425">
        <f t="shared" si="13"/>
        <v>23.5</v>
      </c>
      <c r="M87" s="11">
        <f>IFERROR(100/'Skjema total MA'!I87*K87,0)</f>
        <v>2.1028622261322907</v>
      </c>
    </row>
    <row r="88" spans="1:13" x14ac:dyDescent="0.2">
      <c r="A88" s="20" t="s">
        <v>9</v>
      </c>
      <c r="B88" s="232">
        <v>529675.42500000005</v>
      </c>
      <c r="C88" s="143">
        <v>607560.85</v>
      </c>
      <c r="D88" s="164">
        <f t="shared" si="10"/>
        <v>14.7</v>
      </c>
      <c r="E88" s="26">
        <f>IFERROR(100/'Skjema total MA'!C88*C88,0)</f>
        <v>0.16273698023976743</v>
      </c>
      <c r="F88" s="232"/>
      <c r="G88" s="143"/>
      <c r="H88" s="164"/>
      <c r="I88" s="26"/>
      <c r="J88" s="285">
        <f t="shared" si="20"/>
        <v>529675.42500000005</v>
      </c>
      <c r="K88" s="285">
        <f t="shared" si="20"/>
        <v>607560.85</v>
      </c>
      <c r="L88" s="253">
        <f t="shared" si="13"/>
        <v>14.7</v>
      </c>
      <c r="M88" s="26">
        <f>IFERROR(100/'Skjema total MA'!I88*K88,0)</f>
        <v>0.16273698023976743</v>
      </c>
    </row>
    <row r="89" spans="1:13" x14ac:dyDescent="0.2">
      <c r="A89" s="20" t="s">
        <v>10</v>
      </c>
      <c r="B89" s="232"/>
      <c r="C89" s="143"/>
      <c r="D89" s="164"/>
      <c r="E89" s="26"/>
      <c r="F89" s="232">
        <v>9771723.6429999992</v>
      </c>
      <c r="G89" s="143">
        <v>12116668.290999999</v>
      </c>
      <c r="H89" s="164">
        <f t="shared" si="11"/>
        <v>24</v>
      </c>
      <c r="I89" s="26">
        <f>IFERROR(100/'Skjema total MA'!F89*G89,0)</f>
        <v>5.4328341153680713</v>
      </c>
      <c r="J89" s="285">
        <f t="shared" si="20"/>
        <v>9771723.6429999992</v>
      </c>
      <c r="K89" s="285">
        <f t="shared" si="20"/>
        <v>12116668.290999999</v>
      </c>
      <c r="L89" s="253">
        <f t="shared" si="13"/>
        <v>24</v>
      </c>
      <c r="M89" s="26">
        <f>IFERROR(100/'Skjema total MA'!I89*K89,0)</f>
        <v>5.3722591997303324</v>
      </c>
    </row>
    <row r="90" spans="1:13" ht="15.75" x14ac:dyDescent="0.2">
      <c r="A90" s="294" t="s">
        <v>316</v>
      </c>
      <c r="B90" s="279"/>
      <c r="C90" s="279"/>
      <c r="D90" s="164"/>
      <c r="E90" s="414"/>
      <c r="F90" s="279"/>
      <c r="G90" s="279"/>
      <c r="H90" s="164"/>
      <c r="I90" s="414"/>
      <c r="J90" s="288"/>
      <c r="K90" s="288"/>
      <c r="L90" s="164"/>
      <c r="M90" s="22"/>
    </row>
    <row r="91" spans="1:13" x14ac:dyDescent="0.2">
      <c r="A91" s="294" t="s">
        <v>12</v>
      </c>
      <c r="B91" s="233"/>
      <c r="C91" s="287"/>
      <c r="D91" s="164"/>
      <c r="E91" s="414"/>
      <c r="F91" s="279"/>
      <c r="G91" s="279"/>
      <c r="H91" s="164"/>
      <c r="I91" s="414"/>
      <c r="J91" s="288"/>
      <c r="K91" s="288"/>
      <c r="L91" s="164"/>
      <c r="M91" s="22"/>
    </row>
    <row r="92" spans="1:13" x14ac:dyDescent="0.2">
      <c r="A92" s="294" t="s">
        <v>13</v>
      </c>
      <c r="B92" s="233"/>
      <c r="C92" s="287"/>
      <c r="D92" s="164"/>
      <c r="E92" s="414"/>
      <c r="F92" s="279"/>
      <c r="G92" s="279"/>
      <c r="H92" s="164"/>
      <c r="I92" s="414"/>
      <c r="J92" s="288"/>
      <c r="K92" s="288"/>
      <c r="L92" s="164"/>
      <c r="M92" s="22"/>
    </row>
    <row r="93" spans="1:13" ht="15.75" x14ac:dyDescent="0.2">
      <c r="A93" s="294" t="s">
        <v>317</v>
      </c>
      <c r="B93" s="279"/>
      <c r="C93" s="279"/>
      <c r="D93" s="164"/>
      <c r="E93" s="414"/>
      <c r="F93" s="279">
        <v>9771723.6429999992</v>
      </c>
      <c r="G93" s="279">
        <v>12116668.290999999</v>
      </c>
      <c r="H93" s="164">
        <f t="shared" si="11"/>
        <v>24</v>
      </c>
      <c r="I93" s="414">
        <f>IFERROR(100/'Skjema total MA'!F93*G93,0)</f>
        <v>5.4364860426756003</v>
      </c>
      <c r="J93" s="285">
        <f t="shared" ref="J93:K93" si="21">SUM(B93,F93)</f>
        <v>9771723.6429999992</v>
      </c>
      <c r="K93" s="285">
        <f t="shared" si="21"/>
        <v>12116668.290999999</v>
      </c>
      <c r="L93" s="164">
        <f t="shared" ref="L93" si="22">IF(J93=0, "    ---- ", IF(ABS(ROUND(100/J93*K93-100,1))&lt;999,ROUND(100/J93*K93-100,1),IF(ROUND(100/J93*K93-100,1)&gt;999,999,-999)))</f>
        <v>24</v>
      </c>
      <c r="M93" s="22">
        <f>IFERROR(100/'Skjema total MA'!I93*K93,0)</f>
        <v>5.3758301178872019</v>
      </c>
    </row>
    <row r="94" spans="1:13" x14ac:dyDescent="0.2">
      <c r="A94" s="294" t="s">
        <v>12</v>
      </c>
      <c r="B94" s="233"/>
      <c r="C94" s="287"/>
      <c r="D94" s="164"/>
      <c r="E94" s="414"/>
      <c r="F94" s="279"/>
      <c r="G94" s="279"/>
      <c r="H94" s="164"/>
      <c r="I94" s="414"/>
      <c r="J94" s="288"/>
      <c r="K94" s="288"/>
      <c r="L94" s="164"/>
      <c r="M94" s="22"/>
    </row>
    <row r="95" spans="1:13" x14ac:dyDescent="0.2">
      <c r="A95" s="294" t="s">
        <v>13</v>
      </c>
      <c r="B95" s="233"/>
      <c r="C95" s="287"/>
      <c r="D95" s="164"/>
      <c r="E95" s="414"/>
      <c r="F95" s="279">
        <v>9771723.6429999992</v>
      </c>
      <c r="G95" s="279">
        <v>12116668.290999999</v>
      </c>
      <c r="H95" s="164">
        <f t="shared" si="11"/>
        <v>24</v>
      </c>
      <c r="I95" s="414">
        <f>IFERROR(100/'Skjema total MA'!F95*G95,0)</f>
        <v>5.5182050113398446</v>
      </c>
      <c r="J95" s="285">
        <f t="shared" ref="J95:K95" si="23">SUM(B95,F95)</f>
        <v>9771723.6429999992</v>
      </c>
      <c r="K95" s="285">
        <f t="shared" si="23"/>
        <v>12116668.290999999</v>
      </c>
      <c r="L95" s="164">
        <f t="shared" ref="L95" si="24">IF(J95=0, "    ---- ", IF(ABS(ROUND(100/J95*K95-100,1))&lt;999,ROUND(100/J95*K95-100,1),IF(ROUND(100/J95*K95-100,1)&gt;999,999,-999)))</f>
        <v>24</v>
      </c>
      <c r="M95" s="22">
        <f>IFERROR(100/'Skjema total MA'!I95*K95,0)</f>
        <v>5.5182050113398446</v>
      </c>
    </row>
    <row r="96" spans="1:13" x14ac:dyDescent="0.2">
      <c r="A96" s="20" t="s">
        <v>393</v>
      </c>
      <c r="B96" s="232"/>
      <c r="C96" s="143"/>
      <c r="D96" s="164"/>
      <c r="E96" s="26"/>
      <c r="F96" s="232"/>
      <c r="G96" s="143"/>
      <c r="H96" s="164"/>
      <c r="I96" s="26"/>
      <c r="J96" s="285"/>
      <c r="K96" s="285"/>
      <c r="L96" s="253"/>
      <c r="M96" s="26"/>
    </row>
    <row r="97" spans="1:13" x14ac:dyDescent="0.2">
      <c r="A97" s="20" t="s">
        <v>392</v>
      </c>
      <c r="B97" s="232"/>
      <c r="C97" s="143"/>
      <c r="D97" s="164"/>
      <c r="E97" s="26"/>
      <c r="F97" s="232"/>
      <c r="G97" s="143"/>
      <c r="H97" s="164"/>
      <c r="I97" s="26"/>
      <c r="J97" s="285"/>
      <c r="K97" s="285"/>
      <c r="L97" s="253"/>
      <c r="M97" s="26"/>
    </row>
    <row r="98" spans="1:13" ht="15.75" x14ac:dyDescent="0.2">
      <c r="A98" s="20" t="s">
        <v>318</v>
      </c>
      <c r="B98" s="232">
        <v>529675.42500000005</v>
      </c>
      <c r="C98" s="232">
        <v>607560.85</v>
      </c>
      <c r="D98" s="164">
        <f t="shared" si="10"/>
        <v>14.7</v>
      </c>
      <c r="E98" s="26">
        <f>IFERROR(100/'Skjema total MA'!C98*C98,0)</f>
        <v>0.16337589970990027</v>
      </c>
      <c r="F98" s="290">
        <v>9771723.6429999992</v>
      </c>
      <c r="G98" s="290">
        <v>12116668.290999999</v>
      </c>
      <c r="H98" s="164">
        <f t="shared" si="11"/>
        <v>24</v>
      </c>
      <c r="I98" s="26">
        <f>IFERROR(100/'Skjema total MA'!F98*G98,0)</f>
        <v>5.4473736879302956</v>
      </c>
      <c r="J98" s="285">
        <f t="shared" si="20"/>
        <v>10301399.068</v>
      </c>
      <c r="K98" s="285">
        <f t="shared" si="20"/>
        <v>12724229.140999999</v>
      </c>
      <c r="L98" s="253">
        <f t="shared" si="13"/>
        <v>23.5</v>
      </c>
      <c r="M98" s="26">
        <f>IFERROR(100/'Skjema total MA'!I98*K98,0)</f>
        <v>2.1410069849146467</v>
      </c>
    </row>
    <row r="99" spans="1:13" x14ac:dyDescent="0.2">
      <c r="A99" s="20" t="s">
        <v>9</v>
      </c>
      <c r="B99" s="290">
        <v>529675.42500000005</v>
      </c>
      <c r="C99" s="291">
        <v>607560.85</v>
      </c>
      <c r="D99" s="164">
        <f t="shared" si="10"/>
        <v>14.7</v>
      </c>
      <c r="E99" s="26">
        <f>IFERROR(100/'Skjema total MA'!C99*C99,0)</f>
        <v>0.16448820913515197</v>
      </c>
      <c r="F99" s="232"/>
      <c r="G99" s="143"/>
      <c r="H99" s="164"/>
      <c r="I99" s="26"/>
      <c r="J99" s="285">
        <f t="shared" si="20"/>
        <v>529675.42500000005</v>
      </c>
      <c r="K99" s="285">
        <f t="shared" si="20"/>
        <v>607560.85</v>
      </c>
      <c r="L99" s="253">
        <f t="shared" si="13"/>
        <v>14.7</v>
      </c>
      <c r="M99" s="26">
        <f>IFERROR(100/'Skjema total MA'!I99*K99,0)</f>
        <v>0.16448820913515197</v>
      </c>
    </row>
    <row r="100" spans="1:13" x14ac:dyDescent="0.2">
      <c r="A100" s="20" t="s">
        <v>10</v>
      </c>
      <c r="B100" s="290"/>
      <c r="C100" s="291"/>
      <c r="D100" s="164"/>
      <c r="E100" s="26"/>
      <c r="F100" s="232">
        <v>9771723.6429999992</v>
      </c>
      <c r="G100" s="232">
        <v>12116668.290999999</v>
      </c>
      <c r="H100" s="164">
        <f t="shared" si="11"/>
        <v>24</v>
      </c>
      <c r="I100" s="26">
        <f>IFERROR(100/'Skjema total MA'!F100*G100,0)</f>
        <v>5.4473736879302956</v>
      </c>
      <c r="J100" s="285">
        <f t="shared" si="20"/>
        <v>9771723.6429999992</v>
      </c>
      <c r="K100" s="285">
        <f t="shared" si="20"/>
        <v>12116668.290999999</v>
      </c>
      <c r="L100" s="253">
        <f t="shared" si="13"/>
        <v>24</v>
      </c>
      <c r="M100" s="26">
        <f>IFERROR(100/'Skjema total MA'!I100*K100,0)</f>
        <v>5.3864759294709357</v>
      </c>
    </row>
    <row r="101" spans="1:13" ht="15.75" x14ac:dyDescent="0.2">
      <c r="A101" s="294" t="s">
        <v>316</v>
      </c>
      <c r="B101" s="279"/>
      <c r="C101" s="279"/>
      <c r="D101" s="164"/>
      <c r="E101" s="414"/>
      <c r="F101" s="279"/>
      <c r="G101" s="279"/>
      <c r="H101" s="164"/>
      <c r="I101" s="414"/>
      <c r="J101" s="288"/>
      <c r="K101" s="288"/>
      <c r="L101" s="164"/>
      <c r="M101" s="22"/>
    </row>
    <row r="102" spans="1:13" x14ac:dyDescent="0.2">
      <c r="A102" s="294" t="s">
        <v>12</v>
      </c>
      <c r="B102" s="233"/>
      <c r="C102" s="287"/>
      <c r="D102" s="164"/>
      <c r="E102" s="414"/>
      <c r="F102" s="279"/>
      <c r="G102" s="279"/>
      <c r="H102" s="164"/>
      <c r="I102" s="414"/>
      <c r="J102" s="288"/>
      <c r="K102" s="288"/>
      <c r="L102" s="164"/>
      <c r="M102" s="22"/>
    </row>
    <row r="103" spans="1:13" x14ac:dyDescent="0.2">
      <c r="A103" s="294" t="s">
        <v>13</v>
      </c>
      <c r="B103" s="233"/>
      <c r="C103" s="287"/>
      <c r="D103" s="164"/>
      <c r="E103" s="414"/>
      <c r="F103" s="279"/>
      <c r="G103" s="279"/>
      <c r="H103" s="164"/>
      <c r="I103" s="414"/>
      <c r="J103" s="288"/>
      <c r="K103" s="288"/>
      <c r="L103" s="164"/>
      <c r="M103" s="22"/>
    </row>
    <row r="104" spans="1:13" ht="15.75" x14ac:dyDescent="0.2">
      <c r="A104" s="294" t="s">
        <v>317</v>
      </c>
      <c r="B104" s="279"/>
      <c r="C104" s="279"/>
      <c r="D104" s="164"/>
      <c r="E104" s="414"/>
      <c r="F104" s="279">
        <v>9771723.6429999992</v>
      </c>
      <c r="G104" s="279">
        <v>12116668.290999999</v>
      </c>
      <c r="H104" s="164">
        <f t="shared" si="11"/>
        <v>24</v>
      </c>
      <c r="I104" s="414">
        <f>IFERROR(100/'Skjema total MA'!F104*G104,0)</f>
        <v>5.4473736879302956</v>
      </c>
      <c r="J104" s="285">
        <f t="shared" ref="J104:K104" si="25">SUM(B104,F104)</f>
        <v>9771723.6429999992</v>
      </c>
      <c r="K104" s="285">
        <f t="shared" si="25"/>
        <v>12116668.290999999</v>
      </c>
      <c r="L104" s="164">
        <f t="shared" ref="L104" si="26">IF(J104=0, "    ---- ", IF(ABS(ROUND(100/J104*K104-100,1))&lt;999,ROUND(100/J104*K104-100,1),IF(ROUND(100/J104*K104-100,1)&gt;999,999,-999)))</f>
        <v>24</v>
      </c>
      <c r="M104" s="22">
        <f>IFERROR(100/'Skjema total MA'!I104*K104,0)</f>
        <v>5.3864759294709357</v>
      </c>
    </row>
    <row r="105" spans="1:13" x14ac:dyDescent="0.2">
      <c r="A105" s="294" t="s">
        <v>12</v>
      </c>
      <c r="B105" s="233"/>
      <c r="C105" s="287"/>
      <c r="D105" s="164"/>
      <c r="E105" s="414"/>
      <c r="F105" s="279"/>
      <c r="G105" s="279"/>
      <c r="H105" s="164"/>
      <c r="I105" s="414"/>
      <c r="J105" s="288"/>
      <c r="K105" s="288"/>
      <c r="L105" s="164"/>
      <c r="M105" s="22"/>
    </row>
    <row r="106" spans="1:13" x14ac:dyDescent="0.2">
      <c r="A106" s="294" t="s">
        <v>13</v>
      </c>
      <c r="B106" s="233"/>
      <c r="C106" s="287"/>
      <c r="D106" s="164"/>
      <c r="E106" s="414"/>
      <c r="F106" s="279">
        <v>9771723.6429999992</v>
      </c>
      <c r="G106" s="279">
        <v>12116668.290999999</v>
      </c>
      <c r="H106" s="164">
        <f t="shared" si="11"/>
        <v>24</v>
      </c>
      <c r="I106" s="414">
        <f>IFERROR(100/'Skjema total MA'!F106*G106,0)</f>
        <v>5.5197362023652428</v>
      </c>
      <c r="J106" s="285">
        <f t="shared" ref="J106:K106" si="27">SUM(B106,F106)</f>
        <v>9771723.6429999992</v>
      </c>
      <c r="K106" s="285">
        <f t="shared" si="27"/>
        <v>12116668.290999999</v>
      </c>
      <c r="L106" s="164">
        <f t="shared" ref="L106" si="28">IF(J106=0, "    ---- ", IF(ABS(ROUND(100/J106*K106-100,1))&lt;999,ROUND(100/J106*K106-100,1),IF(ROUND(100/J106*K106-100,1)&gt;999,999,-999)))</f>
        <v>24</v>
      </c>
      <c r="M106" s="22">
        <f>IFERROR(100/'Skjema total MA'!I106*K106,0)</f>
        <v>5.5197362023652428</v>
      </c>
    </row>
    <row r="107" spans="1:13" ht="15.75" x14ac:dyDescent="0.2">
      <c r="A107" s="20" t="s">
        <v>327</v>
      </c>
      <c r="B107" s="232"/>
      <c r="C107" s="143"/>
      <c r="D107" s="164"/>
      <c r="E107" s="26"/>
      <c r="F107" s="232"/>
      <c r="G107" s="143"/>
      <c r="H107" s="164"/>
      <c r="I107" s="26"/>
      <c r="J107" s="285"/>
      <c r="K107" s="285"/>
      <c r="L107" s="253"/>
      <c r="M107" s="26"/>
    </row>
    <row r="108" spans="1:13" ht="15.75" x14ac:dyDescent="0.2">
      <c r="A108" s="20" t="s">
        <v>328</v>
      </c>
      <c r="B108" s="232">
        <v>24704.841</v>
      </c>
      <c r="C108" s="232">
        <v>28102.420999999998</v>
      </c>
      <c r="D108" s="164">
        <f t="shared" si="10"/>
        <v>13.8</v>
      </c>
      <c r="E108" s="26">
        <f>IFERROR(100/'Skjema total MA'!C108*C108,0)</f>
        <v>9.3288754316094274E-3</v>
      </c>
      <c r="F108" s="232">
        <v>149181.13200000001</v>
      </c>
      <c r="G108" s="232">
        <v>182422.91399999999</v>
      </c>
      <c r="H108" s="164">
        <f t="shared" si="11"/>
        <v>22.3</v>
      </c>
      <c r="I108" s="26">
        <f>IFERROR(100/'Skjema total MA'!F108*G108,0)</f>
        <v>2.5199095255262254</v>
      </c>
      <c r="J108" s="285">
        <f t="shared" si="20"/>
        <v>173885.973</v>
      </c>
      <c r="K108" s="285">
        <f t="shared" si="20"/>
        <v>210525.33499999999</v>
      </c>
      <c r="L108" s="253">
        <f t="shared" si="13"/>
        <v>21.1</v>
      </c>
      <c r="M108" s="26">
        <f>IFERROR(100/'Skjema total MA'!I108*K108,0)</f>
        <v>6.8245910151968875E-2</v>
      </c>
    </row>
    <row r="109" spans="1:13" ht="15.75" x14ac:dyDescent="0.2">
      <c r="A109" s="20" t="s">
        <v>320</v>
      </c>
      <c r="B109" s="232"/>
      <c r="C109" s="232"/>
      <c r="D109" s="164"/>
      <c r="E109" s="26"/>
      <c r="F109" s="232">
        <v>3435776.679</v>
      </c>
      <c r="G109" s="232">
        <v>4256804.0480000004</v>
      </c>
      <c r="H109" s="164">
        <f t="shared" si="11"/>
        <v>23.9</v>
      </c>
      <c r="I109" s="26">
        <f>IFERROR(100/'Skjema total MA'!F109*G109,0)</f>
        <v>5.8005525102946898</v>
      </c>
      <c r="J109" s="285">
        <f t="shared" si="20"/>
        <v>3435776.679</v>
      </c>
      <c r="K109" s="285">
        <f t="shared" si="20"/>
        <v>4256804.0480000004</v>
      </c>
      <c r="L109" s="253">
        <f t="shared" si="13"/>
        <v>23.9</v>
      </c>
      <c r="M109" s="26">
        <f>IFERROR(100/'Skjema total MA'!I109*K109,0)</f>
        <v>5.7392007340489002</v>
      </c>
    </row>
    <row r="110" spans="1:13" ht="15.75" x14ac:dyDescent="0.2">
      <c r="A110" s="20" t="s">
        <v>321</v>
      </c>
      <c r="B110" s="232"/>
      <c r="C110" s="232"/>
      <c r="D110" s="164"/>
      <c r="E110" s="26"/>
      <c r="F110" s="232"/>
      <c r="G110" s="232"/>
      <c r="H110" s="164"/>
      <c r="I110" s="26"/>
      <c r="J110" s="285"/>
      <c r="K110" s="43"/>
      <c r="L110" s="253"/>
      <c r="M110" s="26"/>
    </row>
    <row r="111" spans="1:13" ht="15.75" x14ac:dyDescent="0.2">
      <c r="A111" s="13" t="s">
        <v>24</v>
      </c>
      <c r="B111" s="306">
        <f>SUM(B112:B114)</f>
        <v>28343.875</v>
      </c>
      <c r="C111" s="157">
        <f>SUM(C112:C114)</f>
        <v>17679.491999999998</v>
      </c>
      <c r="D111" s="169">
        <f t="shared" si="10"/>
        <v>-37.6</v>
      </c>
      <c r="E111" s="11">
        <f>IFERROR(100/'Skjema total MA'!C111*C111,0)</f>
        <v>3.2099165531379352</v>
      </c>
      <c r="F111" s="306">
        <f>SUM(F112:F114)</f>
        <v>537289.73100000003</v>
      </c>
      <c r="G111" s="157">
        <f>SUM(G112:G114)</f>
        <v>757154.05700000003</v>
      </c>
      <c r="H111" s="169">
        <f t="shared" si="11"/>
        <v>40.9</v>
      </c>
      <c r="I111" s="11">
        <f>IFERROR(100/'Skjema total MA'!F111*G111,0)</f>
        <v>7.8889650697019071</v>
      </c>
      <c r="J111" s="307">
        <f t="shared" si="20"/>
        <v>565633.60600000003</v>
      </c>
      <c r="K111" s="234">
        <f t="shared" si="20"/>
        <v>774833.549</v>
      </c>
      <c r="L111" s="425">
        <f t="shared" si="13"/>
        <v>37</v>
      </c>
      <c r="M111" s="11">
        <f>IFERROR(100/'Skjema total MA'!I111*K111,0)</f>
        <v>7.6350225099327043</v>
      </c>
    </row>
    <row r="112" spans="1:13" x14ac:dyDescent="0.2">
      <c r="A112" s="20" t="s">
        <v>9</v>
      </c>
      <c r="B112" s="232">
        <v>28343.875</v>
      </c>
      <c r="C112" s="143">
        <v>17679.491999999998</v>
      </c>
      <c r="D112" s="164">
        <f t="shared" si="10"/>
        <v>-37.6</v>
      </c>
      <c r="E112" s="26">
        <f>IFERROR(100/'Skjema total MA'!C112*C112,0)</f>
        <v>3.2507060412559143</v>
      </c>
      <c r="F112" s="232"/>
      <c r="G112" s="143"/>
      <c r="H112" s="164"/>
      <c r="I112" s="26"/>
      <c r="J112" s="285">
        <f t="shared" ref="J112:K125" si="29">SUM(B112,F112)</f>
        <v>28343.875</v>
      </c>
      <c r="K112" s="43">
        <f t="shared" si="29"/>
        <v>17679.491999999998</v>
      </c>
      <c r="L112" s="253">
        <f t="shared" si="13"/>
        <v>-37.6</v>
      </c>
      <c r="M112" s="26">
        <f>IFERROR(100/'Skjema total MA'!I112*K112,0)</f>
        <v>3.2507060412559143</v>
      </c>
    </row>
    <row r="113" spans="1:14" x14ac:dyDescent="0.2">
      <c r="A113" s="20" t="s">
        <v>10</v>
      </c>
      <c r="B113" s="232"/>
      <c r="C113" s="143"/>
      <c r="D113" s="164"/>
      <c r="E113" s="26"/>
      <c r="F113" s="232">
        <v>537289.73100000003</v>
      </c>
      <c r="G113" s="143">
        <v>757154.05700000003</v>
      </c>
      <c r="H113" s="164">
        <f t="shared" si="11"/>
        <v>40.9</v>
      </c>
      <c r="I113" s="26">
        <f>IFERROR(100/'Skjema total MA'!F113*G113,0)</f>
        <v>7.8899540453845782</v>
      </c>
      <c r="J113" s="285">
        <f t="shared" si="29"/>
        <v>537289.73100000003</v>
      </c>
      <c r="K113" s="43">
        <f t="shared" si="29"/>
        <v>757154.05700000003</v>
      </c>
      <c r="L113" s="253">
        <f t="shared" si="13"/>
        <v>40.9</v>
      </c>
      <c r="M113" s="26">
        <f>IFERROR(100/'Skjema total MA'!I113*K113,0)</f>
        <v>7.8876362868678385</v>
      </c>
    </row>
    <row r="114" spans="1:14" x14ac:dyDescent="0.2">
      <c r="A114" s="20" t="s">
        <v>29</v>
      </c>
      <c r="B114" s="232"/>
      <c r="C114" s="143"/>
      <c r="D114" s="164"/>
      <c r="E114" s="26"/>
      <c r="F114" s="232"/>
      <c r="G114" s="143"/>
      <c r="H114" s="164"/>
      <c r="I114" s="26"/>
      <c r="J114" s="285"/>
      <c r="K114" s="43"/>
      <c r="L114" s="253"/>
      <c r="M114" s="26"/>
    </row>
    <row r="115" spans="1:14" x14ac:dyDescent="0.2">
      <c r="A115" s="294" t="s">
        <v>15</v>
      </c>
      <c r="B115" s="279"/>
      <c r="C115" s="279"/>
      <c r="D115" s="164"/>
      <c r="E115" s="414"/>
      <c r="F115" s="279"/>
      <c r="G115" s="279"/>
      <c r="H115" s="164"/>
      <c r="I115" s="414"/>
      <c r="J115" s="288"/>
      <c r="K115" s="288"/>
      <c r="L115" s="164"/>
      <c r="M115" s="22"/>
    </row>
    <row r="116" spans="1:14" ht="15.75" x14ac:dyDescent="0.2">
      <c r="A116" s="20" t="s">
        <v>329</v>
      </c>
      <c r="B116" s="232">
        <v>12340.38</v>
      </c>
      <c r="C116" s="232">
        <v>3250.7150000000001</v>
      </c>
      <c r="D116" s="164">
        <f t="shared" si="10"/>
        <v>-73.7</v>
      </c>
      <c r="E116" s="26">
        <f>IFERROR(100/'Skjema total MA'!C116*C116,0)</f>
        <v>2.3441839166663661</v>
      </c>
      <c r="F116" s="232">
        <v>64717.866999999998</v>
      </c>
      <c r="G116" s="232">
        <v>16268.552</v>
      </c>
      <c r="H116" s="164">
        <f t="shared" si="11"/>
        <v>-74.900000000000006</v>
      </c>
      <c r="I116" s="26">
        <f>IFERROR(100/'Skjema total MA'!F116*G116,0)</f>
        <v>100</v>
      </c>
      <c r="J116" s="285">
        <f t="shared" si="29"/>
        <v>77058.247000000003</v>
      </c>
      <c r="K116" s="43">
        <f t="shared" si="29"/>
        <v>19519.267</v>
      </c>
      <c r="L116" s="253">
        <f t="shared" si="13"/>
        <v>-74.7</v>
      </c>
      <c r="M116" s="26">
        <f>IFERROR(100/'Skjema total MA'!I116*K116,0)</f>
        <v>12.597947882449402</v>
      </c>
    </row>
    <row r="117" spans="1:14" ht="15.75" x14ac:dyDescent="0.2">
      <c r="A117" s="20" t="s">
        <v>322</v>
      </c>
      <c r="B117" s="232"/>
      <c r="C117" s="232"/>
      <c r="D117" s="164"/>
      <c r="E117" s="26"/>
      <c r="F117" s="232">
        <v>78312.195000000007</v>
      </c>
      <c r="G117" s="232">
        <v>96880.68</v>
      </c>
      <c r="H117" s="164">
        <f t="shared" si="11"/>
        <v>23.7</v>
      </c>
      <c r="I117" s="26">
        <f>IFERROR(100/'Skjema total MA'!F117*G117,0)</f>
        <v>5.0114350259136247</v>
      </c>
      <c r="J117" s="285">
        <f t="shared" si="29"/>
        <v>78312.195000000007</v>
      </c>
      <c r="K117" s="43">
        <f t="shared" si="29"/>
        <v>96880.68</v>
      </c>
      <c r="L117" s="253">
        <f t="shared" si="13"/>
        <v>23.7</v>
      </c>
      <c r="M117" s="26">
        <f>IFERROR(100/'Skjema total MA'!I117*K117,0)</f>
        <v>5.0090398099469198</v>
      </c>
    </row>
    <row r="118" spans="1:14" ht="15.75" x14ac:dyDescent="0.2">
      <c r="A118" s="20" t="s">
        <v>321</v>
      </c>
      <c r="B118" s="232"/>
      <c r="C118" s="232"/>
      <c r="D118" s="164"/>
      <c r="E118" s="26"/>
      <c r="F118" s="232"/>
      <c r="G118" s="232"/>
      <c r="H118" s="164"/>
      <c r="I118" s="26"/>
      <c r="J118" s="285"/>
      <c r="K118" s="43"/>
      <c r="L118" s="253"/>
      <c r="M118" s="26"/>
    </row>
    <row r="119" spans="1:14" ht="15.75" x14ac:dyDescent="0.2">
      <c r="A119" s="13" t="s">
        <v>23</v>
      </c>
      <c r="B119" s="306">
        <f>SUM(B120:B122)</f>
        <v>41841.036</v>
      </c>
      <c r="C119" s="157">
        <f>SUM(C120:C122)</f>
        <v>9288.2710000000006</v>
      </c>
      <c r="D119" s="169">
        <f t="shared" si="10"/>
        <v>-77.8</v>
      </c>
      <c r="E119" s="11">
        <f>IFERROR(100/'Skjema total MA'!C119*C119,0)</f>
        <v>2.0692248612967785</v>
      </c>
      <c r="F119" s="306">
        <f>SUM(F120:F122)</f>
        <v>554352.42099999997</v>
      </c>
      <c r="G119" s="157">
        <f>SUM(G120:G122)</f>
        <v>571613.75199999998</v>
      </c>
      <c r="H119" s="169">
        <f t="shared" si="11"/>
        <v>3.1</v>
      </c>
      <c r="I119" s="11">
        <f>IFERROR(100/'Skjema total MA'!F119*G119,0)</f>
        <v>5.8611113002148718</v>
      </c>
      <c r="J119" s="307">
        <f t="shared" si="29"/>
        <v>596193.45699999994</v>
      </c>
      <c r="K119" s="234">
        <f t="shared" si="29"/>
        <v>580902.02299999993</v>
      </c>
      <c r="L119" s="425">
        <f t="shared" si="13"/>
        <v>-2.6</v>
      </c>
      <c r="M119" s="11">
        <f>IFERROR(100/'Skjema total MA'!I119*K119,0)</f>
        <v>5.6942647321156707</v>
      </c>
    </row>
    <row r="120" spans="1:14" x14ac:dyDescent="0.2">
      <c r="A120" s="20" t="s">
        <v>9</v>
      </c>
      <c r="B120" s="232">
        <v>41841.036</v>
      </c>
      <c r="C120" s="143">
        <v>9288.2710000000006</v>
      </c>
      <c r="D120" s="164">
        <f t="shared" si="10"/>
        <v>-77.8</v>
      </c>
      <c r="E120" s="26">
        <f>IFERROR(100/'Skjema total MA'!C120*C120,0)</f>
        <v>2.2589778078732041</v>
      </c>
      <c r="F120" s="232">
        <v>0</v>
      </c>
      <c r="G120" s="143">
        <v>0</v>
      </c>
      <c r="H120" s="164" t="str">
        <f t="shared" si="11"/>
        <v xml:space="preserve">    ---- </v>
      </c>
      <c r="I120" s="26">
        <f>IFERROR(100/'Skjema total MA'!F120*G120,0)</f>
        <v>0</v>
      </c>
      <c r="J120" s="285">
        <f t="shared" si="29"/>
        <v>41841.036</v>
      </c>
      <c r="K120" s="43">
        <f t="shared" si="29"/>
        <v>9288.2710000000006</v>
      </c>
      <c r="L120" s="253">
        <f t="shared" si="13"/>
        <v>-77.8</v>
      </c>
      <c r="M120" s="26">
        <f>IFERROR(100/'Skjema total MA'!I120*K120,0)</f>
        <v>2.2589778078732041</v>
      </c>
    </row>
    <row r="121" spans="1:14" x14ac:dyDescent="0.2">
      <c r="A121" s="20" t="s">
        <v>10</v>
      </c>
      <c r="B121" s="232"/>
      <c r="C121" s="143"/>
      <c r="D121" s="164"/>
      <c r="E121" s="26"/>
      <c r="F121" s="232">
        <v>554352.42099999997</v>
      </c>
      <c r="G121" s="143">
        <v>571613.75199999998</v>
      </c>
      <c r="H121" s="164">
        <f t="shared" si="11"/>
        <v>3.1</v>
      </c>
      <c r="I121" s="26">
        <f>IFERROR(100/'Skjema total MA'!F121*G121,0)</f>
        <v>5.8611113002148718</v>
      </c>
      <c r="J121" s="285">
        <f t="shared" si="29"/>
        <v>554352.42099999997</v>
      </c>
      <c r="K121" s="43">
        <f t="shared" si="29"/>
        <v>571613.75199999998</v>
      </c>
      <c r="L121" s="253">
        <f t="shared" si="13"/>
        <v>3.1</v>
      </c>
      <c r="M121" s="26">
        <f>IFERROR(100/'Skjema total MA'!I121*K121,0)</f>
        <v>5.8387404154939011</v>
      </c>
    </row>
    <row r="122" spans="1:14" x14ac:dyDescent="0.2">
      <c r="A122" s="20" t="s">
        <v>29</v>
      </c>
      <c r="B122" s="232"/>
      <c r="C122" s="143"/>
      <c r="D122" s="164"/>
      <c r="E122" s="26"/>
      <c r="F122" s="232"/>
      <c r="G122" s="143"/>
      <c r="H122" s="164"/>
      <c r="I122" s="26"/>
      <c r="J122" s="285"/>
      <c r="K122" s="43"/>
      <c r="L122" s="253"/>
      <c r="M122" s="26"/>
    </row>
    <row r="123" spans="1:14" x14ac:dyDescent="0.2">
      <c r="A123" s="294" t="s">
        <v>14</v>
      </c>
      <c r="B123" s="279"/>
      <c r="C123" s="279"/>
      <c r="D123" s="164"/>
      <c r="E123" s="414"/>
      <c r="F123" s="279"/>
      <c r="G123" s="279"/>
      <c r="H123" s="164"/>
      <c r="I123" s="414"/>
      <c r="J123" s="288"/>
      <c r="K123" s="288"/>
      <c r="L123" s="164"/>
      <c r="M123" s="22"/>
    </row>
    <row r="124" spans="1:14" ht="15.75" x14ac:dyDescent="0.2">
      <c r="A124" s="20" t="s">
        <v>319</v>
      </c>
      <c r="B124" s="232"/>
      <c r="C124" s="232"/>
      <c r="D124" s="164"/>
      <c r="E124" s="26"/>
      <c r="F124" s="232">
        <v>0</v>
      </c>
      <c r="G124" s="232">
        <v>854</v>
      </c>
      <c r="H124" s="164" t="str">
        <f t="shared" si="11"/>
        <v xml:space="preserve">    ---- </v>
      </c>
      <c r="I124" s="26">
        <f>IFERROR(100/'Skjema total MA'!F124*G124,0)</f>
        <v>6.1655040768854237</v>
      </c>
      <c r="J124" s="285">
        <f t="shared" si="29"/>
        <v>0</v>
      </c>
      <c r="K124" s="43">
        <f t="shared" si="29"/>
        <v>854</v>
      </c>
      <c r="L124" s="253" t="str">
        <f t="shared" si="13"/>
        <v xml:space="preserve">    ---- </v>
      </c>
      <c r="M124" s="26">
        <f>IFERROR(100/'Skjema total MA'!I124*K124,0)</f>
        <v>0.99409819962762991</v>
      </c>
    </row>
    <row r="125" spans="1:14" ht="15.75" x14ac:dyDescent="0.2">
      <c r="A125" s="20" t="s">
        <v>320</v>
      </c>
      <c r="B125" s="232"/>
      <c r="C125" s="232"/>
      <c r="D125" s="164"/>
      <c r="E125" s="26"/>
      <c r="F125" s="232">
        <v>82609.967000000004</v>
      </c>
      <c r="G125" s="232">
        <v>135842.546</v>
      </c>
      <c r="H125" s="164">
        <f t="shared" si="11"/>
        <v>64.400000000000006</v>
      </c>
      <c r="I125" s="26">
        <f>IFERROR(100/'Skjema total MA'!F125*G125,0)</f>
        <v>7.4008134301209987</v>
      </c>
      <c r="J125" s="285">
        <f t="shared" si="29"/>
        <v>82609.967000000004</v>
      </c>
      <c r="K125" s="43">
        <f t="shared" si="29"/>
        <v>135842.546</v>
      </c>
      <c r="L125" s="253">
        <f t="shared" si="13"/>
        <v>64.400000000000006</v>
      </c>
      <c r="M125" s="26">
        <f>IFERROR(100/'Skjema total MA'!I125*K125,0)</f>
        <v>7.3815326198869675</v>
      </c>
    </row>
    <row r="126" spans="1:14" ht="15.75" x14ac:dyDescent="0.2">
      <c r="A126" s="10" t="s">
        <v>321</v>
      </c>
      <c r="B126" s="44"/>
      <c r="C126" s="44"/>
      <c r="D126" s="165"/>
      <c r="E126" s="415"/>
      <c r="F126" s="44"/>
      <c r="G126" s="44"/>
      <c r="H126" s="165"/>
      <c r="I126" s="21"/>
      <c r="J126" s="286"/>
      <c r="K126" s="44"/>
      <c r="L126" s="254"/>
      <c r="M126" s="21"/>
    </row>
    <row r="127" spans="1:14" x14ac:dyDescent="0.2">
      <c r="A127" s="153"/>
      <c r="L127" s="25"/>
      <c r="M127" s="25"/>
      <c r="N127" s="25"/>
    </row>
    <row r="128" spans="1:14" x14ac:dyDescent="0.2">
      <c r="L128" s="25"/>
      <c r="M128" s="25"/>
      <c r="N128" s="25"/>
    </row>
    <row r="129" spans="1:15" ht="15.75" x14ac:dyDescent="0.25">
      <c r="A129" s="163" t="s">
        <v>30</v>
      </c>
    </row>
    <row r="130" spans="1:15" ht="15.75" x14ac:dyDescent="0.25">
      <c r="B130" s="963"/>
      <c r="C130" s="963"/>
      <c r="D130" s="963"/>
      <c r="E130" s="403"/>
      <c r="F130" s="963"/>
      <c r="G130" s="963"/>
      <c r="H130" s="963"/>
      <c r="I130" s="403"/>
      <c r="J130" s="963"/>
      <c r="K130" s="963"/>
      <c r="L130" s="963"/>
      <c r="M130" s="403"/>
    </row>
    <row r="131" spans="1:15" s="3" customFormat="1" x14ac:dyDescent="0.2">
      <c r="A131" s="142"/>
      <c r="B131" s="960" t="s">
        <v>0</v>
      </c>
      <c r="C131" s="961"/>
      <c r="D131" s="961"/>
      <c r="E131" s="402"/>
      <c r="F131" s="960" t="s">
        <v>1</v>
      </c>
      <c r="G131" s="961"/>
      <c r="H131" s="961"/>
      <c r="I131" s="405"/>
      <c r="J131" s="960" t="s">
        <v>2</v>
      </c>
      <c r="K131" s="961"/>
      <c r="L131" s="961"/>
      <c r="M131" s="405"/>
      <c r="N131" s="146"/>
      <c r="O131" s="146"/>
    </row>
    <row r="132" spans="1:15" s="3" customFormat="1" x14ac:dyDescent="0.2">
      <c r="A132" s="139"/>
      <c r="B132" s="150" t="s">
        <v>504</v>
      </c>
      <c r="C132" s="150" t="s">
        <v>505</v>
      </c>
      <c r="D132" s="243" t="s">
        <v>3</v>
      </c>
      <c r="E132" s="303" t="s">
        <v>32</v>
      </c>
      <c r="F132" s="150" t="s">
        <v>504</v>
      </c>
      <c r="G132" s="150" t="s">
        <v>505</v>
      </c>
      <c r="H132" s="204" t="s">
        <v>3</v>
      </c>
      <c r="I132" s="160" t="s">
        <v>32</v>
      </c>
      <c r="J132" s="244" t="s">
        <v>504</v>
      </c>
      <c r="K132" s="244" t="s">
        <v>505</v>
      </c>
      <c r="L132" s="245" t="s">
        <v>3</v>
      </c>
      <c r="M132" s="160" t="s">
        <v>32</v>
      </c>
      <c r="N132" s="146"/>
      <c r="O132" s="146"/>
    </row>
    <row r="133" spans="1:15" s="3" customFormat="1" x14ac:dyDescent="0.2">
      <c r="A133" s="934"/>
      <c r="B133" s="154"/>
      <c r="C133" s="154"/>
      <c r="D133" s="245" t="s">
        <v>4</v>
      </c>
      <c r="E133" s="154" t="s">
        <v>33</v>
      </c>
      <c r="F133" s="159"/>
      <c r="G133" s="159"/>
      <c r="H133" s="204" t="s">
        <v>4</v>
      </c>
      <c r="I133" s="154" t="s">
        <v>33</v>
      </c>
      <c r="J133" s="154"/>
      <c r="K133" s="154"/>
      <c r="L133" s="148" t="s">
        <v>4</v>
      </c>
      <c r="M133" s="154" t="s">
        <v>33</v>
      </c>
      <c r="N133" s="146"/>
      <c r="O133" s="146"/>
    </row>
    <row r="134" spans="1:15" s="3" customFormat="1" ht="15.75" x14ac:dyDescent="0.2">
      <c r="A134" s="14" t="s">
        <v>323</v>
      </c>
      <c r="B134" s="234"/>
      <c r="C134" s="307"/>
      <c r="D134" s="348"/>
      <c r="E134" s="11"/>
      <c r="F134" s="314"/>
      <c r="G134" s="315"/>
      <c r="H134" s="428"/>
      <c r="I134" s="23"/>
      <c r="J134" s="316"/>
      <c r="K134" s="316"/>
      <c r="L134" s="424"/>
      <c r="M134" s="11"/>
      <c r="N134" s="146"/>
      <c r="O134" s="146"/>
    </row>
    <row r="135" spans="1:15" s="3" customFormat="1" ht="15.75" x14ac:dyDescent="0.2">
      <c r="A135" s="13" t="s">
        <v>324</v>
      </c>
      <c r="B135" s="234"/>
      <c r="C135" s="307"/>
      <c r="D135" s="169"/>
      <c r="E135" s="11"/>
      <c r="F135" s="234"/>
      <c r="G135" s="307"/>
      <c r="H135" s="429"/>
      <c r="I135" s="23"/>
      <c r="J135" s="306"/>
      <c r="K135" s="306"/>
      <c r="L135" s="425"/>
      <c r="M135" s="11"/>
      <c r="N135" s="146"/>
      <c r="O135" s="146"/>
    </row>
    <row r="136" spans="1:15" s="3" customFormat="1" ht="15.75" x14ac:dyDescent="0.2">
      <c r="A136" s="13" t="s">
        <v>325</v>
      </c>
      <c r="B136" s="234"/>
      <c r="C136" s="307"/>
      <c r="D136" s="169"/>
      <c r="E136" s="11"/>
      <c r="F136" s="234"/>
      <c r="G136" s="307"/>
      <c r="H136" s="429"/>
      <c r="I136" s="23"/>
      <c r="J136" s="306"/>
      <c r="K136" s="306"/>
      <c r="L136" s="425"/>
      <c r="M136" s="11"/>
      <c r="N136" s="146"/>
      <c r="O136" s="146"/>
    </row>
    <row r="137" spans="1:15" s="3" customFormat="1" ht="15.75" x14ac:dyDescent="0.2">
      <c r="A137" s="40" t="s">
        <v>326</v>
      </c>
      <c r="B137" s="274"/>
      <c r="C137" s="313"/>
      <c r="D137" s="167"/>
      <c r="E137" s="9"/>
      <c r="F137" s="274"/>
      <c r="G137" s="313"/>
      <c r="H137" s="430"/>
      <c r="I137" s="35"/>
      <c r="J137" s="312"/>
      <c r="K137" s="312"/>
      <c r="L137" s="426"/>
      <c r="M137" s="35"/>
      <c r="N137" s="146"/>
      <c r="O137" s="146"/>
    </row>
    <row r="138" spans="1:15" s="3" customFormat="1" x14ac:dyDescent="0.2">
      <c r="A138" s="166"/>
      <c r="B138" s="32"/>
      <c r="C138" s="32"/>
      <c r="D138" s="157"/>
      <c r="E138" s="157"/>
      <c r="F138" s="32"/>
      <c r="G138" s="32"/>
      <c r="H138" s="157"/>
      <c r="I138" s="157"/>
      <c r="J138" s="32"/>
      <c r="K138" s="32"/>
      <c r="L138" s="157"/>
      <c r="M138" s="157"/>
      <c r="N138" s="146"/>
      <c r="O138" s="146"/>
    </row>
    <row r="139" spans="1:15" x14ac:dyDescent="0.2">
      <c r="A139" s="166"/>
      <c r="B139" s="32"/>
      <c r="C139" s="32"/>
      <c r="D139" s="157"/>
      <c r="E139" s="157"/>
      <c r="F139" s="32"/>
      <c r="G139" s="32"/>
      <c r="H139" s="157"/>
      <c r="I139" s="157"/>
      <c r="J139" s="32"/>
      <c r="K139" s="32"/>
      <c r="L139" s="157"/>
      <c r="M139" s="157"/>
      <c r="N139" s="146"/>
    </row>
    <row r="140" spans="1:15" x14ac:dyDescent="0.2">
      <c r="A140" s="166"/>
      <c r="B140" s="32"/>
      <c r="C140" s="32"/>
      <c r="D140" s="157"/>
      <c r="E140" s="157"/>
      <c r="F140" s="32"/>
      <c r="G140" s="32"/>
      <c r="H140" s="157"/>
      <c r="I140" s="157"/>
      <c r="J140" s="32"/>
      <c r="K140" s="32"/>
      <c r="L140" s="157"/>
      <c r="M140" s="157"/>
      <c r="N140" s="146"/>
    </row>
    <row r="141" spans="1:15" x14ac:dyDescent="0.2">
      <c r="A141" s="144"/>
      <c r="B141" s="144"/>
      <c r="C141" s="144"/>
      <c r="D141" s="144"/>
      <c r="E141" s="144"/>
      <c r="F141" s="144"/>
      <c r="G141" s="144"/>
      <c r="H141" s="144"/>
      <c r="I141" s="144"/>
      <c r="J141" s="144"/>
      <c r="K141" s="144"/>
      <c r="L141" s="144"/>
      <c r="M141" s="144"/>
      <c r="N141" s="144"/>
    </row>
    <row r="142" spans="1:15" ht="15.75" x14ac:dyDescent="0.25">
      <c r="B142" s="140"/>
      <c r="C142" s="140"/>
      <c r="D142" s="140"/>
      <c r="E142" s="140"/>
      <c r="F142" s="140"/>
      <c r="G142" s="140"/>
      <c r="H142" s="140"/>
      <c r="I142" s="140"/>
      <c r="J142" s="140"/>
      <c r="K142" s="140"/>
      <c r="L142" s="140"/>
      <c r="M142" s="140"/>
      <c r="N142" s="140"/>
    </row>
    <row r="143" spans="1:15" ht="15.75" x14ac:dyDescent="0.25">
      <c r="B143" s="155"/>
      <c r="C143" s="155"/>
      <c r="D143" s="155"/>
      <c r="E143" s="155"/>
      <c r="F143" s="155"/>
      <c r="G143" s="155"/>
      <c r="H143" s="155"/>
      <c r="I143" s="155"/>
      <c r="J143" s="155"/>
      <c r="K143" s="155"/>
      <c r="L143" s="155"/>
      <c r="M143" s="155"/>
      <c r="N143" s="155"/>
      <c r="O143" s="152"/>
    </row>
    <row r="144" spans="1:15" ht="15.75" x14ac:dyDescent="0.25">
      <c r="B144" s="155"/>
      <c r="C144" s="155"/>
      <c r="D144" s="155"/>
      <c r="E144" s="155"/>
      <c r="F144" s="155"/>
      <c r="G144" s="155"/>
      <c r="H144" s="155"/>
      <c r="I144" s="155"/>
      <c r="J144" s="155"/>
      <c r="K144" s="155"/>
      <c r="L144" s="155"/>
      <c r="M144" s="155"/>
      <c r="N144" s="155"/>
      <c r="O144" s="152"/>
    </row>
  </sheetData>
  <mergeCells count="31">
    <mergeCell ref="B2:D2"/>
    <mergeCell ref="F2:H2"/>
    <mergeCell ref="J2:L2"/>
    <mergeCell ref="B4:D4"/>
    <mergeCell ref="F4:H4"/>
    <mergeCell ref="J4:L4"/>
    <mergeCell ref="B18:D18"/>
    <mergeCell ref="F18:H18"/>
    <mergeCell ref="J18:L18"/>
    <mergeCell ref="B19:D19"/>
    <mergeCell ref="F19:H19"/>
    <mergeCell ref="J19:L19"/>
    <mergeCell ref="D40:F40"/>
    <mergeCell ref="G40:I40"/>
    <mergeCell ref="J40:L40"/>
    <mergeCell ref="B42:D42"/>
    <mergeCell ref="F42:H42"/>
    <mergeCell ref="J42:L42"/>
    <mergeCell ref="B44:D44"/>
    <mergeCell ref="B62:D62"/>
    <mergeCell ref="F62:H62"/>
    <mergeCell ref="J62:L62"/>
    <mergeCell ref="B63:D63"/>
    <mergeCell ref="F63:H63"/>
    <mergeCell ref="J63:L63"/>
    <mergeCell ref="B130:D130"/>
    <mergeCell ref="F130:H130"/>
    <mergeCell ref="J130:L130"/>
    <mergeCell ref="B131:D131"/>
    <mergeCell ref="F131:H131"/>
    <mergeCell ref="J131:L131"/>
  </mergeCells>
  <conditionalFormatting sqref="B50:C52">
    <cfRule type="expression" dxfId="1866" priority="82">
      <formula>kvartal &lt; 4</formula>
    </cfRule>
  </conditionalFormatting>
  <conditionalFormatting sqref="B30">
    <cfRule type="expression" dxfId="1865" priority="81">
      <formula>kvartal &lt; 4</formula>
    </cfRule>
  </conditionalFormatting>
  <conditionalFormatting sqref="B31">
    <cfRule type="expression" dxfId="1864" priority="80">
      <formula>kvartal &lt; 4</formula>
    </cfRule>
  </conditionalFormatting>
  <conditionalFormatting sqref="B32:B33">
    <cfRule type="expression" dxfId="1863" priority="79">
      <formula>kvartal &lt; 4</formula>
    </cfRule>
  </conditionalFormatting>
  <conditionalFormatting sqref="C30">
    <cfRule type="expression" dxfId="1862" priority="78">
      <formula>kvartal &lt; 4</formula>
    </cfRule>
  </conditionalFormatting>
  <conditionalFormatting sqref="C31">
    <cfRule type="expression" dxfId="1861" priority="77">
      <formula>kvartal &lt; 4</formula>
    </cfRule>
  </conditionalFormatting>
  <conditionalFormatting sqref="C32:C33">
    <cfRule type="expression" dxfId="1860" priority="76">
      <formula>kvartal &lt; 4</formula>
    </cfRule>
  </conditionalFormatting>
  <conditionalFormatting sqref="B23:C26">
    <cfRule type="expression" dxfId="1859" priority="75">
      <formula>kvartal &lt; 4</formula>
    </cfRule>
  </conditionalFormatting>
  <conditionalFormatting sqref="F23:G26">
    <cfRule type="expression" dxfId="1858" priority="74">
      <formula>kvartal &lt; 4</formula>
    </cfRule>
  </conditionalFormatting>
  <conditionalFormatting sqref="F30">
    <cfRule type="expression" dxfId="1857" priority="73">
      <formula>kvartal &lt; 4</formula>
    </cfRule>
  </conditionalFormatting>
  <conditionalFormatting sqref="F31">
    <cfRule type="expression" dxfId="1856" priority="72">
      <formula>kvartal &lt; 4</formula>
    </cfRule>
  </conditionalFormatting>
  <conditionalFormatting sqref="F32:F33">
    <cfRule type="expression" dxfId="1855" priority="71">
      <formula>kvartal &lt; 4</formula>
    </cfRule>
  </conditionalFormatting>
  <conditionalFormatting sqref="G30">
    <cfRule type="expression" dxfId="1854" priority="70">
      <formula>kvartal &lt; 4</formula>
    </cfRule>
  </conditionalFormatting>
  <conditionalFormatting sqref="G31">
    <cfRule type="expression" dxfId="1853" priority="69">
      <formula>kvartal &lt; 4</formula>
    </cfRule>
  </conditionalFormatting>
  <conditionalFormatting sqref="G32:G33">
    <cfRule type="expression" dxfId="1852" priority="68">
      <formula>kvartal &lt; 4</formula>
    </cfRule>
  </conditionalFormatting>
  <conditionalFormatting sqref="B27">
    <cfRule type="expression" dxfId="1851" priority="67">
      <formula>kvartal &lt; 4</formula>
    </cfRule>
  </conditionalFormatting>
  <conditionalFormatting sqref="C27">
    <cfRule type="expression" dxfId="1850" priority="66">
      <formula>kvartal &lt; 4</formula>
    </cfRule>
  </conditionalFormatting>
  <conditionalFormatting sqref="F27">
    <cfRule type="expression" dxfId="1849" priority="65">
      <formula>kvartal &lt; 4</formula>
    </cfRule>
  </conditionalFormatting>
  <conditionalFormatting sqref="G27">
    <cfRule type="expression" dxfId="1848" priority="64">
      <formula>kvartal &lt; 4</formula>
    </cfRule>
  </conditionalFormatting>
  <conditionalFormatting sqref="J24:K24 J27:K27">
    <cfRule type="expression" dxfId="1847" priority="63">
      <formula>kvartal &lt; 4</formula>
    </cfRule>
  </conditionalFormatting>
  <conditionalFormatting sqref="B69">
    <cfRule type="expression" dxfId="1846" priority="61">
      <formula>kvartal &lt; 4</formula>
    </cfRule>
  </conditionalFormatting>
  <conditionalFormatting sqref="C69">
    <cfRule type="expression" dxfId="1845" priority="60">
      <formula>kvartal &lt; 4</formula>
    </cfRule>
  </conditionalFormatting>
  <conditionalFormatting sqref="B72">
    <cfRule type="expression" dxfId="1844" priority="59">
      <formula>kvartal &lt; 4</formula>
    </cfRule>
  </conditionalFormatting>
  <conditionalFormatting sqref="C72">
    <cfRule type="expression" dxfId="1843" priority="58">
      <formula>kvartal &lt; 4</formula>
    </cfRule>
  </conditionalFormatting>
  <conditionalFormatting sqref="B80">
    <cfRule type="expression" dxfId="1842" priority="57">
      <formula>kvartal &lt; 4</formula>
    </cfRule>
  </conditionalFormatting>
  <conditionalFormatting sqref="C80">
    <cfRule type="expression" dxfId="1841" priority="56">
      <formula>kvartal &lt; 4</formula>
    </cfRule>
  </conditionalFormatting>
  <conditionalFormatting sqref="B83">
    <cfRule type="expression" dxfId="1840" priority="55">
      <formula>kvartal &lt; 4</formula>
    </cfRule>
  </conditionalFormatting>
  <conditionalFormatting sqref="C83">
    <cfRule type="expression" dxfId="1839" priority="54">
      <formula>kvartal &lt; 4</formula>
    </cfRule>
  </conditionalFormatting>
  <conditionalFormatting sqref="B90">
    <cfRule type="expression" dxfId="1838" priority="53">
      <formula>kvartal &lt; 4</formula>
    </cfRule>
  </conditionalFormatting>
  <conditionalFormatting sqref="C90">
    <cfRule type="expression" dxfId="1837" priority="52">
      <formula>kvartal &lt; 4</formula>
    </cfRule>
  </conditionalFormatting>
  <conditionalFormatting sqref="B93">
    <cfRule type="expression" dxfId="1836" priority="51">
      <formula>kvartal &lt; 4</formula>
    </cfRule>
  </conditionalFormatting>
  <conditionalFormatting sqref="C93">
    <cfRule type="expression" dxfId="1835" priority="50">
      <formula>kvartal &lt; 4</formula>
    </cfRule>
  </conditionalFormatting>
  <conditionalFormatting sqref="B101">
    <cfRule type="expression" dxfId="1834" priority="49">
      <formula>kvartal &lt; 4</formula>
    </cfRule>
  </conditionalFormatting>
  <conditionalFormatting sqref="C101">
    <cfRule type="expression" dxfId="1833" priority="48">
      <formula>kvartal &lt; 4</formula>
    </cfRule>
  </conditionalFormatting>
  <conditionalFormatting sqref="B104">
    <cfRule type="expression" dxfId="1832" priority="47">
      <formula>kvartal &lt; 4</formula>
    </cfRule>
  </conditionalFormatting>
  <conditionalFormatting sqref="C104">
    <cfRule type="expression" dxfId="1831" priority="46">
      <formula>kvartal &lt; 4</formula>
    </cfRule>
  </conditionalFormatting>
  <conditionalFormatting sqref="B115">
    <cfRule type="expression" dxfId="1830" priority="45">
      <formula>kvartal &lt; 4</formula>
    </cfRule>
  </conditionalFormatting>
  <conditionalFormatting sqref="C115">
    <cfRule type="expression" dxfId="1829" priority="44">
      <formula>kvartal &lt; 4</formula>
    </cfRule>
  </conditionalFormatting>
  <conditionalFormatting sqref="B123">
    <cfRule type="expression" dxfId="1828" priority="43">
      <formula>kvartal &lt; 4</formula>
    </cfRule>
  </conditionalFormatting>
  <conditionalFormatting sqref="C123">
    <cfRule type="expression" dxfId="1827" priority="42">
      <formula>kvartal &lt; 4</formula>
    </cfRule>
  </conditionalFormatting>
  <conditionalFormatting sqref="F70">
    <cfRule type="expression" dxfId="1826" priority="41">
      <formula>kvartal &lt; 4</formula>
    </cfRule>
  </conditionalFormatting>
  <conditionalFormatting sqref="G70">
    <cfRule type="expression" dxfId="1825" priority="40">
      <formula>kvartal &lt; 4</formula>
    </cfRule>
  </conditionalFormatting>
  <conditionalFormatting sqref="F71:G71">
    <cfRule type="expression" dxfId="1824" priority="39">
      <formula>kvartal &lt; 4</formula>
    </cfRule>
  </conditionalFormatting>
  <conditionalFormatting sqref="F73:G74">
    <cfRule type="expression" dxfId="1823" priority="38">
      <formula>kvartal &lt; 4</formula>
    </cfRule>
  </conditionalFormatting>
  <conditionalFormatting sqref="F81:G82">
    <cfRule type="expression" dxfId="1822" priority="37">
      <formula>kvartal &lt; 4</formula>
    </cfRule>
  </conditionalFormatting>
  <conditionalFormatting sqref="F84:G85">
    <cfRule type="expression" dxfId="1821" priority="36">
      <formula>kvartal &lt; 4</formula>
    </cfRule>
  </conditionalFormatting>
  <conditionalFormatting sqref="F91:G92">
    <cfRule type="expression" dxfId="1820" priority="35">
      <formula>kvartal &lt; 4</formula>
    </cfRule>
  </conditionalFormatting>
  <conditionalFormatting sqref="F94:G95">
    <cfRule type="expression" dxfId="1819" priority="34">
      <formula>kvartal &lt; 4</formula>
    </cfRule>
  </conditionalFormatting>
  <conditionalFormatting sqref="F102:G103">
    <cfRule type="expression" dxfId="1818" priority="33">
      <formula>kvartal &lt; 4</formula>
    </cfRule>
  </conditionalFormatting>
  <conditionalFormatting sqref="F105:G106">
    <cfRule type="expression" dxfId="1817" priority="32">
      <formula>kvartal &lt; 4</formula>
    </cfRule>
  </conditionalFormatting>
  <conditionalFormatting sqref="F115">
    <cfRule type="expression" dxfId="1816" priority="31">
      <formula>kvartal &lt; 4</formula>
    </cfRule>
  </conditionalFormatting>
  <conditionalFormatting sqref="G115">
    <cfRule type="expression" dxfId="1815" priority="30">
      <formula>kvartal &lt; 4</formula>
    </cfRule>
  </conditionalFormatting>
  <conditionalFormatting sqref="F123:G123">
    <cfRule type="expression" dxfId="1814" priority="29">
      <formula>kvartal &lt; 4</formula>
    </cfRule>
  </conditionalFormatting>
  <conditionalFormatting sqref="F69:G69">
    <cfRule type="expression" dxfId="1813" priority="28">
      <formula>kvartal &lt; 4</formula>
    </cfRule>
  </conditionalFormatting>
  <conditionalFormatting sqref="F72:G72">
    <cfRule type="expression" dxfId="1812" priority="27">
      <formula>kvartal &lt; 4</formula>
    </cfRule>
  </conditionalFormatting>
  <conditionalFormatting sqref="F80:G80">
    <cfRule type="expression" dxfId="1811" priority="26">
      <formula>kvartal &lt; 4</formula>
    </cfRule>
  </conditionalFormatting>
  <conditionalFormatting sqref="F83:G83">
    <cfRule type="expression" dxfId="1810" priority="25">
      <formula>kvartal &lt; 4</formula>
    </cfRule>
  </conditionalFormatting>
  <conditionalFormatting sqref="F90:G90">
    <cfRule type="expression" dxfId="1809" priority="24">
      <formula>kvartal &lt; 4</formula>
    </cfRule>
  </conditionalFormatting>
  <conditionalFormatting sqref="F93">
    <cfRule type="expression" dxfId="1808" priority="23">
      <formula>kvartal &lt; 4</formula>
    </cfRule>
  </conditionalFormatting>
  <conditionalFormatting sqref="G93">
    <cfRule type="expression" dxfId="1807" priority="22">
      <formula>kvartal &lt; 4</formula>
    </cfRule>
  </conditionalFormatting>
  <conditionalFormatting sqref="F101">
    <cfRule type="expression" dxfId="1806" priority="21">
      <formula>kvartal &lt; 4</formula>
    </cfRule>
  </conditionalFormatting>
  <conditionalFormatting sqref="G101">
    <cfRule type="expression" dxfId="1805" priority="20">
      <formula>kvartal &lt; 4</formula>
    </cfRule>
  </conditionalFormatting>
  <conditionalFormatting sqref="G104">
    <cfRule type="expression" dxfId="1804" priority="19">
      <formula>kvartal &lt; 4</formula>
    </cfRule>
  </conditionalFormatting>
  <conditionalFormatting sqref="F104">
    <cfRule type="expression" dxfId="1803" priority="18">
      <formula>kvartal &lt; 4</formula>
    </cfRule>
  </conditionalFormatting>
  <conditionalFormatting sqref="J69:K71 J73:K73">
    <cfRule type="expression" dxfId="1802" priority="17">
      <formula>kvartal &lt; 4</formula>
    </cfRule>
  </conditionalFormatting>
  <conditionalFormatting sqref="J80:K82 J84:K84">
    <cfRule type="expression" dxfId="1801" priority="15">
      <formula>kvartal &lt; 4</formula>
    </cfRule>
  </conditionalFormatting>
  <conditionalFormatting sqref="J90:K92 J94:K94">
    <cfRule type="expression" dxfId="1800" priority="14">
      <formula>kvartal &lt; 4</formula>
    </cfRule>
  </conditionalFormatting>
  <conditionalFormatting sqref="J101:K103 J105:K105">
    <cfRule type="expression" dxfId="1799" priority="13">
      <formula>kvartal &lt; 4</formula>
    </cfRule>
  </conditionalFormatting>
  <conditionalFormatting sqref="J115:K115">
    <cfRule type="expression" dxfId="1798" priority="12">
      <formula>kvartal &lt; 4</formula>
    </cfRule>
  </conditionalFormatting>
  <conditionalFormatting sqref="J123:K123">
    <cfRule type="expression" dxfId="1797" priority="11">
      <formula>kvartal &lt; 4</formula>
    </cfRule>
  </conditionalFormatting>
  <conditionalFormatting sqref="A23:A26">
    <cfRule type="expression" dxfId="1796" priority="10">
      <formula>kvartal &lt; 4</formula>
    </cfRule>
  </conditionalFormatting>
  <conditionalFormatting sqref="A30:A33">
    <cfRule type="expression" dxfId="1795" priority="9">
      <formula>kvartal &lt; 4</formula>
    </cfRule>
  </conditionalFormatting>
  <conditionalFormatting sqref="A50:A52">
    <cfRule type="expression" dxfId="1794" priority="8">
      <formula>kvartal &lt; 4</formula>
    </cfRule>
  </conditionalFormatting>
  <conditionalFormatting sqref="A69:A74">
    <cfRule type="expression" dxfId="1793" priority="7">
      <formula>kvartal &lt; 4</formula>
    </cfRule>
  </conditionalFormatting>
  <conditionalFormatting sqref="A80:A85">
    <cfRule type="expression" dxfId="1792" priority="6">
      <formula>kvartal &lt; 4</formula>
    </cfRule>
  </conditionalFormatting>
  <conditionalFormatting sqref="A90:A95">
    <cfRule type="expression" dxfId="1791" priority="5">
      <formula>kvartal &lt; 4</formula>
    </cfRule>
  </conditionalFormatting>
  <conditionalFormatting sqref="A101:A106">
    <cfRule type="expression" dxfId="1790" priority="4">
      <formula>kvartal &lt; 4</formula>
    </cfRule>
  </conditionalFormatting>
  <conditionalFormatting sqref="A115">
    <cfRule type="expression" dxfId="1789" priority="3">
      <formula>kvartal &lt; 4</formula>
    </cfRule>
  </conditionalFormatting>
  <conditionalFormatting sqref="A123">
    <cfRule type="expression" dxfId="1788" priority="2">
      <formula>kvartal &lt; 4</formula>
    </cfRule>
  </conditionalFormatting>
  <conditionalFormatting sqref="A27">
    <cfRule type="expression" dxfId="1787" priority="1">
      <formula>kvartal &lt; 4</formula>
    </cfRule>
  </conditionalFormatting>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s q m i d = " 8 f 6 9 7 3 f 7 - 0 8 c 0 - 4 5 7 9 - b f 5 c - 6 c 7 f a d 0 9 0 d 4 1 "   x m l n s = " h t t p : / / s c h e m a s . m i c r o s o f t . c o m / D a t a M a s h u p " > A A A A A P k D A A B Q S w M E F A A C A A g A e n x 2 T E a C Q G W n A A A A + A A A A B I A H A B D b 2 5 m a W c v U G F j a 2 F n Z S 5 4 b W w g o h g A K K A U A A A A A A A A A A A A A A A A A A A A A A A A A A A A h Y 9 N D o I w G E S v Q r q n P 8 A C y U d Z u B U 1 M T F u K 1 R o h G J o s d z N h U f y C p I o 6 s 7 l T N 4 k b x 6 3 O 2 R j 2 3 h X 2 R v V 6 R Q x T J E n d d G V S l c p G u z J j 1 H G Y S u K s 6 i k N 8 H a J K N R K a q t v S S E O O e w C 3 H X V y S g l J F D v t o V t W y F r 7 S x Q h c S f V b l / x X i s H / J 8 A B H C x z F I c N h z I D M N e R K f 5 F g M s Y U y E 8 J y 6 G x Q y + 5 P v r r D Z A 5 A n m / 4 E 9 Q S w M E F A A C A A g A e n x 2 T 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H p 8 d k x 3 i M u 3 8 A A A A F U B A A A T A B w A R m 9 y b X V s Y X M v U 2 V j d G l v b j E u b S C i G A A o o B Q A A A A A A A A A A A A A A A A A A A A A A A A A A A B 9 j 8 F q w k A Q h s 8 u + A 7 D H i S B E P Q c A o U 0 J 0 E U p S 0 s S 9 i Y g a b Z Z H V 2 E y z i s Y / S J / H F u q n S 0 k v n M g P z f / 8 / Y 3 H v a t P B 9 t Y X y Z R N m X 1 V h B U 8 K q c g B Y 2 O g a + 1 I t W i Q 3 p C q m q / y E 9 7 1 H H W E 2 H n n g 0 1 p T F N E J 7 F y u t S / q N H L i 8 i M 5 3 z M h n B t 9 m y 1 h V 6 j + 1 R x 2 N O q S w G 3 N J g j 3 q + 4 B F w X Q 9 F q / w k N j 3 S e 8 r z l z w D U Z V G x u J Q 4 B h e H A i t d 1 X 2 z X S S T S Y P 1 0 / y r h x m s O r b E i n e m R 2 e X P D 3 e H H 9 I H m e X 0 K Y 8 W j E m k G R U / q O / s 8 u b 9 o 7 D z z h M m R 1 9 / t W 8 g V Q S w E C L Q A U A A I A C A B 6 f H Z M R o J A Z a c A A A D 4 A A A A E g A A A A A A A A A A A A A A A A A A A A A A Q 2 9 u Z m l n L 1 B h Y 2 t h Z 2 U u e G 1 s U E s B A i 0 A F A A C A A g A e n x 2 T A / K 6 a u k A A A A 6 Q A A A B M A A A A A A A A A A A A A A A A A 8 w A A A F t D b 2 5 0 Z W 5 0 X 1 R 5 c G V z X S 5 4 b W x Q S w E C L Q A U A A I A C A B 6 f H Z M d 4 j L t / A A A A B V A Q A A E w A A A A A A A A A A A A A A A A D k A Q A A R m 9 y b X V s Y X M v U 2 V j d G l v b j E u b V B L B Q Y A A A A A A w A D A M I A A A A h A w A A A A A 9 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P l B 1 Y m x p Y z w v V 2 9 y a 2 J v b 2 t H c m 9 1 c F R 5 c G U + P C 9 Q Z X J t a X N z a W 9 u T G l z d D 6 M C w A A A A A A A G o L 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E Y X R h P C 9 J d G V t U G F 0 a D 4 8 L 0 l 0 Z W 1 M b 2 N h d G l v b j 4 8 U 3 R h Y m x l R W 5 0 c m l l c z 4 8 R W 5 0 c n k g V H l w Z T 0 i S X N Q c m l 2 Y X R l I i B W Y W x 1 Z T 0 i b D A i I C 8 + P E V u d H J 5 I F R 5 c G U 9 I k 5 h b W V V c G R h d G V k Q W Z 0 Z X J G a W x s I i B W Y W x 1 Z T 0 i b D A i I C 8 + P E V u d H J 5 I F R 5 c G U 9 I k Z p b G x F b m F i b G V k I i B W Y W x 1 Z T 0 i b D A i I C 8 + P E V u d H J 5 I F R 5 c G U 9 I k Z p b G x U b 0 R h d G F N b 2 R l b E V u Y W J s Z W Q i I F Z h b H V l P S J s M C I g L z 4 8 R W 5 0 c n k g V H l w Z T 0 i Q n V m Z m V y T m V 4 d F J l Z n J l c 2 g i I F Z h b H V l P S J s M S I g L z 4 8 R W 5 0 c n k g V H l w Z T 0 i U m V z d W x 0 V H l w Z S I g V m F s d W U 9 I n N U Y W J s Z S I g L z 4 8 R W 5 0 c n k g V H l w Z T 0 i R m l s b G V k Q 2 9 t c G x l d G V S Z X N 1 b H R U b 1 d v c m t z a G V l d C I g V m F s d W U 9 I m w x I i A v P j x F b n R y e S B U e X B l P S J B Z G R l Z F R v R G F 0 Y U 1 v Z G V s I i B W Y W x 1 Z T 0 i b D A i I C 8 + P E V u d H J 5 I F R 5 c G U 9 I l J l Y 2 9 2 Z X J 5 V G F y Z 2 V 0 U 2 h l Z X Q i I F Z h b H V l P S J z Q X J r M i I g L z 4 8 R W 5 0 c n k g V H l w Z T 0 i U m V j b 3 Z l c n l U Y X J n Z X R D b 2 x 1 b W 4 i I F Z h b H V l P S J s M S I g L z 4 8 R W 5 0 c n k g V H l w Z T 0 i U m V j b 3 Z l c n l U Y X J n Z X R S b 3 c i I F Z h b H V l P S J s M S I g L z 4 8 R W 5 0 c n k g V H l w Z T 0 i U X V l c n l J R C I g V m F s d W U 9 I n M 0 Z T g z Y W R k O S 1 l Y 2 N i L T R l Z j Y t O W N m O C 0 2 Y j I 5 O G R m M D Q 0 Y z k i I C 8 + P E V u d H J 5 I F R 5 c G U 9 I k Z p b G x D b 2 x 1 b W 5 U e X B l c y I g V m F s d W U 9 I n N C Z 0 l D Q W d J Q 0 F n V T 0 i I C 8 + P E V u d H J 5 I F R 5 c G U 9 I k Z p b G x M Y X N 0 V X B k Y X R l Z C I g V m F s d W U 9 I m Q y M D E 4 L T A z L T I y V D A 5 O j U 1 O j Q x L j c 3 M D Y 0 O T R a I i A v P j x F b n R y e S B U e X B l P S J G a W x s Q 2 9 1 b n Q i I F Z h b H V l P S J s O D M 0 O S I g L z 4 8 R W 5 0 c n k g V H l w Z T 0 i U m V s Y X R p b 2 5 z a G l w S W 5 m b 0 N v b n R h a W 5 l c i I g V m F s d W U 9 I n N 7 J n F 1 b 3 Q 7 Y 2 9 s d W 1 u Q 2 9 1 b n Q m c X V v d D s 6 O C w m c X V v d D t r Z X l D b 2 x 1 b W 5 O Y W 1 l c y Z x d W 9 0 O z p b X S w m c X V v d D t x d W V y e V J l b G F 0 a W 9 u c 2 h p c H M m c X V v d D s 6 W 1 0 s J n F 1 b 3 Q 7 Y 2 9 s d W 1 u S W R l b n R p d G l l c y Z x d W 9 0 O z p b J n F 1 b 3 Q 7 U 2 V j d G l v b j E v R G F 0 Y S 9 L a W x k Z S 5 7 c 8 O 4 a 2 V u w 7 h r a 2 V s L D B 9 J n F 1 b 3 Q 7 L C Z x d W 9 0 O 1 N l Y 3 R p b 2 4 x L 0 R h d G E v S 2 l s Z G U u e 3 N l b H N r Y X B f a W Q s M X 0 m c X V v d D s s J n F 1 b 3 Q 7 U 2 V j d G l v b j E v R G F 0 Y S 9 L a W x k Z S 5 7 w 6 V y L D J 9 J n F 1 b 3 Q 7 L C Z x d W 9 0 O 1 N l Y 3 R p b 2 4 x L 0 R h d G E v S 2 l s Z G U u e 2 t 2 Y X J 0 Y W w s M 3 0 m c X V v d D s s J n F 1 b 3 Q 7 U 2 V j d G l v b j E v R G F 0 Y S 9 L a W x k Z S 5 7 d G F i Z W x s X 2 l k L D R 9 J n F 1 b 3 Q 7 L C Z x d W 9 0 O 1 N l Y 3 R p b 2 4 x L 0 R h d G E v S 2 l s Z G U u e 3 J h Z F 9 p Z C w 1 f S Z x d W 9 0 O y w m c X V v d D t T Z W N 0 a W 9 u M S 9 E Y X R h L 0 t p b G R l L n t r Y X R l Z 2 9 y a V 9 p Z C w 2 f S Z x d W 9 0 O y w m c X V v d D t T Z W N 0 a W 9 u M S 9 E Y X R h L 0 t p b G R l L n t 2 Z X J k a S w 3 f S Z x d W 9 0 O 1 0 s J n F 1 b 3 Q 7 Q 2 9 s d W 1 u Q 2 9 1 b n Q m c X V v d D s 6 O C w m c X V v d D t L Z X l D b 2 x 1 b W 5 O Y W 1 l c y Z x d W 9 0 O z p b X S w m c X V v d D t D b 2 x 1 b W 5 J Z G V u d G l 0 a W V z J n F 1 b 3 Q 7 O l s m c X V v d D t T Z W N 0 a W 9 u M S 9 E Y X R h L 0 t p b G R l L n t z w 7 h r Z W 7 D u G t r Z W w s M H 0 m c X V v d D s s J n F 1 b 3 Q 7 U 2 V j d G l v b j E v R G F 0 Y S 9 L a W x k Z S 5 7 c 2 V s c 2 t h c F 9 p Z C w x f S Z x d W 9 0 O y w m c X V v d D t T Z W N 0 a W 9 u M S 9 E Y X R h L 0 t p b G R l L n v D p X I s M n 0 m c X V v d D s s J n F 1 b 3 Q 7 U 2 V j d G l v b j E v R G F 0 Y S 9 L a W x k Z S 5 7 a 3 Z h c n R h b C w z f S Z x d W 9 0 O y w m c X V v d D t T Z W N 0 a W 9 u M S 9 E Y X R h L 0 t p b G R l L n t 0 Y W J l b G x f a W Q s N H 0 m c X V v d D s s J n F 1 b 3 Q 7 U 2 V j d G l v b j E v R G F 0 Y S 9 L a W x k Z S 5 7 c m F k X 2 l k L D V 9 J n F 1 b 3 Q 7 L C Z x d W 9 0 O 1 N l Y 3 R p b 2 4 x L 0 R h d G E v S 2 l s Z G U u e 2 t h d G V n b 3 J p X 2 l k L D Z 9 J n F 1 b 3 Q 7 L C Z x d W 9 0 O 1 N l Y 3 R p b 2 4 x L 0 R h d G E v S 2 l s Z G U u e 3 Z l c m R p L D d 9 J n F 1 b 3 Q 7 X S w m c X V v d D t S Z W x h d G l v b n N o a X B J b m Z v J n F 1 b 3 Q 7 O l t d f S I g L z 4 8 R W 5 0 c n k g V H l w Z T 0 i R m l s b E V y c m 9 y Q 2 9 k Z S I g V m F s d W U 9 I n N V b m t u b 3 d u I i A v P j x F b n R y e S B U e X B l P S J G a W x s Q 2 9 s d W 1 u T m F t Z X M i I F Z h b H V l P S J z W y Z x d W 9 0 O 3 P D u G t l b s O 4 a 2 t l b C Z x d W 9 0 O y w m c X V v d D t z Z W x z a 2 F w X 2 l k J n F 1 b 3 Q 7 L C Z x d W 9 0 O 8 O l c i Z x d W 9 0 O y w m c X V v d D t r d m F y d G F s J n F 1 b 3 Q 7 L C Z x d W 9 0 O 3 R h Y m V s b F 9 p Z C Z x d W 9 0 O y w m c X V v d D t y Y W R f a W Q m c X V v d D s s J n F 1 b 3 Q 7 a 2 F 0 Z W d v c m l f a W Q m c X V v d D s s J n F 1 b 3 Q 7 d m V y Z G k m c X V v d D t d I i A v P j x F b n R y e S B U e X B l P S J G a W x s R X J y b 3 J D b 3 V u d C I g V m F s d W U 9 I m w w I i A v P j x F b n R y e S B U e X B l P S J G a W x s U 3 R h d H V z I i B W Y W x 1 Z T 0 i c 0 N v b X B s Z X R l I i A v P j x F b n R y e S B U e X B l P S J G a W x s T 2 J q Z W N 0 V H l w Z S I g V m F s d W U 9 I n N D b 2 5 u Z W N 0 a W 9 u T 2 5 s e S I g L z 4 8 L 1 N 0 Y W J s Z U V u d H J p Z X M + P C 9 J d G V t P j x J d G V t P j x J d G V t T G 9 j Y X R p b 2 4 + P E l 0 Z W 1 U e X B l P k Z v c m 1 1 b G E 8 L 0 l 0 Z W 1 U e X B l P j x J d G V t U G F 0 a D 5 T Z W N 0 a W 9 u M S 9 E Y X R h L 0 t p b G R l P C 9 J d G V t U G F 0 a D 4 8 L 0 l 0 Z W 1 M b 2 N h d G l v b j 4 8 U 3 R h Y m x l R W 5 0 c m l l c y A v P j w v S X R l b T 4 8 S X R l b T 4 8 S X R l b U x v Y 2 F 0 a W 9 u P j x J d G V t V H l w Z T 5 G b 3 J t d W x h P C 9 J d G V t V H l w Z T 4 8 S X R l b V B h d G g + U 2 V j d G l v b j E v R G F 0 Y S 9 Q Y X J h b W V 0 Z X J W Z X J k a T w v S X R l b V B h d G g + P C 9 J d G V t T G 9 j Y X R p b 2 4 + P F N 0 Y W J s Z U V u d H J p Z X M g L z 4 8 L 0 l 0 Z W 0 + P C 9 J d G V t c z 4 8 L 0 x v Y 2 F s U G F j a 2 F n Z U 1 l d G F k Y X R h R m l s Z T 4 W A A A A U E s F B g A A A A A A A A A A A A A A A A A A A A A A A N o A A A A B A A A A 0 I y d 3 w E V 0 R G M e g D A T 8 K X 6 w E A A A A H 5 Q H S O U J W R r d a H j j Y L u J m A A A A A A I A A A A A A A N m A A D A A A A A E A A A A N h d F g o 5 Q I 7 4 x E Y 7 j W f N M C Y A A A A A B I A A A K A A A A A Q A A A A I 0 D Q j A y d R 5 s 8 l E W E J 5 M M C F A A A A C X + a h s B 3 U E 1 3 7 l K B t Q X A P W 1 4 3 M 9 7 / b O H 6 6 0 j c B x h c x w c 2 i k s K + N N h h l l D 5 G K F H d c r p G u c j Y M m F F M Z v S i n q K Y 2 b F 3 U q k Z 7 E 3 Z C S 2 y 1 r D l x x N x Q A A A C r 8 I X 7 o q Z 5 9 Q Q H l y y 5 y y I t B h I E x w = = < / D a t a M a s h u p > 
</file>

<file path=customXml/item2.xml><?xml version="1.0" encoding="utf-8"?>
<ct:contentTypeSchema xmlns:ct="http://schemas.microsoft.com/office/2006/metadata/contentType" xmlns:ma="http://schemas.microsoft.com/office/2006/metadata/properties/metaAttributes" ct:_="" ma:_="" ma:contentTypeName="Statistikk" ma:contentTypeID="0x0101000C511E5DF31BAD48807550FE88829D9D0038FF55C83469DE4F9B7DCA1B89E318DA" ma:contentTypeVersion="4" ma:contentTypeDescription="" ma:contentTypeScope="" ma:versionID="ca25aed54c960d52022b61f452b943cb">
  <xsd:schema xmlns:xsd="http://www.w3.org/2001/XMLSchema" xmlns:xs="http://www.w3.org/2001/XMLSchema" xmlns:p="http://schemas.microsoft.com/office/2006/metadata/properties" xmlns:ns2="6edf9311-6556-4af2-85ff-d57844cfe120" xmlns:ns3="d35b3e2b-d440-44dd-b9dd-e54a3943adc2" targetNamespace="http://schemas.microsoft.com/office/2006/metadata/properties" ma:root="true" ma:fieldsID="6aaeb2f404abc7033daa625e0dd95337" ns2:_="" ns3:_="">
    <xsd:import namespace="6edf9311-6556-4af2-85ff-d57844cfe120"/>
    <xsd:import namespace="d35b3e2b-d440-44dd-b9dd-e54a3943adc2"/>
    <xsd:element name="properties">
      <xsd:complexType>
        <xsd:sequence>
          <xsd:element name="documentManagement">
            <xsd:complexType>
              <xsd:all>
                <xsd:element ref="ns2:a0e180d50ff4423da66c611fe0af74a4" minOccurs="0"/>
                <xsd:element ref="ns2:TaxCatchAll" minOccurs="0"/>
                <xsd:element ref="ns2:TaxCatchAllLabel" minOccurs="0"/>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df9311-6556-4af2-85ff-d57844cfe120" elementFormDefault="qualified">
    <xsd:import namespace="http://schemas.microsoft.com/office/2006/documentManagement/types"/>
    <xsd:import namespace="http://schemas.microsoft.com/office/infopath/2007/PartnerControls"/>
    <xsd:element name="a0e180d50ff4423da66c611fe0af74a4" ma:index="8" ma:taxonomy="true" ma:internalName="a0e180d50ff4423da66c611fe0af74a4" ma:taxonomyFieldName="Statistikk" ma:displayName="Statistikk" ma:indexed="true" ma:default="" ma:fieldId="{a0e180d5-0ff4-423d-a66c-611fe0af74a4}" ma:sspId="dab2b8ef-c951-45bf-a0d0-9b3f2fbb5ccb" ma:termSetId="11bf6401-ff6f-43ab-90c7-9959af6e7799"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550ebe59-b68a-4ac7-afab-48fa3cf54c5c}" ma:internalName="TaxCatchAll" ma:showField="CatchAllData"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50ebe59-b68a-4ac7-afab-48fa3cf54c5c}" ma:internalName="TaxCatchAllLabel" ma:readOnly="true" ma:showField="CatchAllDataLabel"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_dlc_DocId" ma:index="12" nillable="true" ma:displayName="Dokument-ID-verdi" ma:description="Verdien for dokument-IDen som er tilordnet elementet." ma:internalName="_dlc_DocId" ma:readOnly="true">
      <xsd:simpleType>
        <xsd:restriction base="dms:Text"/>
      </xsd:simpleType>
    </xsd:element>
    <xsd:element name="_dlc_DocIdUrl" ma:index="13" nillable="true" ma:displayName="Dokument-ID" ma:description="Fast kobling til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35b3e2b-d440-44dd-b9dd-e54a3943adc2"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a0e180d50ff4423da66c611fe0af74a4 xmlns="6edf9311-6556-4af2-85ff-d57844cfe120">
      <Terms xmlns="http://schemas.microsoft.com/office/infopath/2007/PartnerControls"/>
    </a0e180d50ff4423da66c611fe0af74a4>
    <TaxCatchAll xmlns="6edf9311-6556-4af2-85ff-d57844cfe120" xsi:nil="true"/>
    <_dlc_DocId xmlns="6edf9311-6556-4af2-85ff-d57844cfe120">2020-123998358-378</_dlc_DocId>
    <_dlc_DocIdUrl xmlns="6edf9311-6556-4af2-85ff-d57844cfe120">
      <Url>https://finansnorge.sharepoint.com/sites/intranett/arkiv/_layouts/15/DocIdRedir.aspx?ID=2020-123998358-378</Url>
      <Description>2020-123998358-378</Description>
    </_dlc_DocIdUrl>
  </documentManagement>
</p:properties>
</file>

<file path=customXml/itemProps1.xml><?xml version="1.0" encoding="utf-8"?>
<ds:datastoreItem xmlns:ds="http://schemas.openxmlformats.org/officeDocument/2006/customXml" ds:itemID="{6066717E-7F80-418E-A2AB-8B64D82CCEB1}">
  <ds:schemaRefs>
    <ds:schemaRef ds:uri="http://schemas.microsoft.com/DataMashup"/>
  </ds:schemaRefs>
</ds:datastoreItem>
</file>

<file path=customXml/itemProps2.xml><?xml version="1.0" encoding="utf-8"?>
<ds:datastoreItem xmlns:ds="http://schemas.openxmlformats.org/officeDocument/2006/customXml" ds:itemID="{6785FFEB-C3B0-43CE-A122-2552387D217D}"/>
</file>

<file path=customXml/itemProps3.xml><?xml version="1.0" encoding="utf-8"?>
<ds:datastoreItem xmlns:ds="http://schemas.openxmlformats.org/officeDocument/2006/customXml" ds:itemID="{DFB01FD5-A03D-4A39-BDDE-F3A6A913C3AB}"/>
</file>

<file path=customXml/itemProps4.xml><?xml version="1.0" encoding="utf-8"?>
<ds:datastoreItem xmlns:ds="http://schemas.openxmlformats.org/officeDocument/2006/customXml" ds:itemID="{35AE97F8-4F5F-437B-BFA7-98D4F65EC7D7}"/>
</file>

<file path=customXml/itemProps5.xml><?xml version="1.0" encoding="utf-8"?>
<ds:datastoreItem xmlns:ds="http://schemas.openxmlformats.org/officeDocument/2006/customXml" ds:itemID="{F84C40E6-0DED-4982-B7CE-5CDD8C86026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39</vt:i4>
      </vt:variant>
      <vt:variant>
        <vt:lpstr>Navngitte områder</vt:lpstr>
      </vt:variant>
      <vt:variant>
        <vt:i4>14</vt:i4>
      </vt:variant>
    </vt:vector>
  </HeadingPairs>
  <TitlesOfParts>
    <vt:vector size="53" baseType="lpstr">
      <vt:lpstr>Forside</vt:lpstr>
      <vt:lpstr>Innhold</vt:lpstr>
      <vt:lpstr>Figurer</vt:lpstr>
      <vt:lpstr>Tabel 1.1</vt:lpstr>
      <vt:lpstr>Tabell 1.2</vt:lpstr>
      <vt:lpstr>Tabell 1.3</vt:lpstr>
      <vt:lpstr>Skjema total MA</vt:lpstr>
      <vt:lpstr>ACE European Group</vt:lpstr>
      <vt:lpstr>Danica Pensjonsforsikring</vt:lpstr>
      <vt:lpstr>DNB Livsforsikring</vt:lpstr>
      <vt:lpstr>Eika Forsikring AS</vt:lpstr>
      <vt:lpstr>Frende Livsforsikring</vt:lpstr>
      <vt:lpstr>Frende Skadeforsikring</vt:lpstr>
      <vt:lpstr>Gjensidige Forsikring</vt:lpstr>
      <vt:lpstr>Gjensidige Pensjon</vt:lpstr>
      <vt:lpstr>Handelsbanken Liv</vt:lpstr>
      <vt:lpstr>If Skadeforsikring NUF</vt:lpstr>
      <vt:lpstr>KLP</vt:lpstr>
      <vt:lpstr>KLP Bedriftspensjon AS</vt:lpstr>
      <vt:lpstr>KLP Skadeforsikring AS</vt:lpstr>
      <vt:lpstr>Landbruksforsikring AS</vt:lpstr>
      <vt:lpstr>NEMI Forsikring</vt:lpstr>
      <vt:lpstr>Nordea Liv </vt:lpstr>
      <vt:lpstr>Oslo Pensjonsforsikring</vt:lpstr>
      <vt:lpstr>SHB Liv</vt:lpstr>
      <vt:lpstr>Silver Pensjonsforsikring AS</vt:lpstr>
      <vt:lpstr>Sparebank 1</vt:lpstr>
      <vt:lpstr>Storebrand Livsforsikring</vt:lpstr>
      <vt:lpstr>Telenor Forsikring</vt:lpstr>
      <vt:lpstr>Tryg Forsikring</vt:lpstr>
      <vt:lpstr>Tabell 4</vt:lpstr>
      <vt:lpstr>Tabell 5.1</vt:lpstr>
      <vt:lpstr>Tabell 5.2</vt:lpstr>
      <vt:lpstr>Tabell 5.3</vt:lpstr>
      <vt:lpstr>Tabell 6</vt:lpstr>
      <vt:lpstr>Tabell 7a</vt:lpstr>
      <vt:lpstr>Tabell 7b</vt:lpstr>
      <vt:lpstr>Tabell 8</vt:lpstr>
      <vt:lpstr>Noter og kommentarer</vt:lpstr>
      <vt:lpstr>'ACE European Group'!Utskriftsområde</vt:lpstr>
      <vt:lpstr>'NEMI Forsikring'!Utskriftsområde</vt:lpstr>
      <vt:lpstr>'Noter og kommentarer'!Utskriftsområde</vt:lpstr>
      <vt:lpstr>'Skjema total MA'!Utskriftsområde</vt:lpstr>
      <vt:lpstr>'Tabell 5.1'!Utskriftsområde</vt:lpstr>
      <vt:lpstr>'Tabell 5.2'!Utskriftsområde</vt:lpstr>
      <vt:lpstr>'Tabell 7a'!Utskriftsområde</vt:lpstr>
      <vt:lpstr>'Tabell 7b'!Utskriftsområde</vt:lpstr>
      <vt:lpstr>'Tabell 8'!Utskriftsområde</vt:lpstr>
      <vt:lpstr>'Tabell 5.1'!Utskriftstitler</vt:lpstr>
      <vt:lpstr>'Tabell 5.2'!Utskriftstitler</vt:lpstr>
      <vt:lpstr>'Tabell 7a'!Utskriftstitler</vt:lpstr>
      <vt:lpstr>'Tabell 7b'!Utskriftstitler</vt:lpstr>
      <vt:lpstr>'Tabell 8'!Utskriftstitler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Anne-Kathrine Johansen</dc:creator>
  <cp:lastModifiedBy>Randi Mørk</cp:lastModifiedBy>
  <cp:lastPrinted>2016-06-01T05:37:12Z</cp:lastPrinted>
  <dcterms:created xsi:type="dcterms:W3CDTF">2010-12-15T10:21:26Z</dcterms:created>
  <dcterms:modified xsi:type="dcterms:W3CDTF">2018-05-03T13:06:04Z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0x0101000C511E5DF31BAD48807550FE88829D9D0038FF55C83469DE4F9B7DCA1B89E318DA</vt:lpwstr>
  </property>
  <property fmtid="{D5CDD505-2E9C-101B-9397-08002B2CF9AE}" pid="3" name="_dlc_DocIdItemGuid">
    <vt:lpwstr>cdb3678c-af96-4cc6-816e-91f94683d4fc</vt:lpwstr>
  </property>
  <property fmtid="{D5CDD505-2E9C-101B-9397-08002B2CF9AE}" pid="4" name="Avtale">
    <vt:lpwstr/>
  </property>
  <property fmtid="{D5CDD505-2E9C-101B-9397-08002B2CF9AE}" pid="5" name="n5dc56bd60b9453d8a2d716a3ace2936">
    <vt:lpwstr/>
  </property>
  <property fmtid="{D5CDD505-2E9C-101B-9397-08002B2CF9AE}" pid="6" name="Korrespondanse_x002d_fnf">
    <vt:lpwstr/>
  </property>
  <property fmtid="{D5CDD505-2E9C-101B-9397-08002B2CF9AE}" pid="7" name="pb5e3c85e100497daa11dd5a916fed68">
    <vt:lpwstr/>
  </property>
  <property fmtid="{D5CDD505-2E9C-101B-9397-08002B2CF9AE}" pid="8" name="Korrespondanse">
    <vt:lpwstr/>
  </property>
  <property fmtid="{D5CDD505-2E9C-101B-9397-08002B2CF9AE}" pid="9" name="b42cd6bccb18471bb7f8fb6f2b7f8ea5">
    <vt:lpwstr/>
  </property>
  <property fmtid="{D5CDD505-2E9C-101B-9397-08002B2CF9AE}" pid="10" name="Statistikk">
    <vt:lpwstr/>
  </property>
  <property fmtid="{D5CDD505-2E9C-101B-9397-08002B2CF9AE}" pid="11" name="Korrespondanse-fnf">
    <vt:lpwstr/>
  </property>
</Properties>
</file>