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forsikringsdrift.sharepoint.com/sites/FNF/Delte dokumenter/Statistikk og analyse/Liv-pensjon/Faste statistikker/MA/2025/Q3-2025/Publisert/"/>
    </mc:Choice>
  </mc:AlternateContent>
  <xr:revisionPtr revIDLastSave="1" documentId="8_{CFD54FF7-97F9-44D0-986A-92EFC512CEDE}" xr6:coauthVersionLast="47" xr6:coauthVersionMax="47" xr10:uidLastSave="{F3598BD0-31A4-445C-8EE5-EC69E99B0537}"/>
  <bookViews>
    <workbookView xWindow="-120" yWindow="-120" windowWidth="29040" windowHeight="17520" tabRatio="835" activeTab="1" xr2:uid="{00000000-000D-0000-FFFF-FFFF00000000}"/>
  </bookViews>
  <sheets>
    <sheet name="Forside" sheetId="80" r:id="rId1"/>
    <sheet name="Innhold" sheetId="7" r:id="rId2"/>
    <sheet name="Figurer" sheetId="8" r:id="rId3"/>
    <sheet name="Tabel 1.1" sheetId="9" r:id="rId4"/>
    <sheet name="Tabell 1.2" sheetId="10" r:id="rId5"/>
    <sheet name="Tabell 1.3" sheetId="58" r:id="rId6"/>
    <sheet name="Skjema total MA" sheetId="4" r:id="rId7"/>
    <sheet name="DNB Livsforsikring" sheetId="13" r:id="rId8"/>
    <sheet name="Eika Forsikring AS" sheetId="19" r:id="rId9"/>
    <sheet name="Euro Accident" sheetId="77" r:id="rId10"/>
    <sheet name="Fremtind Livsforsikring" sheetId="16" r:id="rId11"/>
    <sheet name="Frende Livsforsikring" sheetId="20" r:id="rId12"/>
    <sheet name="Frende Skadeforsikring" sheetId="21" r:id="rId13"/>
    <sheet name="Gjensidige Forsikring" sheetId="22" r:id="rId14"/>
    <sheet name="Gjensidige Pensjon" sheetId="23" r:id="rId15"/>
    <sheet name="If Skadeforsikring NUF" sheetId="25" r:id="rId16"/>
    <sheet name="KLP" sheetId="26" r:id="rId17"/>
    <sheet name="KLP Skadeforsikring AS" sheetId="51" r:id="rId18"/>
    <sheet name="Knif Trygghet Forsikring" sheetId="91" r:id="rId19"/>
    <sheet name="Landkreditt Forsikring" sheetId="40" r:id="rId20"/>
    <sheet name="Ly Forsikring" sheetId="78" r:id="rId21"/>
    <sheet name="Nordea Liv " sheetId="29" r:id="rId22"/>
    <sheet name="Oslo Forsikring" sheetId="81" r:id="rId23"/>
    <sheet name="Oslo Pensjonsforsikring" sheetId="34" r:id="rId24"/>
    <sheet name="Protector Forsikring" sheetId="72" r:id="rId25"/>
    <sheet name="Sparebank 1 Fors." sheetId="33" r:id="rId26"/>
    <sheet name="Storebrand Livsforsikring" sheetId="37" r:id="rId27"/>
    <sheet name="Telenor Forsikring" sheetId="38" r:id="rId28"/>
    <sheet name="Tryg Forsikring" sheetId="39" r:id="rId29"/>
    <sheet name="WaterCircles F" sheetId="74" r:id="rId30"/>
    <sheet name="Youplus Livsforsikring" sheetId="79" r:id="rId31"/>
    <sheet name="Tabell 4" sheetId="82" r:id="rId32"/>
    <sheet name="Tabell 6" sheetId="86" r:id="rId33"/>
    <sheet name="Tabell 8" sheetId="90" r:id="rId34"/>
    <sheet name="Noter og kommentarer" sheetId="3" r:id="rId35"/>
  </sheets>
  <externalReferences>
    <externalReference r:id="rId36"/>
  </externalReferences>
  <definedNames>
    <definedName name="Dag">#REF!</definedName>
    <definedName name="Dager">#REF!</definedName>
    <definedName name="dato">#REF!</definedName>
    <definedName name="Feilmelding">#REF!</definedName>
    <definedName name="FilNavn">[1]Oppslagstabeller!$N$5</definedName>
    <definedName name="Fjorårstall">#REF!</definedName>
    <definedName name="Koder2a">#REF!</definedName>
    <definedName name="kvartal">#REF!</definedName>
    <definedName name="Måned">#REF!</definedName>
    <definedName name="OppslagsKolonneDataVerdi">#REF!</definedName>
    <definedName name="OppslagsKolonneSelskapNavn">#REF!</definedName>
    <definedName name="Selskap">[1]Oppslagstabeller!$N$4</definedName>
    <definedName name="SelskapKolonneIndeks">[1]!Tabell3[#All]</definedName>
    <definedName name="SelskapListe">#REF!</definedName>
    <definedName name="Selskapsliste">[1]Oppslagstabeller!$A$1:$G$36</definedName>
    <definedName name="UtfylteTall">#REF!</definedName>
    <definedName name="_xlnm.Print_Area" localSheetId="10">'Fremtind Livsforsikring'!$A$1:$M$137</definedName>
    <definedName name="_xlnm.Print_Area" localSheetId="34">'Noter og kommentarer'!$A$1:$L$43</definedName>
    <definedName name="_xlnm.Print_Area" localSheetId="6">'Skjema total MA'!$A$1:$J$138</definedName>
    <definedName name="år">#REF!</definedName>
    <definedName name="ÅrFratrek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23" l="1"/>
  <c r="I33" i="23"/>
  <c r="I33" i="29"/>
  <c r="M33" i="29"/>
  <c r="R80" i="86"/>
  <c r="AB46" i="86" l="1"/>
  <c r="AB53" i="86"/>
  <c r="AB79" i="86"/>
  <c r="AB86" i="86"/>
  <c r="G17" i="90"/>
  <c r="M17" i="90"/>
  <c r="P17" i="90"/>
  <c r="Y17" i="90"/>
  <c r="AB17" i="90"/>
  <c r="P43" i="82"/>
  <c r="P28" i="82"/>
  <c r="D49" i="86"/>
  <c r="D46" i="86"/>
  <c r="D38" i="86"/>
  <c r="D19" i="86"/>
  <c r="D18" i="86"/>
  <c r="D17" i="86"/>
  <c r="D16" i="86"/>
  <c r="P86" i="86"/>
  <c r="P84" i="86"/>
  <c r="P79" i="86"/>
  <c r="P52" i="86"/>
  <c r="J90" i="86"/>
  <c r="J37" i="86"/>
  <c r="J36" i="86"/>
  <c r="I80" i="86"/>
  <c r="I93" i="86" s="1"/>
  <c r="H80" i="86"/>
  <c r="H93" i="86" s="1"/>
  <c r="I39" i="86"/>
  <c r="H39" i="86"/>
  <c r="I35" i="86"/>
  <c r="H35" i="86"/>
  <c r="I20" i="86"/>
  <c r="I27" i="86" s="1"/>
  <c r="I29" i="86" s="1"/>
  <c r="H20" i="86"/>
  <c r="H27" i="86" s="1"/>
  <c r="H29" i="86" s="1"/>
  <c r="I41" i="82"/>
  <c r="H41" i="82"/>
  <c r="I30" i="82"/>
  <c r="H30" i="82"/>
  <c r="I21" i="82"/>
  <c r="H21" i="82"/>
  <c r="I14" i="82"/>
  <c r="H14" i="82"/>
  <c r="J35" i="86" l="1"/>
  <c r="I45" i="86"/>
  <c r="I35" i="82"/>
  <c r="I42" i="82" s="1"/>
  <c r="I44" i="82" s="1"/>
  <c r="I46" i="82" s="1"/>
  <c r="H35" i="82"/>
  <c r="H42" i="82" s="1"/>
  <c r="H44" i="82" s="1"/>
  <c r="H46" i="82" s="1"/>
  <c r="H45" i="86"/>
  <c r="H62" i="86" s="1"/>
  <c r="H64" i="86" s="1"/>
  <c r="I62" i="86"/>
  <c r="I64" i="86" s="1"/>
  <c r="AD80" i="86" l="1"/>
  <c r="AD93" i="86" s="1"/>
  <c r="AC80" i="86"/>
  <c r="AC93" i="86" s="1"/>
  <c r="AD39" i="86"/>
  <c r="AD45" i="86" s="1"/>
  <c r="AD62" i="86" s="1"/>
  <c r="AC39" i="86"/>
  <c r="AC45" i="86" s="1"/>
  <c r="AC62" i="86" s="1"/>
  <c r="AC29" i="86"/>
  <c r="AD20" i="86"/>
  <c r="AD27" i="86" s="1"/>
  <c r="AD29" i="86" s="1"/>
  <c r="AD64" i="86" s="1"/>
  <c r="AD41" i="82"/>
  <c r="AC41" i="82"/>
  <c r="AD30" i="82"/>
  <c r="AC30" i="82"/>
  <c r="AD21" i="82"/>
  <c r="AC21" i="82"/>
  <c r="AD14" i="82"/>
  <c r="AC14" i="82"/>
  <c r="AC35" i="82" s="1"/>
  <c r="AD35" i="82" l="1"/>
  <c r="AD42" i="82" s="1"/>
  <c r="AD44" i="82" s="1"/>
  <c r="AD46" i="82" s="1"/>
  <c r="AC42" i="82"/>
  <c r="AC44" i="82" s="1"/>
  <c r="AC46" i="82" s="1"/>
  <c r="AC64" i="86"/>
  <c r="AJ83" i="86"/>
  <c r="AG83" i="86"/>
  <c r="AJ75" i="86"/>
  <c r="AJ74" i="86"/>
  <c r="AG75" i="86"/>
  <c r="AG74" i="86"/>
  <c r="AA87" i="86"/>
  <c r="Z87" i="86"/>
  <c r="AA80" i="86"/>
  <c r="Z80" i="86"/>
  <c r="AA54" i="86"/>
  <c r="Z54" i="86"/>
  <c r="AA50" i="86"/>
  <c r="AA60" i="86" s="1"/>
  <c r="Z50" i="86"/>
  <c r="AA39" i="86"/>
  <c r="Z39" i="86"/>
  <c r="AA35" i="86"/>
  <c r="Z35" i="86"/>
  <c r="AA20" i="86"/>
  <c r="Z20" i="86"/>
  <c r="AA16" i="86"/>
  <c r="AA27" i="86" s="1"/>
  <c r="AA29" i="86" s="1"/>
  <c r="Z16" i="86"/>
  <c r="AG27" i="82"/>
  <c r="AG25" i="82"/>
  <c r="AA41" i="82"/>
  <c r="Z41" i="82"/>
  <c r="AA30" i="82"/>
  <c r="Z30" i="82"/>
  <c r="AA21" i="82"/>
  <c r="Z21" i="82"/>
  <c r="AA14" i="82"/>
  <c r="Z14" i="82"/>
  <c r="AB50" i="86" l="1"/>
  <c r="Z45" i="86"/>
  <c r="Z93" i="86"/>
  <c r="Z27" i="86"/>
  <c r="Z29" i="86" s="1"/>
  <c r="Z60" i="86"/>
  <c r="AA45" i="86"/>
  <c r="AA62" i="86" s="1"/>
  <c r="AA35" i="82"/>
  <c r="AA42" i="82" s="1"/>
  <c r="AA44" i="82" s="1"/>
  <c r="AA46" i="82" s="1"/>
  <c r="Z35" i="82"/>
  <c r="Z42" i="82" s="1"/>
  <c r="Z44" i="82" s="1"/>
  <c r="Z46" i="82" s="1"/>
  <c r="S17" i="90"/>
  <c r="S58" i="86"/>
  <c r="S56" i="86"/>
  <c r="S49" i="86"/>
  <c r="S25" i="86"/>
  <c r="S24" i="86"/>
  <c r="S18" i="86"/>
  <c r="S17" i="86"/>
  <c r="S15" i="86"/>
  <c r="R87" i="86"/>
  <c r="R93" i="86" s="1"/>
  <c r="Q87" i="86"/>
  <c r="Q80" i="86"/>
  <c r="R54" i="86"/>
  <c r="R60" i="86" s="1"/>
  <c r="Q54" i="86"/>
  <c r="Q60" i="86" s="1"/>
  <c r="R39" i="86"/>
  <c r="Q39" i="86"/>
  <c r="R35" i="86"/>
  <c r="Q35" i="86"/>
  <c r="R20" i="86"/>
  <c r="Q20" i="86"/>
  <c r="R16" i="86"/>
  <c r="Q16" i="86"/>
  <c r="R41" i="82"/>
  <c r="Q41" i="82"/>
  <c r="R30" i="82"/>
  <c r="Q30" i="82"/>
  <c r="R21" i="82"/>
  <c r="Q21" i="82"/>
  <c r="R14" i="82"/>
  <c r="Q14" i="82"/>
  <c r="Q93" i="86" l="1"/>
  <c r="R27" i="86"/>
  <c r="R29" i="86" s="1"/>
  <c r="Z62" i="86"/>
  <c r="Z64" i="86" s="1"/>
  <c r="Q35" i="82"/>
  <c r="Q42" i="82" s="1"/>
  <c r="Q44" i="82" s="1"/>
  <c r="Q46" i="82" s="1"/>
  <c r="Q27" i="86"/>
  <c r="Q29" i="86" s="1"/>
  <c r="Q45" i="86"/>
  <c r="Q62" i="86" s="1"/>
  <c r="Q64" i="86" s="1"/>
  <c r="R45" i="86"/>
  <c r="R62" i="86" s="1"/>
  <c r="S16" i="86"/>
  <c r="R35" i="82"/>
  <c r="R42" i="82" s="1"/>
  <c r="R44" i="82" s="1"/>
  <c r="R46" i="82" s="1"/>
  <c r="R64" i="86" l="1"/>
  <c r="M77" i="86"/>
  <c r="M71" i="86"/>
  <c r="M49" i="86"/>
  <c r="M46" i="86"/>
  <c r="M40" i="86"/>
  <c r="M34" i="86"/>
  <c r="M14" i="86"/>
  <c r="M19" i="86"/>
  <c r="L87" i="86"/>
  <c r="K87" i="86"/>
  <c r="L80" i="86"/>
  <c r="L93" i="86" s="1"/>
  <c r="K80" i="86"/>
  <c r="K93" i="86" s="1"/>
  <c r="L54" i="86"/>
  <c r="L60" i="86" s="1"/>
  <c r="K54" i="86"/>
  <c r="K60" i="86" s="1"/>
  <c r="L39" i="86"/>
  <c r="L45" i="86" s="1"/>
  <c r="K39" i="86"/>
  <c r="L35" i="86"/>
  <c r="K35" i="86"/>
  <c r="L20" i="86"/>
  <c r="K20" i="86"/>
  <c r="L16" i="86"/>
  <c r="K16" i="86"/>
  <c r="K27" i="86" s="1"/>
  <c r="K29" i="86" s="1"/>
  <c r="M26" i="82"/>
  <c r="M17" i="82"/>
  <c r="L41" i="82"/>
  <c r="K41" i="82"/>
  <c r="L30" i="82"/>
  <c r="K30" i="82"/>
  <c r="L21" i="82"/>
  <c r="K21" i="82"/>
  <c r="L14" i="82"/>
  <c r="K14" i="82"/>
  <c r="K45" i="86" l="1"/>
  <c r="K62" i="86" s="1"/>
  <c r="K64" i="86" s="1"/>
  <c r="L27" i="86"/>
  <c r="L29" i="86" s="1"/>
  <c r="M16" i="86"/>
  <c r="K35" i="82"/>
  <c r="K42" i="82" s="1"/>
  <c r="K44" i="82" s="1"/>
  <c r="K46" i="82" s="1"/>
  <c r="L35" i="82"/>
  <c r="L42" i="82" s="1"/>
  <c r="L44" i="82" s="1"/>
  <c r="L46" i="82" s="1"/>
  <c r="L62" i="86"/>
  <c r="L64" i="86" l="1"/>
  <c r="V79" i="86"/>
  <c r="V77" i="86"/>
  <c r="V21" i="86"/>
  <c r="V20" i="82"/>
  <c r="V17" i="90"/>
  <c r="U88" i="86"/>
  <c r="U80" i="86"/>
  <c r="U93" i="86" s="1"/>
  <c r="U39" i="86"/>
  <c r="U35" i="86"/>
  <c r="U28" i="86"/>
  <c r="U20" i="86"/>
  <c r="U16" i="86"/>
  <c r="U41" i="82"/>
  <c r="T41" i="82"/>
  <c r="U30" i="82"/>
  <c r="T30" i="82"/>
  <c r="U21" i="82"/>
  <c r="T21" i="82"/>
  <c r="U14" i="82"/>
  <c r="T14" i="82"/>
  <c r="U27" i="86" l="1"/>
  <c r="U29" i="86" s="1"/>
  <c r="U45" i="86"/>
  <c r="U35" i="82"/>
  <c r="U42" i="82" s="1"/>
  <c r="U44" i="82" s="1"/>
  <c r="U46" i="82" s="1"/>
  <c r="T35" i="82"/>
  <c r="T42" i="82" s="1"/>
  <c r="T44" i="82" s="1"/>
  <c r="T46" i="82" s="1"/>
  <c r="U62" i="86"/>
  <c r="U64" i="86" l="1"/>
  <c r="Y79" i="86"/>
  <c r="Y58" i="86"/>
  <c r="Y57" i="86"/>
  <c r="Y49" i="86"/>
  <c r="Y42" i="86"/>
  <c r="Y24" i="86"/>
  <c r="X87" i="86"/>
  <c r="W87" i="86"/>
  <c r="X80" i="86"/>
  <c r="W80" i="86"/>
  <c r="X54" i="86"/>
  <c r="W54" i="86"/>
  <c r="W60" i="86" s="1"/>
  <c r="X39" i="86"/>
  <c r="W39" i="86"/>
  <c r="X35" i="86"/>
  <c r="W35" i="86"/>
  <c r="X20" i="86"/>
  <c r="W20" i="86"/>
  <c r="X16" i="86"/>
  <c r="W16" i="86"/>
  <c r="X41" i="82"/>
  <c r="W41" i="82"/>
  <c r="X30" i="82"/>
  <c r="W30" i="82"/>
  <c r="X21" i="82"/>
  <c r="W21" i="82"/>
  <c r="X14" i="82"/>
  <c r="W14" i="82"/>
  <c r="X27" i="86" l="1"/>
  <c r="X29" i="86" s="1"/>
  <c r="W27" i="86"/>
  <c r="W29" i="86" s="1"/>
  <c r="X35" i="82"/>
  <c r="X42" i="82" s="1"/>
  <c r="X44" i="82" s="1"/>
  <c r="X46" i="82" s="1"/>
  <c r="W93" i="86"/>
  <c r="W35" i="82"/>
  <c r="W42" i="82" s="1"/>
  <c r="W44" i="82" s="1"/>
  <c r="W46" i="82" s="1"/>
  <c r="W45" i="86"/>
  <c r="W62" i="86" s="1"/>
  <c r="W64" i="86" s="1"/>
  <c r="X45" i="86"/>
  <c r="X62" i="86" s="1"/>
  <c r="G90" i="86" l="1"/>
  <c r="G89" i="86"/>
  <c r="G79" i="86"/>
  <c r="G71" i="86"/>
  <c r="G42" i="86"/>
  <c r="G37" i="86"/>
  <c r="G36" i="86"/>
  <c r="G34" i="86"/>
  <c r="G23" i="86"/>
  <c r="G18" i="86"/>
  <c r="G17" i="86"/>
  <c r="F80" i="86"/>
  <c r="F93" i="86" s="1"/>
  <c r="E80" i="86"/>
  <c r="E93" i="86" s="1"/>
  <c r="F39" i="86"/>
  <c r="E39" i="86"/>
  <c r="F35" i="86"/>
  <c r="E35" i="86"/>
  <c r="F20" i="86"/>
  <c r="E20" i="86"/>
  <c r="F16" i="86"/>
  <c r="E16" i="86"/>
  <c r="G16" i="86" s="1"/>
  <c r="G34" i="82"/>
  <c r="G32" i="82"/>
  <c r="F41" i="82"/>
  <c r="E41" i="82"/>
  <c r="F30" i="82"/>
  <c r="E30" i="82"/>
  <c r="F21" i="82"/>
  <c r="E21" i="82"/>
  <c r="F14" i="82"/>
  <c r="E14" i="82"/>
  <c r="G35" i="86" l="1"/>
  <c r="E35" i="82"/>
  <c r="E42" i="82" s="1"/>
  <c r="E44" i="82" s="1"/>
  <c r="E46" i="82" s="1"/>
  <c r="E45" i="86"/>
  <c r="E62" i="86" s="1"/>
  <c r="F35" i="82"/>
  <c r="F42" i="82" s="1"/>
  <c r="F44" i="82" s="1"/>
  <c r="F46" i="82" s="1"/>
  <c r="F27" i="86"/>
  <c r="F29" i="86" s="1"/>
  <c r="F64" i="86" s="1"/>
  <c r="F45" i="86"/>
  <c r="F62" i="86" s="1"/>
  <c r="E27" i="86"/>
  <c r="E29" i="86" s="1"/>
  <c r="E64" i="86" l="1"/>
  <c r="D9" i="91" l="1"/>
  <c r="D53" i="91"/>
  <c r="J7" i="91"/>
  <c r="K7" i="91"/>
  <c r="J9" i="91"/>
  <c r="D54" i="91"/>
  <c r="K9" i="91"/>
  <c r="D7" i="91"/>
  <c r="D48" i="91"/>
  <c r="L7" i="91" l="1"/>
  <c r="D47" i="91"/>
  <c r="L9" i="91"/>
  <c r="B20" i="9"/>
  <c r="B57" i="9" s="1"/>
  <c r="C20" i="9"/>
  <c r="G20" i="9"/>
  <c r="H20" i="9"/>
  <c r="M19" i="8" l="1"/>
  <c r="D20" i="9"/>
  <c r="N64" i="8"/>
  <c r="H57" i="9"/>
  <c r="G57" i="9"/>
  <c r="N19" i="8"/>
  <c r="C57" i="9"/>
  <c r="D57" i="9" s="1"/>
  <c r="M64" i="8"/>
  <c r="AD17" i="90"/>
  <c r="AC17" i="90"/>
  <c r="D17" i="90"/>
  <c r="AD15" i="90"/>
  <c r="AC15" i="90"/>
  <c r="AB15" i="90"/>
  <c r="Y15" i="90"/>
  <c r="V15" i="90"/>
  <c r="S15" i="90"/>
  <c r="P15" i="90"/>
  <c r="M15" i="90"/>
  <c r="D15" i="90"/>
  <c r="AB13" i="90"/>
  <c r="Y13" i="90"/>
  <c r="V13" i="90"/>
  <c r="P13" i="90"/>
  <c r="M13" i="90"/>
  <c r="J13" i="90"/>
  <c r="G13" i="90"/>
  <c r="D13" i="90"/>
  <c r="D11" i="90"/>
  <c r="G67" i="9"/>
  <c r="AE17" i="90" l="1"/>
  <c r="AE15" i="90"/>
  <c r="AD8" i="90" l="1"/>
  <c r="AC8" i="90"/>
  <c r="AA8" i="90"/>
  <c r="Z8" i="90"/>
  <c r="X8" i="90"/>
  <c r="W8" i="90"/>
  <c r="U8" i="90"/>
  <c r="T8" i="90"/>
  <c r="R8" i="90"/>
  <c r="Q8" i="90"/>
  <c r="O8" i="90"/>
  <c r="N8" i="90"/>
  <c r="L8" i="90"/>
  <c r="K8" i="90"/>
  <c r="I8" i="90"/>
  <c r="H8" i="90"/>
  <c r="F8" i="90"/>
  <c r="E8" i="90"/>
  <c r="AI93" i="86"/>
  <c r="AF93" i="86"/>
  <c r="G93" i="86"/>
  <c r="AJ91" i="86"/>
  <c r="AI91" i="86"/>
  <c r="AG91" i="86"/>
  <c r="AF91" i="86"/>
  <c r="AE91" i="86"/>
  <c r="AB91" i="86"/>
  <c r="Y91" i="86"/>
  <c r="S91" i="86"/>
  <c r="P91" i="86"/>
  <c r="M91" i="86"/>
  <c r="J91" i="86"/>
  <c r="D91" i="86"/>
  <c r="AJ90" i="86"/>
  <c r="AI90" i="86"/>
  <c r="AG90" i="86"/>
  <c r="AF90" i="86"/>
  <c r="AE90" i="86"/>
  <c r="AB90" i="86"/>
  <c r="Y90" i="86"/>
  <c r="S90" i="86"/>
  <c r="P90" i="86"/>
  <c r="M90" i="86"/>
  <c r="D90" i="86"/>
  <c r="AJ89" i="86"/>
  <c r="AI89" i="86"/>
  <c r="AG89" i="86"/>
  <c r="AF89" i="86"/>
  <c r="Y89" i="86"/>
  <c r="AJ88" i="86"/>
  <c r="AI88" i="86"/>
  <c r="AG88" i="86"/>
  <c r="AF88" i="86"/>
  <c r="AB88" i="86"/>
  <c r="Y88" i="86"/>
  <c r="V88" i="86"/>
  <c r="S88" i="86"/>
  <c r="P88" i="86"/>
  <c r="M88" i="86"/>
  <c r="G88" i="86"/>
  <c r="D88" i="86"/>
  <c r="AJ86" i="86"/>
  <c r="AI86" i="86"/>
  <c r="AG86" i="86"/>
  <c r="AF86" i="86"/>
  <c r="AJ85" i="86"/>
  <c r="AI85" i="86"/>
  <c r="AG85" i="86"/>
  <c r="AF85" i="86"/>
  <c r="Y85" i="86"/>
  <c r="P85" i="86"/>
  <c r="M85" i="86"/>
  <c r="D85" i="86"/>
  <c r="AJ84" i="86"/>
  <c r="AI84" i="86"/>
  <c r="AK84" i="86" s="1"/>
  <c r="AG84" i="86"/>
  <c r="AF84" i="86"/>
  <c r="AI83" i="86"/>
  <c r="AK83" i="86" s="1"/>
  <c r="AF83" i="86"/>
  <c r="AH83" i="86" s="1"/>
  <c r="Y83" i="86"/>
  <c r="AJ82" i="86"/>
  <c r="AI82" i="86"/>
  <c r="AG82" i="86"/>
  <c r="AF82" i="86"/>
  <c r="AB82" i="86"/>
  <c r="Y82" i="86"/>
  <c r="S82" i="86"/>
  <c r="P82" i="86"/>
  <c r="M82" i="86"/>
  <c r="D82" i="86"/>
  <c r="G80" i="86"/>
  <c r="AJ79" i="86"/>
  <c r="AI79" i="86"/>
  <c r="AG79" i="86"/>
  <c r="AF79" i="86"/>
  <c r="AJ78" i="86"/>
  <c r="AI78" i="86"/>
  <c r="AG78" i="86"/>
  <c r="AF78" i="86"/>
  <c r="AB78" i="86"/>
  <c r="J78" i="86"/>
  <c r="D78" i="86"/>
  <c r="AJ77" i="86"/>
  <c r="AI77" i="86"/>
  <c r="AG77" i="86"/>
  <c r="AF77" i="86"/>
  <c r="AE77" i="86"/>
  <c r="AB77" i="86"/>
  <c r="Y77" i="86"/>
  <c r="S77" i="86"/>
  <c r="P77" i="86"/>
  <c r="D77" i="86"/>
  <c r="AJ76" i="86"/>
  <c r="AI76" i="86"/>
  <c r="AG76" i="86"/>
  <c r="AF76" i="86"/>
  <c r="AE76" i="86"/>
  <c r="AB76" i="86"/>
  <c r="Y76" i="86"/>
  <c r="V76" i="86"/>
  <c r="S76" i="86"/>
  <c r="P76" i="86"/>
  <c r="M76" i="86"/>
  <c r="J76" i="86"/>
  <c r="G76" i="86"/>
  <c r="D76" i="86"/>
  <c r="AI75" i="86"/>
  <c r="AK75" i="86" s="1"/>
  <c r="AF75" i="86"/>
  <c r="AH75" i="86" s="1"/>
  <c r="AB75" i="86"/>
  <c r="P75" i="86"/>
  <c r="AI74" i="86"/>
  <c r="AK74" i="86" s="1"/>
  <c r="AF74" i="86"/>
  <c r="AH74" i="86" s="1"/>
  <c r="AJ73" i="86"/>
  <c r="AI73" i="86"/>
  <c r="AG73" i="86"/>
  <c r="AF73" i="86"/>
  <c r="AE73" i="86"/>
  <c r="AB73" i="86"/>
  <c r="Y73" i="86"/>
  <c r="V73" i="86"/>
  <c r="S73" i="86"/>
  <c r="P73" i="86"/>
  <c r="M73" i="86"/>
  <c r="J73" i="86"/>
  <c r="G73" i="86"/>
  <c r="D73" i="86"/>
  <c r="AJ71" i="86"/>
  <c r="AI71" i="86"/>
  <c r="AG71" i="86"/>
  <c r="AF71" i="86"/>
  <c r="AB71" i="86"/>
  <c r="S71" i="86"/>
  <c r="P71" i="86"/>
  <c r="D71" i="86"/>
  <c r="AJ70" i="86"/>
  <c r="AI70" i="86"/>
  <c r="AG70" i="86"/>
  <c r="AF70" i="86"/>
  <c r="AB70" i="86"/>
  <c r="Y70" i="86"/>
  <c r="S70" i="86"/>
  <c r="P70" i="86"/>
  <c r="M70" i="86"/>
  <c r="D70" i="86"/>
  <c r="AJ69" i="86"/>
  <c r="AI69" i="86"/>
  <c r="AG69" i="86"/>
  <c r="AF69" i="86"/>
  <c r="AE69" i="86"/>
  <c r="AB69" i="86"/>
  <c r="Y69" i="86"/>
  <c r="V69" i="86"/>
  <c r="S69" i="86"/>
  <c r="P69" i="86"/>
  <c r="M69" i="86"/>
  <c r="J69" i="86"/>
  <c r="G69" i="86"/>
  <c r="D69" i="86"/>
  <c r="AJ68" i="86"/>
  <c r="AI68" i="86"/>
  <c r="AG68" i="86"/>
  <c r="AF68" i="86"/>
  <c r="AE68" i="86"/>
  <c r="AB68" i="86"/>
  <c r="Y68" i="86"/>
  <c r="V68" i="86"/>
  <c r="S68" i="86"/>
  <c r="P68" i="86"/>
  <c r="M68" i="86"/>
  <c r="J68" i="86"/>
  <c r="G68" i="86"/>
  <c r="D68" i="86"/>
  <c r="AI64" i="86"/>
  <c r="AF64" i="86"/>
  <c r="G64" i="86"/>
  <c r="G62" i="86"/>
  <c r="AJ61" i="86"/>
  <c r="AI61" i="86"/>
  <c r="AG61" i="86"/>
  <c r="AF61" i="86"/>
  <c r="AJ59" i="86"/>
  <c r="AG59" i="86"/>
  <c r="AB59" i="86"/>
  <c r="Y59" i="86"/>
  <c r="S59" i="86"/>
  <c r="P59" i="86"/>
  <c r="AJ58" i="86"/>
  <c r="AI58" i="86"/>
  <c r="AG58" i="86"/>
  <c r="AF58" i="86"/>
  <c r="AB58" i="86"/>
  <c r="P58" i="86"/>
  <c r="AJ57" i="86"/>
  <c r="AI57" i="86"/>
  <c r="AG57" i="86"/>
  <c r="AF57" i="86"/>
  <c r="AB57" i="86"/>
  <c r="P57" i="86"/>
  <c r="M57" i="86"/>
  <c r="D57" i="86"/>
  <c r="AJ56" i="86"/>
  <c r="AG56" i="86"/>
  <c r="Y56" i="86"/>
  <c r="P56" i="86"/>
  <c r="M56" i="86"/>
  <c r="D56" i="86"/>
  <c r="AJ55" i="86"/>
  <c r="AG55" i="86"/>
  <c r="AB55" i="86"/>
  <c r="Y55" i="86"/>
  <c r="S55" i="86"/>
  <c r="P55" i="86"/>
  <c r="M55" i="86"/>
  <c r="AF55" i="86"/>
  <c r="D55" i="86"/>
  <c r="AJ53" i="86"/>
  <c r="AI53" i="86"/>
  <c r="AG53" i="86"/>
  <c r="AF53" i="86"/>
  <c r="AJ52" i="86"/>
  <c r="AI52" i="86"/>
  <c r="AG52" i="86"/>
  <c r="AF52" i="86"/>
  <c r="AJ51" i="86"/>
  <c r="AI51" i="86"/>
  <c r="AG51" i="86"/>
  <c r="AF51" i="86"/>
  <c r="P51" i="86"/>
  <c r="AJ49" i="86"/>
  <c r="AI49" i="86"/>
  <c r="AG49" i="86"/>
  <c r="AF49" i="86"/>
  <c r="AB49" i="86"/>
  <c r="P49" i="86"/>
  <c r="AJ48" i="86"/>
  <c r="AI48" i="86"/>
  <c r="AG48" i="86"/>
  <c r="AF48" i="86"/>
  <c r="AH48" i="86" s="1"/>
  <c r="AJ46" i="86"/>
  <c r="AI46" i="86"/>
  <c r="AG46" i="86"/>
  <c r="AF46" i="86"/>
  <c r="Y46" i="86"/>
  <c r="S46" i="86"/>
  <c r="J46" i="86"/>
  <c r="G46" i="86"/>
  <c r="G45" i="86"/>
  <c r="AJ44" i="86"/>
  <c r="AI44" i="86"/>
  <c r="AG44" i="86"/>
  <c r="AF44" i="86"/>
  <c r="Y44" i="86"/>
  <c r="S44" i="86"/>
  <c r="P44" i="86"/>
  <c r="M44" i="86"/>
  <c r="J44" i="86"/>
  <c r="G44" i="86"/>
  <c r="D44" i="86"/>
  <c r="AJ43" i="86"/>
  <c r="AI43" i="86"/>
  <c r="AG43" i="86"/>
  <c r="AF43" i="86"/>
  <c r="AB43" i="86"/>
  <c r="Y43" i="86"/>
  <c r="V43" i="86"/>
  <c r="S43" i="86"/>
  <c r="P43" i="86"/>
  <c r="D43" i="86"/>
  <c r="AJ42" i="86"/>
  <c r="AI42" i="86"/>
  <c r="AG42" i="86"/>
  <c r="AF42" i="86"/>
  <c r="V42" i="86"/>
  <c r="P42" i="86"/>
  <c r="M42" i="86"/>
  <c r="D42" i="86"/>
  <c r="AJ41" i="86"/>
  <c r="AI41" i="86"/>
  <c r="AG41" i="86"/>
  <c r="AF41" i="86"/>
  <c r="AE41" i="86"/>
  <c r="AB41" i="86"/>
  <c r="Y41" i="86"/>
  <c r="V41" i="86"/>
  <c r="S41" i="86"/>
  <c r="P41" i="86"/>
  <c r="M41" i="86"/>
  <c r="J41" i="86"/>
  <c r="G41" i="86"/>
  <c r="D41" i="86"/>
  <c r="AJ40" i="86"/>
  <c r="AI40" i="86"/>
  <c r="AG40" i="86"/>
  <c r="AF40" i="86"/>
  <c r="AB40" i="86"/>
  <c r="Y40" i="86"/>
  <c r="V40" i="86"/>
  <c r="S40" i="86"/>
  <c r="P40" i="86"/>
  <c r="J40" i="86"/>
  <c r="G40" i="86"/>
  <c r="D40" i="86"/>
  <c r="G39" i="86"/>
  <c r="AJ38" i="86"/>
  <c r="AG38" i="86"/>
  <c r="V38" i="86"/>
  <c r="P38" i="86"/>
  <c r="M38" i="86"/>
  <c r="AJ37" i="86"/>
  <c r="AI37" i="86"/>
  <c r="AG37" i="86"/>
  <c r="AF37" i="86"/>
  <c r="Y37" i="86"/>
  <c r="V37" i="86"/>
  <c r="S37" i="86"/>
  <c r="D37" i="86"/>
  <c r="AJ36" i="86"/>
  <c r="AI36" i="86"/>
  <c r="AG36" i="86"/>
  <c r="AF36" i="86"/>
  <c r="Y36" i="86"/>
  <c r="V36" i="86"/>
  <c r="S36" i="86"/>
  <c r="D36" i="86"/>
  <c r="AJ34" i="86"/>
  <c r="AI34" i="86"/>
  <c r="AG34" i="86"/>
  <c r="AF34" i="86"/>
  <c r="AB34" i="86"/>
  <c r="Y34" i="86"/>
  <c r="V34" i="86"/>
  <c r="S34" i="86"/>
  <c r="P34" i="86"/>
  <c r="D34" i="86"/>
  <c r="AJ33" i="86"/>
  <c r="AI33" i="86"/>
  <c r="AG33" i="86"/>
  <c r="AF33" i="86"/>
  <c r="D33" i="86"/>
  <c r="G29" i="86"/>
  <c r="AJ28" i="86"/>
  <c r="AG28" i="86"/>
  <c r="AE28" i="86"/>
  <c r="AB28" i="86"/>
  <c r="Y28" i="86"/>
  <c r="V28" i="86"/>
  <c r="S28" i="86"/>
  <c r="P28" i="86"/>
  <c r="M28" i="86"/>
  <c r="J28" i="86"/>
  <c r="G28" i="86"/>
  <c r="G27" i="86"/>
  <c r="AJ26" i="86"/>
  <c r="AI26" i="86"/>
  <c r="AK26" i="86" s="1"/>
  <c r="AG26" i="86"/>
  <c r="AF26" i="86"/>
  <c r="AH26" i="86" s="1"/>
  <c r="AJ25" i="86"/>
  <c r="AI25" i="86"/>
  <c r="AG25" i="86"/>
  <c r="AF25" i="86"/>
  <c r="Y25" i="86"/>
  <c r="P25" i="86"/>
  <c r="J25" i="86"/>
  <c r="G25" i="86"/>
  <c r="D25" i="86"/>
  <c r="AJ24" i="86"/>
  <c r="AI24" i="86"/>
  <c r="AG24" i="86"/>
  <c r="AF24" i="86"/>
  <c r="AB24" i="86"/>
  <c r="V24" i="86"/>
  <c r="P24" i="86"/>
  <c r="D24" i="86"/>
  <c r="AJ23" i="86"/>
  <c r="AI23" i="86"/>
  <c r="AG23" i="86"/>
  <c r="AF23" i="86"/>
  <c r="AE23" i="86"/>
  <c r="Y23" i="86"/>
  <c r="S23" i="86"/>
  <c r="P23" i="86"/>
  <c r="D23" i="86"/>
  <c r="AJ22" i="86"/>
  <c r="AI22" i="86"/>
  <c r="AG22" i="86"/>
  <c r="AF22" i="86"/>
  <c r="AB22" i="86"/>
  <c r="Y22" i="86"/>
  <c r="V22" i="86"/>
  <c r="S22" i="86"/>
  <c r="P22" i="86"/>
  <c r="M22" i="86"/>
  <c r="J22" i="86"/>
  <c r="G22" i="86"/>
  <c r="D22" i="86"/>
  <c r="AJ21" i="86"/>
  <c r="AI21" i="86"/>
  <c r="AG21" i="86"/>
  <c r="AF21" i="86"/>
  <c r="AB21" i="86"/>
  <c r="Y21" i="86"/>
  <c r="S21" i="86"/>
  <c r="P21" i="86"/>
  <c r="M21" i="86"/>
  <c r="J21" i="86"/>
  <c r="D21" i="86"/>
  <c r="G20" i="86"/>
  <c r="AJ19" i="86"/>
  <c r="AG19" i="86"/>
  <c r="V19" i="86"/>
  <c r="P19" i="86"/>
  <c r="AJ18" i="86"/>
  <c r="AI18" i="86"/>
  <c r="AG18" i="86"/>
  <c r="AF18" i="86"/>
  <c r="Y18" i="86"/>
  <c r="P18" i="86"/>
  <c r="AJ17" i="86"/>
  <c r="AI17" i="86"/>
  <c r="AG17" i="86"/>
  <c r="AF17" i="86"/>
  <c r="Y17" i="86"/>
  <c r="V17" i="86"/>
  <c r="P17" i="86"/>
  <c r="AJ15" i="86"/>
  <c r="AG15" i="86"/>
  <c r="AB15" i="86"/>
  <c r="Y15" i="86"/>
  <c r="V15" i="86"/>
  <c r="P15" i="86"/>
  <c r="AJ14" i="86"/>
  <c r="AI14" i="86"/>
  <c r="AG14" i="86"/>
  <c r="AF14" i="86"/>
  <c r="P14" i="86"/>
  <c r="F8" i="86"/>
  <c r="I8" i="86" s="1"/>
  <c r="L8" i="86" s="1"/>
  <c r="O8" i="86" s="1"/>
  <c r="R8" i="86" s="1"/>
  <c r="U8" i="86" s="1"/>
  <c r="X8" i="86" s="1"/>
  <c r="AA8" i="86" s="1"/>
  <c r="AD8" i="86" s="1"/>
  <c r="AG8" i="86" s="1"/>
  <c r="AJ8" i="86" s="1"/>
  <c r="E8" i="86"/>
  <c r="H8" i="86" s="1"/>
  <c r="K8" i="86" s="1"/>
  <c r="N8" i="86" s="1"/>
  <c r="Q8" i="86" s="1"/>
  <c r="T8" i="86" s="1"/>
  <c r="W8" i="86" s="1"/>
  <c r="Z8" i="86" s="1"/>
  <c r="AC8" i="86" s="1"/>
  <c r="AF8" i="86" s="1"/>
  <c r="AI8" i="86" s="1"/>
  <c r="AG45" i="82"/>
  <c r="AF45" i="82"/>
  <c r="AE45" i="82"/>
  <c r="AB45" i="82"/>
  <c r="S45" i="82"/>
  <c r="P45" i="82"/>
  <c r="AG43" i="82"/>
  <c r="AF43" i="82"/>
  <c r="AB43" i="82"/>
  <c r="Y43" i="82"/>
  <c r="V43" i="82"/>
  <c r="S43" i="82"/>
  <c r="G43" i="82"/>
  <c r="D43" i="82"/>
  <c r="P41" i="82"/>
  <c r="AG40" i="82"/>
  <c r="AF40" i="82"/>
  <c r="AB40" i="82"/>
  <c r="Y40" i="82"/>
  <c r="V40" i="82"/>
  <c r="S40" i="82"/>
  <c r="P40" i="82"/>
  <c r="M40" i="82"/>
  <c r="G40" i="82"/>
  <c r="D40" i="82"/>
  <c r="AG39" i="82"/>
  <c r="AF39" i="82"/>
  <c r="AB39" i="82"/>
  <c r="Y39" i="82"/>
  <c r="V39" i="82"/>
  <c r="S39" i="82"/>
  <c r="P39" i="82"/>
  <c r="D39" i="82"/>
  <c r="AG38" i="82"/>
  <c r="AF38" i="82"/>
  <c r="AE38" i="82"/>
  <c r="AB38" i="82"/>
  <c r="Y38" i="82"/>
  <c r="V38" i="82"/>
  <c r="S38" i="82"/>
  <c r="P38" i="82"/>
  <c r="M38" i="82"/>
  <c r="J38" i="82"/>
  <c r="G38" i="82"/>
  <c r="D38" i="82"/>
  <c r="AG34" i="82"/>
  <c r="AF34" i="82"/>
  <c r="AB34" i="82"/>
  <c r="Y34" i="82"/>
  <c r="S34" i="82"/>
  <c r="P34" i="82"/>
  <c r="D34" i="82"/>
  <c r="AG33" i="82"/>
  <c r="AF33" i="82"/>
  <c r="AE33" i="82"/>
  <c r="AB33" i="82"/>
  <c r="Y33" i="82"/>
  <c r="V33" i="82"/>
  <c r="S33" i="82"/>
  <c r="P33" i="82"/>
  <c r="M33" i="82"/>
  <c r="J33" i="82"/>
  <c r="G33" i="82"/>
  <c r="D33" i="82"/>
  <c r="AG32" i="82"/>
  <c r="AF32" i="82"/>
  <c r="AE32" i="82"/>
  <c r="AB32" i="82"/>
  <c r="Y32" i="82"/>
  <c r="V32" i="82"/>
  <c r="S32" i="82"/>
  <c r="P32" i="82"/>
  <c r="M32" i="82"/>
  <c r="D32" i="82"/>
  <c r="AG31" i="82"/>
  <c r="AF31" i="82"/>
  <c r="AB31" i="82"/>
  <c r="Y31" i="82"/>
  <c r="S31" i="82"/>
  <c r="P31" i="82"/>
  <c r="M31" i="82"/>
  <c r="D31" i="82"/>
  <c r="AG29" i="82"/>
  <c r="AF29" i="82"/>
  <c r="AE29" i="82"/>
  <c r="AB29" i="82"/>
  <c r="Y29" i="82"/>
  <c r="S29" i="82"/>
  <c r="D29" i="82"/>
  <c r="AG28" i="82"/>
  <c r="AF28" i="82"/>
  <c r="AB28" i="82"/>
  <c r="J28" i="82"/>
  <c r="D28" i="82"/>
  <c r="AF27" i="82"/>
  <c r="AB27" i="82"/>
  <c r="V27" i="82"/>
  <c r="AG26" i="82"/>
  <c r="AF26" i="82"/>
  <c r="AB26" i="82"/>
  <c r="Y26" i="82"/>
  <c r="S26" i="82"/>
  <c r="P26" i="82"/>
  <c r="D26" i="82"/>
  <c r="AF25" i="82"/>
  <c r="AB25" i="82"/>
  <c r="Y25" i="82"/>
  <c r="AG24" i="82"/>
  <c r="AF24" i="82"/>
  <c r="AB24" i="82"/>
  <c r="Y24" i="82"/>
  <c r="S24" i="82"/>
  <c r="M24" i="82"/>
  <c r="J24" i="82"/>
  <c r="D24" i="82"/>
  <c r="AG23" i="82"/>
  <c r="AE23" i="82"/>
  <c r="AB23" i="82"/>
  <c r="Y23" i="82"/>
  <c r="V23" i="82"/>
  <c r="S23" i="82"/>
  <c r="P23" i="82"/>
  <c r="AF23" i="82"/>
  <c r="J23" i="82"/>
  <c r="G23" i="82"/>
  <c r="D23" i="82"/>
  <c r="AJ20" i="82"/>
  <c r="AI20" i="82"/>
  <c r="AG20" i="82"/>
  <c r="AF20" i="82"/>
  <c r="AE20" i="82"/>
  <c r="AB20" i="82"/>
  <c r="Y20" i="82"/>
  <c r="S20" i="82"/>
  <c r="P20" i="82"/>
  <c r="M20" i="82"/>
  <c r="G20" i="82"/>
  <c r="D20" i="82"/>
  <c r="AJ19" i="82"/>
  <c r="AG19" i="82"/>
  <c r="Y19" i="82"/>
  <c r="V19" i="82"/>
  <c r="S19" i="82"/>
  <c r="P19" i="82"/>
  <c r="M19" i="82"/>
  <c r="J19" i="82"/>
  <c r="G19" i="82"/>
  <c r="D19" i="82"/>
  <c r="AJ17" i="82"/>
  <c r="AI17" i="82"/>
  <c r="AG17" i="82"/>
  <c r="AF17" i="82"/>
  <c r="AB17" i="82"/>
  <c r="Y17" i="82"/>
  <c r="V17" i="82"/>
  <c r="S17" i="82"/>
  <c r="P17" i="82"/>
  <c r="G17" i="82"/>
  <c r="D17" i="82"/>
  <c r="AJ16" i="82"/>
  <c r="AI16" i="82"/>
  <c r="AG16" i="82"/>
  <c r="AF16" i="82"/>
  <c r="AB16" i="82"/>
  <c r="Y16" i="82"/>
  <c r="S16" i="82"/>
  <c r="P16" i="82"/>
  <c r="M16" i="82"/>
  <c r="D16" i="82"/>
  <c r="AJ15" i="82"/>
  <c r="AI15" i="82"/>
  <c r="AG15" i="82"/>
  <c r="AF15" i="82"/>
  <c r="AE15" i="82"/>
  <c r="AB15" i="82"/>
  <c r="Y15" i="82"/>
  <c r="V15" i="82"/>
  <c r="S15" i="82"/>
  <c r="P15" i="82"/>
  <c r="M15" i="82"/>
  <c r="J15" i="82"/>
  <c r="G15" i="82"/>
  <c r="D15" i="82"/>
  <c r="P14" i="82"/>
  <c r="AJ13" i="82"/>
  <c r="AI13" i="82"/>
  <c r="AG13" i="82"/>
  <c r="AF13" i="82"/>
  <c r="AE13" i="82"/>
  <c r="AB13" i="82"/>
  <c r="Y13" i="82"/>
  <c r="S13" i="82"/>
  <c r="P13" i="82"/>
  <c r="M13" i="82"/>
  <c r="D13" i="82"/>
  <c r="AJ12" i="82"/>
  <c r="AI12" i="82"/>
  <c r="AG12" i="82"/>
  <c r="AF12" i="82"/>
  <c r="AE12" i="82"/>
  <c r="AB12" i="82"/>
  <c r="Y12" i="82"/>
  <c r="S12" i="82"/>
  <c r="M12" i="82"/>
  <c r="J12" i="82"/>
  <c r="G12" i="82"/>
  <c r="D12" i="82"/>
  <c r="AJ11" i="82"/>
  <c r="AI11" i="82"/>
  <c r="AG11" i="82"/>
  <c r="AF11" i="82"/>
  <c r="AE11" i="82"/>
  <c r="AB11" i="82"/>
  <c r="Y11" i="82"/>
  <c r="V11" i="82"/>
  <c r="S11" i="82"/>
  <c r="P11" i="82"/>
  <c r="M11" i="82"/>
  <c r="J11" i="82"/>
  <c r="G11" i="82"/>
  <c r="D11" i="82"/>
  <c r="AJ8" i="82"/>
  <c r="AI8" i="82"/>
  <c r="AG8" i="82"/>
  <c r="AF8" i="82"/>
  <c r="AD8" i="82"/>
  <c r="AC8" i="82"/>
  <c r="AA8" i="82"/>
  <c r="Z8" i="82"/>
  <c r="X8" i="82"/>
  <c r="W8" i="82"/>
  <c r="U8" i="82"/>
  <c r="T8" i="82"/>
  <c r="R8" i="82"/>
  <c r="Q8" i="82"/>
  <c r="O8" i="82"/>
  <c r="N8" i="82"/>
  <c r="L8" i="82"/>
  <c r="K8" i="82"/>
  <c r="I8" i="82"/>
  <c r="H8" i="82"/>
  <c r="F8" i="82"/>
  <c r="E8" i="82"/>
  <c r="AK76" i="86" l="1"/>
  <c r="AH24" i="82"/>
  <c r="AH76" i="86"/>
  <c r="G41" i="82"/>
  <c r="AH23" i="86"/>
  <c r="AH52" i="86"/>
  <c r="C11" i="58"/>
  <c r="C12" i="58"/>
  <c r="AH17" i="86"/>
  <c r="AH21" i="86"/>
  <c r="AK25" i="86"/>
  <c r="B19" i="58"/>
  <c r="B18" i="58"/>
  <c r="AH55" i="86"/>
  <c r="C25" i="58"/>
  <c r="B11" i="58"/>
  <c r="B10" i="58"/>
  <c r="C13" i="58"/>
  <c r="B9" i="58"/>
  <c r="C19" i="58"/>
  <c r="C18" i="58"/>
  <c r="AK43" i="86"/>
  <c r="B22" i="58"/>
  <c r="C10" i="58"/>
  <c r="C9" i="58"/>
  <c r="C22" i="58"/>
  <c r="C30" i="58"/>
  <c r="B20" i="58"/>
  <c r="B28" i="58"/>
  <c r="AH32" i="82"/>
  <c r="AH38" i="82"/>
  <c r="C20" i="58"/>
  <c r="AK48" i="86"/>
  <c r="B27" i="58"/>
  <c r="C28" i="58"/>
  <c r="C26" i="58"/>
  <c r="B29" i="58"/>
  <c r="C17" i="58"/>
  <c r="C14" i="58"/>
  <c r="C27" i="58"/>
  <c r="C29" i="58"/>
  <c r="C21" i="58"/>
  <c r="B17" i="58"/>
  <c r="Y41" i="82"/>
  <c r="AH45" i="82"/>
  <c r="AK57" i="86"/>
  <c r="AH91" i="86"/>
  <c r="S41" i="82"/>
  <c r="AE41" i="82"/>
  <c r="AH73" i="86"/>
  <c r="V41" i="82"/>
  <c r="AH22" i="86"/>
  <c r="J41" i="82"/>
  <c r="AK44" i="86"/>
  <c r="D35" i="86"/>
  <c r="AK70" i="86"/>
  <c r="AH90" i="86"/>
  <c r="AH71" i="86"/>
  <c r="AK78" i="86"/>
  <c r="AK12" i="82"/>
  <c r="AK18" i="86"/>
  <c r="AH11" i="82"/>
  <c r="AH41" i="86"/>
  <c r="AK24" i="86"/>
  <c r="AK58" i="86"/>
  <c r="AH13" i="82"/>
  <c r="J20" i="86"/>
  <c r="AH37" i="86"/>
  <c r="G30" i="82"/>
  <c r="AF28" i="86"/>
  <c r="AH28" i="86" s="1"/>
  <c r="V39" i="86"/>
  <c r="AK46" i="86"/>
  <c r="AK52" i="86"/>
  <c r="AH58" i="86"/>
  <c r="AK71" i="86"/>
  <c r="AH23" i="82"/>
  <c r="AK13" i="82"/>
  <c r="AH28" i="82"/>
  <c r="AH33" i="86"/>
  <c r="AK40" i="86"/>
  <c r="AH42" i="86"/>
  <c r="AK69" i="86"/>
  <c r="AB30" i="82"/>
  <c r="M41" i="82"/>
  <c r="AH44" i="86"/>
  <c r="AK51" i="86"/>
  <c r="S87" i="86"/>
  <c r="AH16" i="82"/>
  <c r="S21" i="82"/>
  <c r="V16" i="86"/>
  <c r="AK36" i="86"/>
  <c r="AK77" i="86"/>
  <c r="AH61" i="86"/>
  <c r="AH69" i="86"/>
  <c r="V14" i="82"/>
  <c r="AH20" i="82"/>
  <c r="P30" i="82"/>
  <c r="AH34" i="82"/>
  <c r="AH14" i="86"/>
  <c r="AH24" i="86"/>
  <c r="AH43" i="86"/>
  <c r="AH88" i="86"/>
  <c r="AH15" i="82"/>
  <c r="AH26" i="82"/>
  <c r="AH39" i="82"/>
  <c r="AH43" i="82"/>
  <c r="D20" i="86"/>
  <c r="AG39" i="86"/>
  <c r="AK20" i="82"/>
  <c r="AK14" i="86"/>
  <c r="P35" i="86"/>
  <c r="AH46" i="86"/>
  <c r="AH70" i="86"/>
  <c r="AH77" i="86"/>
  <c r="J80" i="86"/>
  <c r="AK88" i="86"/>
  <c r="AK15" i="82"/>
  <c r="AH25" i="86"/>
  <c r="S35" i="86"/>
  <c r="AK79" i="86"/>
  <c r="S14" i="82"/>
  <c r="AK17" i="82"/>
  <c r="AH29" i="82"/>
  <c r="J30" i="82"/>
  <c r="Y30" i="82"/>
  <c r="AK17" i="86"/>
  <c r="Y20" i="86"/>
  <c r="V35" i="86"/>
  <c r="M39" i="86"/>
  <c r="AH49" i="86"/>
  <c r="AH78" i="86"/>
  <c r="AK86" i="86"/>
  <c r="Y14" i="82"/>
  <c r="AF19" i="82"/>
  <c r="AH19" i="82" s="1"/>
  <c r="J21" i="82"/>
  <c r="V21" i="82"/>
  <c r="AH31" i="82"/>
  <c r="AB41" i="82"/>
  <c r="S20" i="86"/>
  <c r="AH57" i="86"/>
  <c r="AK90" i="86"/>
  <c r="AH12" i="82"/>
  <c r="AB14" i="82"/>
  <c r="AK16" i="82"/>
  <c r="AH40" i="82"/>
  <c r="AG41" i="82"/>
  <c r="Y54" i="86"/>
  <c r="AK73" i="86"/>
  <c r="AF19" i="86"/>
  <c r="AH19" i="86" s="1"/>
  <c r="J14" i="82"/>
  <c r="D21" i="82"/>
  <c r="M23" i="82"/>
  <c r="AF41" i="82"/>
  <c r="P39" i="86"/>
  <c r="AB39" i="86"/>
  <c r="AH68" i="86"/>
  <c r="AI14" i="82"/>
  <c r="AH17" i="82"/>
  <c r="D30" i="82"/>
  <c r="AH18" i="86"/>
  <c r="D54" i="86"/>
  <c r="P54" i="86"/>
  <c r="AK21" i="86"/>
  <c r="AJ14" i="82"/>
  <c r="AK11" i="82"/>
  <c r="D14" i="82"/>
  <c r="M14" i="82"/>
  <c r="AB19" i="82"/>
  <c r="AH33" i="82"/>
  <c r="AH79" i="86"/>
  <c r="V80" i="86"/>
  <c r="AE20" i="86"/>
  <c r="AK33" i="86"/>
  <c r="AH36" i="86"/>
  <c r="AK42" i="86"/>
  <c r="AH51" i="86"/>
  <c r="AH85" i="86"/>
  <c r="AK23" i="86"/>
  <c r="AJ50" i="86"/>
  <c r="AK68" i="86"/>
  <c r="AK89" i="86"/>
  <c r="AK34" i="86"/>
  <c r="AK49" i="86"/>
  <c r="AH53" i="86"/>
  <c r="AH82" i="86"/>
  <c r="AF15" i="86"/>
  <c r="AH15" i="86" s="1"/>
  <c r="P20" i="86"/>
  <c r="D39" i="86"/>
  <c r="AH40" i="86"/>
  <c r="AK41" i="86"/>
  <c r="AK53" i="86"/>
  <c r="AK61" i="86"/>
  <c r="AK82" i="86"/>
  <c r="AH86" i="86"/>
  <c r="AK91" i="86"/>
  <c r="AB21" i="82"/>
  <c r="AE21" i="82"/>
  <c r="AE14" i="82"/>
  <c r="G21" i="82"/>
  <c r="P21" i="82"/>
  <c r="V30" i="82"/>
  <c r="G14" i="82"/>
  <c r="AF14" i="82"/>
  <c r="AI19" i="82"/>
  <c r="AK19" i="82" s="1"/>
  <c r="Y21" i="82"/>
  <c r="AG21" i="82"/>
  <c r="AE30" i="82"/>
  <c r="D41" i="82"/>
  <c r="AG14" i="82"/>
  <c r="AG30" i="82"/>
  <c r="AI21" i="82"/>
  <c r="AJ21" i="82"/>
  <c r="AE19" i="82"/>
  <c r="S30" i="82"/>
  <c r="AI20" i="86"/>
  <c r="M20" i="86"/>
  <c r="AE39" i="86"/>
  <c r="AJ54" i="86"/>
  <c r="AG54" i="86"/>
  <c r="AG16" i="86"/>
  <c r="AF20" i="86"/>
  <c r="AG20" i="86"/>
  <c r="AF59" i="86"/>
  <c r="AH59" i="86" s="1"/>
  <c r="AI59" i="86"/>
  <c r="AK59" i="86" s="1"/>
  <c r="M59" i="86"/>
  <c r="AJ20" i="86"/>
  <c r="AB19" i="86"/>
  <c r="AI19" i="86"/>
  <c r="M87" i="86"/>
  <c r="AI87" i="86"/>
  <c r="AI15" i="86"/>
  <c r="D15" i="86"/>
  <c r="AB20" i="86"/>
  <c r="AI28" i="86"/>
  <c r="AK28" i="86" s="1"/>
  <c r="D28" i="86"/>
  <c r="Y16" i="86"/>
  <c r="AF35" i="86"/>
  <c r="AI38" i="86"/>
  <c r="AF38" i="86"/>
  <c r="AH38" i="86" s="1"/>
  <c r="AB38" i="86"/>
  <c r="P16" i="86"/>
  <c r="AK22" i="86"/>
  <c r="M35" i="86"/>
  <c r="V20" i="86"/>
  <c r="AH34" i="86"/>
  <c r="AK37" i="86"/>
  <c r="P50" i="86"/>
  <c r="S54" i="86"/>
  <c r="AB80" i="86"/>
  <c r="AK85" i="86"/>
  <c r="D87" i="86"/>
  <c r="Y87" i="86"/>
  <c r="AF87" i="86"/>
  <c r="AJ16" i="86"/>
  <c r="AF39" i="86"/>
  <c r="P87" i="86"/>
  <c r="S80" i="86"/>
  <c r="AJ87" i="86"/>
  <c r="AH89" i="86"/>
  <c r="AF56" i="86"/>
  <c r="AH56" i="86" s="1"/>
  <c r="AI56" i="86"/>
  <c r="AK56" i="86" s="1"/>
  <c r="AF80" i="86"/>
  <c r="Y39" i="86"/>
  <c r="AF50" i="86"/>
  <c r="AB56" i="86"/>
  <c r="AE80" i="86"/>
  <c r="AB87" i="86"/>
  <c r="S39" i="86"/>
  <c r="D80" i="86"/>
  <c r="M80" i="86"/>
  <c r="AG35" i="86"/>
  <c r="Y35" i="86"/>
  <c r="AJ35" i="86"/>
  <c r="J39" i="86"/>
  <c r="AI50" i="86"/>
  <c r="P80" i="86"/>
  <c r="Y80" i="86"/>
  <c r="AI80" i="86"/>
  <c r="AG50" i="86"/>
  <c r="AI55" i="86"/>
  <c r="AJ80" i="86"/>
  <c r="AI39" i="86"/>
  <c r="AG87" i="86"/>
  <c r="AJ39" i="86"/>
  <c r="AG80" i="86"/>
  <c r="Y45" i="86" l="1"/>
  <c r="V27" i="86"/>
  <c r="Y93" i="86"/>
  <c r="AF30" i="82"/>
  <c r="AH30" i="82" s="1"/>
  <c r="D45" i="86"/>
  <c r="J42" i="82"/>
  <c r="S35" i="82"/>
  <c r="B14" i="58"/>
  <c r="AK55" i="86"/>
  <c r="B25" i="58"/>
  <c r="AK38" i="86"/>
  <c r="B21" i="58"/>
  <c r="B26" i="58"/>
  <c r="B30" i="58"/>
  <c r="AK15" i="86"/>
  <c r="B12" i="58"/>
  <c r="AK19" i="86"/>
  <c r="B13" i="58"/>
  <c r="Y27" i="86"/>
  <c r="P35" i="82"/>
  <c r="J29" i="86"/>
  <c r="J27" i="86"/>
  <c r="J35" i="82"/>
  <c r="D93" i="86"/>
  <c r="AK14" i="82"/>
  <c r="AH41" i="82"/>
  <c r="AF54" i="86"/>
  <c r="AH54" i="86" s="1"/>
  <c r="V35" i="82"/>
  <c r="AI16" i="86"/>
  <c r="AK16" i="86" s="1"/>
  <c r="AI54" i="86"/>
  <c r="M30" i="82"/>
  <c r="AI35" i="86"/>
  <c r="AB16" i="86"/>
  <c r="AG60" i="86"/>
  <c r="AF27" i="86"/>
  <c r="J93" i="86"/>
  <c r="Y60" i="86"/>
  <c r="AF16" i="86"/>
  <c r="AH16" i="86" s="1"/>
  <c r="D48" i="81"/>
  <c r="AK21" i="82"/>
  <c r="D60" i="86"/>
  <c r="AJ93" i="86"/>
  <c r="P45" i="86"/>
  <c r="AH14" i="82"/>
  <c r="AB54" i="86"/>
  <c r="S60" i="86"/>
  <c r="S93" i="86"/>
  <c r="AH87" i="86"/>
  <c r="V45" i="86"/>
  <c r="AK87" i="86"/>
  <c r="M93" i="86"/>
  <c r="AG45" i="86"/>
  <c r="AJ45" i="86"/>
  <c r="AH50" i="86"/>
  <c r="AB60" i="86"/>
  <c r="P27" i="86"/>
  <c r="AB35" i="86"/>
  <c r="P93" i="86"/>
  <c r="Y29" i="86"/>
  <c r="V29" i="86"/>
  <c r="P42" i="82"/>
  <c r="AK50" i="86"/>
  <c r="AH80" i="86"/>
  <c r="M45" i="86"/>
  <c r="AH20" i="86"/>
  <c r="D27" i="86"/>
  <c r="Y35" i="82"/>
  <c r="AE35" i="82"/>
  <c r="AG35" i="82"/>
  <c r="D35" i="82"/>
  <c r="AK39" i="86"/>
  <c r="AH35" i="86"/>
  <c r="M54" i="86"/>
  <c r="S27" i="86"/>
  <c r="AB35" i="82"/>
  <c r="AH39" i="86"/>
  <c r="AK20" i="86"/>
  <c r="M21" i="82"/>
  <c r="J44" i="82"/>
  <c r="AG93" i="86"/>
  <c r="AJ27" i="86"/>
  <c r="AG27" i="86"/>
  <c r="AB93" i="86"/>
  <c r="J45" i="86"/>
  <c r="S45" i="86"/>
  <c r="M27" i="86"/>
  <c r="AF21" i="82"/>
  <c r="AK80" i="86"/>
  <c r="AJ60" i="86"/>
  <c r="V93" i="86"/>
  <c r="AE93" i="86"/>
  <c r="P60" i="86"/>
  <c r="G35" i="82"/>
  <c r="H24" i="9"/>
  <c r="Y62" i="86" l="1"/>
  <c r="C24" i="9"/>
  <c r="G24" i="9"/>
  <c r="G61" i="9" s="1"/>
  <c r="D47" i="81"/>
  <c r="AE64" i="86"/>
  <c r="AK35" i="86"/>
  <c r="S42" i="82"/>
  <c r="V42" i="82"/>
  <c r="AI45" i="86"/>
  <c r="F21" i="58" s="1"/>
  <c r="G25" i="58"/>
  <c r="G28" i="58"/>
  <c r="G30" i="58"/>
  <c r="G26" i="58"/>
  <c r="G27" i="58"/>
  <c r="G29" i="58"/>
  <c r="G17" i="58"/>
  <c r="G22" i="58"/>
  <c r="G21" i="58"/>
  <c r="G19" i="58"/>
  <c r="G20" i="58"/>
  <c r="G18" i="58"/>
  <c r="AB27" i="86"/>
  <c r="AI60" i="86"/>
  <c r="AB29" i="86"/>
  <c r="AK54" i="86"/>
  <c r="AI27" i="86"/>
  <c r="AK27" i="86" s="1"/>
  <c r="AB45" i="86"/>
  <c r="AF60" i="86"/>
  <c r="G42" i="82"/>
  <c r="M35" i="82"/>
  <c r="AF42" i="82"/>
  <c r="AF45" i="86"/>
  <c r="S44" i="82"/>
  <c r="J62" i="86"/>
  <c r="AG29" i="86"/>
  <c r="AJ29" i="86"/>
  <c r="AG42" i="82"/>
  <c r="P29" i="86"/>
  <c r="AH93" i="86"/>
  <c r="AB42" i="82"/>
  <c r="Y42" i="82"/>
  <c r="J46" i="82"/>
  <c r="D42" i="82"/>
  <c r="AE27" i="86"/>
  <c r="AG62" i="86"/>
  <c r="AJ62" i="86"/>
  <c r="V62" i="86"/>
  <c r="P62" i="86"/>
  <c r="AH27" i="86"/>
  <c r="P44" i="82"/>
  <c r="AE45" i="86"/>
  <c r="S29" i="86"/>
  <c r="AF35" i="82"/>
  <c r="D29" i="86"/>
  <c r="D62" i="86"/>
  <c r="AH21" i="82"/>
  <c r="M29" i="86"/>
  <c r="S62" i="86"/>
  <c r="M60" i="86"/>
  <c r="AE42" i="82"/>
  <c r="V44" i="82"/>
  <c r="AK93" i="86"/>
  <c r="P64" i="86" l="1"/>
  <c r="M68" i="8"/>
  <c r="B24" i="9"/>
  <c r="M23" i="8" s="1"/>
  <c r="AK45" i="86"/>
  <c r="V64" i="86"/>
  <c r="M64" i="86"/>
  <c r="F22" i="58"/>
  <c r="J64" i="86"/>
  <c r="F20" i="58"/>
  <c r="F18" i="58"/>
  <c r="F17" i="58"/>
  <c r="F19" i="58"/>
  <c r="G13" i="58"/>
  <c r="G9" i="58"/>
  <c r="G14" i="58"/>
  <c r="G11" i="58"/>
  <c r="G12" i="58"/>
  <c r="G10" i="58"/>
  <c r="F27" i="58"/>
  <c r="F28" i="58"/>
  <c r="F29" i="58"/>
  <c r="F30" i="58"/>
  <c r="F25" i="58"/>
  <c r="F26" i="58"/>
  <c r="AF29" i="86"/>
  <c r="AH29" i="86" s="1"/>
  <c r="AI62" i="86"/>
  <c r="AK62" i="86" s="1"/>
  <c r="M62" i="86"/>
  <c r="AH42" i="82"/>
  <c r="AK60" i="86"/>
  <c r="AF62" i="86"/>
  <c r="AH62" i="86" s="1"/>
  <c r="AI29" i="86"/>
  <c r="AK29" i="86" s="1"/>
  <c r="P46" i="82"/>
  <c r="G44" i="82"/>
  <c r="AH35" i="82"/>
  <c r="S64" i="86"/>
  <c r="S46" i="82"/>
  <c r="AH60" i="86"/>
  <c r="Y44" i="82"/>
  <c r="AJ64" i="86"/>
  <c r="D64" i="86"/>
  <c r="AG64" i="86"/>
  <c r="AH45" i="86"/>
  <c r="D44" i="82"/>
  <c r="Y64" i="86"/>
  <c r="AE44" i="82"/>
  <c r="AE62" i="86"/>
  <c r="AB62" i="86"/>
  <c r="AG44" i="82"/>
  <c r="AE29" i="86"/>
  <c r="AB44" i="82"/>
  <c r="AB64" i="86"/>
  <c r="V46" i="82"/>
  <c r="M42" i="82"/>
  <c r="B61" i="9" l="1"/>
  <c r="D24" i="9"/>
  <c r="F11" i="58"/>
  <c r="F9" i="58"/>
  <c r="F10" i="58"/>
  <c r="F12" i="58"/>
  <c r="F14" i="58"/>
  <c r="F13" i="58"/>
  <c r="M44" i="82"/>
  <c r="AF44" i="82"/>
  <c r="AH44" i="82" s="1"/>
  <c r="AG46" i="82"/>
  <c r="AK64" i="86"/>
  <c r="AB46" i="82"/>
  <c r="D46" i="82"/>
  <c r="AE46" i="82"/>
  <c r="Y46" i="82"/>
  <c r="G46" i="82"/>
  <c r="AH64" i="86"/>
  <c r="G16" i="10"/>
  <c r="G26" i="10"/>
  <c r="M46" i="82" l="1"/>
  <c r="AF46" i="82"/>
  <c r="D27" i="58"/>
  <c r="AH46" i="82" l="1"/>
  <c r="B33" i="58"/>
  <c r="D29" i="58"/>
  <c r="D17" i="58"/>
  <c r="D11" i="58"/>
  <c r="D18" i="58"/>
  <c r="C38" i="58"/>
  <c r="D19" i="58"/>
  <c r="D22" i="58"/>
  <c r="D26" i="58"/>
  <c r="C37" i="58"/>
  <c r="D28" i="58"/>
  <c r="C34" i="58"/>
  <c r="C35" i="58"/>
  <c r="C24" i="58"/>
  <c r="C36" i="58"/>
  <c r="D20" i="58"/>
  <c r="C16" i="58"/>
  <c r="D30" i="58"/>
  <c r="C33" i="58"/>
  <c r="C8" i="58"/>
  <c r="D9" i="58"/>
  <c r="D14" i="58"/>
  <c r="B35" i="58"/>
  <c r="D10" i="58"/>
  <c r="B34" i="58"/>
  <c r="G16" i="58" l="1"/>
  <c r="G24" i="58"/>
  <c r="D34" i="58"/>
  <c r="C32" i="58"/>
  <c r="G36" i="58" s="1"/>
  <c r="B38" i="58"/>
  <c r="D38" i="58" s="1"/>
  <c r="D35" i="58"/>
  <c r="D13" i="58"/>
  <c r="B37" i="58"/>
  <c r="D33" i="58"/>
  <c r="D25" i="58"/>
  <c r="B24" i="58"/>
  <c r="D24" i="58" s="1"/>
  <c r="B8" i="58"/>
  <c r="D8" i="58" s="1"/>
  <c r="D12" i="58"/>
  <c r="B36" i="58"/>
  <c r="D21" i="58"/>
  <c r="B16" i="58"/>
  <c r="D16" i="58" s="1"/>
  <c r="H22" i="58" l="1"/>
  <c r="H18" i="58"/>
  <c r="H20" i="58"/>
  <c r="H21" i="58"/>
  <c r="G8" i="58"/>
  <c r="H28" i="58"/>
  <c r="H27" i="58"/>
  <c r="H29" i="58"/>
  <c r="H26" i="58"/>
  <c r="H30" i="58"/>
  <c r="G35" i="58"/>
  <c r="B32" i="58"/>
  <c r="F34" i="58" s="1"/>
  <c r="G33" i="58"/>
  <c r="G37" i="58"/>
  <c r="G38" i="58"/>
  <c r="H19" i="58"/>
  <c r="G34" i="58"/>
  <c r="D36" i="58"/>
  <c r="D37" i="58"/>
  <c r="G32" i="58" l="1"/>
  <c r="F33" i="58"/>
  <c r="H33" i="58" s="1"/>
  <c r="H10" i="58"/>
  <c r="H14" i="58"/>
  <c r="F37" i="58"/>
  <c r="H37" i="58" s="1"/>
  <c r="F38" i="58"/>
  <c r="H38" i="58" s="1"/>
  <c r="H34" i="58"/>
  <c r="F36" i="58"/>
  <c r="H36" i="58" s="1"/>
  <c r="H17" i="58"/>
  <c r="F16" i="58"/>
  <c r="H16" i="58" s="1"/>
  <c r="H12" i="58"/>
  <c r="H13" i="58"/>
  <c r="H25" i="58"/>
  <c r="F24" i="58"/>
  <c r="H24" i="58" s="1"/>
  <c r="F35" i="58"/>
  <c r="H35" i="58" s="1"/>
  <c r="D32" i="58"/>
  <c r="H11" i="58"/>
  <c r="H9" i="58"/>
  <c r="F8" i="58"/>
  <c r="H8" i="58" s="1"/>
  <c r="F32" i="58" l="1"/>
  <c r="H32" i="58" s="1"/>
  <c r="K36" i="79" l="1"/>
  <c r="J9" i="79"/>
  <c r="K8" i="79"/>
  <c r="D7" i="79" l="1"/>
  <c r="D37" i="79"/>
  <c r="K122" i="79"/>
  <c r="J23" i="79"/>
  <c r="K114" i="79"/>
  <c r="D48" i="79"/>
  <c r="D10" i="79"/>
  <c r="J114" i="79"/>
  <c r="J29" i="79"/>
  <c r="J120" i="79"/>
  <c r="J97" i="79"/>
  <c r="J28" i="79"/>
  <c r="J37" i="79"/>
  <c r="K76" i="79"/>
  <c r="D120" i="79"/>
  <c r="D122" i="79"/>
  <c r="D9" i="79"/>
  <c r="K7" i="79"/>
  <c r="J22" i="79"/>
  <c r="J30" i="79"/>
  <c r="K10" i="79"/>
  <c r="D36" i="79"/>
  <c r="J36" i="79"/>
  <c r="D8" i="79"/>
  <c r="J8" i="79"/>
  <c r="L8" i="79" s="1"/>
  <c r="K22" i="79"/>
  <c r="K23" i="79"/>
  <c r="K28" i="79"/>
  <c r="K29" i="79"/>
  <c r="K30" i="79"/>
  <c r="J10" i="79"/>
  <c r="K9" i="79"/>
  <c r="L9" i="79" s="1"/>
  <c r="J7" i="79"/>
  <c r="D22" i="79"/>
  <c r="D23" i="79"/>
  <c r="D28" i="79"/>
  <c r="D29" i="79"/>
  <c r="D30" i="79"/>
  <c r="K37" i="79"/>
  <c r="D76" i="79"/>
  <c r="K97" i="79"/>
  <c r="J76" i="79"/>
  <c r="D97" i="79"/>
  <c r="D114" i="79"/>
  <c r="L23" i="79" l="1"/>
  <c r="L120" i="79"/>
  <c r="L122" i="79"/>
  <c r="L76" i="79"/>
  <c r="L97" i="79"/>
  <c r="L114" i="79"/>
  <c r="L10" i="79"/>
  <c r="L22" i="79"/>
  <c r="L29" i="79"/>
  <c r="L28" i="79"/>
  <c r="L7" i="79"/>
  <c r="L30" i="79"/>
  <c r="H32" i="9"/>
  <c r="H69" i="9" s="1"/>
  <c r="K119" i="79"/>
  <c r="K111" i="79"/>
  <c r="G32" i="9"/>
  <c r="G69" i="9" s="1"/>
  <c r="D66" i="79"/>
  <c r="C32" i="9"/>
  <c r="C69" i="9" s="1"/>
  <c r="D111" i="79"/>
  <c r="J111" i="79"/>
  <c r="D119" i="79"/>
  <c r="J119" i="79"/>
  <c r="L111" i="79" l="1"/>
  <c r="L119" i="79"/>
  <c r="D87" i="79"/>
  <c r="K87" i="79"/>
  <c r="D47" i="79"/>
  <c r="B32" i="9"/>
  <c r="B69" i="9" s="1"/>
  <c r="J87" i="79" l="1"/>
  <c r="L87" i="79" s="1"/>
  <c r="J66" i="79"/>
  <c r="K66" i="79"/>
  <c r="H22" i="9" l="1"/>
  <c r="L66" i="79"/>
  <c r="D48" i="78"/>
  <c r="G22" i="9" l="1"/>
  <c r="C22" i="9"/>
  <c r="N21" i="8" s="1"/>
  <c r="D47" i="78"/>
  <c r="H59" i="9"/>
  <c r="N66" i="8"/>
  <c r="M66" i="8" l="1"/>
  <c r="G59" i="9"/>
  <c r="C59" i="9"/>
  <c r="B22" i="9"/>
  <c r="M21" i="8" l="1"/>
  <c r="D22" i="9"/>
  <c r="B59" i="9"/>
  <c r="D59" i="9" s="1"/>
  <c r="D54" i="77" l="1"/>
  <c r="D55" i="77"/>
  <c r="H11" i="9"/>
  <c r="D48" i="77"/>
  <c r="G11" i="9"/>
  <c r="G48" i="9" s="1"/>
  <c r="D53" i="77" l="1"/>
  <c r="M56" i="8"/>
  <c r="H48" i="9"/>
  <c r="N56" i="8"/>
  <c r="D49" i="77"/>
  <c r="C11" i="9"/>
  <c r="C48" i="9" l="1"/>
  <c r="N10" i="8"/>
  <c r="B11" i="9"/>
  <c r="M10" i="8" s="1"/>
  <c r="D47" i="77"/>
  <c r="D11" i="9" l="1"/>
  <c r="B48" i="9"/>
  <c r="D48" i="9" s="1"/>
  <c r="N123" i="8" l="1"/>
  <c r="M123" i="8"/>
  <c r="N101" i="8"/>
  <c r="M101" i="8"/>
  <c r="N86" i="8"/>
  <c r="M86" i="8"/>
  <c r="N73" i="8"/>
  <c r="M73" i="8"/>
  <c r="N53" i="8"/>
  <c r="M53" i="8"/>
  <c r="N35" i="8"/>
  <c r="M35" i="8"/>
  <c r="H67" i="9" l="1"/>
  <c r="L68" i="9"/>
  <c r="M68" i="9"/>
  <c r="O68" i="9"/>
  <c r="N68" i="9"/>
  <c r="K8" i="74" l="1"/>
  <c r="H31" i="9"/>
  <c r="G31" i="9"/>
  <c r="D8" i="74"/>
  <c r="J8" i="74"/>
  <c r="K7" i="74"/>
  <c r="J7" i="74"/>
  <c r="D48" i="74"/>
  <c r="D7" i="74"/>
  <c r="M74" i="8" l="1"/>
  <c r="G68" i="9"/>
  <c r="L8" i="74"/>
  <c r="C31" i="9"/>
  <c r="L7" i="74"/>
  <c r="D47" i="74"/>
  <c r="H68" i="9"/>
  <c r="N74" i="8"/>
  <c r="B31" i="9"/>
  <c r="M30" i="8" s="1"/>
  <c r="B68" i="9" l="1"/>
  <c r="F22" i="4" l="1"/>
  <c r="B29" i="4"/>
  <c r="B22" i="4"/>
  <c r="E22" i="4"/>
  <c r="C22" i="4"/>
  <c r="E29" i="4"/>
  <c r="C29" i="4"/>
  <c r="F29" i="4"/>
  <c r="G21" i="10" l="1"/>
  <c r="C21" i="10"/>
  <c r="E29" i="79"/>
  <c r="E22" i="79"/>
  <c r="G10" i="10"/>
  <c r="C10" i="10"/>
  <c r="F31" i="4"/>
  <c r="F33" i="4"/>
  <c r="E31" i="4"/>
  <c r="E30" i="4"/>
  <c r="I33" i="33" l="1"/>
  <c r="I33" i="37"/>
  <c r="E24" i="4"/>
  <c r="E25" i="4"/>
  <c r="F30" i="4"/>
  <c r="C25" i="4"/>
  <c r="F24" i="4"/>
  <c r="B25" i="4"/>
  <c r="F25" i="4"/>
  <c r="C30" i="4"/>
  <c r="E32" i="4"/>
  <c r="F23" i="4"/>
  <c r="B30" i="4"/>
  <c r="E33" i="4"/>
  <c r="B23" i="4"/>
  <c r="B31" i="4"/>
  <c r="C23" i="4"/>
  <c r="E26" i="4"/>
  <c r="C31" i="4"/>
  <c r="B24" i="4"/>
  <c r="F26" i="4"/>
  <c r="B32" i="4"/>
  <c r="C24" i="4"/>
  <c r="C32" i="4"/>
  <c r="F32" i="4"/>
  <c r="E23" i="4"/>
  <c r="K32" i="13"/>
  <c r="D23" i="23"/>
  <c r="H23" i="33"/>
  <c r="D23" i="29"/>
  <c r="D30" i="33"/>
  <c r="H24" i="23"/>
  <c r="D30" i="16"/>
  <c r="D25" i="13"/>
  <c r="D31" i="37"/>
  <c r="D32" i="29"/>
  <c r="H30" i="37"/>
  <c r="H30" i="33"/>
  <c r="H30" i="29"/>
  <c r="H30" i="23"/>
  <c r="H30" i="13"/>
  <c r="D23" i="37"/>
  <c r="D23" i="20"/>
  <c r="D30" i="37"/>
  <c r="D30" i="20"/>
  <c r="H23" i="37"/>
  <c r="H24" i="13"/>
  <c r="H31" i="37"/>
  <c r="H31" i="29"/>
  <c r="H31" i="23"/>
  <c r="H31" i="13"/>
  <c r="H25" i="13"/>
  <c r="D31" i="13"/>
  <c r="H32" i="37"/>
  <c r="H32" i="33"/>
  <c r="H32" i="29"/>
  <c r="H32" i="23"/>
  <c r="H33" i="37"/>
  <c r="H33" i="33"/>
  <c r="H33" i="29"/>
  <c r="H33" i="23"/>
  <c r="H23" i="13"/>
  <c r="D30" i="13"/>
  <c r="D31" i="33"/>
  <c r="D31" i="29"/>
  <c r="D32" i="13"/>
  <c r="H24" i="37"/>
  <c r="H24" i="33"/>
  <c r="H31" i="33"/>
  <c r="H25" i="37"/>
  <c r="H25" i="33"/>
  <c r="H25" i="29"/>
  <c r="H32" i="13"/>
  <c r="D24" i="37"/>
  <c r="D24" i="33"/>
  <c r="D24" i="29"/>
  <c r="D24" i="13"/>
  <c r="H26" i="37"/>
  <c r="H26" i="33"/>
  <c r="H26" i="29"/>
  <c r="H26" i="23"/>
  <c r="J30" i="29"/>
  <c r="D30" i="29"/>
  <c r="J30" i="23"/>
  <c r="D30" i="23"/>
  <c r="D23" i="33"/>
  <c r="H23" i="29"/>
  <c r="D23" i="13"/>
  <c r="J33" i="23"/>
  <c r="J33" i="33"/>
  <c r="J33" i="29"/>
  <c r="J25" i="29"/>
  <c r="J25" i="13"/>
  <c r="J32" i="33"/>
  <c r="J32" i="29"/>
  <c r="J32" i="23"/>
  <c r="J26" i="37"/>
  <c r="J26" i="33"/>
  <c r="J26" i="29"/>
  <c r="J26" i="23"/>
  <c r="K23" i="33"/>
  <c r="J33" i="37"/>
  <c r="K31" i="23"/>
  <c r="K30" i="16"/>
  <c r="K25" i="37"/>
  <c r="K25" i="33"/>
  <c r="K25" i="29"/>
  <c r="K25" i="13"/>
  <c r="K23" i="37"/>
  <c r="K23" i="20"/>
  <c r="K32" i="33"/>
  <c r="K32" i="29"/>
  <c r="K32" i="23"/>
  <c r="J30" i="16"/>
  <c r="K33" i="23"/>
  <c r="K26" i="33"/>
  <c r="K26" i="29"/>
  <c r="K23" i="13"/>
  <c r="K33" i="33"/>
  <c r="K33" i="29"/>
  <c r="J23" i="20"/>
  <c r="J23" i="37"/>
  <c r="K26" i="37"/>
  <c r="K26" i="23"/>
  <c r="K31" i="13"/>
  <c r="J23" i="29"/>
  <c r="J23" i="23"/>
  <c r="J25" i="37"/>
  <c r="J25" i="33"/>
  <c r="K24" i="23"/>
  <c r="K24" i="13"/>
  <c r="K31" i="33"/>
  <c r="K31" i="29"/>
  <c r="J23" i="13"/>
  <c r="K30" i="20"/>
  <c r="K30" i="13"/>
  <c r="K24" i="33"/>
  <c r="K24" i="29"/>
  <c r="J31" i="37"/>
  <c r="J31" i="13"/>
  <c r="J24" i="37"/>
  <c r="J24" i="33"/>
  <c r="J24" i="29"/>
  <c r="J24" i="23"/>
  <c r="J24" i="13"/>
  <c r="K23" i="29"/>
  <c r="K23" i="23"/>
  <c r="J31" i="33"/>
  <c r="J31" i="29"/>
  <c r="J31" i="23"/>
  <c r="K24" i="37"/>
  <c r="K30" i="37"/>
  <c r="J30" i="13"/>
  <c r="J23" i="33"/>
  <c r="J30" i="33"/>
  <c r="J32" i="13"/>
  <c r="J30" i="37"/>
  <c r="J30" i="20"/>
  <c r="J32" i="37"/>
  <c r="K30" i="33"/>
  <c r="K30" i="29"/>
  <c r="K30" i="23"/>
  <c r="K32" i="37"/>
  <c r="K31" i="37"/>
  <c r="K33" i="37"/>
  <c r="L32" i="13" l="1"/>
  <c r="L31" i="23"/>
  <c r="E23" i="79"/>
  <c r="E30" i="79"/>
  <c r="L23" i="33"/>
  <c r="L30" i="37"/>
  <c r="L24" i="23"/>
  <c r="L24" i="29"/>
  <c r="L23" i="20"/>
  <c r="L31" i="29"/>
  <c r="L25" i="29"/>
  <c r="L24" i="33"/>
  <c r="L26" i="33"/>
  <c r="L33" i="23"/>
  <c r="L30" i="20"/>
  <c r="L31" i="13"/>
  <c r="L24" i="13"/>
  <c r="L24" i="37"/>
  <c r="L31" i="37"/>
  <c r="L23" i="23"/>
  <c r="L26" i="37"/>
  <c r="L26" i="29"/>
  <c r="L30" i="29"/>
  <c r="L32" i="37"/>
  <c r="L31" i="33"/>
  <c r="L23" i="13"/>
  <c r="L23" i="29"/>
  <c r="L33" i="37"/>
  <c r="L32" i="23"/>
  <c r="L25" i="13"/>
  <c r="L33" i="29"/>
  <c r="L25" i="33"/>
  <c r="L30" i="16"/>
  <c r="L26" i="23"/>
  <c r="L32" i="29"/>
  <c r="L33" i="33"/>
  <c r="L30" i="13"/>
  <c r="L30" i="33"/>
  <c r="L25" i="37"/>
  <c r="L23" i="37"/>
  <c r="L32" i="33"/>
  <c r="L30" i="23"/>
  <c r="J9" i="72"/>
  <c r="K8" i="72"/>
  <c r="L8" i="72" l="1"/>
  <c r="E31" i="13"/>
  <c r="E31" i="37"/>
  <c r="E31" i="33"/>
  <c r="E31" i="29"/>
  <c r="E23" i="23"/>
  <c r="E23" i="13"/>
  <c r="E23" i="20"/>
  <c r="E23" i="37"/>
  <c r="E23" i="33"/>
  <c r="E23" i="29"/>
  <c r="E25" i="13"/>
  <c r="E30" i="13"/>
  <c r="E30" i="20"/>
  <c r="E30" i="37"/>
  <c r="E30" i="23"/>
  <c r="E30" i="29"/>
  <c r="E30" i="16"/>
  <c r="E30" i="33"/>
  <c r="E32" i="13"/>
  <c r="E32" i="29"/>
  <c r="E24" i="13"/>
  <c r="E24" i="29"/>
  <c r="E24" i="33"/>
  <c r="E24" i="37"/>
  <c r="K7" i="72"/>
  <c r="K9" i="72"/>
  <c r="L9" i="72" s="1"/>
  <c r="J7" i="72"/>
  <c r="D8" i="72"/>
  <c r="D48" i="72"/>
  <c r="D7" i="72"/>
  <c r="D9" i="72"/>
  <c r="L7" i="72" l="1"/>
  <c r="H26" i="9"/>
  <c r="D47" i="72"/>
  <c r="G26" i="9"/>
  <c r="G63" i="9" s="1"/>
  <c r="B26" i="9"/>
  <c r="M25" i="8" s="1"/>
  <c r="C26" i="9" l="1"/>
  <c r="B63" i="9"/>
  <c r="C63" i="9" l="1"/>
  <c r="D63" i="9" s="1"/>
  <c r="N25" i="8"/>
  <c r="G33" i="4"/>
  <c r="I33" i="4" l="1"/>
  <c r="H33" i="4"/>
  <c r="M33" i="33" l="1"/>
  <c r="M33" i="37"/>
  <c r="J33" i="4"/>
  <c r="B97" i="4" l="1"/>
  <c r="C97" i="4"/>
  <c r="C76" i="4"/>
  <c r="B76" i="4"/>
  <c r="K97" i="37"/>
  <c r="J97" i="37"/>
  <c r="D97" i="29"/>
  <c r="K97" i="33"/>
  <c r="K97" i="29"/>
  <c r="J97" i="13"/>
  <c r="J97" i="33"/>
  <c r="J97" i="29"/>
  <c r="D97" i="37"/>
  <c r="D97" i="13"/>
  <c r="K97" i="13"/>
  <c r="D97" i="33"/>
  <c r="K76" i="37"/>
  <c r="D76" i="33"/>
  <c r="D76" i="37"/>
  <c r="K76" i="29"/>
  <c r="J76" i="13"/>
  <c r="J76" i="37"/>
  <c r="D76" i="29"/>
  <c r="K76" i="33"/>
  <c r="J76" i="33"/>
  <c r="J76" i="29"/>
  <c r="D76" i="13"/>
  <c r="K76" i="13"/>
  <c r="J8" i="37"/>
  <c r="K8" i="37"/>
  <c r="J9" i="37"/>
  <c r="K9" i="37"/>
  <c r="J36" i="37"/>
  <c r="J37" i="37"/>
  <c r="E76" i="13" l="1"/>
  <c r="E76" i="29"/>
  <c r="E76" i="37"/>
  <c r="E76" i="33"/>
  <c r="E76" i="79"/>
  <c r="L8" i="37"/>
  <c r="L9" i="37"/>
  <c r="L76" i="33"/>
  <c r="L97" i="33"/>
  <c r="L97" i="29"/>
  <c r="L76" i="29"/>
  <c r="L76" i="13"/>
  <c r="D97" i="4"/>
  <c r="D76" i="4"/>
  <c r="L97" i="37"/>
  <c r="L76" i="37"/>
  <c r="L97" i="13"/>
  <c r="I97" i="4"/>
  <c r="I76" i="4"/>
  <c r="H34" i="37"/>
  <c r="H116" i="37"/>
  <c r="D114" i="37"/>
  <c r="D116" i="37"/>
  <c r="J124" i="37"/>
  <c r="H76" i="4"/>
  <c r="H97" i="4"/>
  <c r="K12" i="37"/>
  <c r="K7" i="37"/>
  <c r="H113" i="37"/>
  <c r="H117" i="37"/>
  <c r="J88" i="37"/>
  <c r="K75" i="37"/>
  <c r="K108" i="37"/>
  <c r="K96" i="37"/>
  <c r="K67" i="37"/>
  <c r="J35" i="37"/>
  <c r="J10" i="37"/>
  <c r="D7" i="37"/>
  <c r="K137" i="37"/>
  <c r="K135" i="37"/>
  <c r="K134" i="37"/>
  <c r="K122" i="37"/>
  <c r="D122" i="37"/>
  <c r="H112" i="37"/>
  <c r="J121" i="37"/>
  <c r="D137" i="37"/>
  <c r="H121" i="37"/>
  <c r="K114" i="37"/>
  <c r="K107" i="37"/>
  <c r="K99" i="37"/>
  <c r="J125" i="37"/>
  <c r="K116" i="37"/>
  <c r="K78" i="37"/>
  <c r="D8" i="37"/>
  <c r="H108" i="37"/>
  <c r="D67" i="37"/>
  <c r="K110" i="37"/>
  <c r="J86" i="37"/>
  <c r="K28" i="37"/>
  <c r="H7" i="37"/>
  <c r="D135" i="37"/>
  <c r="H124" i="37"/>
  <c r="J110" i="37"/>
  <c r="D108" i="37"/>
  <c r="D28" i="37"/>
  <c r="D125" i="37"/>
  <c r="K113" i="37"/>
  <c r="J108" i="37"/>
  <c r="D34" i="37"/>
  <c r="K10" i="37"/>
  <c r="K125" i="37"/>
  <c r="J117" i="37"/>
  <c r="J113" i="37"/>
  <c r="D110" i="37"/>
  <c r="K136" i="37"/>
  <c r="J134" i="37"/>
  <c r="H35" i="37"/>
  <c r="J28" i="37"/>
  <c r="K11" i="37"/>
  <c r="J122" i="37"/>
  <c r="J116" i="37"/>
  <c r="K109" i="37"/>
  <c r="D35" i="37"/>
  <c r="J12" i="37"/>
  <c r="J7" i="37"/>
  <c r="H75" i="37"/>
  <c r="D48" i="37"/>
  <c r="J137" i="37"/>
  <c r="K121" i="37"/>
  <c r="J67" i="37"/>
  <c r="H125" i="37"/>
  <c r="D124" i="37"/>
  <c r="D109" i="37"/>
  <c r="H96" i="37"/>
  <c r="K88" i="37"/>
  <c r="D55" i="37"/>
  <c r="J34" i="37"/>
  <c r="D9" i="37"/>
  <c r="J107" i="37"/>
  <c r="D107" i="37"/>
  <c r="K124" i="37"/>
  <c r="D99" i="37"/>
  <c r="D134" i="37"/>
  <c r="D120" i="37"/>
  <c r="J78" i="37"/>
  <c r="D78" i="37"/>
  <c r="J75" i="37"/>
  <c r="D75" i="37"/>
  <c r="J112" i="37"/>
  <c r="D112" i="37"/>
  <c r="J109" i="37"/>
  <c r="J135" i="37"/>
  <c r="D136" i="37"/>
  <c r="K120" i="37"/>
  <c r="J99" i="37"/>
  <c r="J96" i="37"/>
  <c r="D96" i="37"/>
  <c r="K86" i="37"/>
  <c r="J136" i="37"/>
  <c r="J120" i="37"/>
  <c r="J114" i="37"/>
  <c r="H109" i="37"/>
  <c r="D86" i="37"/>
  <c r="K117" i="37"/>
  <c r="K112" i="37"/>
  <c r="D88" i="37"/>
  <c r="H11" i="37"/>
  <c r="D10" i="37"/>
  <c r="K35" i="37"/>
  <c r="D57" i="37"/>
  <c r="D54" i="37"/>
  <c r="K34" i="37"/>
  <c r="H12" i="37"/>
  <c r="K37" i="37"/>
  <c r="L37" i="37" s="1"/>
  <c r="D37" i="37"/>
  <c r="H10" i="37"/>
  <c r="K36" i="37"/>
  <c r="L36" i="37" s="1"/>
  <c r="D36" i="37"/>
  <c r="J11" i="37"/>
  <c r="M76" i="29" l="1"/>
  <c r="M76" i="33"/>
  <c r="M76" i="16"/>
  <c r="M76" i="79"/>
  <c r="M76" i="37"/>
  <c r="M76" i="13"/>
  <c r="L122" i="37"/>
  <c r="J76" i="4"/>
  <c r="L114" i="37"/>
  <c r="D77" i="37"/>
  <c r="H29" i="37"/>
  <c r="J29" i="37"/>
  <c r="D100" i="37"/>
  <c r="K98" i="37"/>
  <c r="K77" i="37"/>
  <c r="J79" i="37"/>
  <c r="L110" i="37"/>
  <c r="J97" i="4"/>
  <c r="J100" i="37"/>
  <c r="J66" i="37"/>
  <c r="L116" i="37"/>
  <c r="D89" i="37"/>
  <c r="K22" i="37"/>
  <c r="D49" i="37"/>
  <c r="J22" i="37"/>
  <c r="H22" i="37"/>
  <c r="K29" i="37"/>
  <c r="D29" i="37"/>
  <c r="D22" i="37"/>
  <c r="D87" i="37"/>
  <c r="D56" i="37"/>
  <c r="L88" i="37"/>
  <c r="L124" i="37"/>
  <c r="L12" i="37"/>
  <c r="L78" i="37"/>
  <c r="K111" i="37"/>
  <c r="L7" i="37"/>
  <c r="L135" i="37"/>
  <c r="D53" i="37"/>
  <c r="L28" i="37"/>
  <c r="L136" i="37"/>
  <c r="L96" i="37"/>
  <c r="L34" i="37"/>
  <c r="L109" i="37"/>
  <c r="L67" i="37"/>
  <c r="L99" i="37"/>
  <c r="L108" i="37"/>
  <c r="L134" i="37"/>
  <c r="L10" i="37"/>
  <c r="D47" i="37"/>
  <c r="L107" i="37"/>
  <c r="L75" i="37"/>
  <c r="K119" i="37"/>
  <c r="H111" i="37"/>
  <c r="L86" i="37"/>
  <c r="L121" i="37"/>
  <c r="H119" i="37"/>
  <c r="L137" i="37"/>
  <c r="L35" i="37"/>
  <c r="L120" i="37"/>
  <c r="L11" i="37"/>
  <c r="D119" i="37"/>
  <c r="L117" i="37"/>
  <c r="L125" i="37"/>
  <c r="L113" i="37"/>
  <c r="J111" i="37"/>
  <c r="D111" i="37"/>
  <c r="D66" i="37"/>
  <c r="D98" i="37"/>
  <c r="J119" i="37"/>
  <c r="L112" i="37"/>
  <c r="L29" i="37" l="1"/>
  <c r="K79" i="37"/>
  <c r="L79" i="37" s="1"/>
  <c r="K100" i="37"/>
  <c r="L100" i="37" s="1"/>
  <c r="K87" i="37"/>
  <c r="K89" i="37"/>
  <c r="H68" i="37"/>
  <c r="H79" i="37"/>
  <c r="H100" i="37"/>
  <c r="H77" i="37"/>
  <c r="H98" i="37"/>
  <c r="L22" i="37"/>
  <c r="J68" i="37"/>
  <c r="K68" i="37"/>
  <c r="H89" i="37"/>
  <c r="J89" i="37"/>
  <c r="L111" i="37"/>
  <c r="L119" i="37"/>
  <c r="H87" i="37" l="1"/>
  <c r="L89" i="37"/>
  <c r="J98" i="37"/>
  <c r="L98" i="37" s="1"/>
  <c r="J77" i="37"/>
  <c r="L77" i="37" s="1"/>
  <c r="L68" i="37"/>
  <c r="J87" i="37"/>
  <c r="L87" i="37" s="1"/>
  <c r="H66" i="37"/>
  <c r="K66" i="37"/>
  <c r="L66" i="37" s="1"/>
  <c r="G31" i="4" l="1"/>
  <c r="G23" i="4" l="1"/>
  <c r="G24" i="4"/>
  <c r="G30" i="4"/>
  <c r="G25" i="4"/>
  <c r="G32" i="4"/>
  <c r="D32" i="4"/>
  <c r="D24" i="4"/>
  <c r="I23" i="37"/>
  <c r="I25" i="37"/>
  <c r="I30" i="37"/>
  <c r="I31" i="37"/>
  <c r="G26" i="4"/>
  <c r="D25" i="4"/>
  <c r="I24" i="37"/>
  <c r="I32" i="37"/>
  <c r="D30" i="4"/>
  <c r="D31" i="4"/>
  <c r="E29" i="23" l="1"/>
  <c r="E29" i="29"/>
  <c r="E29" i="33"/>
  <c r="E29" i="16"/>
  <c r="E29" i="20"/>
  <c r="E29" i="51"/>
  <c r="E29" i="37"/>
  <c r="E29" i="13"/>
  <c r="D23" i="4"/>
  <c r="I26" i="4"/>
  <c r="H26" i="4"/>
  <c r="F26" i="10"/>
  <c r="F16" i="10"/>
  <c r="F34" i="10"/>
  <c r="I26" i="29"/>
  <c r="I26" i="23"/>
  <c r="I26" i="33"/>
  <c r="I26" i="37"/>
  <c r="G34" i="10"/>
  <c r="M26" i="29" l="1"/>
  <c r="J26" i="4"/>
  <c r="M26" i="23"/>
  <c r="M26" i="37"/>
  <c r="M26" i="33"/>
  <c r="G56" i="10" l="1"/>
  <c r="G60" i="10"/>
  <c r="F60" i="10" l="1"/>
  <c r="F56" i="10"/>
  <c r="K28" i="10" l="1"/>
  <c r="J28" i="10"/>
  <c r="K9" i="33" l="1"/>
  <c r="K9" i="29"/>
  <c r="K8" i="51"/>
  <c r="K8" i="29"/>
  <c r="K8" i="33"/>
  <c r="K9" i="51"/>
  <c r="K8" i="25"/>
  <c r="K9" i="25"/>
  <c r="K8" i="22"/>
  <c r="K9" i="22"/>
  <c r="K9" i="20"/>
  <c r="K8" i="20"/>
  <c r="K8" i="19"/>
  <c r="J36" i="13"/>
  <c r="K9" i="19"/>
  <c r="K39" i="13"/>
  <c r="K37" i="13"/>
  <c r="J39" i="13"/>
  <c r="J37" i="13"/>
  <c r="K36" i="13"/>
  <c r="K8" i="13"/>
  <c r="K9" i="13"/>
  <c r="D22" i="16"/>
  <c r="B12" i="4" l="1"/>
  <c r="B41" i="10" s="1"/>
  <c r="E116" i="4"/>
  <c r="C28" i="4"/>
  <c r="F75" i="4"/>
  <c r="C34" i="4"/>
  <c r="B36" i="4"/>
  <c r="B16" i="10" s="1"/>
  <c r="F79" i="4"/>
  <c r="B116" i="4"/>
  <c r="C39" i="4"/>
  <c r="C75" i="4"/>
  <c r="F107" i="4"/>
  <c r="B75" i="4"/>
  <c r="B114" i="4"/>
  <c r="B39" i="4"/>
  <c r="C121" i="4"/>
  <c r="F112" i="4"/>
  <c r="B113" i="4"/>
  <c r="B68" i="4"/>
  <c r="B13" i="10" s="1"/>
  <c r="F100" i="4"/>
  <c r="E10" i="4"/>
  <c r="F20" i="10" s="1"/>
  <c r="B134" i="4"/>
  <c r="B15" i="10" s="1"/>
  <c r="B78" i="4"/>
  <c r="E136" i="4"/>
  <c r="C7" i="4"/>
  <c r="E7" i="91" s="1"/>
  <c r="B9" i="4"/>
  <c r="C36" i="4"/>
  <c r="B121" i="4"/>
  <c r="C136" i="4"/>
  <c r="B88" i="4"/>
  <c r="C78" i="4"/>
  <c r="F134" i="4"/>
  <c r="E135" i="4"/>
  <c r="F25" i="10" s="1"/>
  <c r="B136" i="4"/>
  <c r="B33" i="10" s="1"/>
  <c r="B100" i="4"/>
  <c r="E125" i="4"/>
  <c r="B7" i="4"/>
  <c r="B9" i="10" s="1"/>
  <c r="C10" i="4"/>
  <c r="B55" i="4"/>
  <c r="B135" i="4"/>
  <c r="B25" i="10" s="1"/>
  <c r="B57" i="4"/>
  <c r="E7" i="4"/>
  <c r="F9" i="10" s="1"/>
  <c r="F10" i="4"/>
  <c r="C86" i="4"/>
  <c r="F135" i="4"/>
  <c r="B48" i="4"/>
  <c r="E79" i="4"/>
  <c r="C67" i="4"/>
  <c r="C108" i="4"/>
  <c r="C125" i="4"/>
  <c r="F124" i="4"/>
  <c r="F34" i="4"/>
  <c r="C107" i="4"/>
  <c r="B110" i="4"/>
  <c r="F116" i="4"/>
  <c r="C12" i="4"/>
  <c r="E34" i="4"/>
  <c r="F31" i="10" s="1"/>
  <c r="E11" i="4"/>
  <c r="F30" i="10" s="1"/>
  <c r="E107" i="4"/>
  <c r="F7" i="4"/>
  <c r="C68" i="4"/>
  <c r="E117" i="4"/>
  <c r="C110" i="4"/>
  <c r="B54" i="4"/>
  <c r="F96" i="4"/>
  <c r="C57" i="4"/>
  <c r="B34" i="4"/>
  <c r="E96" i="4"/>
  <c r="F24" i="10" s="1"/>
  <c r="C79" i="4"/>
  <c r="C124" i="4"/>
  <c r="F117" i="4"/>
  <c r="C9" i="4"/>
  <c r="E9" i="91" s="1"/>
  <c r="B107" i="4"/>
  <c r="F11" i="4"/>
  <c r="C134" i="4"/>
  <c r="C37" i="4"/>
  <c r="E37" i="79" s="1"/>
  <c r="E35" i="4"/>
  <c r="F42" i="10" s="1"/>
  <c r="C54" i="4"/>
  <c r="E54" i="91" s="1"/>
  <c r="B79" i="4"/>
  <c r="B112" i="4"/>
  <c r="B99" i="4"/>
  <c r="C135" i="4"/>
  <c r="F121" i="4"/>
  <c r="F35" i="4"/>
  <c r="B125" i="4"/>
  <c r="C137" i="4"/>
  <c r="E68" i="4"/>
  <c r="C109" i="4"/>
  <c r="E124" i="4"/>
  <c r="B10" i="4"/>
  <c r="B20" i="10" s="1"/>
  <c r="C99" i="4"/>
  <c r="B86" i="4"/>
  <c r="E121" i="4"/>
  <c r="C88" i="4"/>
  <c r="E86" i="4"/>
  <c r="C49" i="4"/>
  <c r="B89" i="4"/>
  <c r="B23" i="10" s="1"/>
  <c r="F68" i="4"/>
  <c r="F109" i="4"/>
  <c r="C112" i="4"/>
  <c r="E134" i="4"/>
  <c r="F15" i="10" s="1"/>
  <c r="C96" i="4"/>
  <c r="C8" i="4"/>
  <c r="C89" i="4"/>
  <c r="E12" i="4"/>
  <c r="F41" i="10" s="1"/>
  <c r="C114" i="4"/>
  <c r="B8" i="4"/>
  <c r="F12" i="4"/>
  <c r="C11" i="4"/>
  <c r="B49" i="4"/>
  <c r="E100" i="4"/>
  <c r="B108" i="4"/>
  <c r="C116" i="4"/>
  <c r="E75" i="4"/>
  <c r="F14" i="10" s="1"/>
  <c r="F113" i="4"/>
  <c r="C120" i="4"/>
  <c r="B35" i="4"/>
  <c r="B11" i="4"/>
  <c r="B30" i="10" s="1"/>
  <c r="C35" i="4"/>
  <c r="C48" i="4"/>
  <c r="E48" i="91" s="1"/>
  <c r="F89" i="4"/>
  <c r="E109" i="4"/>
  <c r="F125" i="4"/>
  <c r="E108" i="4"/>
  <c r="B28" i="4"/>
  <c r="E113" i="4"/>
  <c r="C113" i="4"/>
  <c r="B37" i="4"/>
  <c r="B26" i="10" s="1"/>
  <c r="B96" i="4"/>
  <c r="B24" i="10" s="1"/>
  <c r="B120" i="4"/>
  <c r="C100" i="4"/>
  <c r="B109" i="4"/>
  <c r="F108" i="4"/>
  <c r="F86" i="4"/>
  <c r="F136" i="4"/>
  <c r="B137" i="4"/>
  <c r="B44" i="10" s="1"/>
  <c r="C55" i="4"/>
  <c r="C122" i="4"/>
  <c r="E112" i="4"/>
  <c r="B122" i="4"/>
  <c r="B67" i="4"/>
  <c r="E89" i="4"/>
  <c r="B124" i="4"/>
  <c r="B14" i="10"/>
  <c r="N23" i="8"/>
  <c r="C61" i="9"/>
  <c r="D61" i="9" s="1"/>
  <c r="G15" i="9"/>
  <c r="G52" i="9" s="1"/>
  <c r="H39" i="9"/>
  <c r="C37" i="9"/>
  <c r="H38" i="9"/>
  <c r="G37" i="9"/>
  <c r="H17" i="9"/>
  <c r="N61" i="8" s="1"/>
  <c r="G16" i="9"/>
  <c r="G13" i="9"/>
  <c r="G50" i="9" s="1"/>
  <c r="G14" i="9"/>
  <c r="G51" i="9" s="1"/>
  <c r="C36" i="9"/>
  <c r="B40" i="9"/>
  <c r="C40" i="9"/>
  <c r="G19" i="9"/>
  <c r="C39" i="9"/>
  <c r="H13" i="9"/>
  <c r="G10" i="9"/>
  <c r="G47" i="9" s="1"/>
  <c r="G18" i="9"/>
  <c r="H18" i="9"/>
  <c r="G23" i="9"/>
  <c r="H36" i="9"/>
  <c r="H9" i="9"/>
  <c r="H37" i="9"/>
  <c r="G9" i="9"/>
  <c r="H10" i="9"/>
  <c r="N55" i="8" s="1"/>
  <c r="C38" i="9"/>
  <c r="G21" i="9"/>
  <c r="G58" i="9" s="1"/>
  <c r="G17" i="9"/>
  <c r="G54" i="9" s="1"/>
  <c r="G25" i="9"/>
  <c r="G62" i="9" s="1"/>
  <c r="H40" i="9"/>
  <c r="G27" i="9"/>
  <c r="G29" i="9"/>
  <c r="G36" i="9"/>
  <c r="H21" i="9"/>
  <c r="N65" i="8" s="1"/>
  <c r="B36" i="9"/>
  <c r="B39" i="9"/>
  <c r="K135" i="26"/>
  <c r="H29" i="29"/>
  <c r="K121" i="13"/>
  <c r="H121" i="33"/>
  <c r="H125" i="33"/>
  <c r="H68" i="29"/>
  <c r="K113" i="33"/>
  <c r="H29" i="13"/>
  <c r="K12" i="29"/>
  <c r="J86" i="29"/>
  <c r="K108" i="33"/>
  <c r="H22" i="33"/>
  <c r="K68" i="33"/>
  <c r="H35" i="29"/>
  <c r="H34" i="13"/>
  <c r="K22" i="51"/>
  <c r="K135" i="34"/>
  <c r="K134" i="26"/>
  <c r="K113" i="29"/>
  <c r="H100" i="29"/>
  <c r="K137" i="26"/>
  <c r="J79" i="29"/>
  <c r="K28" i="51"/>
  <c r="H89" i="29"/>
  <c r="K12" i="33"/>
  <c r="K116" i="33"/>
  <c r="K29" i="51"/>
  <c r="H34" i="33"/>
  <c r="H12" i="33"/>
  <c r="H125" i="29"/>
  <c r="K108" i="23"/>
  <c r="K22" i="23"/>
  <c r="H107" i="23"/>
  <c r="K107" i="33"/>
  <c r="K100" i="33"/>
  <c r="K75" i="33"/>
  <c r="K122" i="33"/>
  <c r="K114" i="33"/>
  <c r="H29" i="33"/>
  <c r="H75" i="33"/>
  <c r="D49" i="19"/>
  <c r="D37" i="13"/>
  <c r="K89" i="23"/>
  <c r="K68" i="23"/>
  <c r="H135" i="26"/>
  <c r="H22" i="29"/>
  <c r="H96" i="33"/>
  <c r="H117" i="33"/>
  <c r="K28" i="25"/>
  <c r="K96" i="33"/>
  <c r="H35" i="33"/>
  <c r="K117" i="33"/>
  <c r="K28" i="23"/>
  <c r="K89" i="33"/>
  <c r="D49" i="38"/>
  <c r="D57" i="16"/>
  <c r="D28" i="16"/>
  <c r="D29" i="16"/>
  <c r="D9" i="16"/>
  <c r="D10" i="16"/>
  <c r="D54" i="16"/>
  <c r="D8" i="16"/>
  <c r="D49" i="16"/>
  <c r="D7" i="16"/>
  <c r="D48" i="16"/>
  <c r="H100" i="23"/>
  <c r="B21" i="10"/>
  <c r="K109" i="23"/>
  <c r="K34" i="13"/>
  <c r="K107" i="13"/>
  <c r="K121" i="23"/>
  <c r="H109" i="23"/>
  <c r="H22" i="23"/>
  <c r="H100" i="33"/>
  <c r="H68" i="33"/>
  <c r="K125" i="33"/>
  <c r="D49" i="39"/>
  <c r="K7" i="13"/>
  <c r="K7" i="19"/>
  <c r="K10" i="29"/>
  <c r="H7" i="23"/>
  <c r="H7" i="29"/>
  <c r="H7" i="33"/>
  <c r="K10" i="33"/>
  <c r="H10" i="13"/>
  <c r="K7" i="23"/>
  <c r="K11" i="33"/>
  <c r="K7" i="29"/>
  <c r="H11" i="13"/>
  <c r="K22" i="13"/>
  <c r="K29" i="13"/>
  <c r="H79" i="13"/>
  <c r="K100" i="13"/>
  <c r="K116" i="13"/>
  <c r="K10" i="13"/>
  <c r="H121" i="13"/>
  <c r="K7" i="20"/>
  <c r="K10" i="20"/>
  <c r="D49" i="26"/>
  <c r="K11" i="29"/>
  <c r="H113" i="29"/>
  <c r="K7" i="33"/>
  <c r="H89" i="33"/>
  <c r="H107" i="33"/>
  <c r="K121" i="33"/>
  <c r="H89" i="13"/>
  <c r="K109" i="13"/>
  <c r="K67" i="13"/>
  <c r="K11" i="13"/>
  <c r="H113" i="33"/>
  <c r="H12" i="23"/>
  <c r="H86" i="23"/>
  <c r="H136" i="26"/>
  <c r="K28" i="29"/>
  <c r="K34" i="29"/>
  <c r="H134" i="26"/>
  <c r="K117" i="29"/>
  <c r="H79" i="23"/>
  <c r="H89" i="23"/>
  <c r="H117" i="23"/>
  <c r="K35" i="29"/>
  <c r="H117" i="29"/>
  <c r="H41" i="9"/>
  <c r="D39" i="13"/>
  <c r="H22" i="13"/>
  <c r="H7" i="13"/>
  <c r="K35" i="13"/>
  <c r="K108" i="13"/>
  <c r="K12" i="13"/>
  <c r="H107" i="13"/>
  <c r="C41" i="9"/>
  <c r="D48" i="13"/>
  <c r="J10" i="13"/>
  <c r="D10" i="13"/>
  <c r="K28" i="13"/>
  <c r="K68" i="13"/>
  <c r="K112" i="13"/>
  <c r="K117" i="13"/>
  <c r="H35" i="13"/>
  <c r="H109" i="13"/>
  <c r="J89" i="13"/>
  <c r="D89" i="13"/>
  <c r="D11" i="13"/>
  <c r="J11" i="13"/>
  <c r="J9" i="19"/>
  <c r="L9" i="19" s="1"/>
  <c r="D9" i="19"/>
  <c r="K113" i="13"/>
  <c r="J9" i="13"/>
  <c r="L9" i="13" s="1"/>
  <c r="D9" i="13"/>
  <c r="H68" i="13"/>
  <c r="J88" i="13"/>
  <c r="D88" i="13"/>
  <c r="H100" i="13"/>
  <c r="H12" i="13"/>
  <c r="D78" i="13"/>
  <c r="J78" i="13"/>
  <c r="J12" i="13"/>
  <c r="D12" i="13"/>
  <c r="K120" i="13"/>
  <c r="K88" i="13"/>
  <c r="H117" i="13"/>
  <c r="D48" i="19"/>
  <c r="D35" i="13"/>
  <c r="J35" i="13"/>
  <c r="J68" i="13"/>
  <c r="K86" i="13"/>
  <c r="K89" i="13"/>
  <c r="J107" i="13"/>
  <c r="D107" i="13"/>
  <c r="D112" i="13"/>
  <c r="J112" i="13"/>
  <c r="J117" i="13"/>
  <c r="D86" i="13"/>
  <c r="J86" i="13"/>
  <c r="J125" i="13"/>
  <c r="D8" i="20"/>
  <c r="J8" i="20"/>
  <c r="L8" i="20" s="1"/>
  <c r="J79" i="13"/>
  <c r="D99" i="13"/>
  <c r="J99" i="13"/>
  <c r="J124" i="13"/>
  <c r="D124" i="13"/>
  <c r="H108" i="13"/>
  <c r="H113" i="13"/>
  <c r="D36" i="13"/>
  <c r="D54" i="13"/>
  <c r="D108" i="13"/>
  <c r="J108" i="13"/>
  <c r="J113" i="13"/>
  <c r="K124" i="13"/>
  <c r="J7" i="20"/>
  <c r="D7" i="20"/>
  <c r="J7" i="13"/>
  <c r="D7" i="13"/>
  <c r="D22" i="13"/>
  <c r="J22" i="13"/>
  <c r="J29" i="13"/>
  <c r="D29" i="13"/>
  <c r="D57" i="13"/>
  <c r="K78" i="13"/>
  <c r="K99" i="13"/>
  <c r="D109" i="13"/>
  <c r="J109" i="13"/>
  <c r="J120" i="13"/>
  <c r="D120" i="13"/>
  <c r="H125" i="13"/>
  <c r="J10" i="20"/>
  <c r="D10" i="20"/>
  <c r="J7" i="19"/>
  <c r="D7" i="19"/>
  <c r="J28" i="20"/>
  <c r="D28" i="20"/>
  <c r="D54" i="22"/>
  <c r="D22" i="23"/>
  <c r="J22" i="23"/>
  <c r="D28" i="25"/>
  <c r="J28" i="25"/>
  <c r="J112" i="23"/>
  <c r="D112" i="23"/>
  <c r="D8" i="22"/>
  <c r="J8" i="22"/>
  <c r="L8" i="22" s="1"/>
  <c r="D29" i="23"/>
  <c r="J29" i="23"/>
  <c r="K112" i="23"/>
  <c r="J22" i="51"/>
  <c r="D22" i="51"/>
  <c r="K11" i="23"/>
  <c r="K35" i="23"/>
  <c r="D107" i="23"/>
  <c r="J107" i="23"/>
  <c r="J117" i="23"/>
  <c r="D48" i="25"/>
  <c r="D9" i="22"/>
  <c r="J9" i="22"/>
  <c r="L9" i="22" s="1"/>
  <c r="K12" i="23"/>
  <c r="K67" i="23"/>
  <c r="D78" i="23"/>
  <c r="K78" i="23"/>
  <c r="J108" i="23"/>
  <c r="D108" i="23"/>
  <c r="H113" i="23"/>
  <c r="D67" i="29"/>
  <c r="K67" i="29"/>
  <c r="J75" i="33"/>
  <c r="D75" i="33"/>
  <c r="D48" i="51"/>
  <c r="D54" i="40"/>
  <c r="J28" i="29"/>
  <c r="D28" i="29"/>
  <c r="D136" i="26"/>
  <c r="J136" i="26"/>
  <c r="D7" i="29"/>
  <c r="J7" i="29"/>
  <c r="J12" i="29"/>
  <c r="H12" i="29"/>
  <c r="J109" i="29"/>
  <c r="D109" i="29"/>
  <c r="K120" i="29"/>
  <c r="D68" i="29"/>
  <c r="J68" i="29"/>
  <c r="D86" i="29"/>
  <c r="K86" i="29"/>
  <c r="K89" i="29"/>
  <c r="K107" i="29"/>
  <c r="H121" i="29"/>
  <c r="J10" i="33"/>
  <c r="D10" i="33"/>
  <c r="J68" i="33"/>
  <c r="D68" i="33"/>
  <c r="K78" i="33"/>
  <c r="K112" i="33"/>
  <c r="J8" i="33"/>
  <c r="L8" i="33" s="1"/>
  <c r="D8" i="33"/>
  <c r="H11" i="33"/>
  <c r="K35" i="33"/>
  <c r="D96" i="33"/>
  <c r="J96" i="33"/>
  <c r="J108" i="33"/>
  <c r="D108" i="33"/>
  <c r="K110" i="33"/>
  <c r="D116" i="33"/>
  <c r="J116" i="33"/>
  <c r="D54" i="39"/>
  <c r="J8" i="13"/>
  <c r="L8" i="13" s="1"/>
  <c r="D8" i="13"/>
  <c r="J28" i="13"/>
  <c r="D28" i="13"/>
  <c r="J34" i="13"/>
  <c r="D34" i="13"/>
  <c r="D67" i="13"/>
  <c r="J67" i="13"/>
  <c r="K79" i="13"/>
  <c r="D100" i="13"/>
  <c r="J100" i="13"/>
  <c r="J116" i="13"/>
  <c r="D116" i="13"/>
  <c r="J121" i="13"/>
  <c r="K125" i="13"/>
  <c r="J8" i="19"/>
  <c r="L8" i="19" s="1"/>
  <c r="D8" i="19"/>
  <c r="D57" i="22"/>
  <c r="J9" i="20"/>
  <c r="L9" i="20" s="1"/>
  <c r="D9" i="20"/>
  <c r="K22" i="20"/>
  <c r="K29" i="20"/>
  <c r="J113" i="23"/>
  <c r="K7" i="22"/>
  <c r="D49" i="22"/>
  <c r="J10" i="23"/>
  <c r="J34" i="23"/>
  <c r="K113" i="23"/>
  <c r="J125" i="23"/>
  <c r="J7" i="25"/>
  <c r="D7" i="25"/>
  <c r="D29" i="51"/>
  <c r="J29" i="51"/>
  <c r="J12" i="23"/>
  <c r="J78" i="23"/>
  <c r="H29" i="23"/>
  <c r="J68" i="23"/>
  <c r="K79" i="23"/>
  <c r="J88" i="23"/>
  <c r="D88" i="23"/>
  <c r="K99" i="23"/>
  <c r="J109" i="23"/>
  <c r="K120" i="23"/>
  <c r="D48" i="40"/>
  <c r="J29" i="29"/>
  <c r="D29" i="29"/>
  <c r="D134" i="26"/>
  <c r="J134" i="26"/>
  <c r="D137" i="26"/>
  <c r="J137" i="26"/>
  <c r="K7" i="51"/>
  <c r="K10" i="51"/>
  <c r="J78" i="29"/>
  <c r="D78" i="29"/>
  <c r="J22" i="29"/>
  <c r="D22" i="29"/>
  <c r="K68" i="29"/>
  <c r="J88" i="29"/>
  <c r="D88" i="29"/>
  <c r="J11" i="33"/>
  <c r="J121" i="29"/>
  <c r="J134" i="34"/>
  <c r="D134" i="34"/>
  <c r="K108" i="29"/>
  <c r="H77" i="29"/>
  <c r="H107" i="29"/>
  <c r="J117" i="29"/>
  <c r="J135" i="34"/>
  <c r="D135" i="34"/>
  <c r="J9" i="33"/>
  <c r="L9" i="33" s="1"/>
  <c r="D9" i="33"/>
  <c r="J78" i="33"/>
  <c r="D78" i="33"/>
  <c r="J22" i="33"/>
  <c r="D22" i="33"/>
  <c r="J29" i="33"/>
  <c r="D29" i="33"/>
  <c r="J67" i="33"/>
  <c r="K79" i="33"/>
  <c r="J99" i="33"/>
  <c r="D99" i="33"/>
  <c r="D109" i="33"/>
  <c r="J109" i="33"/>
  <c r="D48" i="38"/>
  <c r="G41" i="9"/>
  <c r="J112" i="33"/>
  <c r="D112" i="33"/>
  <c r="J117" i="33"/>
  <c r="D48" i="39"/>
  <c r="D54" i="20"/>
  <c r="D53" i="20"/>
  <c r="D57" i="21"/>
  <c r="K28" i="20"/>
  <c r="J28" i="23"/>
  <c r="D28" i="23"/>
  <c r="D48" i="21"/>
  <c r="D57" i="25"/>
  <c r="J11" i="23"/>
  <c r="J35" i="23"/>
  <c r="J8" i="25"/>
  <c r="L8" i="25" s="1"/>
  <c r="D8" i="25"/>
  <c r="J9" i="51"/>
  <c r="L9" i="51" s="1"/>
  <c r="D9" i="51"/>
  <c r="K29" i="23"/>
  <c r="J67" i="23"/>
  <c r="D67" i="23"/>
  <c r="J79" i="23"/>
  <c r="J99" i="23"/>
  <c r="D99" i="23"/>
  <c r="J120" i="23"/>
  <c r="D120" i="23"/>
  <c r="K125" i="23"/>
  <c r="K7" i="25"/>
  <c r="D48" i="22"/>
  <c r="H10" i="23"/>
  <c r="H34" i="23"/>
  <c r="K86" i="23"/>
  <c r="J89" i="23"/>
  <c r="K100" i="23"/>
  <c r="K116" i="23"/>
  <c r="J121" i="23"/>
  <c r="H125" i="23"/>
  <c r="D54" i="25"/>
  <c r="J7" i="51"/>
  <c r="D7" i="51"/>
  <c r="D10" i="51"/>
  <c r="J10" i="51"/>
  <c r="J34" i="29"/>
  <c r="D34" i="29"/>
  <c r="D10" i="29"/>
  <c r="J10" i="29"/>
  <c r="J89" i="29"/>
  <c r="D89" i="29"/>
  <c r="H10" i="29"/>
  <c r="K22" i="29"/>
  <c r="K29" i="29"/>
  <c r="J120" i="29"/>
  <c r="D120" i="29"/>
  <c r="J107" i="29"/>
  <c r="D107" i="29"/>
  <c r="K78" i="29"/>
  <c r="K99" i="29"/>
  <c r="K109" i="29"/>
  <c r="J125" i="29"/>
  <c r="K134" i="34"/>
  <c r="H28" i="9"/>
  <c r="N71" i="8" s="1"/>
  <c r="H79" i="29"/>
  <c r="J113" i="29"/>
  <c r="K125" i="29"/>
  <c r="D67" i="33"/>
  <c r="K67" i="33"/>
  <c r="J79" i="33"/>
  <c r="D79" i="33"/>
  <c r="J34" i="33"/>
  <c r="D34" i="33"/>
  <c r="K86" i="33"/>
  <c r="D122" i="33"/>
  <c r="J122" i="33"/>
  <c r="K22" i="33"/>
  <c r="K29" i="33"/>
  <c r="H79" i="33"/>
  <c r="J88" i="33"/>
  <c r="D88" i="33"/>
  <c r="J100" i="33"/>
  <c r="D100" i="33"/>
  <c r="K120" i="33"/>
  <c r="D113" i="33"/>
  <c r="J113" i="33"/>
  <c r="D57" i="39"/>
  <c r="J22" i="20"/>
  <c r="D22" i="20"/>
  <c r="J29" i="20"/>
  <c r="D29" i="20"/>
  <c r="D48" i="20"/>
  <c r="J7" i="23"/>
  <c r="K88" i="23"/>
  <c r="J35" i="29"/>
  <c r="D7" i="22"/>
  <c r="J7" i="22"/>
  <c r="H121" i="23"/>
  <c r="K10" i="23"/>
  <c r="K34" i="23"/>
  <c r="H68" i="23"/>
  <c r="D86" i="23"/>
  <c r="J86" i="23"/>
  <c r="J100" i="23"/>
  <c r="D116" i="23"/>
  <c r="J116" i="23"/>
  <c r="J28" i="51"/>
  <c r="D28" i="51"/>
  <c r="H11" i="23"/>
  <c r="H35" i="23"/>
  <c r="K107" i="23"/>
  <c r="K117" i="23"/>
  <c r="J9" i="25"/>
  <c r="L9" i="25" s="1"/>
  <c r="D9" i="25"/>
  <c r="K136" i="26"/>
  <c r="J8" i="51"/>
  <c r="L8" i="51" s="1"/>
  <c r="D8" i="51"/>
  <c r="D135" i="26"/>
  <c r="J135" i="26"/>
  <c r="D57" i="40"/>
  <c r="J8" i="29"/>
  <c r="L8" i="29" s="1"/>
  <c r="D8" i="29"/>
  <c r="J11" i="29"/>
  <c r="J99" i="29"/>
  <c r="D99" i="29"/>
  <c r="D120" i="33"/>
  <c r="J120" i="33"/>
  <c r="D9" i="29"/>
  <c r="J9" i="29"/>
  <c r="L9" i="29" s="1"/>
  <c r="H11" i="29"/>
  <c r="H34" i="29"/>
  <c r="J100" i="29"/>
  <c r="D100" i="29"/>
  <c r="J108" i="29"/>
  <c r="D108" i="29"/>
  <c r="J12" i="33"/>
  <c r="D125" i="33"/>
  <c r="J125" i="33"/>
  <c r="J67" i="29"/>
  <c r="D79" i="29"/>
  <c r="K79" i="29"/>
  <c r="K88" i="29"/>
  <c r="K100" i="29"/>
  <c r="K121" i="29"/>
  <c r="K99" i="33"/>
  <c r="H86" i="29"/>
  <c r="H109" i="29"/>
  <c r="K88" i="33"/>
  <c r="J86" i="33"/>
  <c r="D121" i="33"/>
  <c r="J121" i="33"/>
  <c r="J35" i="33"/>
  <c r="D35" i="33"/>
  <c r="J7" i="33"/>
  <c r="D7" i="33"/>
  <c r="H10" i="33"/>
  <c r="K34" i="33"/>
  <c r="H86" i="33"/>
  <c r="J89" i="33"/>
  <c r="D89" i="33"/>
  <c r="J107" i="33"/>
  <c r="J110" i="33"/>
  <c r="D110" i="33"/>
  <c r="K109" i="33"/>
  <c r="H109" i="33"/>
  <c r="J114" i="33"/>
  <c r="D114" i="33"/>
  <c r="G28" i="9"/>
  <c r="B10" i="10"/>
  <c r="F21" i="10"/>
  <c r="F10" i="10"/>
  <c r="K9" i="16"/>
  <c r="K8" i="16"/>
  <c r="K22" i="16"/>
  <c r="K7" i="16"/>
  <c r="J8" i="16"/>
  <c r="J9" i="16"/>
  <c r="J22" i="16"/>
  <c r="J28" i="16"/>
  <c r="J29" i="16"/>
  <c r="K10" i="16"/>
  <c r="K29" i="16"/>
  <c r="J10" i="16"/>
  <c r="J7" i="16"/>
  <c r="K28" i="16"/>
  <c r="E36" i="37" l="1"/>
  <c r="E36" i="79"/>
  <c r="E37" i="13"/>
  <c r="E37" i="37"/>
  <c r="E36" i="13"/>
  <c r="D56" i="21"/>
  <c r="F119" i="4"/>
  <c r="C111" i="4"/>
  <c r="B77" i="4"/>
  <c r="E66" i="4"/>
  <c r="B119" i="4"/>
  <c r="B43" i="10" s="1"/>
  <c r="C56" i="4"/>
  <c r="B56" i="4"/>
  <c r="B49" i="10" s="1"/>
  <c r="E111" i="4"/>
  <c r="F32" i="10" s="1"/>
  <c r="F111" i="4"/>
  <c r="B53" i="4"/>
  <c r="B38" i="10" s="1"/>
  <c r="E77" i="4"/>
  <c r="B66" i="4"/>
  <c r="E87" i="4"/>
  <c r="C98" i="4"/>
  <c r="B111" i="4"/>
  <c r="B32" i="10" s="1"/>
  <c r="F98" i="4"/>
  <c r="F77" i="4"/>
  <c r="C66" i="4"/>
  <c r="F87" i="4"/>
  <c r="B98" i="4"/>
  <c r="E119" i="4"/>
  <c r="E98" i="4"/>
  <c r="B87" i="4"/>
  <c r="B22" i="10" s="1"/>
  <c r="C87" i="4"/>
  <c r="B47" i="4"/>
  <c r="B11" i="10" s="1"/>
  <c r="C119" i="4"/>
  <c r="C53" i="4"/>
  <c r="E53" i="91" s="1"/>
  <c r="C47" i="4"/>
  <c r="E47" i="91" s="1"/>
  <c r="C77" i="4"/>
  <c r="F66" i="4"/>
  <c r="G125" i="4"/>
  <c r="K77" i="33"/>
  <c r="G89" i="4"/>
  <c r="E48" i="81"/>
  <c r="G112" i="4"/>
  <c r="G109" i="4"/>
  <c r="G79" i="4"/>
  <c r="M60" i="8"/>
  <c r="G53" i="9"/>
  <c r="M63" i="8"/>
  <c r="G56" i="9"/>
  <c r="M72" i="8"/>
  <c r="G66" i="9"/>
  <c r="M67" i="8"/>
  <c r="M70" i="8"/>
  <c r="M71" i="8"/>
  <c r="G65" i="9"/>
  <c r="M62" i="8"/>
  <c r="G46" i="9"/>
  <c r="G68" i="4"/>
  <c r="G116" i="4"/>
  <c r="G113" i="4"/>
  <c r="G107" i="4"/>
  <c r="G24" i="10"/>
  <c r="C25" i="10"/>
  <c r="G23" i="10"/>
  <c r="C15" i="10"/>
  <c r="G15" i="10"/>
  <c r="C16" i="10"/>
  <c r="C14" i="10"/>
  <c r="G20" i="10"/>
  <c r="G13" i="10"/>
  <c r="G9" i="10"/>
  <c r="C26" i="10"/>
  <c r="N68" i="8"/>
  <c r="H61" i="9"/>
  <c r="C9" i="10"/>
  <c r="C23" i="10"/>
  <c r="C20" i="10"/>
  <c r="C24" i="10"/>
  <c r="C13" i="10"/>
  <c r="G14" i="10"/>
  <c r="G25" i="10"/>
  <c r="G117" i="4"/>
  <c r="D47" i="19"/>
  <c r="G124" i="4"/>
  <c r="G86" i="4"/>
  <c r="G96" i="4"/>
  <c r="G108" i="4"/>
  <c r="F13" i="10"/>
  <c r="G100" i="4"/>
  <c r="G121" i="4"/>
  <c r="G75" i="4"/>
  <c r="N58" i="8"/>
  <c r="H50" i="9"/>
  <c r="F23" i="10"/>
  <c r="M58" i="8"/>
  <c r="D28" i="4"/>
  <c r="N54" i="8"/>
  <c r="M54" i="8"/>
  <c r="M75" i="8"/>
  <c r="L86" i="23"/>
  <c r="E9" i="79"/>
  <c r="E114" i="79"/>
  <c r="E122" i="79"/>
  <c r="E7" i="79"/>
  <c r="E48" i="78"/>
  <c r="E48" i="79"/>
  <c r="E8" i="79"/>
  <c r="E10" i="79"/>
  <c r="E120" i="79"/>
  <c r="E28" i="79"/>
  <c r="H12" i="9"/>
  <c r="N57" i="8" s="1"/>
  <c r="G12" i="9"/>
  <c r="N75" i="8"/>
  <c r="D34" i="4"/>
  <c r="E48" i="77"/>
  <c r="E55" i="77"/>
  <c r="E49" i="77"/>
  <c r="E54" i="77"/>
  <c r="L107" i="23"/>
  <c r="B12" i="9"/>
  <c r="M11" i="8" s="1"/>
  <c r="H77" i="33"/>
  <c r="L29" i="51"/>
  <c r="N126" i="8"/>
  <c r="E28" i="16"/>
  <c r="H55" i="9"/>
  <c r="N62" i="8"/>
  <c r="E28" i="51"/>
  <c r="M69" i="8"/>
  <c r="M61" i="8"/>
  <c r="E28" i="29"/>
  <c r="M65" i="8"/>
  <c r="E28" i="23"/>
  <c r="E28" i="20"/>
  <c r="M55" i="8"/>
  <c r="E28" i="25"/>
  <c r="M59" i="8"/>
  <c r="M126" i="8"/>
  <c r="I9" i="9"/>
  <c r="K98" i="33"/>
  <c r="C12" i="9"/>
  <c r="L22" i="51"/>
  <c r="D47" i="39"/>
  <c r="L7" i="51"/>
  <c r="E34" i="33"/>
  <c r="E34" i="37"/>
  <c r="E34" i="13"/>
  <c r="E34" i="29"/>
  <c r="L110" i="33"/>
  <c r="E8" i="74"/>
  <c r="E7" i="72"/>
  <c r="E7" i="74"/>
  <c r="E48" i="72"/>
  <c r="E48" i="74"/>
  <c r="E28" i="37"/>
  <c r="E28" i="13"/>
  <c r="D35" i="4"/>
  <c r="C30" i="9"/>
  <c r="N29" i="8" s="1"/>
  <c r="D53" i="40"/>
  <c r="L28" i="51"/>
  <c r="L10" i="51"/>
  <c r="E35" i="13"/>
  <c r="E35" i="37"/>
  <c r="E35" i="33"/>
  <c r="B34" i="10"/>
  <c r="H77" i="13"/>
  <c r="B42" i="10"/>
  <c r="D29" i="4"/>
  <c r="E9" i="72"/>
  <c r="E8" i="72"/>
  <c r="D37" i="4"/>
  <c r="D36" i="4"/>
  <c r="D39" i="4"/>
  <c r="B31" i="10"/>
  <c r="D110" i="4"/>
  <c r="L122" i="33"/>
  <c r="L135" i="26"/>
  <c r="E39" i="13"/>
  <c r="D122" i="4"/>
  <c r="L121" i="13"/>
  <c r="L108" i="33"/>
  <c r="E48" i="37"/>
  <c r="I11" i="37"/>
  <c r="E54" i="37"/>
  <c r="I34" i="37"/>
  <c r="I117" i="37"/>
  <c r="E22" i="37"/>
  <c r="I109" i="37"/>
  <c r="E7" i="37"/>
  <c r="E134" i="37"/>
  <c r="E55" i="37"/>
  <c r="I89" i="37"/>
  <c r="I10" i="37"/>
  <c r="I125" i="37"/>
  <c r="I124" i="37"/>
  <c r="I113" i="37"/>
  <c r="I68" i="37"/>
  <c r="E137" i="37"/>
  <c r="I96" i="37"/>
  <c r="E75" i="37"/>
  <c r="E49" i="37"/>
  <c r="I100" i="37"/>
  <c r="E89" i="37"/>
  <c r="D114" i="4"/>
  <c r="I12" i="37"/>
  <c r="I22" i="37"/>
  <c r="I121" i="37"/>
  <c r="I29" i="37"/>
  <c r="I79" i="37"/>
  <c r="I116" i="37"/>
  <c r="I35" i="37"/>
  <c r="I75" i="37"/>
  <c r="E135" i="37"/>
  <c r="I112" i="37"/>
  <c r="I108" i="37"/>
  <c r="E10" i="37"/>
  <c r="E57" i="37"/>
  <c r="I7" i="37"/>
  <c r="E96" i="37"/>
  <c r="E136" i="37"/>
  <c r="L114" i="33"/>
  <c r="H77" i="23"/>
  <c r="K77" i="23"/>
  <c r="D47" i="21"/>
  <c r="D47" i="20"/>
  <c r="L107" i="29"/>
  <c r="L134" i="26"/>
  <c r="L109" i="23"/>
  <c r="L113" i="33"/>
  <c r="L12" i="33"/>
  <c r="D56" i="22"/>
  <c r="E100" i="37"/>
  <c r="E122" i="37"/>
  <c r="E78" i="37"/>
  <c r="E114" i="37"/>
  <c r="E9" i="37"/>
  <c r="E124" i="37"/>
  <c r="E8" i="37"/>
  <c r="E67" i="37"/>
  <c r="E109" i="37"/>
  <c r="E116" i="37"/>
  <c r="E125" i="37"/>
  <c r="E99" i="37"/>
  <c r="E112" i="37"/>
  <c r="E110" i="37"/>
  <c r="E107" i="37"/>
  <c r="E88" i="37"/>
  <c r="E86" i="37"/>
  <c r="E108" i="37"/>
  <c r="E120" i="37"/>
  <c r="D47" i="38"/>
  <c r="L96" i="33"/>
  <c r="L113" i="29"/>
  <c r="L89" i="23"/>
  <c r="L75" i="33"/>
  <c r="L68" i="33"/>
  <c r="L68" i="23"/>
  <c r="H98" i="29"/>
  <c r="K98" i="29"/>
  <c r="L22" i="23"/>
  <c r="L120" i="33"/>
  <c r="K87" i="29"/>
  <c r="L137" i="26"/>
  <c r="D47" i="40"/>
  <c r="L28" i="23"/>
  <c r="L12" i="29"/>
  <c r="D53" i="13"/>
  <c r="K87" i="33"/>
  <c r="K87" i="23"/>
  <c r="L89" i="33"/>
  <c r="H87" i="29"/>
  <c r="L135" i="34"/>
  <c r="L10" i="29"/>
  <c r="L7" i="33"/>
  <c r="H66" i="23"/>
  <c r="L35" i="29"/>
  <c r="D56" i="39"/>
  <c r="L11" i="29"/>
  <c r="H111" i="13"/>
  <c r="L35" i="23"/>
  <c r="N125" i="8"/>
  <c r="C10" i="9"/>
  <c r="N9" i="8" s="1"/>
  <c r="N104" i="8"/>
  <c r="C23" i="9"/>
  <c r="N22" i="8" s="1"/>
  <c r="C13" i="9"/>
  <c r="C21" i="9"/>
  <c r="N20" i="8" s="1"/>
  <c r="C27" i="9"/>
  <c r="N26" i="8" s="1"/>
  <c r="K111" i="13"/>
  <c r="L107" i="33"/>
  <c r="L100" i="33"/>
  <c r="M104" i="8"/>
  <c r="L108" i="13"/>
  <c r="D56" i="40"/>
  <c r="N128" i="8"/>
  <c r="H119" i="23"/>
  <c r="L116" i="33"/>
  <c r="C18" i="9"/>
  <c r="N17" i="8" s="1"/>
  <c r="D53" i="22"/>
  <c r="L35" i="33"/>
  <c r="L8" i="16"/>
  <c r="L67" i="29"/>
  <c r="L29" i="20"/>
  <c r="L116" i="23"/>
  <c r="L108" i="23"/>
  <c r="L28" i="25"/>
  <c r="L9" i="16"/>
  <c r="H98" i="13"/>
  <c r="K111" i="29"/>
  <c r="L7" i="16"/>
  <c r="D53" i="16"/>
  <c r="D56" i="25"/>
  <c r="L117" i="33"/>
  <c r="L12" i="13"/>
  <c r="D56" i="16"/>
  <c r="N124" i="8"/>
  <c r="L99" i="23"/>
  <c r="L7" i="20"/>
  <c r="K119" i="13"/>
  <c r="M105" i="8"/>
  <c r="K66" i="23"/>
  <c r="L11" i="33"/>
  <c r="H119" i="13"/>
  <c r="L22" i="16"/>
  <c r="L29" i="16"/>
  <c r="C14" i="9"/>
  <c r="N13" i="8" s="1"/>
  <c r="L10" i="16"/>
  <c r="D47" i="16"/>
  <c r="L28" i="16"/>
  <c r="N127" i="8"/>
  <c r="L7" i="13"/>
  <c r="B28" i="9"/>
  <c r="M27" i="8" s="1"/>
  <c r="M106" i="8"/>
  <c r="M127" i="8"/>
  <c r="N103" i="8"/>
  <c r="N129" i="8"/>
  <c r="C28" i="9"/>
  <c r="N27" i="8" s="1"/>
  <c r="C19" i="9"/>
  <c r="N18" i="8" s="1"/>
  <c r="M103" i="8"/>
  <c r="B9" i="9"/>
  <c r="B15" i="9"/>
  <c r="M14" i="8" s="1"/>
  <c r="M107" i="8"/>
  <c r="H119" i="33"/>
  <c r="L125" i="33"/>
  <c r="L121" i="23"/>
  <c r="M125" i="8"/>
  <c r="L116" i="13"/>
  <c r="N106" i="8"/>
  <c r="L10" i="33"/>
  <c r="C17" i="9"/>
  <c r="N16" i="8" s="1"/>
  <c r="B17" i="9"/>
  <c r="M16" i="8" s="1"/>
  <c r="L22" i="13"/>
  <c r="L107" i="13"/>
  <c r="L10" i="13"/>
  <c r="L121" i="33"/>
  <c r="C25" i="9"/>
  <c r="N24" i="8" s="1"/>
  <c r="H87" i="23"/>
  <c r="L7" i="23"/>
  <c r="H87" i="33"/>
  <c r="L120" i="29"/>
  <c r="D47" i="22"/>
  <c r="L11" i="23"/>
  <c r="L117" i="29"/>
  <c r="K119" i="23"/>
  <c r="L34" i="13"/>
  <c r="M128" i="8"/>
  <c r="B19" i="9"/>
  <c r="M18" i="8" s="1"/>
  <c r="B18" i="9"/>
  <c r="M17" i="8" s="1"/>
  <c r="L7" i="19"/>
  <c r="M102" i="8"/>
  <c r="L11" i="13"/>
  <c r="C9" i="9"/>
  <c r="N8" i="8" s="1"/>
  <c r="C29" i="9"/>
  <c r="N28" i="8" s="1"/>
  <c r="E48" i="39"/>
  <c r="E48" i="16"/>
  <c r="I89" i="13"/>
  <c r="I89" i="29"/>
  <c r="I89" i="33"/>
  <c r="I89" i="23"/>
  <c r="I35" i="23"/>
  <c r="I35" i="29"/>
  <c r="I35" i="33"/>
  <c r="I35" i="13"/>
  <c r="G42" i="10"/>
  <c r="I134" i="26"/>
  <c r="I10" i="23"/>
  <c r="I10" i="29"/>
  <c r="I10" i="33"/>
  <c r="I10" i="13"/>
  <c r="E49" i="39"/>
  <c r="E49" i="16"/>
  <c r="I23" i="33"/>
  <c r="I23" i="13"/>
  <c r="I23" i="29"/>
  <c r="E54" i="39"/>
  <c r="E54" i="16"/>
  <c r="C31" i="10"/>
  <c r="G44" i="10"/>
  <c r="C41" i="10"/>
  <c r="I86" i="23"/>
  <c r="I86" i="29"/>
  <c r="I86" i="33"/>
  <c r="C33" i="10"/>
  <c r="H16" i="9"/>
  <c r="N60" i="8" s="1"/>
  <c r="B14" i="9"/>
  <c r="M13" i="8" s="1"/>
  <c r="M129" i="8"/>
  <c r="B10" i="9"/>
  <c r="M9" i="8" s="1"/>
  <c r="H63" i="9"/>
  <c r="N102" i="8"/>
  <c r="I29" i="33"/>
  <c r="I29" i="23"/>
  <c r="I29" i="29"/>
  <c r="I29" i="13"/>
  <c r="I25" i="29"/>
  <c r="I25" i="33"/>
  <c r="I25" i="13"/>
  <c r="I30" i="23"/>
  <c r="I30" i="29"/>
  <c r="I30" i="33"/>
  <c r="I30" i="13"/>
  <c r="C30" i="10"/>
  <c r="I107" i="13"/>
  <c r="I107" i="23"/>
  <c r="I107" i="29"/>
  <c r="I107" i="33"/>
  <c r="C44" i="10"/>
  <c r="I75" i="33"/>
  <c r="I32" i="13"/>
  <c r="I32" i="23"/>
  <c r="I32" i="29"/>
  <c r="I32" i="33"/>
  <c r="I100" i="13"/>
  <c r="I100" i="23"/>
  <c r="I100" i="29"/>
  <c r="I100" i="33"/>
  <c r="I22" i="23"/>
  <c r="I22" i="29"/>
  <c r="I22" i="33"/>
  <c r="I22" i="13"/>
  <c r="C34" i="10"/>
  <c r="I121" i="13"/>
  <c r="I121" i="23"/>
  <c r="I121" i="33"/>
  <c r="I121" i="29"/>
  <c r="I113" i="23"/>
  <c r="I113" i="13"/>
  <c r="I113" i="33"/>
  <c r="I113" i="29"/>
  <c r="I108" i="13"/>
  <c r="N105" i="8"/>
  <c r="B38" i="9"/>
  <c r="B13" i="9"/>
  <c r="B30" i="9"/>
  <c r="M29" i="8" s="1"/>
  <c r="G40" i="9"/>
  <c r="G64" i="9" s="1"/>
  <c r="H19" i="9"/>
  <c r="N63" i="8" s="1"/>
  <c r="C15" i="9"/>
  <c r="N14" i="8" s="1"/>
  <c r="B29" i="9"/>
  <c r="M28" i="8" s="1"/>
  <c r="H27" i="9"/>
  <c r="N70" i="8" s="1"/>
  <c r="B37" i="9"/>
  <c r="I136" i="26"/>
  <c r="G33" i="10"/>
  <c r="I7" i="29"/>
  <c r="I7" i="33"/>
  <c r="I7" i="23"/>
  <c r="I7" i="13"/>
  <c r="B45" i="10"/>
  <c r="I31" i="13"/>
  <c r="I31" i="33"/>
  <c r="I31" i="23"/>
  <c r="I31" i="29"/>
  <c r="C45" i="10"/>
  <c r="C42" i="10"/>
  <c r="I24" i="13"/>
  <c r="I24" i="33"/>
  <c r="I24" i="23"/>
  <c r="B27" i="9"/>
  <c r="M26" i="8" s="1"/>
  <c r="H15" i="9"/>
  <c r="M124" i="8"/>
  <c r="B41" i="9"/>
  <c r="N107" i="8"/>
  <c r="C16" i="9"/>
  <c r="N15" i="8" s="1"/>
  <c r="H29" i="9"/>
  <c r="N72" i="8" s="1"/>
  <c r="F44" i="10"/>
  <c r="I135" i="26"/>
  <c r="I96" i="33"/>
  <c r="I68" i="23"/>
  <c r="I68" i="29"/>
  <c r="I68" i="33"/>
  <c r="I68" i="13"/>
  <c r="G136" i="4"/>
  <c r="F33" i="10"/>
  <c r="I79" i="13"/>
  <c r="I79" i="23"/>
  <c r="I79" i="33"/>
  <c r="I79" i="29"/>
  <c r="I109" i="13"/>
  <c r="I109" i="29"/>
  <c r="I109" i="23"/>
  <c r="I109" i="33"/>
  <c r="I12" i="29"/>
  <c r="I12" i="33"/>
  <c r="I12" i="23"/>
  <c r="I12" i="13"/>
  <c r="G41" i="10"/>
  <c r="I11" i="13"/>
  <c r="I11" i="23"/>
  <c r="I11" i="33"/>
  <c r="G30" i="10"/>
  <c r="I11" i="29"/>
  <c r="I125" i="13"/>
  <c r="I125" i="23"/>
  <c r="I125" i="29"/>
  <c r="I125" i="33"/>
  <c r="I34" i="13"/>
  <c r="I34" i="23"/>
  <c r="I34" i="29"/>
  <c r="I34" i="33"/>
  <c r="G31" i="10"/>
  <c r="D96" i="4"/>
  <c r="I117" i="13"/>
  <c r="I117" i="23"/>
  <c r="I117" i="29"/>
  <c r="I117" i="33"/>
  <c r="D75" i="4"/>
  <c r="E57" i="39"/>
  <c r="E57" i="16"/>
  <c r="L120" i="23"/>
  <c r="L67" i="23"/>
  <c r="H98" i="33"/>
  <c r="L100" i="13"/>
  <c r="D53" i="39"/>
  <c r="L109" i="29"/>
  <c r="L7" i="29"/>
  <c r="L28" i="29"/>
  <c r="L117" i="23"/>
  <c r="H98" i="23"/>
  <c r="L10" i="20"/>
  <c r="K98" i="13"/>
  <c r="L29" i="13"/>
  <c r="G38" i="9"/>
  <c r="G55" i="9" s="1"/>
  <c r="B16" i="9"/>
  <c r="M15" i="8" s="1"/>
  <c r="G39" i="9"/>
  <c r="G60" i="9" s="1"/>
  <c r="B21" i="9"/>
  <c r="M20" i="8" s="1"/>
  <c r="H14" i="9"/>
  <c r="N59" i="8" s="1"/>
  <c r="B25" i="9"/>
  <c r="M24" i="8" s="1"/>
  <c r="N31" i="8"/>
  <c r="H25" i="9"/>
  <c r="N69" i="8" s="1"/>
  <c r="B23" i="9"/>
  <c r="M22" i="8" s="1"/>
  <c r="H23" i="9"/>
  <c r="N67" i="8" s="1"/>
  <c r="L22" i="20"/>
  <c r="L109" i="33"/>
  <c r="L99" i="33"/>
  <c r="H111" i="29"/>
  <c r="L10" i="23"/>
  <c r="L28" i="13"/>
  <c r="D56" i="13"/>
  <c r="L99" i="29"/>
  <c r="K119" i="33"/>
  <c r="L88" i="33"/>
  <c r="L79" i="33"/>
  <c r="L34" i="29"/>
  <c r="H66" i="33"/>
  <c r="L78" i="33"/>
  <c r="L67" i="13"/>
  <c r="L109" i="13"/>
  <c r="L112" i="13"/>
  <c r="L35" i="13"/>
  <c r="L79" i="29"/>
  <c r="L86" i="29"/>
  <c r="L7" i="22"/>
  <c r="K66" i="33"/>
  <c r="L89" i="29"/>
  <c r="L12" i="23"/>
  <c r="H87" i="13"/>
  <c r="L120" i="13"/>
  <c r="L68" i="13"/>
  <c r="L7" i="25"/>
  <c r="L134" i="34"/>
  <c r="L108" i="29"/>
  <c r="D53" i="25"/>
  <c r="L112" i="33"/>
  <c r="L29" i="33"/>
  <c r="L121" i="29"/>
  <c r="L29" i="29"/>
  <c r="H111" i="23"/>
  <c r="L68" i="29"/>
  <c r="L136" i="26"/>
  <c r="D47" i="25"/>
  <c r="L112" i="23"/>
  <c r="L113" i="13"/>
  <c r="L117" i="13"/>
  <c r="L86" i="33"/>
  <c r="H119" i="29"/>
  <c r="L100" i="29"/>
  <c r="L34" i="33"/>
  <c r="L125" i="29"/>
  <c r="L88" i="29"/>
  <c r="L78" i="29"/>
  <c r="L88" i="23"/>
  <c r="L125" i="23"/>
  <c r="L113" i="23"/>
  <c r="H111" i="33"/>
  <c r="D47" i="51"/>
  <c r="D47" i="26"/>
  <c r="L29" i="23"/>
  <c r="L28" i="20"/>
  <c r="L100" i="23"/>
  <c r="L79" i="23"/>
  <c r="L67" i="33"/>
  <c r="L22" i="33"/>
  <c r="L22" i="29"/>
  <c r="J77" i="29"/>
  <c r="K98" i="23"/>
  <c r="L78" i="23"/>
  <c r="L34" i="23"/>
  <c r="L124" i="13"/>
  <c r="L79" i="13"/>
  <c r="L89" i="13"/>
  <c r="L99" i="13"/>
  <c r="L125" i="13"/>
  <c r="L78" i="13"/>
  <c r="K66" i="13"/>
  <c r="L86" i="13"/>
  <c r="K87" i="13"/>
  <c r="J77" i="13"/>
  <c r="L88" i="13"/>
  <c r="H66" i="13"/>
  <c r="D47" i="13"/>
  <c r="D66" i="33"/>
  <c r="J66" i="33"/>
  <c r="J98" i="23"/>
  <c r="D98" i="23"/>
  <c r="D111" i="33"/>
  <c r="J111" i="33"/>
  <c r="D66" i="13"/>
  <c r="J66" i="13"/>
  <c r="K111" i="33"/>
  <c r="J111" i="29"/>
  <c r="J111" i="23"/>
  <c r="D111" i="23"/>
  <c r="J87" i="13"/>
  <c r="D87" i="13"/>
  <c r="J119" i="33"/>
  <c r="D119" i="33"/>
  <c r="D77" i="29"/>
  <c r="K77" i="29"/>
  <c r="D77" i="13"/>
  <c r="K77" i="13"/>
  <c r="J66" i="29"/>
  <c r="J87" i="33"/>
  <c r="D87" i="33"/>
  <c r="D119" i="29"/>
  <c r="J119" i="29"/>
  <c r="D98" i="33"/>
  <c r="J98" i="33"/>
  <c r="J87" i="29"/>
  <c r="D87" i="29"/>
  <c r="J87" i="23"/>
  <c r="D87" i="23"/>
  <c r="K119" i="29"/>
  <c r="K111" i="23"/>
  <c r="D119" i="13"/>
  <c r="J119" i="13"/>
  <c r="D98" i="13"/>
  <c r="J98" i="13"/>
  <c r="D111" i="13"/>
  <c r="J111" i="13"/>
  <c r="J98" i="29"/>
  <c r="D98" i="29"/>
  <c r="H66" i="29"/>
  <c r="D119" i="23"/>
  <c r="J119" i="23"/>
  <c r="J66" i="23"/>
  <c r="D66" i="23"/>
  <c r="D77" i="33"/>
  <c r="J77" i="33"/>
  <c r="J77" i="23"/>
  <c r="D77" i="23"/>
  <c r="D66" i="29"/>
  <c r="K66" i="29"/>
  <c r="E48" i="38"/>
  <c r="E49" i="38"/>
  <c r="E88" i="33"/>
  <c r="E108" i="33"/>
  <c r="E22" i="33"/>
  <c r="E99" i="33"/>
  <c r="E9" i="33"/>
  <c r="E110" i="33"/>
  <c r="E122" i="33"/>
  <c r="E75" i="33"/>
  <c r="E116" i="33"/>
  <c r="E10" i="33"/>
  <c r="E79" i="33"/>
  <c r="E7" i="33"/>
  <c r="E89" i="33"/>
  <c r="E100" i="33"/>
  <c r="E125" i="33"/>
  <c r="E68" i="33"/>
  <c r="E96" i="33"/>
  <c r="E8" i="33"/>
  <c r="E78" i="33"/>
  <c r="E67" i="33"/>
  <c r="E112" i="33"/>
  <c r="E109" i="33"/>
  <c r="E114" i="33"/>
  <c r="E121" i="33"/>
  <c r="E120" i="33"/>
  <c r="E113" i="33"/>
  <c r="E99" i="29"/>
  <c r="E9" i="29"/>
  <c r="E86" i="29"/>
  <c r="E134" i="34"/>
  <c r="E68" i="29"/>
  <c r="E88" i="29"/>
  <c r="E108" i="29"/>
  <c r="E22" i="29"/>
  <c r="E10" i="29"/>
  <c r="E79" i="29"/>
  <c r="E135" i="34"/>
  <c r="E7" i="29"/>
  <c r="E89" i="29"/>
  <c r="E100" i="29"/>
  <c r="E107" i="29"/>
  <c r="E8" i="29"/>
  <c r="E78" i="29"/>
  <c r="E67" i="29"/>
  <c r="E109" i="29"/>
  <c r="E120" i="29"/>
  <c r="E48" i="40"/>
  <c r="E57" i="40"/>
  <c r="E54" i="40"/>
  <c r="E9" i="51"/>
  <c r="E48" i="51"/>
  <c r="E22" i="51"/>
  <c r="E10" i="51"/>
  <c r="E7" i="51"/>
  <c r="E8" i="51"/>
  <c r="E9" i="25"/>
  <c r="E57" i="25"/>
  <c r="E48" i="25"/>
  <c r="E137" i="26"/>
  <c r="E49" i="26"/>
  <c r="E54" i="25"/>
  <c r="E135" i="26"/>
  <c r="E7" i="25"/>
  <c r="E136" i="26"/>
  <c r="E134" i="26"/>
  <c r="E8" i="25"/>
  <c r="E99" i="23"/>
  <c r="E86" i="23"/>
  <c r="E88" i="23"/>
  <c r="E108" i="23"/>
  <c r="E116" i="23"/>
  <c r="E22" i="23"/>
  <c r="E107" i="23"/>
  <c r="E78" i="23"/>
  <c r="E67" i="23"/>
  <c r="E112" i="23"/>
  <c r="E120" i="23"/>
  <c r="E9" i="22"/>
  <c r="E48" i="21"/>
  <c r="E48" i="22"/>
  <c r="E57" i="21"/>
  <c r="E57" i="22"/>
  <c r="E49" i="22"/>
  <c r="E54" i="22"/>
  <c r="E7" i="22"/>
  <c r="E8" i="22"/>
  <c r="E22" i="20"/>
  <c r="E10" i="20"/>
  <c r="E49" i="19"/>
  <c r="E54" i="20"/>
  <c r="E7" i="19"/>
  <c r="E7" i="20"/>
  <c r="E9" i="19"/>
  <c r="E9" i="20"/>
  <c r="E48" i="19"/>
  <c r="E48" i="20"/>
  <c r="E8" i="19"/>
  <c r="E8" i="20"/>
  <c r="E99" i="13"/>
  <c r="E9" i="13"/>
  <c r="E48" i="13"/>
  <c r="E86" i="13"/>
  <c r="E88" i="13"/>
  <c r="E124" i="13"/>
  <c r="E108" i="13"/>
  <c r="E116" i="13"/>
  <c r="E22" i="13"/>
  <c r="E10" i="13"/>
  <c r="E57" i="13"/>
  <c r="E11" i="13"/>
  <c r="E54" i="13"/>
  <c r="E7" i="13"/>
  <c r="E89" i="13"/>
  <c r="E100" i="13"/>
  <c r="E107" i="13"/>
  <c r="E12" i="13"/>
  <c r="E8" i="13"/>
  <c r="E78" i="13"/>
  <c r="E67" i="13"/>
  <c r="E112" i="13"/>
  <c r="E109" i="13"/>
  <c r="E120" i="13"/>
  <c r="D116" i="4"/>
  <c r="D108" i="4"/>
  <c r="D124" i="4"/>
  <c r="D125" i="4"/>
  <c r="D109" i="4"/>
  <c r="E22" i="16"/>
  <c r="E9" i="16"/>
  <c r="D22" i="4"/>
  <c r="D136" i="4"/>
  <c r="D57" i="4"/>
  <c r="E10" i="16"/>
  <c r="G22" i="4"/>
  <c r="D113" i="4"/>
  <c r="D137" i="4"/>
  <c r="D10" i="4"/>
  <c r="D112" i="4"/>
  <c r="D55" i="4"/>
  <c r="D120" i="4"/>
  <c r="D7" i="4"/>
  <c r="E7" i="16"/>
  <c r="D68" i="4"/>
  <c r="D8" i="4"/>
  <c r="E8" i="16"/>
  <c r="D134" i="4"/>
  <c r="G7" i="4"/>
  <c r="D48" i="4"/>
  <c r="D54" i="4"/>
  <c r="D49" i="4"/>
  <c r="D12" i="4"/>
  <c r="D11" i="4"/>
  <c r="G12" i="4"/>
  <c r="G34" i="4"/>
  <c r="D121" i="4"/>
  <c r="G11" i="4"/>
  <c r="H22" i="4"/>
  <c r="G29" i="4"/>
  <c r="D67" i="4"/>
  <c r="D100" i="4"/>
  <c r="G10" i="4"/>
  <c r="D89" i="4"/>
  <c r="G35" i="4"/>
  <c r="D99" i="4"/>
  <c r="D86" i="4"/>
  <c r="D107" i="4"/>
  <c r="D135" i="4"/>
  <c r="G135" i="4"/>
  <c r="G134" i="4"/>
  <c r="D78" i="4"/>
  <c r="D88" i="4"/>
  <c r="D79" i="4"/>
  <c r="D9" i="4"/>
  <c r="L77" i="33" l="1"/>
  <c r="M57" i="8"/>
  <c r="G49" i="9"/>
  <c r="G70" i="9" s="1"/>
  <c r="G12" i="10"/>
  <c r="G22" i="10"/>
  <c r="C12" i="10"/>
  <c r="C22" i="10"/>
  <c r="C11" i="10"/>
  <c r="E47" i="81"/>
  <c r="G77" i="4"/>
  <c r="G87" i="4"/>
  <c r="G111" i="4"/>
  <c r="G119" i="4"/>
  <c r="G98" i="4"/>
  <c r="F43" i="10"/>
  <c r="M12" i="8"/>
  <c r="B50" i="9"/>
  <c r="N12" i="8"/>
  <c r="C50" i="9"/>
  <c r="C33" i="9"/>
  <c r="E20" i="9" s="1"/>
  <c r="H33" i="9"/>
  <c r="M8" i="8"/>
  <c r="B33" i="9"/>
  <c r="G33" i="9"/>
  <c r="M31" i="8"/>
  <c r="E66" i="79"/>
  <c r="E111" i="79"/>
  <c r="E97" i="79"/>
  <c r="E47" i="78"/>
  <c r="E47" i="79"/>
  <c r="E119" i="79"/>
  <c r="E87" i="79"/>
  <c r="I12" i="9"/>
  <c r="H49" i="9"/>
  <c r="E47" i="77"/>
  <c r="E53" i="77"/>
  <c r="B49" i="9"/>
  <c r="L98" i="33"/>
  <c r="C49" i="9"/>
  <c r="N11" i="8"/>
  <c r="D12" i="9"/>
  <c r="E47" i="72"/>
  <c r="E47" i="74"/>
  <c r="L77" i="23"/>
  <c r="I77" i="29"/>
  <c r="I77" i="23"/>
  <c r="I77" i="13"/>
  <c r="I77" i="33"/>
  <c r="E56" i="37"/>
  <c r="I111" i="37"/>
  <c r="E119" i="37"/>
  <c r="I119" i="37"/>
  <c r="E47" i="37"/>
  <c r="I87" i="37"/>
  <c r="E111" i="37"/>
  <c r="E53" i="37"/>
  <c r="I66" i="37"/>
  <c r="I77" i="37"/>
  <c r="L87" i="29"/>
  <c r="E97" i="33"/>
  <c r="E97" i="29"/>
  <c r="E97" i="37"/>
  <c r="E97" i="13"/>
  <c r="I98" i="37"/>
  <c r="L119" i="13"/>
  <c r="E66" i="37"/>
  <c r="E87" i="33"/>
  <c r="E87" i="37"/>
  <c r="E98" i="37"/>
  <c r="E77" i="37"/>
  <c r="L111" i="29"/>
  <c r="L111" i="13"/>
  <c r="L87" i="33"/>
  <c r="L98" i="29"/>
  <c r="L119" i="23"/>
  <c r="L87" i="23"/>
  <c r="L98" i="23"/>
  <c r="E87" i="13"/>
  <c r="E87" i="23"/>
  <c r="D98" i="4"/>
  <c r="E98" i="29"/>
  <c r="E98" i="33"/>
  <c r="L119" i="33"/>
  <c r="L98" i="13"/>
  <c r="L66" i="33"/>
  <c r="L66" i="23"/>
  <c r="L66" i="13"/>
  <c r="E66" i="23"/>
  <c r="E66" i="13"/>
  <c r="E66" i="29"/>
  <c r="E66" i="33"/>
  <c r="L111" i="33"/>
  <c r="D87" i="4"/>
  <c r="E98" i="23"/>
  <c r="E87" i="29"/>
  <c r="C43" i="10"/>
  <c r="I119" i="13"/>
  <c r="I119" i="23"/>
  <c r="I119" i="29"/>
  <c r="I119" i="33"/>
  <c r="G43" i="10"/>
  <c r="F22" i="10"/>
  <c r="I98" i="13"/>
  <c r="I98" i="23"/>
  <c r="I98" i="29"/>
  <c r="I98" i="33"/>
  <c r="D66" i="4"/>
  <c r="B12" i="10"/>
  <c r="I66" i="13"/>
  <c r="I66" i="29"/>
  <c r="I66" i="33"/>
  <c r="I66" i="23"/>
  <c r="G66" i="4"/>
  <c r="F12" i="10"/>
  <c r="E53" i="39"/>
  <c r="C38" i="10"/>
  <c r="E53" i="16"/>
  <c r="I111" i="13"/>
  <c r="I111" i="23"/>
  <c r="I111" i="29"/>
  <c r="I111" i="33"/>
  <c r="G32" i="10"/>
  <c r="E56" i="39"/>
  <c r="E56" i="16"/>
  <c r="C49" i="10"/>
  <c r="C32" i="10"/>
  <c r="E47" i="39"/>
  <c r="E47" i="16"/>
  <c r="I87" i="13"/>
  <c r="I87" i="29"/>
  <c r="I87" i="23"/>
  <c r="I87" i="33"/>
  <c r="L87" i="13"/>
  <c r="L119" i="29"/>
  <c r="L66" i="29"/>
  <c r="L77" i="29"/>
  <c r="L111" i="23"/>
  <c r="E98" i="13"/>
  <c r="L77" i="13"/>
  <c r="E47" i="38"/>
  <c r="E77" i="33"/>
  <c r="E111" i="33"/>
  <c r="E119" i="33"/>
  <c r="E119" i="29"/>
  <c r="E77" i="29"/>
  <c r="E53" i="40"/>
  <c r="E56" i="40"/>
  <c r="E47" i="40"/>
  <c r="E47" i="51"/>
  <c r="E53" i="25"/>
  <c r="E47" i="25"/>
  <c r="E47" i="26"/>
  <c r="E56" i="25"/>
  <c r="E119" i="23"/>
  <c r="E77" i="23"/>
  <c r="E111" i="23"/>
  <c r="E56" i="21"/>
  <c r="E56" i="22"/>
  <c r="E47" i="21"/>
  <c r="E47" i="22"/>
  <c r="E53" i="22"/>
  <c r="E53" i="20"/>
  <c r="E47" i="19"/>
  <c r="E47" i="20"/>
  <c r="E53" i="13"/>
  <c r="E77" i="13"/>
  <c r="E56" i="13"/>
  <c r="E111" i="13"/>
  <c r="E47" i="13"/>
  <c r="E119" i="13"/>
  <c r="D111" i="4"/>
  <c r="D77" i="4"/>
  <c r="D119" i="4"/>
  <c r="D53" i="4"/>
  <c r="D56" i="4"/>
  <c r="D47" i="4"/>
  <c r="J24" i="9" l="1"/>
  <c r="J20" i="9"/>
  <c r="E22" i="9"/>
  <c r="E24" i="9"/>
  <c r="J29" i="9"/>
  <c r="J15" i="9"/>
  <c r="J28" i="9"/>
  <c r="J11" i="9"/>
  <c r="J26" i="9"/>
  <c r="J9" i="9"/>
  <c r="J32" i="9"/>
  <c r="J23" i="9"/>
  <c r="J25" i="9"/>
  <c r="J16" i="9"/>
  <c r="J31" i="9"/>
  <c r="J22" i="9"/>
  <c r="J14" i="9"/>
  <c r="J12" i="9"/>
  <c r="J18" i="9"/>
  <c r="J27" i="9"/>
  <c r="J10" i="9"/>
  <c r="J30" i="9"/>
  <c r="J21" i="9"/>
  <c r="J13" i="9"/>
  <c r="J19" i="9"/>
  <c r="J17" i="9"/>
  <c r="I49" i="9"/>
  <c r="D49" i="9"/>
  <c r="C60" i="10"/>
  <c r="H107" i="4"/>
  <c r="H114" i="4"/>
  <c r="H116" i="4"/>
  <c r="H28" i="4"/>
  <c r="J33" i="9" l="1"/>
  <c r="H98" i="4"/>
  <c r="H117" i="4"/>
  <c r="H99" i="4"/>
  <c r="H24" i="4"/>
  <c r="H78" i="4"/>
  <c r="D9" i="10"/>
  <c r="H124" i="4"/>
  <c r="H112" i="4"/>
  <c r="H88" i="4"/>
  <c r="H9" i="4"/>
  <c r="H8" i="4"/>
  <c r="H79" i="4"/>
  <c r="H122" i="4"/>
  <c r="H14" i="10"/>
  <c r="H37" i="4"/>
  <c r="H121" i="4"/>
  <c r="I121" i="4"/>
  <c r="I112" i="4"/>
  <c r="I9" i="4"/>
  <c r="M9" i="91" s="1"/>
  <c r="I109" i="4"/>
  <c r="K49" i="10"/>
  <c r="H113" i="4"/>
  <c r="I108" i="4"/>
  <c r="H11" i="4"/>
  <c r="I122" i="4"/>
  <c r="I79" i="4"/>
  <c r="I100" i="4"/>
  <c r="H110" i="4"/>
  <c r="H25" i="4"/>
  <c r="H125" i="4"/>
  <c r="H86" i="4"/>
  <c r="H42" i="10"/>
  <c r="H21" i="10"/>
  <c r="I120" i="4"/>
  <c r="I28" i="4"/>
  <c r="H109" i="4"/>
  <c r="I32" i="4"/>
  <c r="I67" i="4"/>
  <c r="K11" i="10"/>
  <c r="I23" i="4"/>
  <c r="H22" i="10"/>
  <c r="H108" i="4"/>
  <c r="H10" i="4"/>
  <c r="I77" i="4"/>
  <c r="I88" i="4"/>
  <c r="I117" i="4"/>
  <c r="H67" i="4"/>
  <c r="H12" i="10"/>
  <c r="I116" i="4"/>
  <c r="H120" i="4"/>
  <c r="I110" i="4"/>
  <c r="I113" i="4"/>
  <c r="I78" i="4"/>
  <c r="K26" i="10"/>
  <c r="I98" i="4"/>
  <c r="I99" i="4"/>
  <c r="K9" i="10"/>
  <c r="H77" i="4"/>
  <c r="H24" i="10"/>
  <c r="I31" i="4"/>
  <c r="I24" i="4"/>
  <c r="K16" i="10"/>
  <c r="I30" i="4"/>
  <c r="H36" i="4"/>
  <c r="K45" i="10"/>
  <c r="H39" i="4"/>
  <c r="I107" i="4"/>
  <c r="I8" i="4"/>
  <c r="I114" i="4"/>
  <c r="I86" i="4"/>
  <c r="H10" i="10"/>
  <c r="I124" i="4"/>
  <c r="H100" i="4"/>
  <c r="H7" i="4"/>
  <c r="H23" i="4"/>
  <c r="H15" i="10"/>
  <c r="I125" i="4"/>
  <c r="M28" i="79" l="1"/>
  <c r="M97" i="79"/>
  <c r="M114" i="79"/>
  <c r="M23" i="79"/>
  <c r="M120" i="79"/>
  <c r="M8" i="79"/>
  <c r="M122" i="79"/>
  <c r="M30" i="79"/>
  <c r="M9" i="79"/>
  <c r="M9" i="72"/>
  <c r="M8" i="72"/>
  <c r="M8" i="74"/>
  <c r="J23" i="4"/>
  <c r="J24" i="4"/>
  <c r="J110" i="4"/>
  <c r="M67" i="37"/>
  <c r="M107" i="37"/>
  <c r="M32" i="37"/>
  <c r="M79" i="37"/>
  <c r="M124" i="37"/>
  <c r="M88" i="37"/>
  <c r="M78" i="37"/>
  <c r="M100" i="37"/>
  <c r="M86" i="37"/>
  <c r="M122" i="37"/>
  <c r="M109" i="37"/>
  <c r="M99" i="37"/>
  <c r="M113" i="37"/>
  <c r="M117" i="37"/>
  <c r="M28" i="37"/>
  <c r="M114" i="37"/>
  <c r="M110" i="37"/>
  <c r="M9" i="37"/>
  <c r="M31" i="37"/>
  <c r="M8" i="37"/>
  <c r="M24" i="37"/>
  <c r="M108" i="37"/>
  <c r="M112" i="37"/>
  <c r="J122" i="4"/>
  <c r="M23" i="37"/>
  <c r="M121" i="37"/>
  <c r="M125" i="37"/>
  <c r="M30" i="37"/>
  <c r="M116" i="37"/>
  <c r="M120" i="37"/>
  <c r="J114" i="4"/>
  <c r="M98" i="37"/>
  <c r="M97" i="37"/>
  <c r="M97" i="13"/>
  <c r="M97" i="29"/>
  <c r="M97" i="33"/>
  <c r="M77" i="37"/>
  <c r="M24" i="13"/>
  <c r="M24" i="23"/>
  <c r="M24" i="33"/>
  <c r="M24" i="29"/>
  <c r="M88" i="13"/>
  <c r="M88" i="29"/>
  <c r="M88" i="23"/>
  <c r="M88" i="33"/>
  <c r="J28" i="4"/>
  <c r="M28" i="20"/>
  <c r="M28" i="25"/>
  <c r="M28" i="23"/>
  <c r="M28" i="51"/>
  <c r="M28" i="29"/>
  <c r="M28" i="16"/>
  <c r="M28" i="13"/>
  <c r="M121" i="23"/>
  <c r="M121" i="13"/>
  <c r="M121" i="29"/>
  <c r="M121" i="33"/>
  <c r="M125" i="23"/>
  <c r="M125" i="13"/>
  <c r="M125" i="29"/>
  <c r="M125" i="33"/>
  <c r="M124" i="13"/>
  <c r="M114" i="33"/>
  <c r="M31" i="23"/>
  <c r="M31" i="13"/>
  <c r="M31" i="29"/>
  <c r="M31" i="33"/>
  <c r="M78" i="23"/>
  <c r="M78" i="13"/>
  <c r="M78" i="29"/>
  <c r="M78" i="33"/>
  <c r="M113" i="23"/>
  <c r="M113" i="13"/>
  <c r="M113" i="29"/>
  <c r="M113" i="33"/>
  <c r="J116" i="4"/>
  <c r="M116" i="13"/>
  <c r="M116" i="23"/>
  <c r="M116" i="33"/>
  <c r="M117" i="23"/>
  <c r="M117" i="13"/>
  <c r="M117" i="29"/>
  <c r="M117" i="33"/>
  <c r="M23" i="20"/>
  <c r="M23" i="23"/>
  <c r="M23" i="13"/>
  <c r="M23" i="29"/>
  <c r="M23" i="33"/>
  <c r="M32" i="13"/>
  <c r="M32" i="33"/>
  <c r="M32" i="23"/>
  <c r="M32" i="29"/>
  <c r="M79" i="13"/>
  <c r="M79" i="23"/>
  <c r="M79" i="33"/>
  <c r="M79" i="29"/>
  <c r="M8" i="20"/>
  <c r="M8" i="13"/>
  <c r="M8" i="22"/>
  <c r="M8" i="51"/>
  <c r="M8" i="25"/>
  <c r="M8" i="29"/>
  <c r="M8" i="33"/>
  <c r="M8" i="19"/>
  <c r="M8" i="16"/>
  <c r="M30" i="20"/>
  <c r="M30" i="13"/>
  <c r="M30" i="23"/>
  <c r="M30" i="33"/>
  <c r="M30" i="29"/>
  <c r="M30" i="16"/>
  <c r="M99" i="23"/>
  <c r="M99" i="29"/>
  <c r="M99" i="13"/>
  <c r="M99" i="33"/>
  <c r="M110" i="33"/>
  <c r="M120" i="13"/>
  <c r="M120" i="23"/>
  <c r="M120" i="29"/>
  <c r="M120" i="33"/>
  <c r="M100" i="13"/>
  <c r="M100" i="29"/>
  <c r="M100" i="33"/>
  <c r="M100" i="23"/>
  <c r="M122" i="33"/>
  <c r="M108" i="13"/>
  <c r="M108" i="23"/>
  <c r="M108" i="33"/>
  <c r="M108" i="29"/>
  <c r="M9" i="19"/>
  <c r="M9" i="25"/>
  <c r="M9" i="20"/>
  <c r="M9" i="22"/>
  <c r="M9" i="51"/>
  <c r="M9" i="13"/>
  <c r="M9" i="16"/>
  <c r="M9" i="29"/>
  <c r="M9" i="33"/>
  <c r="M86" i="23"/>
  <c r="M86" i="29"/>
  <c r="M86" i="13"/>
  <c r="M86" i="33"/>
  <c r="J107" i="4"/>
  <c r="M107" i="23"/>
  <c r="M107" i="13"/>
  <c r="M107" i="29"/>
  <c r="M107" i="33"/>
  <c r="M98" i="13"/>
  <c r="M98" i="23"/>
  <c r="M98" i="29"/>
  <c r="M98" i="33"/>
  <c r="M77" i="13"/>
  <c r="M77" i="23"/>
  <c r="M77" i="29"/>
  <c r="M77" i="33"/>
  <c r="M67" i="13"/>
  <c r="M67" i="23"/>
  <c r="M67" i="29"/>
  <c r="M67" i="33"/>
  <c r="M109" i="13"/>
  <c r="M109" i="23"/>
  <c r="M109" i="29"/>
  <c r="M109" i="33"/>
  <c r="M112" i="13"/>
  <c r="M112" i="23"/>
  <c r="M112" i="33"/>
  <c r="J108" i="4"/>
  <c r="M39" i="8"/>
  <c r="D39" i="9"/>
  <c r="H62" i="9"/>
  <c r="H47" i="9"/>
  <c r="N41" i="8"/>
  <c r="B67" i="9"/>
  <c r="D30" i="9"/>
  <c r="D14" i="9"/>
  <c r="B51" i="9"/>
  <c r="D21" i="9"/>
  <c r="B58" i="9"/>
  <c r="B42" i="9"/>
  <c r="I23" i="9"/>
  <c r="H51" i="9"/>
  <c r="B66" i="9"/>
  <c r="D29" i="9"/>
  <c r="I18" i="9"/>
  <c r="N39" i="8"/>
  <c r="C47" i="9"/>
  <c r="C58" i="9"/>
  <c r="B55" i="9"/>
  <c r="D18" i="9"/>
  <c r="H52" i="9"/>
  <c r="N38" i="8"/>
  <c r="N37" i="8"/>
  <c r="C65" i="9"/>
  <c r="N40" i="8"/>
  <c r="M41" i="8"/>
  <c r="D41" i="9"/>
  <c r="B65" i="9"/>
  <c r="I32" i="9"/>
  <c r="C46" i="9"/>
  <c r="M87" i="8"/>
  <c r="I36" i="9"/>
  <c r="H54" i="9"/>
  <c r="D40" i="9"/>
  <c r="M40" i="8"/>
  <c r="H58" i="9"/>
  <c r="I19" i="9"/>
  <c r="D13" i="9"/>
  <c r="B62" i="9"/>
  <c r="D25" i="9"/>
  <c r="C55" i="9"/>
  <c r="D32" i="9"/>
  <c r="D9" i="9"/>
  <c r="B46" i="9"/>
  <c r="M88" i="8"/>
  <c r="I37" i="9"/>
  <c r="I27" i="9"/>
  <c r="H64" i="9"/>
  <c r="H65" i="9"/>
  <c r="N92" i="8"/>
  <c r="H60" i="9"/>
  <c r="N88" i="8"/>
  <c r="H46" i="9"/>
  <c r="C52" i="9"/>
  <c r="I39" i="9"/>
  <c r="M90" i="8"/>
  <c r="N90" i="8"/>
  <c r="C67" i="9"/>
  <c r="C64" i="9"/>
  <c r="D19" i="9"/>
  <c r="B56" i="9"/>
  <c r="C53" i="9"/>
  <c r="N91" i="8"/>
  <c r="C42" i="9"/>
  <c r="M38" i="8"/>
  <c r="D38" i="9"/>
  <c r="I25" i="9"/>
  <c r="B60" i="9"/>
  <c r="D23" i="9"/>
  <c r="D36" i="9"/>
  <c r="M36" i="8"/>
  <c r="N89" i="8"/>
  <c r="D28" i="9"/>
  <c r="H42" i="9"/>
  <c r="C62" i="9"/>
  <c r="N36" i="8"/>
  <c r="B53" i="9"/>
  <c r="D16" i="9"/>
  <c r="C56" i="9"/>
  <c r="N87" i="8"/>
  <c r="C66" i="9"/>
  <c r="I38" i="9"/>
  <c r="M89" i="8"/>
  <c r="D10" i="9"/>
  <c r="B47" i="9"/>
  <c r="C51" i="9"/>
  <c r="G42" i="9"/>
  <c r="F27" i="10" s="1"/>
  <c r="D27" i="9"/>
  <c r="B64" i="9"/>
  <c r="H53" i="9"/>
  <c r="M91" i="8"/>
  <c r="I40" i="9"/>
  <c r="H56" i="9"/>
  <c r="D17" i="9"/>
  <c r="B54" i="9"/>
  <c r="H66" i="9"/>
  <c r="C54" i="9"/>
  <c r="M92" i="8"/>
  <c r="I41" i="9"/>
  <c r="M37" i="8"/>
  <c r="D37" i="9"/>
  <c r="D26" i="9"/>
  <c r="B52" i="9"/>
  <c r="D15" i="9"/>
  <c r="I13" i="9"/>
  <c r="I28" i="9"/>
  <c r="I16" i="9"/>
  <c r="C60" i="9"/>
  <c r="J109" i="4"/>
  <c r="J117" i="4"/>
  <c r="J125" i="4"/>
  <c r="J124" i="4"/>
  <c r="J120" i="4"/>
  <c r="J8" i="4"/>
  <c r="J112" i="4"/>
  <c r="J78" i="4"/>
  <c r="J9" i="4"/>
  <c r="J67" i="4"/>
  <c r="J86" i="4"/>
  <c r="J113" i="4"/>
  <c r="J88" i="4"/>
  <c r="J99" i="4"/>
  <c r="J100" i="4"/>
  <c r="J121" i="4"/>
  <c r="J77" i="4"/>
  <c r="J79" i="4"/>
  <c r="J98" i="4"/>
  <c r="K21" i="10"/>
  <c r="H75" i="4"/>
  <c r="H25" i="10"/>
  <c r="G55" i="10"/>
  <c r="H136" i="4"/>
  <c r="H96" i="4"/>
  <c r="K42" i="10"/>
  <c r="G53" i="10"/>
  <c r="H29" i="4"/>
  <c r="H89" i="4"/>
  <c r="K12" i="10"/>
  <c r="K14" i="10"/>
  <c r="K23" i="10"/>
  <c r="H87" i="4"/>
  <c r="H111" i="4"/>
  <c r="K44" i="10"/>
  <c r="K24" i="10"/>
  <c r="G46" i="10"/>
  <c r="H43" i="10"/>
  <c r="H31" i="4"/>
  <c r="J31" i="4" s="1"/>
  <c r="H32" i="4"/>
  <c r="J32" i="4" s="1"/>
  <c r="J10" i="10"/>
  <c r="D10" i="10"/>
  <c r="J24" i="10"/>
  <c r="D24" i="10"/>
  <c r="I25" i="4"/>
  <c r="B60" i="10"/>
  <c r="D38" i="10"/>
  <c r="J38" i="10"/>
  <c r="I37" i="4"/>
  <c r="F55" i="10"/>
  <c r="H33" i="10"/>
  <c r="D23" i="10"/>
  <c r="J23" i="10"/>
  <c r="H34" i="4"/>
  <c r="H134" i="4"/>
  <c r="J14" i="10"/>
  <c r="D14" i="10"/>
  <c r="I87" i="4"/>
  <c r="J11" i="10"/>
  <c r="L11" i="10" s="1"/>
  <c r="D11" i="10"/>
  <c r="K32" i="10"/>
  <c r="C54" i="10"/>
  <c r="K15" i="10"/>
  <c r="H41" i="10"/>
  <c r="F46" i="10"/>
  <c r="D42" i="10"/>
  <c r="J42" i="10"/>
  <c r="C52" i="10"/>
  <c r="C35" i="10"/>
  <c r="K30" i="10"/>
  <c r="H23" i="10"/>
  <c r="K25" i="10"/>
  <c r="D33" i="10"/>
  <c r="B55" i="10"/>
  <c r="J33" i="10"/>
  <c r="D45" i="10"/>
  <c r="J45" i="10"/>
  <c r="L45" i="10" s="1"/>
  <c r="J16" i="10"/>
  <c r="L16" i="10" s="1"/>
  <c r="D16" i="10"/>
  <c r="I75" i="4"/>
  <c r="I137" i="4"/>
  <c r="D22" i="10"/>
  <c r="J22" i="10"/>
  <c r="G54" i="10"/>
  <c r="J31" i="10"/>
  <c r="B53" i="10"/>
  <c r="D31" i="10"/>
  <c r="J15" i="10"/>
  <c r="D15" i="10"/>
  <c r="I96" i="4"/>
  <c r="H20" i="10"/>
  <c r="K22" i="10"/>
  <c r="K10" i="10"/>
  <c r="D44" i="10"/>
  <c r="J44" i="10"/>
  <c r="I111" i="4"/>
  <c r="C55" i="10"/>
  <c r="K33" i="10"/>
  <c r="J13" i="10"/>
  <c r="D13" i="10"/>
  <c r="K13" i="10"/>
  <c r="H35" i="4"/>
  <c r="C56" i="10"/>
  <c r="K56" i="10" s="1"/>
  <c r="K34" i="10"/>
  <c r="I119" i="4"/>
  <c r="F35" i="10"/>
  <c r="F52" i="10"/>
  <c r="H30" i="10"/>
  <c r="I135" i="4"/>
  <c r="I29" i="4"/>
  <c r="H31" i="10"/>
  <c r="F53" i="10"/>
  <c r="I89" i="4"/>
  <c r="J32" i="10"/>
  <c r="D32" i="10"/>
  <c r="B54" i="10"/>
  <c r="I66" i="4"/>
  <c r="J20" i="10"/>
  <c r="D20" i="10"/>
  <c r="B56" i="10"/>
  <c r="J34" i="10"/>
  <c r="H66" i="4"/>
  <c r="H32" i="10"/>
  <c r="F54" i="10"/>
  <c r="I22" i="4"/>
  <c r="K41" i="10"/>
  <c r="C46" i="10"/>
  <c r="H119" i="4"/>
  <c r="H137" i="4"/>
  <c r="I136" i="4"/>
  <c r="H68" i="4"/>
  <c r="I68" i="4"/>
  <c r="K43" i="10"/>
  <c r="I10" i="4"/>
  <c r="H135" i="4"/>
  <c r="H12" i="4"/>
  <c r="J26" i="10"/>
  <c r="L26" i="10" s="1"/>
  <c r="D26" i="10"/>
  <c r="I34" i="4"/>
  <c r="H9" i="10"/>
  <c r="J9" i="10"/>
  <c r="L9" i="10" s="1"/>
  <c r="J49" i="10"/>
  <c r="L49" i="10" s="1"/>
  <c r="D49" i="10"/>
  <c r="D21" i="10"/>
  <c r="J21" i="10"/>
  <c r="I39" i="4"/>
  <c r="I36" i="4"/>
  <c r="B35" i="10"/>
  <c r="J30" i="10"/>
  <c r="B52" i="10"/>
  <c r="D30" i="10"/>
  <c r="I7" i="4"/>
  <c r="M7" i="91" s="1"/>
  <c r="K60" i="10"/>
  <c r="K38" i="10"/>
  <c r="H13" i="10"/>
  <c r="G35" i="10"/>
  <c r="G52" i="10"/>
  <c r="I35" i="4"/>
  <c r="D12" i="10"/>
  <c r="J12" i="10"/>
  <c r="I12" i="4"/>
  <c r="D43" i="10"/>
  <c r="J43" i="10"/>
  <c r="I134" i="4"/>
  <c r="I11" i="4"/>
  <c r="K20" i="10"/>
  <c r="D25" i="10"/>
  <c r="J25" i="10"/>
  <c r="D41" i="10"/>
  <c r="J41" i="10"/>
  <c r="B46" i="10"/>
  <c r="K31" i="10"/>
  <c r="C53" i="10"/>
  <c r="L38" i="9"/>
  <c r="B70" i="9" l="1"/>
  <c r="H70" i="9"/>
  <c r="J57" i="9" s="1"/>
  <c r="M119" i="79"/>
  <c r="M111" i="79"/>
  <c r="M37" i="79"/>
  <c r="M36" i="79"/>
  <c r="M22" i="79"/>
  <c r="M29" i="79"/>
  <c r="M10" i="79"/>
  <c r="M66" i="79"/>
  <c r="M7" i="79"/>
  <c r="M87" i="79"/>
  <c r="J68" i="9"/>
  <c r="B17" i="10"/>
  <c r="M28" i="9"/>
  <c r="L15" i="9"/>
  <c r="J59" i="9" l="1"/>
  <c r="J61" i="9"/>
  <c r="J48" i="9"/>
  <c r="M7" i="72"/>
  <c r="M7" i="74"/>
  <c r="J38" i="9"/>
  <c r="M31" i="9"/>
  <c r="L23" i="9"/>
  <c r="L21" i="9"/>
  <c r="N30" i="9"/>
  <c r="L32" i="9"/>
  <c r="O14" i="9"/>
  <c r="O21" i="9"/>
  <c r="M27" i="9"/>
  <c r="L19" i="9"/>
  <c r="L40" i="9"/>
  <c r="N15" i="9"/>
  <c r="O26" i="9"/>
  <c r="L9" i="9"/>
  <c r="O16" i="9"/>
  <c r="O12" i="9"/>
  <c r="O37" i="9"/>
  <c r="O30" i="9"/>
  <c r="M32" i="9"/>
  <c r="M26" i="9"/>
  <c r="N36" i="9"/>
  <c r="M30" i="9"/>
  <c r="L41" i="9"/>
  <c r="N14" i="9"/>
  <c r="L16" i="9"/>
  <c r="M9" i="9"/>
  <c r="M37" i="9"/>
  <c r="N26" i="9"/>
  <c r="M23" i="9"/>
  <c r="L14" i="9"/>
  <c r="N39" i="9"/>
  <c r="N27" i="9"/>
  <c r="M29" i="9"/>
  <c r="O17" i="9"/>
  <c r="O9" i="9"/>
  <c r="N28" i="9"/>
  <c r="O32" i="9"/>
  <c r="O36" i="9"/>
  <c r="L39" i="9"/>
  <c r="M17" i="9"/>
  <c r="N41" i="9"/>
  <c r="O31" i="9"/>
  <c r="O18" i="9"/>
  <c r="M21" i="9"/>
  <c r="M19" i="9"/>
  <c r="O23" i="9"/>
  <c r="O40" i="9"/>
  <c r="M25" i="9"/>
  <c r="L25" i="9"/>
  <c r="O15" i="9"/>
  <c r="M16" i="9"/>
  <c r="N9" i="9"/>
  <c r="M40" i="9"/>
  <c r="M14" i="9"/>
  <c r="N31" i="9"/>
  <c r="N17" i="9"/>
  <c r="L28" i="9"/>
  <c r="L30" i="9"/>
  <c r="O25" i="9"/>
  <c r="N40" i="9"/>
  <c r="O10" i="9"/>
  <c r="N10" i="9"/>
  <c r="N37" i="9"/>
  <c r="O19" i="9"/>
  <c r="M18" i="9"/>
  <c r="L37" i="9"/>
  <c r="L17" i="9"/>
  <c r="N16" i="9"/>
  <c r="M10" i="9"/>
  <c r="N18" i="9"/>
  <c r="L29" i="9"/>
  <c r="O39" i="9"/>
  <c r="O38" i="9"/>
  <c r="N21" i="9"/>
  <c r="L27" i="9"/>
  <c r="M41" i="9"/>
  <c r="M38" i="9"/>
  <c r="N23" i="9"/>
  <c r="M15" i="9"/>
  <c r="M36" i="9"/>
  <c r="N32" i="9"/>
  <c r="O28" i="9"/>
  <c r="M12" i="9"/>
  <c r="N38" i="9"/>
  <c r="N25" i="9"/>
  <c r="N12" i="9"/>
  <c r="L10" i="9"/>
  <c r="L18" i="9"/>
  <c r="L36" i="9"/>
  <c r="N19" i="9"/>
  <c r="O41" i="9"/>
  <c r="O29" i="9"/>
  <c r="O27" i="9"/>
  <c r="L12" i="9"/>
  <c r="M39" i="9"/>
  <c r="N29" i="9"/>
  <c r="L26" i="9"/>
  <c r="J25" i="4" l="1"/>
  <c r="M35" i="37"/>
  <c r="M22" i="37"/>
  <c r="M29" i="37"/>
  <c r="M135" i="37"/>
  <c r="M37" i="37"/>
  <c r="M137" i="37"/>
  <c r="M66" i="37"/>
  <c r="M111" i="37"/>
  <c r="M10" i="37"/>
  <c r="M136" i="37"/>
  <c r="M75" i="37"/>
  <c r="M134" i="37"/>
  <c r="M36" i="37"/>
  <c r="M12" i="37"/>
  <c r="M89" i="37"/>
  <c r="M87" i="37"/>
  <c r="M25" i="37"/>
  <c r="M11" i="37"/>
  <c r="M7" i="37"/>
  <c r="M34" i="37"/>
  <c r="M119" i="37"/>
  <c r="M68" i="37"/>
  <c r="M96" i="37"/>
  <c r="L24" i="10"/>
  <c r="L14" i="10"/>
  <c r="J39" i="4"/>
  <c r="J75" i="4"/>
  <c r="J96" i="4"/>
  <c r="L15" i="10"/>
  <c r="L46" i="9"/>
  <c r="M42" i="9"/>
  <c r="M65" i="9"/>
  <c r="O64" i="9"/>
  <c r="L51" i="9"/>
  <c r="M46" i="9"/>
  <c r="M53" i="9"/>
  <c r="O53" i="9"/>
  <c r="N56" i="9"/>
  <c r="O67" i="9"/>
  <c r="O52" i="9"/>
  <c r="M56" i="9"/>
  <c r="N53" i="9"/>
  <c r="N50" i="9"/>
  <c r="O66" i="9"/>
  <c r="M64" i="9"/>
  <c r="L62" i="9"/>
  <c r="L54" i="9"/>
  <c r="L60" i="9"/>
  <c r="M69" i="9"/>
  <c r="L66" i="9"/>
  <c r="M33" i="9"/>
  <c r="O51" i="9"/>
  <c r="L42" i="9"/>
  <c r="L50" i="9"/>
  <c r="M67" i="9"/>
  <c r="N33" i="9"/>
  <c r="M58" i="9"/>
  <c r="O42" i="9"/>
  <c r="N52" i="9"/>
  <c r="O46" i="9"/>
  <c r="L56" i="9"/>
  <c r="N67" i="9"/>
  <c r="M60" i="9"/>
  <c r="O60" i="9"/>
  <c r="N65" i="9"/>
  <c r="O55" i="9"/>
  <c r="L58" i="9"/>
  <c r="L65" i="9"/>
  <c r="N62" i="9"/>
  <c r="N51" i="9"/>
  <c r="O56" i="9"/>
  <c r="O69" i="9"/>
  <c r="O65" i="9"/>
  <c r="L55" i="9"/>
  <c r="O62" i="9"/>
  <c r="N46" i="9"/>
  <c r="L69" i="9"/>
  <c r="M66" i="9"/>
  <c r="N60" i="9"/>
  <c r="M51" i="9"/>
  <c r="O33" i="9"/>
  <c r="M54" i="9"/>
  <c r="M55" i="9"/>
  <c r="N66" i="9"/>
  <c r="N47" i="9"/>
  <c r="L64" i="9"/>
  <c r="M50" i="9"/>
  <c r="M52" i="9"/>
  <c r="N42" i="9"/>
  <c r="N58" i="9"/>
  <c r="M47" i="9"/>
  <c r="N69" i="9"/>
  <c r="N55" i="9"/>
  <c r="L33" i="9"/>
  <c r="M62" i="9"/>
  <c r="L52" i="9"/>
  <c r="O54" i="9"/>
  <c r="O50" i="9"/>
  <c r="O47" i="9"/>
  <c r="N64" i="9"/>
  <c r="O58" i="9"/>
  <c r="L47" i="9"/>
  <c r="L42" i="10"/>
  <c r="J11" i="4"/>
  <c r="M11" i="13"/>
  <c r="M11" i="33"/>
  <c r="M11" i="23"/>
  <c r="M11" i="29"/>
  <c r="J10" i="4"/>
  <c r="M10" i="20"/>
  <c r="M10" i="23"/>
  <c r="M10" i="13"/>
  <c r="M10" i="51"/>
  <c r="M10" i="16"/>
  <c r="M10" i="29"/>
  <c r="M10" i="33"/>
  <c r="M68" i="13"/>
  <c r="M68" i="23"/>
  <c r="M68" i="29"/>
  <c r="M68" i="33"/>
  <c r="M136" i="26"/>
  <c r="M119" i="23"/>
  <c r="M119" i="13"/>
  <c r="M119" i="29"/>
  <c r="M119" i="33"/>
  <c r="M111" i="23"/>
  <c r="M111" i="29"/>
  <c r="M111" i="13"/>
  <c r="M111" i="33"/>
  <c r="J7" i="4"/>
  <c r="M7" i="19"/>
  <c r="M7" i="13"/>
  <c r="M7" i="23"/>
  <c r="M7" i="22"/>
  <c r="M7" i="25"/>
  <c r="M7" i="20"/>
  <c r="M7" i="29"/>
  <c r="M7" i="16"/>
  <c r="M7" i="51"/>
  <c r="M7" i="33"/>
  <c r="J22" i="4"/>
  <c r="M22" i="20"/>
  <c r="M22" i="13"/>
  <c r="M22" i="51"/>
  <c r="M22" i="23"/>
  <c r="M22" i="29"/>
  <c r="M22" i="33"/>
  <c r="M22" i="16"/>
  <c r="M29" i="23"/>
  <c r="M29" i="13"/>
  <c r="M29" i="29"/>
  <c r="M29" i="51"/>
  <c r="M29" i="16"/>
  <c r="M29" i="20"/>
  <c r="M29" i="33"/>
  <c r="M137" i="26"/>
  <c r="M87" i="13"/>
  <c r="M87" i="23"/>
  <c r="M87" i="33"/>
  <c r="M87" i="29"/>
  <c r="M35" i="13"/>
  <c r="M35" i="23"/>
  <c r="M35" i="29"/>
  <c r="M35" i="33"/>
  <c r="M39" i="13"/>
  <c r="M34" i="13"/>
  <c r="M34" i="23"/>
  <c r="M34" i="29"/>
  <c r="M34" i="33"/>
  <c r="M66" i="13"/>
  <c r="M66" i="33"/>
  <c r="M66" i="23"/>
  <c r="M66" i="29"/>
  <c r="M89" i="13"/>
  <c r="M89" i="23"/>
  <c r="M89" i="29"/>
  <c r="M89" i="33"/>
  <c r="M96" i="33"/>
  <c r="M75" i="33"/>
  <c r="J37" i="4"/>
  <c r="M37" i="13"/>
  <c r="I65" i="9"/>
  <c r="M134" i="26"/>
  <c r="M134" i="34"/>
  <c r="M12" i="13"/>
  <c r="M12" i="23"/>
  <c r="M12" i="29"/>
  <c r="M12" i="33"/>
  <c r="J36" i="4"/>
  <c r="M36" i="13"/>
  <c r="L21" i="10"/>
  <c r="H53" i="10"/>
  <c r="M135" i="26"/>
  <c r="M135" i="34"/>
  <c r="M25" i="13"/>
  <c r="M25" i="29"/>
  <c r="M25" i="33"/>
  <c r="L31" i="10"/>
  <c r="L22" i="10"/>
  <c r="L12" i="10"/>
  <c r="L10" i="10"/>
  <c r="I60" i="9"/>
  <c r="I69" i="9"/>
  <c r="I53" i="9"/>
  <c r="I50" i="9"/>
  <c r="I33" i="9"/>
  <c r="D42" i="9"/>
  <c r="G17" i="10"/>
  <c r="E37" i="9"/>
  <c r="E36" i="9"/>
  <c r="E41" i="9"/>
  <c r="E40" i="9"/>
  <c r="E39" i="9"/>
  <c r="F17" i="10"/>
  <c r="J17" i="10" s="1"/>
  <c r="E38" i="9"/>
  <c r="B27" i="10"/>
  <c r="J27" i="10" s="1"/>
  <c r="J39" i="9"/>
  <c r="G27" i="10"/>
  <c r="H27" i="10" s="1"/>
  <c r="J49" i="9"/>
  <c r="C27" i="10"/>
  <c r="J40" i="9"/>
  <c r="J36" i="9"/>
  <c r="I42" i="9"/>
  <c r="J37" i="9"/>
  <c r="J41" i="9"/>
  <c r="J119" i="4"/>
  <c r="J137" i="4"/>
  <c r="J135" i="4"/>
  <c r="J111" i="4"/>
  <c r="J12" i="4"/>
  <c r="J66" i="4"/>
  <c r="J35" i="4"/>
  <c r="J134" i="4"/>
  <c r="J34" i="4"/>
  <c r="J136" i="4"/>
  <c r="J68" i="4"/>
  <c r="J89" i="4"/>
  <c r="J87" i="4"/>
  <c r="J29" i="4"/>
  <c r="K53" i="10"/>
  <c r="K55" i="10"/>
  <c r="L44" i="10"/>
  <c r="L23" i="10"/>
  <c r="H55" i="10"/>
  <c r="L30" i="10"/>
  <c r="G57" i="10"/>
  <c r="L32" i="10"/>
  <c r="H54" i="10"/>
  <c r="L43" i="10"/>
  <c r="K46" i="10"/>
  <c r="H46" i="10"/>
  <c r="L41" i="10"/>
  <c r="L13" i="10"/>
  <c r="L25" i="10"/>
  <c r="H30" i="4"/>
  <c r="J30" i="4" s="1"/>
  <c r="K54" i="10"/>
  <c r="L38" i="10"/>
  <c r="D46" i="10"/>
  <c r="J46" i="10"/>
  <c r="D52" i="10"/>
  <c r="J52" i="10"/>
  <c r="B57" i="10"/>
  <c r="J54" i="10"/>
  <c r="D54" i="10"/>
  <c r="F57" i="10"/>
  <c r="H52" i="10"/>
  <c r="L33" i="10"/>
  <c r="K35" i="10"/>
  <c r="L20" i="10"/>
  <c r="H35" i="10"/>
  <c r="J53" i="10"/>
  <c r="D53" i="10"/>
  <c r="D55" i="10"/>
  <c r="J55" i="10"/>
  <c r="K52" i="10"/>
  <c r="C57" i="10"/>
  <c r="J60" i="10"/>
  <c r="L60" i="10" s="1"/>
  <c r="D60" i="10"/>
  <c r="J35" i="10"/>
  <c r="D35" i="10"/>
  <c r="D56" i="10"/>
  <c r="J56" i="10"/>
  <c r="L56" i="10" s="1"/>
  <c r="L31" i="9"/>
  <c r="N54" i="9" l="1"/>
  <c r="L53" i="9"/>
  <c r="L70" i="9" s="1"/>
  <c r="L67" i="9"/>
  <c r="J67" i="9"/>
  <c r="J63" i="9"/>
  <c r="L55" i="10"/>
  <c r="M70" i="9"/>
  <c r="O70" i="9"/>
  <c r="N70" i="9"/>
  <c r="L53" i="10"/>
  <c r="J42" i="9"/>
  <c r="I70" i="9"/>
  <c r="E42" i="9"/>
  <c r="H17" i="10"/>
  <c r="J53" i="9"/>
  <c r="J52" i="9"/>
  <c r="D27" i="10"/>
  <c r="K27" i="10"/>
  <c r="L27" i="10" s="1"/>
  <c r="J47" i="9"/>
  <c r="J55" i="9"/>
  <c r="I55" i="9" s="1"/>
  <c r="J58" i="9"/>
  <c r="J46" i="9"/>
  <c r="I46" i="9" s="1"/>
  <c r="J60" i="9"/>
  <c r="J54" i="9"/>
  <c r="J62" i="9"/>
  <c r="I62" i="9" s="1"/>
  <c r="J50" i="9"/>
  <c r="J69" i="9"/>
  <c r="J66" i="9"/>
  <c r="J56" i="9"/>
  <c r="I56" i="9" s="1"/>
  <c r="J51" i="9"/>
  <c r="J64" i="9"/>
  <c r="I64" i="9" s="1"/>
  <c r="J65" i="9"/>
  <c r="K57" i="10"/>
  <c r="H57" i="10"/>
  <c r="L46" i="10"/>
  <c r="L35" i="10"/>
  <c r="L54" i="10"/>
  <c r="J57" i="10"/>
  <c r="D57" i="10"/>
  <c r="L52" i="10"/>
  <c r="J70" i="9" l="1"/>
  <c r="L57" i="10"/>
  <c r="D31" i="9" l="1"/>
  <c r="N30" i="8" l="1"/>
  <c r="C68" i="9"/>
  <c r="D68" i="9" l="1"/>
  <c r="C70" i="9"/>
  <c r="E11" i="9"/>
  <c r="E26" i="9"/>
  <c r="D33" i="9"/>
  <c r="E23" i="9"/>
  <c r="E13" i="9"/>
  <c r="E32" i="9"/>
  <c r="E19" i="9"/>
  <c r="E29" i="9"/>
  <c r="E14" i="9"/>
  <c r="E9" i="9"/>
  <c r="E25" i="9"/>
  <c r="E12" i="9"/>
  <c r="C17" i="10"/>
  <c r="K17" i="10" s="1"/>
  <c r="L17" i="10" s="1"/>
  <c r="E27" i="9"/>
  <c r="E31" i="9"/>
  <c r="E17" i="9"/>
  <c r="E21" i="9"/>
  <c r="E16" i="9"/>
  <c r="E10" i="9"/>
  <c r="E28" i="9"/>
  <c r="E30" i="9"/>
  <c r="E15" i="9"/>
  <c r="E18" i="9"/>
  <c r="E68" i="9"/>
  <c r="E61" i="9" l="1"/>
  <c r="E57" i="9"/>
  <c r="E33" i="9"/>
  <c r="E48" i="9"/>
  <c r="E59" i="9"/>
  <c r="D70" i="9"/>
  <c r="D17" i="10"/>
  <c r="E49" i="9"/>
  <c r="E58" i="9"/>
  <c r="D58" i="9" s="1"/>
  <c r="E69" i="9"/>
  <c r="D69" i="9" s="1"/>
  <c r="E62" i="9"/>
  <c r="D62" i="9" s="1"/>
  <c r="E64" i="9"/>
  <c r="D64" i="9" s="1"/>
  <c r="E52" i="9"/>
  <c r="D52" i="9" s="1"/>
  <c r="E55" i="9"/>
  <c r="D55" i="9" s="1"/>
  <c r="E47" i="9"/>
  <c r="D47" i="9" s="1"/>
  <c r="E56" i="9"/>
  <c r="D56" i="9" s="1"/>
  <c r="E46" i="9"/>
  <c r="D46" i="9" s="1"/>
  <c r="E53" i="9"/>
  <c r="D53" i="9" s="1"/>
  <c r="E65" i="9"/>
  <c r="D65" i="9" s="1"/>
  <c r="E63" i="9"/>
  <c r="E50" i="9"/>
  <c r="D50" i="9" s="1"/>
  <c r="E67" i="9"/>
  <c r="D67" i="9" s="1"/>
  <c r="E54" i="9"/>
  <c r="D54" i="9" s="1"/>
  <c r="E66" i="9"/>
  <c r="D66" i="9" s="1"/>
  <c r="E51" i="9"/>
  <c r="D51" i="9" s="1"/>
  <c r="E60" i="9"/>
  <c r="D60" i="9" s="1"/>
  <c r="E70"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pørring - Data" description="Tilkobling til spørringen Data i arbeidsboken." type="5" refreshedVersion="8" background="1" refreshOnLoad="1">
    <dbPr connection="Provider=Microsoft.Mashup.OleDb.1;Data Source=$Workbook$;Location=Data;Extended Properties=&quot;&quot;" command="SELECT * FROM [Data]"/>
  </connection>
</connections>
</file>

<file path=xl/sharedStrings.xml><?xml version="1.0" encoding="utf-8"?>
<sst xmlns="http://schemas.openxmlformats.org/spreadsheetml/2006/main" count="4989" uniqueCount="422">
  <si>
    <t>Produkter uten investeringsvalg</t>
  </si>
  <si>
    <t>Produkter med investeringsvalg</t>
  </si>
  <si>
    <t>Totalt</t>
  </si>
  <si>
    <t>Endring</t>
  </si>
  <si>
    <t>i %</t>
  </si>
  <si>
    <t xml:space="preserve">                     </t>
  </si>
  <si>
    <t xml:space="preserve">      Gjeldsgruppeliv</t>
  </si>
  <si>
    <t xml:space="preserve">      Foreningsgruppeliv</t>
  </si>
  <si>
    <t xml:space="preserve">      Andre grupper</t>
  </si>
  <si>
    <t xml:space="preserve">   Ytelsesbasert</t>
  </si>
  <si>
    <t xml:space="preserve">   Innskuddsbasert</t>
  </si>
  <si>
    <t xml:space="preserve">      herav kapitaliseringsprodukt IPA+IPS</t>
  </si>
  <si>
    <t xml:space="preserve">        Inv.valg foretak</t>
  </si>
  <si>
    <t xml:space="preserve">        Inv.valg kontohaver</t>
  </si>
  <si>
    <t xml:space="preserve">    Til pensjonskasser</t>
  </si>
  <si>
    <t xml:space="preserve">    Fra pensjonskasser</t>
  </si>
  <si>
    <t>Noter til tabellene</t>
  </si>
  <si>
    <t>Gruppeliv bedrift tilsvarer tjenestegruppeliv.</t>
  </si>
  <si>
    <t>Gruppeliv privat består av foreningsgruppeliv, gjeldsgruppeliv og annet.</t>
  </si>
  <si>
    <t xml:space="preserve">Engangsbetalt alderspensjon er innskuddsbasert pensjon med dødelighetsarv. </t>
  </si>
  <si>
    <t>LOF/LOI betyr lov om foretakspensjon og lov om innskuddspensjon.</t>
  </si>
  <si>
    <t>Overførte reserver fra andre tilsvarer post 1.3 i resultatregnskapet samt overførte tilleggsavsetninger som tilsvarer post 6.6 i  resultatregnskapet.</t>
  </si>
  <si>
    <t>Flytting av en gruppelivsordning fra andre eller til andre måles i brutto årlig premie (ikke brutto forfalt premie).</t>
  </si>
  <si>
    <r>
      <t xml:space="preserve">Brutto forfalt premie </t>
    </r>
    <r>
      <rPr>
        <b/>
        <vertAlign val="superscript"/>
        <sz val="10"/>
        <rFont val="Times New Roman"/>
        <family val="1"/>
      </rPr>
      <t>1</t>
    </r>
  </si>
  <si>
    <r>
      <t xml:space="preserve">    Herav brutto risikopremie uførekapital </t>
    </r>
    <r>
      <rPr>
        <vertAlign val="superscript"/>
        <sz val="10"/>
        <rFont val="Times New Roman"/>
        <family val="1"/>
      </rPr>
      <t>2</t>
    </r>
  </si>
  <si>
    <r>
      <t xml:space="preserve">    Herav brutto risikopremie død </t>
    </r>
    <r>
      <rPr>
        <vertAlign val="superscript"/>
        <sz val="10"/>
        <rFont val="Times New Roman"/>
        <family val="1"/>
      </rPr>
      <t>2</t>
    </r>
  </si>
  <si>
    <t xml:space="preserve">   Etter tjenestepensjonsloven</t>
  </si>
  <si>
    <t>Tabell 5: Kommunale ordninger</t>
  </si>
  <si>
    <t>Tabell 1 : Individuell kapitalforsikring*</t>
  </si>
  <si>
    <t>Markeds-</t>
  </si>
  <si>
    <t>andel</t>
  </si>
  <si>
    <t>INNHOLDSFORTEGNELSE</t>
  </si>
  <si>
    <t>FIGURER</t>
  </si>
  <si>
    <t>Figur 1</t>
  </si>
  <si>
    <t>Brutto forfalt premie livprodukter - produkter uten investeringsvalg</t>
  </si>
  <si>
    <t>Figur 2</t>
  </si>
  <si>
    <t>Brutto forfalt premie livprodukter - produkter med investeringsvalg</t>
  </si>
  <si>
    <t>Figur 3</t>
  </si>
  <si>
    <t>Figur 4</t>
  </si>
  <si>
    <t>Figur 5</t>
  </si>
  <si>
    <t>Forsikringsforpliktelser livprodukter - produkter uten investeringsvalg</t>
  </si>
  <si>
    <t>Figur 6</t>
  </si>
  <si>
    <t>Forsikringsforpliktelser livprodukter - produkter med investeringsvalg</t>
  </si>
  <si>
    <t>Netto tilflytting livprodukter - produkter uten investeringsvalg</t>
  </si>
  <si>
    <t>Netto tilflytting livprodukter - produkter med investeringsvalg</t>
  </si>
  <si>
    <t>TABELLER</t>
  </si>
  <si>
    <t>MARKEDSDEL</t>
  </si>
  <si>
    <t>Tabell 1.1</t>
  </si>
  <si>
    <t>Hovedtall - produkter uten  og med investeringsvalg</t>
  </si>
  <si>
    <t>Tabell 1.2</t>
  </si>
  <si>
    <t>Hovedtall - fordelt på bransjer</t>
  </si>
  <si>
    <t>NOTER OG KOMMENTARER</t>
  </si>
  <si>
    <t>Tilbake</t>
  </si>
  <si>
    <t xml:space="preserve">Brutto forfalt premie livprodukter </t>
  </si>
  <si>
    <t>DNB Liv</t>
  </si>
  <si>
    <t>Eika Forsikring</t>
  </si>
  <si>
    <t>Frende Livsfors</t>
  </si>
  <si>
    <t>Frende Skade</t>
  </si>
  <si>
    <t>Gjensidige Fors</t>
  </si>
  <si>
    <t>Gjensidige Pensj</t>
  </si>
  <si>
    <t>If Skadefors</t>
  </si>
  <si>
    <t>KLP</t>
  </si>
  <si>
    <t>KLP Skadef</t>
  </si>
  <si>
    <t>Nordea Liv</t>
  </si>
  <si>
    <t>OPF</t>
  </si>
  <si>
    <t>SpareBank 1</t>
  </si>
  <si>
    <t>Telenor Fors</t>
  </si>
  <si>
    <t>Tryg Fors</t>
  </si>
  <si>
    <t>Storebrand</t>
  </si>
  <si>
    <t>Forsikringsforpliktelser i livsforsikring</t>
  </si>
  <si>
    <t xml:space="preserve">Netto tilflytting </t>
  </si>
  <si>
    <t>Netto tilflytting</t>
  </si>
  <si>
    <t>Markedsdel, endelig år</t>
  </si>
  <si>
    <t>Tabell 1.1 Hovedtall</t>
  </si>
  <si>
    <t>Produkter med og uten investeringsvalg</t>
  </si>
  <si>
    <r>
      <t>Brutto forfalt premie</t>
    </r>
    <r>
      <rPr>
        <sz val="14"/>
        <rFont val="Times New Roman"/>
        <family val="1"/>
      </rPr>
      <t xml:space="preserve"> </t>
    </r>
    <r>
      <rPr>
        <vertAlign val="superscript"/>
        <sz val="14"/>
        <rFont val="Times New Roman"/>
        <family val="1"/>
      </rPr>
      <t>1)</t>
    </r>
  </si>
  <si>
    <t>%-</t>
  </si>
  <si>
    <t>Beløp i 1000  kroner</t>
  </si>
  <si>
    <t>endring</t>
  </si>
  <si>
    <t>DNB Livsforsikring</t>
  </si>
  <si>
    <t>Eika Forsikring AS</t>
  </si>
  <si>
    <t>Frende Livsforsikring</t>
  </si>
  <si>
    <t>Frende Skadeforsikring</t>
  </si>
  <si>
    <t>Gjensidige Forsikring</t>
  </si>
  <si>
    <t>Gjensidige Pensjon</t>
  </si>
  <si>
    <t>If Skadeforsikring NUF</t>
  </si>
  <si>
    <t>KLP Skadeforsikring AS</t>
  </si>
  <si>
    <t xml:space="preserve">Nordea Liv </t>
  </si>
  <si>
    <t>Oslo Pensjonsforsikring</t>
  </si>
  <si>
    <t>Storebrand Livsforsikring</t>
  </si>
  <si>
    <t>Telenor Forsikring</t>
  </si>
  <si>
    <t>Tryg Forsikring</t>
  </si>
  <si>
    <t>Totalt uten investeringsvalg</t>
  </si>
  <si>
    <t>Totalt med investeringsvalg</t>
  </si>
  <si>
    <t>Alle produkter</t>
  </si>
  <si>
    <t>Noter : Se "Noter og kommentarer"</t>
  </si>
  <si>
    <t>Tabell 1.2 Hovedtall</t>
  </si>
  <si>
    <t>Fordelt på bransjer</t>
  </si>
  <si>
    <t>Totalt alle produkter</t>
  </si>
  <si>
    <t>%</t>
  </si>
  <si>
    <t>Beløp i 1000 kr.</t>
  </si>
  <si>
    <r>
      <t xml:space="preserve">Brutto forfalt premie </t>
    </r>
    <r>
      <rPr>
        <vertAlign val="superscript"/>
        <sz val="14"/>
        <rFont val="Times New Roman"/>
        <family val="1"/>
      </rPr>
      <t>1)</t>
    </r>
  </si>
  <si>
    <t xml:space="preserve">   Individuell kapitalforsikring</t>
  </si>
  <si>
    <t xml:space="preserve">   Individuell pensjonsforsikring</t>
  </si>
  <si>
    <t xml:space="preserve">   Gruppeliv</t>
  </si>
  <si>
    <t xml:space="preserve">   Privat kollektiv pensjon</t>
  </si>
  <si>
    <t xml:space="preserve">     - herav innskuddsbasert *</t>
  </si>
  <si>
    <t xml:space="preserve">     - herav etter tjenestepensjonsloven</t>
  </si>
  <si>
    <t xml:space="preserve">   Foreningskollektiv</t>
  </si>
  <si>
    <t>Totalt brutto forfalt premie</t>
  </si>
  <si>
    <r>
      <t xml:space="preserve">     - herav innskuddsbasert </t>
    </r>
    <r>
      <rPr>
        <vertAlign val="superscript"/>
        <sz val="14"/>
        <rFont val="Times New Roman"/>
        <family val="1"/>
      </rPr>
      <t>*</t>
    </r>
  </si>
  <si>
    <t>Totalt forsikringsforpliktelser</t>
  </si>
  <si>
    <t>Totalt overførte reserver fra andre</t>
  </si>
  <si>
    <t>Totalt overførte reserver til andre</t>
  </si>
  <si>
    <t>Totalt netto overførte reserver fra andre</t>
  </si>
  <si>
    <t xml:space="preserve">* "Innskuddsbasert" er summen av "Engangsbetalt" og "Innskuddspensjon". </t>
  </si>
  <si>
    <t>** Bokført verdi, se tabell 6 i statistikken.</t>
  </si>
  <si>
    <t>DNB Livsforsikring ASA</t>
  </si>
  <si>
    <t>Frende Livsforsikring AS</t>
  </si>
  <si>
    <t>Frende Skadeforsikring AS</t>
  </si>
  <si>
    <t>If Skadeforsikring nuf</t>
  </si>
  <si>
    <t>Telenor Forsikring AS</t>
  </si>
  <si>
    <t>SpareBank 1 Forsikring AS</t>
  </si>
  <si>
    <t>KLP Skadeforsikring</t>
  </si>
  <si>
    <t>Selskap</t>
  </si>
  <si>
    <t>Flytting fra andre</t>
  </si>
  <si>
    <t>Flytting til andre</t>
  </si>
  <si>
    <t>Q8</t>
  </si>
  <si>
    <t>Q9</t>
  </si>
  <si>
    <t>Q10</t>
  </si>
  <si>
    <t>Q16</t>
  </si>
  <si>
    <t>R7</t>
  </si>
  <si>
    <t>R8</t>
  </si>
  <si>
    <t>R9</t>
  </si>
  <si>
    <t>R10</t>
  </si>
  <si>
    <t>R14</t>
  </si>
  <si>
    <t>R15</t>
  </si>
  <si>
    <t>Q17</t>
  </si>
  <si>
    <t>Q18</t>
  </si>
  <si>
    <t>R11</t>
  </si>
  <si>
    <t>Tabell 1.3 Hovedtall</t>
  </si>
  <si>
    <t>Aktivaposter (aggregert)</t>
  </si>
  <si>
    <t>i mill. kr</t>
  </si>
  <si>
    <t>prosentvis andel</t>
  </si>
  <si>
    <t>Selskapsporteføljen</t>
  </si>
  <si>
    <t xml:space="preserve">   Aksjer</t>
  </si>
  <si>
    <t xml:space="preserve">   Eiendom</t>
  </si>
  <si>
    <t xml:space="preserve">   Datterforetak m.m.</t>
  </si>
  <si>
    <t xml:space="preserve">   Utlån</t>
  </si>
  <si>
    <t xml:space="preserve">   Annet</t>
  </si>
  <si>
    <t>Kollektivporteføljen</t>
  </si>
  <si>
    <t>Investeringsvalgporteføljen</t>
  </si>
  <si>
    <t>Tallene er hentet fra tabell 6 Balanse.</t>
  </si>
  <si>
    <t>Regnskapsdel, endelig år</t>
  </si>
  <si>
    <t>Tabell 6</t>
  </si>
  <si>
    <t>Balanse</t>
  </si>
  <si>
    <t>DNB</t>
  </si>
  <si>
    <t>Frende</t>
  </si>
  <si>
    <t>Gjensidige</t>
  </si>
  <si>
    <t xml:space="preserve"> </t>
  </si>
  <si>
    <t>Oslo</t>
  </si>
  <si>
    <t>Pensjonsforsikring</t>
  </si>
  <si>
    <t>Livsforsikring</t>
  </si>
  <si>
    <t>Pensjon</t>
  </si>
  <si>
    <r>
      <t>alle livselskaper</t>
    </r>
    <r>
      <rPr>
        <b/>
        <vertAlign val="superscript"/>
        <sz val="14"/>
        <rFont val="Times New Roman"/>
        <family val="1"/>
      </rPr>
      <t xml:space="preserve"> </t>
    </r>
  </si>
  <si>
    <t>Beløp i millioner kroner</t>
  </si>
  <si>
    <t>EIENDELER</t>
  </si>
  <si>
    <t>EIENDELER I SELSKAPSPORTEFØLJEN</t>
  </si>
  <si>
    <t>2. Investeringer i selskapsporteføljen</t>
  </si>
  <si>
    <t xml:space="preserve">    2.1 Bygninger og andre faste eiendommer</t>
  </si>
  <si>
    <t xml:space="preserve">    2.2 Datterforetak, tilknyttede foretak og felleskontrollerte foretak</t>
  </si>
  <si>
    <t xml:space="preserve">    2.3 Finansielle eiendeler som måles til amortisert kost</t>
  </si>
  <si>
    <t xml:space="preserve">            - Obligasjoner</t>
  </si>
  <si>
    <t xml:space="preserve">         2.3.2 Utlån og fordringer</t>
  </si>
  <si>
    <t xml:space="preserve">    2.4 Finansielle eiendeler som måles til virkelig verdi</t>
  </si>
  <si>
    <t xml:space="preserve">         2.4.1 Aksjer og andeler (inkl. aksjer og andeler målt til kost)</t>
  </si>
  <si>
    <t xml:space="preserve">         2.4.3 Utlån og fordringer</t>
  </si>
  <si>
    <t xml:space="preserve">         2.4.4 Finansielle derivater</t>
  </si>
  <si>
    <t xml:space="preserve">         2.4.5 Andre finansielle eiendeler</t>
  </si>
  <si>
    <t xml:space="preserve">    2.5 Gjenforsikringsdepoter</t>
  </si>
  <si>
    <t xml:space="preserve">    Sum investeringer i selskapsporteføljen</t>
  </si>
  <si>
    <t>Annet - postene 1, 3, 4 og 5</t>
  </si>
  <si>
    <t>Sum eiendeler i selskapsporteføljen</t>
  </si>
  <si>
    <t>EIENDELER I KUNDEPORTEFØLJENE</t>
  </si>
  <si>
    <t>6. Investeringer i kollektivporteføljen</t>
  </si>
  <si>
    <t xml:space="preserve">    6.1 Bygninger og andre faste eiendommer</t>
  </si>
  <si>
    <t xml:space="preserve">    6.2 Datterforetak, tilknyttede foretak og felleskontrollerte foretak</t>
  </si>
  <si>
    <t xml:space="preserve">    6.3 Finansielle eiendeler som måles til amortisert kost</t>
  </si>
  <si>
    <t xml:space="preserve">         6.3.2 Utlån og fordringer</t>
  </si>
  <si>
    <t xml:space="preserve">    6.4 Finansielle eiendeler som måles til virkelig verdi</t>
  </si>
  <si>
    <t xml:space="preserve">         6.4.1 Aksjer og andeler (inkl. aksjer og andeler målt til kost)</t>
  </si>
  <si>
    <t xml:space="preserve">         6.4.3 Utlån og fordringer</t>
  </si>
  <si>
    <t xml:space="preserve">         6.4.4 Finansielle derivater</t>
  </si>
  <si>
    <t xml:space="preserve">         6.4.5 Andre finansielle eiendeler</t>
  </si>
  <si>
    <t xml:space="preserve">    Sum investeringer i kollektivporteføljen</t>
  </si>
  <si>
    <t>8. Investeringer i investeringsvalgporteføljen</t>
  </si>
  <si>
    <t xml:space="preserve">    8.1 Bygninger og andre faste eiendommer</t>
  </si>
  <si>
    <t xml:space="preserve">    8.2 Datterforetak, tilknyttede foretak og felleskontrollerte foretak</t>
  </si>
  <si>
    <t xml:space="preserve">    8.3 Finansielle eiendeler som måles til amortisert kost</t>
  </si>
  <si>
    <t xml:space="preserve">         8.3.2 Utlån og fordringer</t>
  </si>
  <si>
    <t xml:space="preserve">    8.4 Finansielle eiendeler som måles til virkelig verdi</t>
  </si>
  <si>
    <t xml:space="preserve">         8.4.1 Aksjer og andeler (inkl. aksjer og andeler målt til kost)</t>
  </si>
  <si>
    <t xml:space="preserve">         8.4.3 Utlån og fordringer</t>
  </si>
  <si>
    <t xml:space="preserve">         8.4.4 Finansielle derivater</t>
  </si>
  <si>
    <t xml:space="preserve">         8.4.5 Andre finansielle eiendeler</t>
  </si>
  <si>
    <t xml:space="preserve">    Sum investeringer i investeringsvalgsporteføljen</t>
  </si>
  <si>
    <t>Sum eiendeler i kundeporteføljene</t>
  </si>
  <si>
    <t>SUM EIENDELER</t>
  </si>
  <si>
    <t>EGENKAPITAL OG FORPLIKTELSER</t>
  </si>
  <si>
    <t>10. Innskutt egenkapital</t>
  </si>
  <si>
    <t>11. Opptjent egenkapital</t>
  </si>
  <si>
    <t xml:space="preserve">    11.1 Risikoutjevningsfond</t>
  </si>
  <si>
    <t>12. Ansvarlig lånekapital mv.</t>
  </si>
  <si>
    <t>13. Forsikringsforpliktelser i livsforsikring - KF</t>
  </si>
  <si>
    <t xml:space="preserve">    Ufordelte overskuddsmidler til forsikringskontraktene</t>
  </si>
  <si>
    <t>Sum forsikringsforpliktelser i livsforsikring - KF</t>
  </si>
  <si>
    <t>14. Forsikringsforpliktelser i livsforsikring - SI</t>
  </si>
  <si>
    <t>Sum forsikringsforpliktelser i livsforsikring - SI</t>
  </si>
  <si>
    <t>15. Avsetninger for forpliktelser</t>
  </si>
  <si>
    <t>16. Premiedepot fra gjenforsikringsselskaper</t>
  </si>
  <si>
    <t>17. Forpliktelser</t>
  </si>
  <si>
    <t>18. Påløpte kostnader og mottatte ikke opptjente inntekter</t>
  </si>
  <si>
    <t>SUM EGENKAPTAL OG FORPLIKTELSER</t>
  </si>
  <si>
    <t>Noter: Se "Noter og kommentarer"</t>
  </si>
  <si>
    <t>KF=Kontraktsfastsatte forpliktelser</t>
  </si>
  <si>
    <t>SI=Særskilt investeringsportefølje</t>
  </si>
  <si>
    <t>REGNSKAPSDEL</t>
  </si>
  <si>
    <t>Tabell 4</t>
  </si>
  <si>
    <t>Resultatregnskap - alle produkter</t>
  </si>
  <si>
    <t>Tabell 5.1</t>
  </si>
  <si>
    <t>Resultatanalyse - Individuell kapital og individuell pensjon - alle produkter</t>
  </si>
  <si>
    <t>Tabell 5.2</t>
  </si>
  <si>
    <t>Resultatanalyse - Kollektiv pensjon - alle produkter</t>
  </si>
  <si>
    <t>Tabell 5.3</t>
  </si>
  <si>
    <t>Resultatanalyse - Gruppeliv, ulykke o.a. og total - alle produkter</t>
  </si>
  <si>
    <t>Balanse - alle produkter</t>
  </si>
  <si>
    <t>Tabell 7a</t>
  </si>
  <si>
    <t>Spesifikasjon av post 12 - forsikringsforpliktelser - produkter uten investeringsvalg</t>
  </si>
  <si>
    <t>Tabell 7b</t>
  </si>
  <si>
    <t>Spesifikasjon post 13 forsikringsforpliktelser - produkter med investeringsvalg</t>
  </si>
  <si>
    <t>Tabell 8</t>
  </si>
  <si>
    <t>Diverse nøkkeltall - produkter uten investeringsvalg</t>
  </si>
  <si>
    <t>Totalt - alle produkter</t>
  </si>
  <si>
    <t>Tabell 2: Individuell  pensjonsforsikring, herunder foreningskollektiv</t>
  </si>
  <si>
    <t>Tabell 3: Gruppelivsforsikring</t>
  </si>
  <si>
    <t>Tabell 4: Privat kollektiv pensjonsforsikring, herunder fripoliser, pensjonskapitalbevis og pensjonsbevis</t>
  </si>
  <si>
    <t>* Brutto risiokopremie for invidiuell uførepensjon fremkommer i tabell 2.</t>
  </si>
  <si>
    <r>
      <t xml:space="preserve">Brutto risikopremie for individuell uførepensjon </t>
    </r>
    <r>
      <rPr>
        <vertAlign val="superscript"/>
        <sz val="10"/>
        <rFont val="Times New Roman"/>
        <family val="1"/>
      </rPr>
      <t>3</t>
    </r>
  </si>
  <si>
    <t>Brutto risikopremie rapporteres for produkter både med og uten sparing. Risikopremie for tilknyttede dekninger, som kritisk sykdom, ulykke m.m. skal ikke tas med. For Brutto risikopremie for individuell uførepensjon, se note 3.</t>
  </si>
  <si>
    <t xml:space="preserve">Risikopremie for individuell uførepensjon blir i noen selskap regnskapsført under Individuell kapital, mens den for de fleste regnskapsføres under Individuell pensjon. Brutto risikopremie for uførepensjon er derfor ikke en heravpost for verken Individuell kapital eller Individuell pensjon, men gjelder som en heravpost samlet for disse. </t>
  </si>
  <si>
    <t>Herav fripoliser med investeringsvalg betraktes som innskuddsbasert.</t>
  </si>
  <si>
    <t>Innskuddspensjon er innskuddsbasert pensjon uten dødelighetsarv.</t>
  </si>
  <si>
    <t>Herav fripoliser, herav pensjonskapitalbevis og herav pensjonsbevis omfatter også fortsettelsesforsikringer. Herav-postene er uttrekk fra hovedpostene i tabellen Privat kollektiv pensjonsforsikring, uansett om det er Innenfor LOF/LOI eller Utenfor LOF/LOI - Livrenter.</t>
  </si>
  <si>
    <t>Gjelder ikke ordninger etter lov om tjenestepensjon</t>
  </si>
  <si>
    <r>
      <t xml:space="preserve">Brutto forfalt premie - Foreningskollektiv </t>
    </r>
    <r>
      <rPr>
        <b/>
        <vertAlign val="superscript"/>
        <sz val="10"/>
        <rFont val="Times New Roman"/>
        <family val="1"/>
      </rPr>
      <t>1</t>
    </r>
  </si>
  <si>
    <t>Regnskapsdel, endelig kvartal</t>
  </si>
  <si>
    <t>Resultatregnskap</t>
  </si>
  <si>
    <t xml:space="preserve">Totalt </t>
  </si>
  <si>
    <t>norske livselskaper</t>
  </si>
  <si>
    <t>alle livselskaper</t>
  </si>
  <si>
    <t xml:space="preserve">Beløp i millioner kroner </t>
  </si>
  <si>
    <t>TEKNISK REGNSKAP FOR LIVSFORSIKRING</t>
  </si>
  <si>
    <t xml:space="preserve">    1.1 Forfalt premier, brutto</t>
  </si>
  <si>
    <t xml:space="preserve">    1.2 - Avgitte gjenforsikringspremier</t>
  </si>
  <si>
    <t xml:space="preserve">    Sum premieinntekter f.e.r.</t>
  </si>
  <si>
    <t>2. Netto inntekter fra investeringer i kollektivporteføljen</t>
  </si>
  <si>
    <t>3. Netto inntekter fra investeringer i investeringsvalgporteføljen</t>
  </si>
  <si>
    <t>4. Andre forsikringsrelaterte inntekter</t>
  </si>
  <si>
    <t>5. Erstatninger</t>
  </si>
  <si>
    <t xml:space="preserve">    5.1 Utbetalte erstatninger</t>
  </si>
  <si>
    <t>Sum erstatninger f.e.r.</t>
  </si>
  <si>
    <t>6. Resultatførte endringer i forsikringsforpliktelser - KF</t>
  </si>
  <si>
    <t>Sum resultatførte endringer i forsikringsforpliktelser - KF</t>
  </si>
  <si>
    <t>7. Resultatførte endringer i forsikringsforpliktelser - SI</t>
  </si>
  <si>
    <t>8. Midler tilordnet forsikringskontrakter -KF</t>
  </si>
  <si>
    <t>9. Forsikringsrelaterte driftskostnader</t>
  </si>
  <si>
    <t>10. Andre forsikringsrelaterte kostnader</t>
  </si>
  <si>
    <t>11.Resultat av teknisk regnskap</t>
  </si>
  <si>
    <t>IKKE-TEKNISK REGNSKAP FOR LIVSFORSIKRING</t>
  </si>
  <si>
    <t>12. Netto inntekter fra investeringer i selskapsporteføljen</t>
  </si>
  <si>
    <t>13. Andre inntekter</t>
  </si>
  <si>
    <t>14. Forvaltningskostnader og andre kostnader knyttet til selskapsporteføljen</t>
  </si>
  <si>
    <t>15. Resultat av ikke-teknisk regnskap</t>
  </si>
  <si>
    <t>16. Resultat før skattekostnad</t>
  </si>
  <si>
    <t>17. Skattekostnader</t>
  </si>
  <si>
    <t>20. TOTALRESULTAT</t>
  </si>
  <si>
    <t>Overføringer og disponeringer</t>
  </si>
  <si>
    <t xml:space="preserve">    Overføringer</t>
  </si>
  <si>
    <t xml:space="preserve">        Mottatt konsernbidrag</t>
  </si>
  <si>
    <t xml:space="preserve">        Overført fra annen egenkapital</t>
  </si>
  <si>
    <t xml:space="preserve">    Sum overføringer</t>
  </si>
  <si>
    <t xml:space="preserve">    Disponeringer</t>
  </si>
  <si>
    <t xml:space="preserve">        Utbytte</t>
  </si>
  <si>
    <t xml:space="preserve">        Avgitt konsernbidrag</t>
  </si>
  <si>
    <t xml:space="preserve">        Overført til annen egenkapital</t>
  </si>
  <si>
    <t xml:space="preserve">    Sum disponeringer</t>
  </si>
  <si>
    <t>Sum overføringer og disponeringer</t>
  </si>
  <si>
    <t>Diverse nøkkeltall</t>
  </si>
  <si>
    <t>7. Gjenforsikringsandel av forsikringsforpliktelser i kollektivporteføljen</t>
  </si>
  <si>
    <t>9. Gjenforsikringsandel av forsikringsforpliktelser i investeringsvalgporteføljen</t>
  </si>
  <si>
    <t xml:space="preserve">Med kommunal kollektiv pensjon menes kollektive pensjonsordninger som definert i lov om forsikringsvirksomhet § 4-1 og § 4-2.   </t>
  </si>
  <si>
    <t>Tabell 1.3</t>
  </si>
  <si>
    <t>Hovedtall - aktivaposter</t>
  </si>
  <si>
    <t>Skjema total MA</t>
  </si>
  <si>
    <t>Tall pr. selskap - alle produkter</t>
  </si>
  <si>
    <t>Selskapsnavn</t>
  </si>
  <si>
    <t xml:space="preserve">   Etter tjenestepensjonsloven - Uførepensjon</t>
  </si>
  <si>
    <t xml:space="preserve">   Etter tjenestepensjonsloven - Alderspensjon</t>
  </si>
  <si>
    <t xml:space="preserve">  Etter tjenestepensjonsloven - Uførepensjon</t>
  </si>
  <si>
    <t xml:space="preserve">  Etter tjenestepensjonsloven - Alderspensjon</t>
  </si>
  <si>
    <t>Brutto forfalt premie tilsvarer post 1.1 i resultatregnskapet, jf. forskrift til årsregnskap for livsforsikringsfortak.</t>
  </si>
  <si>
    <t>Overførte reserver til andre tilsvarer post 5.2 i resultatregnskapet.</t>
  </si>
  <si>
    <r>
      <t xml:space="preserve">   Kommunal kollektiv pensjon </t>
    </r>
    <r>
      <rPr>
        <vertAlign val="superscript"/>
        <sz val="14"/>
        <rFont val="Times New Roman"/>
        <family val="1"/>
      </rPr>
      <t>15)</t>
    </r>
  </si>
  <si>
    <r>
      <t xml:space="preserve">Forsikringsforpliktelser </t>
    </r>
    <r>
      <rPr>
        <vertAlign val="superscript"/>
        <sz val="14"/>
        <rFont val="Times New Roman"/>
        <family val="1"/>
      </rPr>
      <t>4)</t>
    </r>
  </si>
  <si>
    <r>
      <t xml:space="preserve">Overførte reserver fra andre </t>
    </r>
    <r>
      <rPr>
        <vertAlign val="superscript"/>
        <sz val="14"/>
        <rFont val="Times New Roman"/>
        <family val="1"/>
      </rPr>
      <t>5)</t>
    </r>
  </si>
  <si>
    <r>
      <t xml:space="preserve">Flytting fra andre </t>
    </r>
    <r>
      <rPr>
        <vertAlign val="superscript"/>
        <sz val="14"/>
        <rFont val="Times New Roman"/>
        <family val="1"/>
      </rPr>
      <t>9)</t>
    </r>
  </si>
  <si>
    <r>
      <t xml:space="preserve">Overførte reserver til andre </t>
    </r>
    <r>
      <rPr>
        <vertAlign val="superscript"/>
        <sz val="14"/>
        <rFont val="Times New Roman"/>
        <family val="1"/>
      </rPr>
      <t>6)</t>
    </r>
  </si>
  <si>
    <r>
      <t xml:space="preserve">Flytting til andre </t>
    </r>
    <r>
      <rPr>
        <vertAlign val="superscript"/>
        <sz val="14"/>
        <rFont val="Times New Roman"/>
        <family val="1"/>
      </rPr>
      <t>9)</t>
    </r>
  </si>
  <si>
    <r>
      <t xml:space="preserve">Netto overførte reserver fra andre </t>
    </r>
    <r>
      <rPr>
        <b/>
        <vertAlign val="superscript"/>
        <sz val="14"/>
        <rFont val="Times New Roman"/>
        <family val="1"/>
      </rPr>
      <t>9)</t>
    </r>
  </si>
  <si>
    <r>
      <t xml:space="preserve">Netto flytting fra andre </t>
    </r>
    <r>
      <rPr>
        <vertAlign val="superscript"/>
        <sz val="14"/>
        <rFont val="Times New Roman"/>
        <family val="1"/>
      </rPr>
      <t>9)</t>
    </r>
  </si>
  <si>
    <t>Livrenter, IPA og IPS er individuelle pensjonsspareavtaler etter skattereglene (kun i årsstatistikken / 4.kvartal). IPS forsikring etablert før 1.11.2017 defineres som IPS forsikring 2008, etter lov om individuell pensjonsordning vedtatt i 2008. Nye ordningen for skattefavorisert individuell pensjonssparing fra 1. november 2017 defineres som IPS forsikring.</t>
  </si>
  <si>
    <t>Protector Forsikring</t>
  </si>
  <si>
    <r>
      <t xml:space="preserve">Forsikringsforpliktelser </t>
    </r>
    <r>
      <rPr>
        <b/>
        <vertAlign val="superscript"/>
        <sz val="10"/>
        <rFont val="Times New Roman"/>
        <family val="1"/>
      </rPr>
      <t>4</t>
    </r>
  </si>
  <si>
    <r>
      <t xml:space="preserve">Overførte reserver fra andre </t>
    </r>
    <r>
      <rPr>
        <b/>
        <vertAlign val="superscript"/>
        <sz val="10"/>
        <rFont val="Times New Roman"/>
        <family val="1"/>
      </rPr>
      <t>5</t>
    </r>
  </si>
  <si>
    <r>
      <t>Overførte reserver til andre</t>
    </r>
    <r>
      <rPr>
        <b/>
        <vertAlign val="superscript"/>
        <sz val="10"/>
        <rFont val="Times New Roman"/>
        <family val="1"/>
      </rPr>
      <t xml:space="preserve"> 6</t>
    </r>
  </si>
  <si>
    <r>
      <t xml:space="preserve">    Livrenter </t>
    </r>
    <r>
      <rPr>
        <vertAlign val="superscript"/>
        <sz val="10"/>
        <rFont val="Times New Roman"/>
        <family val="1"/>
      </rPr>
      <t>10</t>
    </r>
  </si>
  <si>
    <r>
      <t xml:space="preserve">    IPA </t>
    </r>
    <r>
      <rPr>
        <vertAlign val="superscript"/>
        <sz val="10"/>
        <rFont val="Times New Roman"/>
        <family val="1"/>
      </rPr>
      <t>10</t>
    </r>
  </si>
  <si>
    <r>
      <t xml:space="preserve">    IPS 2008 </t>
    </r>
    <r>
      <rPr>
        <vertAlign val="superscript"/>
        <sz val="10"/>
        <rFont val="Times New Roman"/>
        <family val="1"/>
      </rPr>
      <t>10</t>
    </r>
  </si>
  <si>
    <r>
      <t xml:space="preserve">    IPS </t>
    </r>
    <r>
      <rPr>
        <vertAlign val="superscript"/>
        <sz val="10"/>
        <rFont val="Times New Roman"/>
        <family val="1"/>
      </rPr>
      <t>10</t>
    </r>
  </si>
  <si>
    <r>
      <t xml:space="preserve">Forsikringsforpliktelser </t>
    </r>
    <r>
      <rPr>
        <b/>
        <vertAlign val="superscript"/>
        <sz val="10"/>
        <rFont val="Times New Roman"/>
        <family val="1"/>
      </rPr>
      <t>6</t>
    </r>
  </si>
  <si>
    <r>
      <t xml:space="preserve">Forsikringsforpliktelser  - Foreningskollektiv </t>
    </r>
    <r>
      <rPr>
        <b/>
        <vertAlign val="superscript"/>
        <sz val="10"/>
        <rFont val="Times New Roman"/>
        <family val="1"/>
      </rPr>
      <t>4</t>
    </r>
  </si>
  <si>
    <r>
      <t xml:space="preserve">Overførte reserver fra andre - Foreningskollektiv </t>
    </r>
    <r>
      <rPr>
        <b/>
        <vertAlign val="superscript"/>
        <sz val="10"/>
        <rFont val="Times New Roman"/>
        <family val="1"/>
      </rPr>
      <t>5</t>
    </r>
  </si>
  <si>
    <r>
      <t xml:space="preserve">Overførte reserver til andre - Foreningskollektiv </t>
    </r>
    <r>
      <rPr>
        <b/>
        <vertAlign val="superscript"/>
        <sz val="10"/>
        <rFont val="Times New Roman"/>
        <family val="1"/>
      </rPr>
      <t>6</t>
    </r>
  </si>
  <si>
    <r>
      <t xml:space="preserve">    Bedrift </t>
    </r>
    <r>
      <rPr>
        <vertAlign val="superscript"/>
        <sz val="10"/>
        <rFont val="Times New Roman"/>
        <family val="1"/>
      </rPr>
      <t>7</t>
    </r>
  </si>
  <si>
    <r>
      <t xml:space="preserve">    Privat </t>
    </r>
    <r>
      <rPr>
        <vertAlign val="superscript"/>
        <sz val="10"/>
        <rFont val="Times New Roman"/>
        <family val="1"/>
      </rPr>
      <t>8</t>
    </r>
  </si>
  <si>
    <r>
      <t xml:space="preserve">Flytting fra andre </t>
    </r>
    <r>
      <rPr>
        <b/>
        <vertAlign val="superscript"/>
        <sz val="10"/>
        <rFont val="Times New Roman"/>
        <family val="1"/>
      </rPr>
      <t>9</t>
    </r>
  </si>
  <si>
    <r>
      <t xml:space="preserve">Flytting til andre </t>
    </r>
    <r>
      <rPr>
        <b/>
        <vertAlign val="superscript"/>
        <sz val="10"/>
        <rFont val="Times New Roman"/>
        <family val="1"/>
      </rPr>
      <t>9</t>
    </r>
  </si>
  <si>
    <r>
      <t xml:space="preserve">      Engangsbetalt </t>
    </r>
    <r>
      <rPr>
        <vertAlign val="superscript"/>
        <sz val="10"/>
        <rFont val="Times New Roman"/>
        <family val="1"/>
      </rPr>
      <t>11</t>
    </r>
  </si>
  <si>
    <r>
      <t xml:space="preserve">      Innskuddspensjon </t>
    </r>
    <r>
      <rPr>
        <vertAlign val="superscript"/>
        <sz val="10"/>
        <rFont val="Times New Roman"/>
        <family val="1"/>
      </rPr>
      <t>12</t>
    </r>
  </si>
  <si>
    <r>
      <t xml:space="preserve">  Innenfor LOF/LOI </t>
    </r>
    <r>
      <rPr>
        <vertAlign val="superscript"/>
        <sz val="10"/>
        <rFont val="Times New Roman"/>
        <family val="1"/>
      </rPr>
      <t>13</t>
    </r>
  </si>
  <si>
    <r>
      <t xml:space="preserve">  Utenfor LOF/LOI - Livrenter </t>
    </r>
    <r>
      <rPr>
        <vertAlign val="superscript"/>
        <sz val="10"/>
        <rFont val="Times New Roman"/>
        <family val="1"/>
      </rPr>
      <t>13,17</t>
    </r>
  </si>
  <si>
    <r>
      <t xml:space="preserve">  Herav fripoliser </t>
    </r>
    <r>
      <rPr>
        <vertAlign val="superscript"/>
        <sz val="10"/>
        <rFont val="Times New Roman"/>
        <family val="1"/>
      </rPr>
      <t>14,16</t>
    </r>
  </si>
  <si>
    <r>
      <t xml:space="preserve">  Herav pensjonsbevis</t>
    </r>
    <r>
      <rPr>
        <vertAlign val="superscript"/>
        <sz val="10"/>
        <rFont val="Times New Roman"/>
        <family val="1"/>
      </rPr>
      <t>14</t>
    </r>
  </si>
  <si>
    <r>
      <t xml:space="preserve">   Herav fripoliser </t>
    </r>
    <r>
      <rPr>
        <vertAlign val="superscript"/>
        <sz val="10"/>
        <rFont val="Times New Roman"/>
        <family val="1"/>
      </rPr>
      <t>14,16</t>
    </r>
  </si>
  <si>
    <r>
      <t xml:space="preserve">Brutto forfalt premie </t>
    </r>
    <r>
      <rPr>
        <b/>
        <vertAlign val="superscript"/>
        <sz val="10"/>
        <rFont val="Times New Roman"/>
        <family val="1"/>
      </rPr>
      <t>1, 15</t>
    </r>
  </si>
  <si>
    <r>
      <t xml:space="preserve">Forsikringsforpliktelser </t>
    </r>
    <r>
      <rPr>
        <b/>
        <vertAlign val="superscript"/>
        <sz val="10"/>
        <rFont val="Times New Roman"/>
        <family val="1"/>
      </rPr>
      <t>4, 15</t>
    </r>
  </si>
  <si>
    <r>
      <t xml:space="preserve">Overførte reserver fra andre </t>
    </r>
    <r>
      <rPr>
        <b/>
        <vertAlign val="superscript"/>
        <sz val="10"/>
        <rFont val="Times New Roman"/>
        <family val="1"/>
      </rPr>
      <t>5, 15</t>
    </r>
  </si>
  <si>
    <r>
      <t>Overførte reserver til andre</t>
    </r>
    <r>
      <rPr>
        <b/>
        <vertAlign val="superscript"/>
        <sz val="10"/>
        <rFont val="Times New Roman"/>
        <family val="1"/>
      </rPr>
      <t xml:space="preserve"> 6, 15</t>
    </r>
  </si>
  <si>
    <r>
      <t xml:space="preserve">  Herav fripoliser </t>
    </r>
    <r>
      <rPr>
        <vertAlign val="superscript"/>
        <sz val="10"/>
        <rFont val="Times New Roman"/>
        <family val="1"/>
      </rPr>
      <t>14</t>
    </r>
  </si>
  <si>
    <r>
      <t xml:space="preserve">Forsikringsforpliktelser </t>
    </r>
    <r>
      <rPr>
        <b/>
        <vertAlign val="superscript"/>
        <sz val="10"/>
        <rFont val="Times New Roman"/>
        <family val="1"/>
      </rPr>
      <t>5, 15</t>
    </r>
  </si>
  <si>
    <r>
      <t>Forsikringsforpliktelser</t>
    </r>
    <r>
      <rPr>
        <sz val="14"/>
        <rFont val="Times New Roman"/>
        <family val="1"/>
      </rPr>
      <t xml:space="preserve"> </t>
    </r>
    <r>
      <rPr>
        <vertAlign val="superscript"/>
        <sz val="14"/>
        <rFont val="Times New Roman"/>
        <family val="1"/>
      </rPr>
      <t>4)</t>
    </r>
  </si>
  <si>
    <t>Protector Fors</t>
  </si>
  <si>
    <t xml:space="preserve">    13.1 Premiereserve mv.</t>
  </si>
  <si>
    <t>Fremtind Livsforsikring</t>
  </si>
  <si>
    <t>Fremtind Livsfors</t>
  </si>
  <si>
    <t>Landkreditt Fors.</t>
  </si>
  <si>
    <t>Fremtind Liv</t>
  </si>
  <si>
    <t>Avkastningstall (%)</t>
  </si>
  <si>
    <r>
      <t xml:space="preserve">Soliditetskapital </t>
    </r>
    <r>
      <rPr>
        <sz val="14"/>
        <rFont val="Times New Roman"/>
        <family val="1"/>
      </rPr>
      <t>(%)</t>
    </r>
  </si>
  <si>
    <t>Mer/mindre-verdier</t>
  </si>
  <si>
    <t>Landkreditt Forsikring</t>
  </si>
  <si>
    <t>WaterCircles Fors.</t>
  </si>
  <si>
    <t>WaterCicles Fors.</t>
  </si>
  <si>
    <t>WaterCircles Forsikring</t>
  </si>
  <si>
    <t>Landkreditt Fors</t>
  </si>
  <si>
    <t>Euro Accident</t>
  </si>
  <si>
    <t xml:space="preserve">   Innskuddsbasert (inkl. EPK)</t>
  </si>
  <si>
    <t>Forsikring</t>
  </si>
  <si>
    <t>SpareBank 1 Forsikring</t>
  </si>
  <si>
    <t>Ly Forsikring</t>
  </si>
  <si>
    <t>Youplus Livsforsikring</t>
  </si>
  <si>
    <t>Youplus</t>
  </si>
  <si>
    <t>Youplus Livsf</t>
  </si>
  <si>
    <t>Postene Herav pensjonskapitalbevis omfatter pensjonskapitalbevis innenfor og utenfor Egen pensjonskonto. Med pensjonskapitalbevis innenfor Egen pensjonskonto menes passiv kapital. Se for øvrig note 14.</t>
  </si>
  <si>
    <r>
      <t xml:space="preserve">  Herav pensjonskapitalbevis innenfor og utenfor EPK</t>
    </r>
    <r>
      <rPr>
        <vertAlign val="superscript"/>
        <sz val="10"/>
        <rFont val="Times New Roman"/>
        <family val="1"/>
      </rPr>
      <t>14) 18)</t>
    </r>
  </si>
  <si>
    <t xml:space="preserve">    6.1 Endring i premiereserve mv.</t>
  </si>
  <si>
    <t>18. Resultat før andre inntekter og kostnader</t>
  </si>
  <si>
    <t>19. Andre inntekter og kostnader</t>
  </si>
  <si>
    <t>Bufferfond</t>
  </si>
  <si>
    <t>Storebrand Liv</t>
  </si>
  <si>
    <t>1. Premieinntekter f.e.r.</t>
  </si>
  <si>
    <t xml:space="preserve">    1.3 Overføring av premiereserve og pensjonskapital mv. fra andre f.selskap/p.kasser</t>
  </si>
  <si>
    <t xml:space="preserve">    6.2 Endring i bufferfond</t>
  </si>
  <si>
    <t xml:space="preserve">    6.3 Endring i premiefond, innskuddsfond og fond for regulering av pensjoner mv.</t>
  </si>
  <si>
    <t xml:space="preserve">    6.4 Endring i tekniske avsetninger for skadeforsikringsvirksomhet</t>
  </si>
  <si>
    <r>
      <t>norske livselskaper</t>
    </r>
    <r>
      <rPr>
        <b/>
        <vertAlign val="superscript"/>
        <sz val="14"/>
        <rFont val="Times New Roman"/>
        <family val="1"/>
      </rPr>
      <t xml:space="preserve"> </t>
    </r>
  </si>
  <si>
    <t xml:space="preserve">    13.2 Bufferfond</t>
  </si>
  <si>
    <t xml:space="preserve">    13.4 Andre tekniske avsetninger for skadeforsikringsvirksomheten</t>
  </si>
  <si>
    <t xml:space="preserve">    14.1 Pensjonskapital mv.</t>
  </si>
  <si>
    <t xml:space="preserve">    14.2 Bufferfond</t>
  </si>
  <si>
    <t xml:space="preserve">    14.3 Premiefond, innskuddsfond og fond for regulering av pensjoner mv.</t>
  </si>
  <si>
    <t xml:space="preserve">         2.3.1 Rentebærende verdipapirer</t>
  </si>
  <si>
    <t xml:space="preserve">         2.4.2 Rentebærende verdipapirer</t>
  </si>
  <si>
    <t xml:space="preserve">         6.3.1 Rentebærende verdipapirer</t>
  </si>
  <si>
    <t xml:space="preserve">         6.4.2 Rentebærende verdipapirer</t>
  </si>
  <si>
    <t xml:space="preserve">         8.3.1 Rentebærende verdipapirer</t>
  </si>
  <si>
    <t xml:space="preserve">         8.4.2 Rentebærende verdipapirer</t>
  </si>
  <si>
    <t xml:space="preserve">   Rentebærende verdipapirer</t>
  </si>
  <si>
    <t>Oslo Forsikring</t>
  </si>
  <si>
    <t xml:space="preserve">    6.5 Overføring av bufferfond fra andre fors.selskap/pensj.kasser</t>
  </si>
  <si>
    <t xml:space="preserve">    5.2 Overføring av premiereserve, pensjonskapital mv. og bufferfond til andre f.selskap/p.kasser</t>
  </si>
  <si>
    <t xml:space="preserve">    13.3 Premiefond, innskuddsfond og fond for regulering av pensjoner mv.</t>
  </si>
  <si>
    <r>
      <t xml:space="preserve">    Kursreguleringsfond</t>
    </r>
    <r>
      <rPr>
        <i/>
        <vertAlign val="superscript"/>
        <sz val="14"/>
        <rFont val="Times New Roman"/>
        <family val="1"/>
      </rPr>
      <t>19</t>
    </r>
  </si>
  <si>
    <t>Fra og med 2024 inngår mye av kursreserven i bufferfondet og er dermed rapportert i egen post.</t>
  </si>
  <si>
    <r>
      <t xml:space="preserve">    Endring i kursreguleringsfond</t>
    </r>
    <r>
      <rPr>
        <i/>
        <vertAlign val="superscript"/>
        <sz val="14"/>
        <rFont val="Times New Roman"/>
        <family val="1"/>
      </rPr>
      <t>19</t>
    </r>
  </si>
  <si>
    <t>Nordea Liv Forsikring AS</t>
  </si>
  <si>
    <t>Kapitalavkastning hittil i år</t>
  </si>
  <si>
    <t xml:space="preserve">Forsikringsforpliktelser i livsforsikring tilsvarer post 13 i balansen uten investeringsvalg og post 14 i balansen for produkter med investeringsvalg. Gjenforsikringsandel skal ikke tas hensyn til i markedsdelen. </t>
  </si>
  <si>
    <t>Knif Trygghet Forsikring</t>
  </si>
  <si>
    <t>Knif Trygghet Fors.</t>
  </si>
  <si>
    <t>30.09.</t>
  </si>
  <si>
    <t>Storebrand Livsforsirkring</t>
  </si>
  <si>
    <t/>
  </si>
  <si>
    <t>Gjensidige Pensjonsforsikring</t>
  </si>
  <si>
    <t>Figur 1  Brutto forfalt premie livprodukter  -  produkter uten investeringsvalg pr. 30.09.</t>
  </si>
  <si>
    <t>Figur 2  Brutto forfalt premie livprodukter  -  produkter med investeringsvalg pr. 30.09.</t>
  </si>
  <si>
    <t>Figur 3  Forsikringsforpliktelser i livsforsikring  -  produkter uten investeringsvalg pr. 30.09.</t>
  </si>
  <si>
    <t>Figur 4  Forsikringsforpliktelser i livsforsikring -  produkter med investeringsvalg pr. 30.09.</t>
  </si>
  <si>
    <t>Figur 5  Netto tilflytting livprodukter  -  produkter uten investeringsvalg pr. 30.09.</t>
  </si>
  <si>
    <t>Figur 6  Netto tilflytting livprodukter  -  produkter med investeringsvalg pr. 30.09.</t>
  </si>
  <si>
    <t xml:space="preserve">    Endring i tilleggsavsetninger</t>
  </si>
  <si>
    <t xml:space="preserve">    Tilleggsavsetninger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</si>
</sst>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0"/>
    <numFmt numFmtId="165" formatCode="_ * #,##0_ ;_ * \-#,##0_ ;_ * &quot;-&quot;??_ ;_ @_ "/>
    <numFmt numFmtId="166" formatCode="dd/mm/yy;@"/>
    <numFmt numFmtId="167" formatCode="0;\-0;;@"/>
    <numFmt numFmtId="168" formatCode="0.0"/>
    <numFmt numFmtId="169" formatCode="#,##0_ ;\-#,##0\ "/>
    <numFmt numFmtId="170" formatCode="_ * #,##0_ ;_ * \-#,##0_ ;_ * &quot;&quot;??_ ;_ @_ "/>
    <numFmt numFmtId="171" formatCode="_ * #,##0.0_ ;_ * \-#,##0.0_ ;_ * &quot;&quot;??_ ;_ @_ "/>
    <numFmt numFmtId="172" formatCode="d/m/yyyy;@"/>
    <numFmt numFmtId="173" formatCode="#,##0.000"/>
    <numFmt numFmtId="174" formatCode="#,##0.00000"/>
    <numFmt numFmtId="175" formatCode="#,##0.00000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0"/>
      <name val="Times New Roman"/>
      <family val="1"/>
    </font>
    <font>
      <b/>
      <sz val="9"/>
      <name val="Times New Roman"/>
      <family val="1"/>
    </font>
    <font>
      <sz val="10"/>
      <name val="Times New Roman"/>
      <family val="1"/>
    </font>
    <font>
      <sz val="10"/>
      <color rgb="FFFF0000"/>
      <name val="Times New Roman"/>
      <family val="1"/>
    </font>
    <font>
      <sz val="10"/>
      <name val="Arial"/>
      <family val="2"/>
    </font>
    <font>
      <b/>
      <vertAlign val="superscript"/>
      <sz val="10"/>
      <name val="Times New Roman"/>
      <family val="1"/>
    </font>
    <font>
      <sz val="12"/>
      <color rgb="FFFF0000"/>
      <name val="Times New Roman"/>
      <family val="1"/>
    </font>
    <font>
      <sz val="10"/>
      <color theme="1"/>
      <name val="Times New Roman"/>
      <family val="1"/>
    </font>
    <font>
      <i/>
      <sz val="10"/>
      <name val="Times New Roman"/>
      <family val="1"/>
    </font>
    <font>
      <vertAlign val="superscript"/>
      <sz val="10"/>
      <name val="Times New Roman"/>
      <family val="1"/>
    </font>
    <font>
      <sz val="10"/>
      <name val="Arial"/>
      <family val="2"/>
    </font>
    <font>
      <sz val="10"/>
      <color indexed="23"/>
      <name val="Arial"/>
      <family val="2"/>
    </font>
    <font>
      <sz val="18"/>
      <color indexed="23"/>
      <name val="Times New Roman"/>
      <family val="1"/>
    </font>
    <font>
      <b/>
      <sz val="28"/>
      <color rgb="FF3B6E8F"/>
      <name val="Cambria"/>
      <family val="1"/>
      <scheme val="major"/>
    </font>
    <font>
      <b/>
      <sz val="26"/>
      <color rgb="FF3B6E8F"/>
      <name val="Cambria"/>
      <family val="1"/>
      <scheme val="major"/>
    </font>
    <font>
      <sz val="14"/>
      <name val="Times New Roman"/>
      <family val="1"/>
    </font>
    <font>
      <sz val="12"/>
      <name val="Arial"/>
      <family val="2"/>
    </font>
    <font>
      <sz val="20"/>
      <color theme="1"/>
      <name val="Calibri"/>
      <family val="2"/>
      <scheme val="minor"/>
    </font>
    <font>
      <sz val="14"/>
      <color theme="1"/>
      <name val="Calibri"/>
      <family val="2"/>
      <scheme val="minor"/>
    </font>
    <font>
      <b/>
      <sz val="28"/>
      <color rgb="FF54758C"/>
      <name val="Arial"/>
      <family val="2"/>
    </font>
    <font>
      <sz val="26"/>
      <color rgb="FF54758C"/>
      <name val="Arial"/>
      <family val="2"/>
    </font>
    <font>
      <sz val="14"/>
      <name val="Arial"/>
      <family val="2"/>
    </font>
    <font>
      <sz val="20"/>
      <name val="Arial"/>
      <family val="2"/>
    </font>
    <font>
      <sz val="18"/>
      <name val="Times New Roman"/>
      <family val="1"/>
    </font>
    <font>
      <sz val="18"/>
      <name val="Arial"/>
      <family val="2"/>
    </font>
    <font>
      <b/>
      <sz val="16"/>
      <name val="Times New Roman"/>
      <family val="1"/>
    </font>
    <font>
      <sz val="16"/>
      <name val="Times New Roman"/>
      <family val="1"/>
    </font>
    <font>
      <u/>
      <sz val="10"/>
      <color indexed="12"/>
      <name val="Arial"/>
      <family val="2"/>
    </font>
    <font>
      <sz val="20"/>
      <name val="Times New Roman"/>
      <family val="1"/>
    </font>
    <font>
      <b/>
      <sz val="14"/>
      <name val="Times New Roman"/>
      <family val="1"/>
    </font>
    <font>
      <sz val="14"/>
      <color rgb="FFFF0000"/>
      <name val="Times New Roman"/>
      <family val="1"/>
    </font>
    <font>
      <vertAlign val="superscript"/>
      <sz val="14"/>
      <name val="Times New Roman"/>
      <family val="1"/>
    </font>
    <font>
      <b/>
      <i/>
      <sz val="12"/>
      <color indexed="63"/>
      <name val="Times New Roman"/>
      <family val="1"/>
    </font>
    <font>
      <b/>
      <sz val="10"/>
      <name val="Arial"/>
      <family val="2"/>
    </font>
    <font>
      <b/>
      <i/>
      <sz val="12"/>
      <name val="Times New Roman"/>
      <family val="1"/>
    </font>
    <font>
      <sz val="14"/>
      <color theme="1"/>
      <name val="Times New Roman"/>
      <family val="1"/>
    </font>
    <font>
      <sz val="14"/>
      <color rgb="FFFF0000"/>
      <name val="Arial"/>
      <family val="2"/>
    </font>
    <font>
      <b/>
      <sz val="14"/>
      <name val="Arial"/>
      <family val="2"/>
    </font>
    <font>
      <b/>
      <vertAlign val="superscript"/>
      <sz val="14"/>
      <name val="Times New Roman"/>
      <family val="1"/>
    </font>
    <font>
      <sz val="11"/>
      <name val="Calibri"/>
      <family val="2"/>
      <scheme val="minor"/>
    </font>
    <font>
      <b/>
      <sz val="10"/>
      <color rgb="FFFF0000"/>
      <name val="Times New Roman"/>
      <family val="1"/>
    </font>
    <font>
      <b/>
      <sz val="16"/>
      <color indexed="10"/>
      <name val="Times New Roman"/>
      <family val="1"/>
    </font>
    <font>
      <b/>
      <sz val="14"/>
      <color indexed="8"/>
      <name val="Times New Roman"/>
      <family val="1"/>
    </font>
    <font>
      <b/>
      <sz val="10"/>
      <color indexed="8"/>
      <name val="Times New Roman"/>
      <family val="1"/>
    </font>
    <font>
      <b/>
      <sz val="14"/>
      <color indexed="63"/>
      <name val="Times New Roman"/>
      <family val="1"/>
    </font>
    <font>
      <sz val="14"/>
      <color indexed="10"/>
      <name val="Times New Roman"/>
      <family val="1"/>
    </font>
    <font>
      <b/>
      <sz val="14"/>
      <color indexed="10"/>
      <name val="Times New Roman"/>
      <family val="1"/>
    </font>
    <font>
      <sz val="12"/>
      <color indexed="10"/>
      <name val="Times New Roman"/>
      <family val="1"/>
    </font>
    <font>
      <sz val="20"/>
      <color rgb="FFFF0000"/>
      <name val="Times New Roman"/>
      <family val="1"/>
    </font>
    <font>
      <sz val="20"/>
      <color rgb="FFFF0000"/>
      <name val="Arial"/>
      <family val="2"/>
    </font>
    <font>
      <sz val="16"/>
      <color theme="1"/>
      <name val="Times New Roman"/>
      <family val="1"/>
    </font>
    <font>
      <b/>
      <sz val="10"/>
      <color theme="1"/>
      <name val="Times New Roman"/>
      <family val="1"/>
    </font>
    <font>
      <sz val="12"/>
      <color theme="1"/>
      <name val="Times New Roman"/>
      <family val="1"/>
    </font>
    <font>
      <b/>
      <sz val="14"/>
      <color rgb="FFFF0000"/>
      <name val="Times New Roman"/>
      <family val="1"/>
    </font>
    <font>
      <u/>
      <sz val="12"/>
      <name val="Times New Roman"/>
      <family val="1"/>
    </font>
    <font>
      <b/>
      <sz val="12"/>
      <color rgb="FFFF0000"/>
      <name val="Times New Roman"/>
      <family val="1"/>
    </font>
    <font>
      <sz val="10"/>
      <color theme="0"/>
      <name val="Times New Roman"/>
      <family val="1"/>
    </font>
    <font>
      <b/>
      <sz val="10"/>
      <color rgb="FFFF0000"/>
      <name val="Arial"/>
      <family val="2"/>
    </font>
    <font>
      <b/>
      <sz val="15"/>
      <name val="Arial"/>
      <family val="2"/>
    </font>
    <font>
      <i/>
      <sz val="14"/>
      <name val="Times New Roman"/>
      <family val="1"/>
    </font>
    <font>
      <b/>
      <i/>
      <sz val="16"/>
      <color rgb="FFFF0000"/>
      <name val="Times New Roman"/>
      <family val="1"/>
    </font>
    <font>
      <i/>
      <vertAlign val="superscript"/>
      <sz val="14"/>
      <name val="Times New Roman"/>
      <family val="1"/>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rgb="FFFFFFCC"/>
      </patternFill>
    </fill>
    <fill>
      <patternFill patternType="solid">
        <fgColor theme="7" tint="0.59999389629810485"/>
        <bgColor indexed="65"/>
      </patternFill>
    </fill>
    <fill>
      <patternFill patternType="solid">
        <fgColor theme="5" tint="0.79998168889431442"/>
        <bgColor indexed="65"/>
      </patternFill>
    </fill>
    <fill>
      <patternFill patternType="solid">
        <fgColor theme="2"/>
        <bgColor indexed="64"/>
      </patternFill>
    </fill>
    <fill>
      <patternFill patternType="solid">
        <fgColor rgb="FFFFFF00"/>
        <bgColor indexed="64"/>
      </patternFill>
    </fill>
    <fill>
      <patternFill patternType="solid">
        <fgColor indexed="9"/>
        <bgColor indexed="9"/>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853">
    <xf numFmtId="0" fontId="0" fillId="0" borderId="0"/>
    <xf numFmtId="0" fontId="20" fillId="0" borderId="0"/>
    <xf numFmtId="43" fontId="26" fillId="0" borderId="0" applyFont="0" applyFill="0" applyBorder="0" applyAlignment="0" applyProtection="0"/>
    <xf numFmtId="0" fontId="43" fillId="0" borderId="0" applyNumberFormat="0" applyFill="0" applyBorder="0" applyAlignment="0" applyProtection="0">
      <alignment vertical="top"/>
      <protection locked="0"/>
    </xf>
    <xf numFmtId="0" fontId="13" fillId="0" borderId="0"/>
    <xf numFmtId="0" fontId="20" fillId="0" borderId="0"/>
    <xf numFmtId="0" fontId="12" fillId="0" borderId="0"/>
    <xf numFmtId="0" fontId="20" fillId="0" borderId="0"/>
    <xf numFmtId="0" fontId="11" fillId="0" borderId="0"/>
    <xf numFmtId="0" fontId="20" fillId="0" borderId="0"/>
    <xf numFmtId="0" fontId="26" fillId="0" borderId="0"/>
    <xf numFmtId="0" fontId="11"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3" fontId="20" fillId="0" borderId="0" applyFont="0" applyFill="0" applyBorder="0" applyAlignment="0" applyProtection="0"/>
    <xf numFmtId="0" fontId="11" fillId="0" borderId="0"/>
    <xf numFmtId="0" fontId="20" fillId="0" borderId="0"/>
    <xf numFmtId="0" fontId="20" fillId="0" borderId="0"/>
    <xf numFmtId="43" fontId="20"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20"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20" fillId="0" borderId="0"/>
    <xf numFmtId="43" fontId="20"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20"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20" fillId="0" borderId="0"/>
    <xf numFmtId="43" fontId="20"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20" fillId="5" borderId="16" applyNumberFormat="0" applyFont="0" applyAlignment="0" applyProtection="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43" fontId="26" fillId="0" borderId="0" applyFont="0" applyFill="0" applyBorder="0" applyAlignment="0" applyProtection="0"/>
    <xf numFmtId="0" fontId="11"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6"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0" fontId="3" fillId="0" borderId="0"/>
    <xf numFmtId="43" fontId="20"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6" borderId="0" applyNumberFormat="0" applyBorder="0" applyAlignment="0" applyProtection="0"/>
    <xf numFmtId="43" fontId="20"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20"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6" borderId="0" applyNumberFormat="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2" fillId="7" borderId="0" applyNumberFormat="0" applyBorder="0" applyAlignment="0" applyProtection="0"/>
    <xf numFmtId="0" fontId="15" fillId="0" borderId="0"/>
    <xf numFmtId="170" fontId="16" fillId="0" borderId="7" applyFont="0" applyFill="0" applyBorder="0" applyAlignment="0" applyProtection="0">
      <alignment horizontal="right"/>
    </xf>
    <xf numFmtId="43" fontId="20" fillId="0" borderId="0" applyFont="0" applyFill="0" applyBorder="0" applyAlignment="0" applyProtection="0"/>
    <xf numFmtId="0" fontId="15" fillId="0" borderId="0"/>
    <xf numFmtId="43" fontId="20" fillId="0" borderId="0" applyFont="0" applyFill="0" applyBorder="0" applyAlignment="0" applyProtection="0"/>
    <xf numFmtId="43" fontId="20" fillId="0" borderId="0" applyFont="0" applyFill="0" applyBorder="0" applyAlignment="0" applyProtection="0"/>
    <xf numFmtId="0" fontId="1" fillId="0" borderId="0"/>
    <xf numFmtId="0" fontId="20" fillId="0" borderId="0"/>
  </cellStyleXfs>
  <cellXfs count="590">
    <xf numFmtId="0" fontId="0" fillId="0" borderId="0" xfId="0"/>
    <xf numFmtId="0" fontId="18" fillId="0" borderId="0" xfId="1" applyFont="1"/>
    <xf numFmtId="0" fontId="24" fillId="0" borderId="0" xfId="1" applyFont="1"/>
    <xf numFmtId="49" fontId="18" fillId="0" borderId="0" xfId="1" applyNumberFormat="1" applyFont="1" applyAlignment="1">
      <alignment horizontal="center"/>
    </xf>
    <xf numFmtId="164" fontId="18" fillId="0" borderId="0" xfId="1" applyNumberFormat="1" applyFont="1"/>
    <xf numFmtId="0" fontId="18" fillId="0" borderId="0" xfId="1" applyFont="1" applyAlignment="1">
      <alignment horizontal="left"/>
    </xf>
    <xf numFmtId="164" fontId="16" fillId="3" borderId="5" xfId="1" applyNumberFormat="1" applyFont="1" applyFill="1" applyBorder="1" applyAlignment="1">
      <alignment horizontal="right"/>
    </xf>
    <xf numFmtId="0" fontId="18" fillId="0" borderId="6" xfId="1" applyFont="1" applyBorder="1"/>
    <xf numFmtId="164" fontId="16" fillId="3" borderId="2" xfId="1" applyNumberFormat="1" applyFont="1" applyFill="1" applyBorder="1" applyAlignment="1">
      <alignment horizontal="right"/>
    </xf>
    <xf numFmtId="0" fontId="16" fillId="0" borderId="4" xfId="1" applyFont="1" applyBorder="1"/>
    <xf numFmtId="0" fontId="16" fillId="0" borderId="3" xfId="1" applyFont="1" applyBorder="1"/>
    <xf numFmtId="0" fontId="16" fillId="0" borderId="7" xfId="1" applyFont="1" applyBorder="1"/>
    <xf numFmtId="0" fontId="16" fillId="0" borderId="6" xfId="1" applyFont="1" applyBorder="1" applyAlignment="1">
      <alignment horizontal="center"/>
    </xf>
    <xf numFmtId="0" fontId="16" fillId="0" borderId="11" xfId="1" applyFont="1" applyBorder="1" applyAlignment="1">
      <alignment horizontal="center"/>
    </xf>
    <xf numFmtId="0" fontId="16" fillId="0" borderId="5" xfId="1" applyFont="1" applyBorder="1" applyAlignment="1">
      <alignment horizontal="center"/>
    </xf>
    <xf numFmtId="0" fontId="16" fillId="0" borderId="11" xfId="1" applyFont="1" applyBorder="1"/>
    <xf numFmtId="0" fontId="16" fillId="0" borderId="7" xfId="1" applyFont="1" applyBorder="1" applyAlignment="1">
      <alignment horizontal="center"/>
    </xf>
    <xf numFmtId="0" fontId="18" fillId="0" borderId="3" xfId="1" applyFont="1" applyBorder="1"/>
    <xf numFmtId="164" fontId="18" fillId="3" borderId="6" xfId="1" applyNumberFormat="1" applyFont="1" applyFill="1" applyBorder="1" applyAlignment="1">
      <alignment horizontal="right"/>
    </xf>
    <xf numFmtId="164" fontId="18" fillId="3" borderId="3" xfId="1" applyNumberFormat="1" applyFont="1" applyFill="1" applyBorder="1" applyAlignment="1">
      <alignment horizontal="right"/>
    </xf>
    <xf numFmtId="164" fontId="16" fillId="3" borderId="3" xfId="1" applyNumberFormat="1" applyFont="1" applyFill="1" applyBorder="1" applyAlignment="1">
      <alignment horizontal="right"/>
    </xf>
    <xf numFmtId="3" fontId="18" fillId="0" borderId="0" xfId="1" applyNumberFormat="1" applyFont="1"/>
    <xf numFmtId="164" fontId="18" fillId="3" borderId="2" xfId="1" applyNumberFormat="1" applyFont="1" applyFill="1" applyBorder="1" applyAlignment="1">
      <alignment horizontal="right"/>
    </xf>
    <xf numFmtId="0" fontId="15" fillId="0" borderId="0" xfId="1" applyFont="1"/>
    <xf numFmtId="0" fontId="22" fillId="0" borderId="0" xfId="1" applyFont="1"/>
    <xf numFmtId="164" fontId="16" fillId="0" borderId="0" xfId="1" applyNumberFormat="1" applyFont="1" applyAlignment="1">
      <alignment horizontal="right"/>
    </xf>
    <xf numFmtId="3" fontId="18" fillId="0" borderId="0" xfId="1" applyNumberFormat="1" applyFont="1" applyAlignment="1">
      <alignment horizontal="center"/>
    </xf>
    <xf numFmtId="164" fontId="18" fillId="0" borderId="0" xfId="1" applyNumberFormat="1" applyFont="1" applyAlignment="1">
      <alignment horizontal="right"/>
    </xf>
    <xf numFmtId="49" fontId="18" fillId="0" borderId="0" xfId="1" applyNumberFormat="1" applyFont="1" applyAlignment="1">
      <alignment horizontal="right"/>
    </xf>
    <xf numFmtId="164" fontId="16" fillId="3" borderId="6" xfId="1" applyNumberFormat="1" applyFont="1" applyFill="1" applyBorder="1" applyAlignment="1">
      <alignment horizontal="right"/>
    </xf>
    <xf numFmtId="3" fontId="18" fillId="0" borderId="0" xfId="1" quotePrefix="1" applyNumberFormat="1" applyFont="1" applyAlignment="1">
      <alignment horizontal="center"/>
    </xf>
    <xf numFmtId="0" fontId="16" fillId="0" borderId="0" xfId="1" applyFont="1" applyAlignment="1">
      <alignment horizontal="center"/>
    </xf>
    <xf numFmtId="0" fontId="16" fillId="0" borderId="6" xfId="1" applyFont="1" applyBorder="1"/>
    <xf numFmtId="14" fontId="17" fillId="0" borderId="0" xfId="1" applyNumberFormat="1" applyFont="1" applyAlignment="1">
      <alignment horizontal="center"/>
    </xf>
    <xf numFmtId="0" fontId="16" fillId="0" borderId="0" xfId="1" applyFont="1"/>
    <xf numFmtId="3" fontId="18" fillId="0" borderId="3" xfId="1" applyNumberFormat="1" applyFont="1" applyBorder="1" applyAlignment="1">
      <alignment horizontal="right"/>
    </xf>
    <xf numFmtId="3" fontId="18" fillId="0" borderId="6" xfId="1" applyNumberFormat="1" applyFont="1" applyBorder="1" applyAlignment="1">
      <alignment horizontal="right"/>
    </xf>
    <xf numFmtId="3" fontId="19" fillId="0" borderId="0" xfId="1" applyNumberFormat="1" applyFont="1" applyAlignment="1">
      <alignment horizontal="right"/>
    </xf>
    <xf numFmtId="0" fontId="18" fillId="0" borderId="4" xfId="1" applyFont="1" applyBorder="1"/>
    <xf numFmtId="0" fontId="18" fillId="0" borderId="0" xfId="1" applyFont="1" applyAlignment="1">
      <alignment horizontal="right"/>
    </xf>
    <xf numFmtId="0" fontId="38" fillId="0" borderId="0" xfId="0" applyFont="1"/>
    <xf numFmtId="0" fontId="39" fillId="0" borderId="0" xfId="0" applyFont="1"/>
    <xf numFmtId="0" fontId="40" fillId="0" borderId="0" xfId="0" applyFont="1"/>
    <xf numFmtId="0" fontId="42" fillId="0" borderId="0" xfId="0" applyFont="1"/>
    <xf numFmtId="0" fontId="42" fillId="0" borderId="0" xfId="3" applyFont="1" applyAlignment="1" applyProtection="1"/>
    <xf numFmtId="0" fontId="44" fillId="0" borderId="0" xfId="0" applyFont="1"/>
    <xf numFmtId="0" fontId="18" fillId="0" borderId="0" xfId="3" applyFont="1" applyFill="1" applyAlignment="1" applyProtection="1"/>
    <xf numFmtId="0" fontId="31" fillId="0" borderId="0" xfId="0" applyFont="1"/>
    <xf numFmtId="0" fontId="45" fillId="0" borderId="0" xfId="0" applyFont="1"/>
    <xf numFmtId="0" fontId="46" fillId="0" borderId="0" xfId="0" applyFont="1"/>
    <xf numFmtId="3" fontId="31" fillId="0" borderId="0" xfId="0" applyNumberFormat="1" applyFont="1"/>
    <xf numFmtId="0" fontId="41" fillId="0" borderId="0" xfId="0" applyFont="1"/>
    <xf numFmtId="0" fontId="37" fillId="0" borderId="0" xfId="0" applyFont="1"/>
    <xf numFmtId="14" fontId="14" fillId="0" borderId="13" xfId="0" applyNumberFormat="1" applyFont="1" applyBorder="1" applyAlignment="1">
      <alignment horizontal="left"/>
    </xf>
    <xf numFmtId="0" fontId="31" fillId="0" borderId="10" xfId="0" applyFont="1" applyBorder="1"/>
    <xf numFmtId="0" fontId="31" fillId="0" borderId="8" xfId="0" applyFont="1" applyBorder="1"/>
    <xf numFmtId="0" fontId="31" fillId="0" borderId="9" xfId="0" applyFont="1" applyBorder="1"/>
    <xf numFmtId="0" fontId="31" fillId="0" borderId="3" xfId="0" applyFont="1" applyBorder="1"/>
    <xf numFmtId="0" fontId="18" fillId="0" borderId="0" xfId="0" applyFont="1"/>
    <xf numFmtId="3" fontId="45" fillId="0" borderId="7" xfId="0" applyNumberFormat="1" applyFont="1" applyBorder="1"/>
    <xf numFmtId="0" fontId="45" fillId="0" borderId="0" xfId="0" applyFont="1" applyAlignment="1">
      <alignment horizontal="center"/>
    </xf>
    <xf numFmtId="0" fontId="45" fillId="0" borderId="3" xfId="0" applyFont="1" applyBorder="1" applyAlignment="1">
      <alignment horizontal="center"/>
    </xf>
    <xf numFmtId="3" fontId="45" fillId="0" borderId="3" xfId="0" applyNumberFormat="1" applyFont="1" applyBorder="1"/>
    <xf numFmtId="0" fontId="16" fillId="0" borderId="4" xfId="0" applyFont="1" applyBorder="1" applyAlignment="1">
      <alignment horizont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3" xfId="0" applyFont="1" applyBorder="1" applyAlignment="1">
      <alignment horizontal="center"/>
    </xf>
    <xf numFmtId="3" fontId="48" fillId="4" borderId="6" xfId="0" applyNumberFormat="1" applyFont="1" applyFill="1" applyBorder="1"/>
    <xf numFmtId="0" fontId="14" fillId="0" borderId="11" xfId="0" applyFont="1" applyBorder="1" applyAlignment="1">
      <alignment horizontal="center"/>
    </xf>
    <xf numFmtId="0" fontId="16" fillId="0" borderId="11" xfId="0" applyFont="1" applyBorder="1" applyAlignment="1">
      <alignment horizontal="center"/>
    </xf>
    <xf numFmtId="0" fontId="16" fillId="0" borderId="6" xfId="0" applyFont="1" applyBorder="1" applyAlignment="1">
      <alignment horizontal="center"/>
    </xf>
    <xf numFmtId="0" fontId="16" fillId="0" borderId="0" xfId="0" applyFont="1" applyAlignment="1">
      <alignment horizontal="center"/>
    </xf>
    <xf numFmtId="0" fontId="45" fillId="0" borderId="3" xfId="0" applyFont="1" applyBorder="1"/>
    <xf numFmtId="0" fontId="31" fillId="0" borderId="1" xfId="0" applyFont="1" applyBorder="1"/>
    <xf numFmtId="3" fontId="31" fillId="0" borderId="4" xfId="0" applyNumberFormat="1" applyFont="1" applyBorder="1"/>
    <xf numFmtId="3" fontId="31" fillId="0" borderId="4" xfId="0" applyNumberFormat="1" applyFont="1" applyBorder="1" applyAlignment="1">
      <alignment horizontal="right"/>
    </xf>
    <xf numFmtId="0" fontId="31" fillId="0" borderId="4" xfId="0" applyFont="1" applyBorder="1"/>
    <xf numFmtId="3" fontId="45" fillId="0" borderId="4" xfId="0" applyNumberFormat="1" applyFont="1" applyBorder="1"/>
    <xf numFmtId="3" fontId="45" fillId="0" borderId="4" xfId="0" applyNumberFormat="1" applyFont="1" applyBorder="1" applyAlignment="1">
      <alignment horizontal="right"/>
    </xf>
    <xf numFmtId="0" fontId="16" fillId="0" borderId="0" xfId="0" applyFont="1"/>
    <xf numFmtId="0" fontId="45" fillId="0" borderId="6" xfId="0" applyFont="1" applyBorder="1"/>
    <xf numFmtId="3" fontId="45" fillId="0" borderId="11" xfId="0" applyNumberFormat="1" applyFont="1" applyBorder="1"/>
    <xf numFmtId="3" fontId="45" fillId="0" borderId="11" xfId="0" applyNumberFormat="1" applyFont="1" applyBorder="1" applyAlignment="1">
      <alignment horizontal="right"/>
    </xf>
    <xf numFmtId="0" fontId="31" fillId="0" borderId="0" xfId="0" applyFont="1" applyAlignment="1">
      <alignment horizontal="left"/>
    </xf>
    <xf numFmtId="0" fontId="45" fillId="0" borderId="0" xfId="0" applyFont="1" applyAlignment="1">
      <alignment horizontal="left"/>
    </xf>
    <xf numFmtId="0" fontId="31" fillId="0" borderId="14" xfId="0" applyFont="1" applyBorder="1"/>
    <xf numFmtId="0" fontId="31" fillId="0" borderId="15" xfId="0" applyFont="1" applyBorder="1"/>
    <xf numFmtId="166" fontId="45" fillId="0" borderId="7" xfId="0" applyNumberFormat="1" applyFont="1" applyBorder="1" applyAlignment="1">
      <alignment horizontal="left"/>
    </xf>
    <xf numFmtId="0" fontId="45" fillId="0" borderId="2" xfId="0" applyFont="1" applyBorder="1" applyAlignment="1">
      <alignment horizontal="center"/>
    </xf>
    <xf numFmtId="166" fontId="45" fillId="0" borderId="3" xfId="0" applyNumberFormat="1" applyFont="1" applyBorder="1" applyAlignment="1">
      <alignment horizontal="left"/>
    </xf>
    <xf numFmtId="0" fontId="45" fillId="0" borderId="4" xfId="0" applyFont="1" applyBorder="1" applyAlignment="1">
      <alignment horizontal="center"/>
    </xf>
    <xf numFmtId="0" fontId="45" fillId="0" borderId="1" xfId="0" applyFont="1" applyBorder="1" applyAlignment="1">
      <alignment horizontal="center"/>
    </xf>
    <xf numFmtId="0" fontId="16" fillId="0" borderId="2" xfId="0" applyFont="1" applyBorder="1" applyAlignment="1">
      <alignment horizontal="center"/>
    </xf>
    <xf numFmtId="166" fontId="50" fillId="0" borderId="6" xfId="0" applyNumberFormat="1" applyFont="1" applyBorder="1" applyAlignment="1">
      <alignment horizontal="left"/>
    </xf>
    <xf numFmtId="0" fontId="14" fillId="0" borderId="6" xfId="0" applyFont="1" applyBorder="1" applyAlignment="1">
      <alignment horizontal="center"/>
    </xf>
    <xf numFmtId="0" fontId="16" fillId="0" borderId="12" xfId="0" applyFont="1" applyBorder="1" applyAlignment="1">
      <alignment horizontal="center"/>
    </xf>
    <xf numFmtId="3" fontId="31" fillId="0" borderId="1" xfId="0" applyNumberFormat="1" applyFont="1" applyBorder="1"/>
    <xf numFmtId="3" fontId="31" fillId="0" borderId="2" xfId="0" applyNumberFormat="1" applyFont="1" applyBorder="1"/>
    <xf numFmtId="3" fontId="51" fillId="0" borderId="4" xfId="0" applyNumberFormat="1" applyFont="1" applyBorder="1" applyAlignment="1">
      <alignment horizontal="right"/>
    </xf>
    <xf numFmtId="0" fontId="52" fillId="0" borderId="0" xfId="0" applyFont="1"/>
    <xf numFmtId="3" fontId="53" fillId="0" borderId="0" xfId="0" applyNumberFormat="1" applyFont="1"/>
    <xf numFmtId="0" fontId="53" fillId="0" borderId="0" xfId="0" applyFont="1"/>
    <xf numFmtId="0" fontId="45" fillId="0" borderId="4" xfId="0" applyFont="1" applyBorder="1"/>
    <xf numFmtId="3" fontId="45" fillId="0" borderId="0" xfId="0" applyNumberFormat="1" applyFont="1" applyAlignment="1">
      <alignment horizontal="right"/>
    </xf>
    <xf numFmtId="3" fontId="16" fillId="0" borderId="4" xfId="1" applyNumberFormat="1" applyFont="1" applyBorder="1"/>
    <xf numFmtId="3" fontId="15" fillId="0" borderId="0" xfId="1" applyNumberFormat="1" applyFont="1"/>
    <xf numFmtId="3" fontId="16" fillId="0" borderId="0" xfId="1" applyNumberFormat="1" applyFont="1"/>
    <xf numFmtId="3" fontId="16" fillId="0" borderId="1" xfId="1" applyNumberFormat="1" applyFont="1" applyBorder="1"/>
    <xf numFmtId="3" fontId="18" fillId="0" borderId="0" xfId="1" applyNumberFormat="1" applyFont="1" applyAlignment="1">
      <alignment horizontal="right"/>
    </xf>
    <xf numFmtId="3" fontId="14" fillId="0" borderId="0" xfId="1" applyNumberFormat="1" applyFont="1"/>
    <xf numFmtId="3" fontId="16" fillId="0" borderId="5" xfId="1" applyNumberFormat="1" applyFont="1" applyBorder="1" applyAlignment="1">
      <alignment horizontal="center"/>
    </xf>
    <xf numFmtId="3" fontId="22" fillId="0" borderId="0" xfId="1" applyNumberFormat="1" applyFont="1"/>
    <xf numFmtId="3" fontId="18" fillId="0" borderId="4" xfId="1" applyNumberFormat="1" applyFont="1" applyBorder="1"/>
    <xf numFmtId="3" fontId="18" fillId="0" borderId="0" xfId="1" applyNumberFormat="1" applyFont="1" applyAlignment="1">
      <alignment horizontal="left"/>
    </xf>
    <xf numFmtId="3" fontId="16" fillId="0" borderId="6" xfId="1" applyNumberFormat="1" applyFont="1" applyBorder="1" applyAlignment="1">
      <alignment horizontal="center"/>
    </xf>
    <xf numFmtId="3" fontId="16" fillId="0" borderId="3" xfId="1" applyNumberFormat="1" applyFont="1" applyBorder="1"/>
    <xf numFmtId="3" fontId="16" fillId="0" borderId="0" xfId="1" applyNumberFormat="1" applyFont="1" applyAlignment="1">
      <alignment horizontal="right"/>
    </xf>
    <xf numFmtId="3" fontId="16" fillId="3" borderId="2" xfId="1" applyNumberFormat="1" applyFont="1" applyFill="1" applyBorder="1" applyAlignment="1">
      <alignment horizontal="right"/>
    </xf>
    <xf numFmtId="3" fontId="16" fillId="0" borderId="11" xfId="1" applyNumberFormat="1" applyFont="1" applyBorder="1" applyAlignment="1">
      <alignment horizontal="center"/>
    </xf>
    <xf numFmtId="3" fontId="16" fillId="0" borderId="7" xfId="1" applyNumberFormat="1" applyFont="1" applyBorder="1" applyAlignment="1">
      <alignment horizontal="center"/>
    </xf>
    <xf numFmtId="3" fontId="14" fillId="0" borderId="12" xfId="1" applyNumberFormat="1" applyFont="1" applyBorder="1"/>
    <xf numFmtId="3" fontId="18" fillId="3" borderId="3" xfId="1" applyNumberFormat="1" applyFont="1" applyFill="1" applyBorder="1" applyAlignment="1">
      <alignment horizontal="right"/>
    </xf>
    <xf numFmtId="3" fontId="18" fillId="3" borderId="6" xfId="1" applyNumberFormat="1" applyFont="1" applyFill="1" applyBorder="1" applyAlignment="1">
      <alignment horizontal="right"/>
    </xf>
    <xf numFmtId="3" fontId="16" fillId="3" borderId="6" xfId="1" applyNumberFormat="1" applyFont="1" applyFill="1" applyBorder="1" applyAlignment="1">
      <alignment horizontal="right"/>
    </xf>
    <xf numFmtId="3" fontId="16" fillId="3" borderId="5" xfId="1" applyNumberFormat="1" applyFont="1" applyFill="1" applyBorder="1" applyAlignment="1">
      <alignment horizontal="right"/>
    </xf>
    <xf numFmtId="3" fontId="16" fillId="3" borderId="3" xfId="1" applyNumberFormat="1" applyFont="1" applyFill="1" applyBorder="1" applyAlignment="1">
      <alignment horizontal="right"/>
    </xf>
    <xf numFmtId="3" fontId="18" fillId="0" borderId="10" xfId="1" applyNumberFormat="1" applyFont="1" applyBorder="1" applyAlignment="1">
      <alignment horizontal="left"/>
    </xf>
    <xf numFmtId="3" fontId="16" fillId="0" borderId="0" xfId="1" applyNumberFormat="1" applyFont="1" applyAlignment="1">
      <alignment horizontal="center"/>
    </xf>
    <xf numFmtId="3" fontId="17" fillId="0" borderId="0" xfId="1" applyNumberFormat="1" applyFont="1" applyAlignment="1">
      <alignment horizontal="center"/>
    </xf>
    <xf numFmtId="3" fontId="18" fillId="3" borderId="2" xfId="1" applyNumberFormat="1" applyFont="1" applyFill="1" applyBorder="1" applyAlignment="1">
      <alignment horizontal="right"/>
    </xf>
    <xf numFmtId="3" fontId="31" fillId="0" borderId="3" xfId="0" applyNumberFormat="1" applyFont="1" applyBorder="1"/>
    <xf numFmtId="3" fontId="45" fillId="0" borderId="0" xfId="0" applyNumberFormat="1" applyFont="1"/>
    <xf numFmtId="3" fontId="45" fillId="0" borderId="6" xfId="0" applyNumberFormat="1" applyFont="1" applyBorder="1"/>
    <xf numFmtId="3" fontId="31" fillId="0" borderId="0" xfId="0" applyNumberFormat="1" applyFont="1" applyAlignment="1">
      <alignment horizontal="right"/>
    </xf>
    <xf numFmtId="3" fontId="51" fillId="0" borderId="0" xfId="0" applyNumberFormat="1" applyFont="1" applyAlignment="1">
      <alignment horizontal="right"/>
    </xf>
    <xf numFmtId="0" fontId="14" fillId="0" borderId="4" xfId="0" applyFont="1" applyBorder="1" applyAlignment="1">
      <alignment horizontal="center"/>
    </xf>
    <xf numFmtId="0" fontId="14" fillId="0" borderId="3" xfId="0" applyFont="1" applyBorder="1" applyAlignment="1">
      <alignment horizontal="center"/>
    </xf>
    <xf numFmtId="3" fontId="18" fillId="2" borderId="3" xfId="1" applyNumberFormat="1" applyFont="1" applyFill="1" applyBorder="1" applyAlignment="1">
      <alignment horizontal="right"/>
    </xf>
    <xf numFmtId="3" fontId="23" fillId="0" borderId="4" xfId="1" applyNumberFormat="1" applyFont="1" applyBorder="1" applyAlignment="1">
      <alignment horizontal="right"/>
    </xf>
    <xf numFmtId="3" fontId="23" fillId="0" borderId="3" xfId="1" applyNumberFormat="1" applyFont="1" applyBorder="1" applyAlignment="1">
      <alignment horizontal="right"/>
    </xf>
    <xf numFmtId="3" fontId="18" fillId="0" borderId="4" xfId="1" quotePrefix="1" applyNumberFormat="1" applyFont="1" applyBorder="1" applyAlignment="1">
      <alignment horizontal="right"/>
    </xf>
    <xf numFmtId="166" fontId="45" fillId="0" borderId="4" xfId="0" applyNumberFormat="1" applyFont="1" applyBorder="1" applyAlignment="1">
      <alignment horizontal="left"/>
    </xf>
    <xf numFmtId="0" fontId="51" fillId="0" borderId="4" xfId="0" applyFont="1" applyBorder="1"/>
    <xf numFmtId="0" fontId="45" fillId="0" borderId="11" xfId="0" applyFont="1" applyBorder="1"/>
    <xf numFmtId="3" fontId="31" fillId="0" borderId="3" xfId="0" applyNumberFormat="1" applyFont="1" applyBorder="1" applyAlignment="1">
      <alignment horizontal="right"/>
    </xf>
    <xf numFmtId="3" fontId="51" fillId="0" borderId="3" xfId="0" applyNumberFormat="1" applyFont="1" applyBorder="1" applyAlignment="1">
      <alignment horizontal="right"/>
    </xf>
    <xf numFmtId="3" fontId="45" fillId="0" borderId="3" xfId="0" applyNumberFormat="1" applyFont="1" applyBorder="1" applyAlignment="1">
      <alignment horizontal="right"/>
    </xf>
    <xf numFmtId="3" fontId="45" fillId="0" borderId="6" xfId="0" applyNumberFormat="1" applyFont="1" applyBorder="1" applyAlignment="1">
      <alignment horizontal="right"/>
    </xf>
    <xf numFmtId="0" fontId="37" fillId="0" borderId="4" xfId="0" applyFont="1" applyBorder="1" applyAlignment="1">
      <alignment horizontal="right"/>
    </xf>
    <xf numFmtId="3" fontId="31" fillId="0" borderId="7" xfId="0" applyNumberFormat="1" applyFont="1" applyBorder="1" applyAlignment="1">
      <alignment horizontal="right"/>
    </xf>
    <xf numFmtId="3" fontId="31" fillId="0" borderId="14" xfId="0" applyNumberFormat="1" applyFont="1" applyBorder="1" applyAlignment="1">
      <alignment horizontal="right"/>
    </xf>
    <xf numFmtId="0" fontId="37" fillId="0" borderId="3" xfId="0" applyFont="1" applyBorder="1" applyAlignment="1">
      <alignment horizontal="right"/>
    </xf>
    <xf numFmtId="3" fontId="31" fillId="0" borderId="6" xfId="0" applyNumberFormat="1" applyFont="1" applyBorder="1" applyAlignment="1">
      <alignment horizontal="right"/>
    </xf>
    <xf numFmtId="3" fontId="16" fillId="0" borderId="0" xfId="0" applyNumberFormat="1" applyFont="1"/>
    <xf numFmtId="3" fontId="16" fillId="0" borderId="4" xfId="1" applyNumberFormat="1" applyFont="1" applyBorder="1" applyAlignment="1">
      <alignment horizontal="center"/>
    </xf>
    <xf numFmtId="3" fontId="18" fillId="0" borderId="0" xfId="0" applyNumberFormat="1" applyFont="1"/>
    <xf numFmtId="0" fontId="18" fillId="8" borderId="1" xfId="0" applyFont="1" applyFill="1" applyBorder="1"/>
    <xf numFmtId="0" fontId="18" fillId="8" borderId="15" xfId="0" applyFont="1" applyFill="1" applyBorder="1"/>
    <xf numFmtId="0" fontId="18" fillId="8" borderId="14" xfId="0" applyFont="1" applyFill="1" applyBorder="1"/>
    <xf numFmtId="0" fontId="16" fillId="8" borderId="1" xfId="0" applyFont="1" applyFill="1" applyBorder="1" applyAlignment="1">
      <alignment horizontal="center"/>
    </xf>
    <xf numFmtId="0" fontId="16" fillId="8" borderId="15" xfId="0" applyFont="1" applyFill="1" applyBorder="1" applyAlignment="1">
      <alignment horizontal="center"/>
    </xf>
    <xf numFmtId="0" fontId="16" fillId="8" borderId="14" xfId="0" applyFont="1" applyFill="1" applyBorder="1" applyAlignment="1">
      <alignment horizontal="center"/>
    </xf>
    <xf numFmtId="0" fontId="16" fillId="8" borderId="11" xfId="0" applyFont="1" applyFill="1" applyBorder="1" applyAlignment="1">
      <alignment horizontal="center"/>
    </xf>
    <xf numFmtId="0" fontId="16" fillId="8" borderId="5" xfId="0" applyFont="1" applyFill="1" applyBorder="1" applyAlignment="1">
      <alignment horizontal="center"/>
    </xf>
    <xf numFmtId="0" fontId="16" fillId="8" borderId="12" xfId="0" applyFont="1" applyFill="1" applyBorder="1" applyAlignment="1">
      <alignment horizontal="center"/>
    </xf>
    <xf numFmtId="0" fontId="16" fillId="8" borderId="3" xfId="0" applyFont="1" applyFill="1" applyBorder="1"/>
    <xf numFmtId="3" fontId="18" fillId="8" borderId="2" xfId="0" applyNumberFormat="1" applyFont="1" applyFill="1" applyBorder="1"/>
    <xf numFmtId="3" fontId="18" fillId="8" borderId="7" xfId="0" applyNumberFormat="1" applyFont="1" applyFill="1" applyBorder="1"/>
    <xf numFmtId="3" fontId="18" fillId="8" borderId="3" xfId="0" applyNumberFormat="1" applyFont="1" applyFill="1" applyBorder="1"/>
    <xf numFmtId="0" fontId="16" fillId="8" borderId="3" xfId="0" applyFont="1" applyFill="1" applyBorder="1" applyAlignment="1">
      <alignment horizontal="center"/>
    </xf>
    <xf numFmtId="0" fontId="16" fillId="8" borderId="2" xfId="0" applyFont="1" applyFill="1" applyBorder="1" applyAlignment="1">
      <alignment horizontal="center"/>
    </xf>
    <xf numFmtId="0" fontId="18" fillId="8" borderId="2" xfId="0" applyFont="1" applyFill="1" applyBorder="1"/>
    <xf numFmtId="0" fontId="18" fillId="8" borderId="3" xfId="0" applyFont="1" applyFill="1" applyBorder="1"/>
    <xf numFmtId="3" fontId="16" fillId="8" borderId="6" xfId="0" applyNumberFormat="1" applyFont="1" applyFill="1" applyBorder="1"/>
    <xf numFmtId="3" fontId="16" fillId="8" borderId="5" xfId="0" applyNumberFormat="1" applyFont="1" applyFill="1" applyBorder="1"/>
    <xf numFmtId="3" fontId="31" fillId="0" borderId="2" xfId="0" quotePrefix="1" applyNumberFormat="1" applyFont="1" applyBorder="1" applyAlignment="1">
      <alignment horizontal="right"/>
    </xf>
    <xf numFmtId="0" fontId="37" fillId="0" borderId="1" xfId="0" applyFont="1" applyBorder="1" applyAlignment="1">
      <alignment horizontal="right"/>
    </xf>
    <xf numFmtId="3" fontId="31" fillId="0" borderId="3" xfId="0" quotePrefix="1" applyNumberFormat="1" applyFont="1" applyBorder="1" applyAlignment="1">
      <alignment horizontal="right"/>
    </xf>
    <xf numFmtId="3" fontId="18" fillId="0" borderId="2" xfId="1" applyNumberFormat="1" applyFont="1" applyBorder="1" applyAlignment="1">
      <alignment horizontal="right"/>
    </xf>
    <xf numFmtId="3" fontId="18" fillId="2" borderId="2" xfId="1" applyNumberFormat="1" applyFont="1" applyFill="1" applyBorder="1" applyAlignment="1">
      <alignment horizontal="right"/>
    </xf>
    <xf numFmtId="3" fontId="16" fillId="0" borderId="3" xfId="1" applyNumberFormat="1" applyFont="1" applyBorder="1" applyAlignment="1">
      <alignment horizontal="right"/>
    </xf>
    <xf numFmtId="3" fontId="18" fillId="0" borderId="2" xfId="1" quotePrefix="1" applyNumberFormat="1" applyFont="1" applyBorder="1" applyAlignment="1">
      <alignment horizontal="right"/>
    </xf>
    <xf numFmtId="3" fontId="18" fillId="0" borderId="6" xfId="1" quotePrefix="1" applyNumberFormat="1" applyFont="1" applyBorder="1" applyAlignment="1">
      <alignment horizontal="right"/>
    </xf>
    <xf numFmtId="3" fontId="18" fillId="0" borderId="5" xfId="1" quotePrefix="1" applyNumberFormat="1" applyFont="1" applyBorder="1" applyAlignment="1">
      <alignment horizontal="right"/>
    </xf>
    <xf numFmtId="3" fontId="18" fillId="3" borderId="0" xfId="1" applyNumberFormat="1" applyFont="1" applyFill="1" applyAlignment="1">
      <alignment horizontal="right"/>
    </xf>
    <xf numFmtId="164" fontId="55" fillId="7" borderId="3" xfId="844" applyNumberFormat="1" applyFont="1" applyBorder="1" applyAlignment="1">
      <alignment horizontal="right"/>
    </xf>
    <xf numFmtId="3" fontId="45" fillId="0" borderId="2" xfId="0" applyNumberFormat="1" applyFont="1" applyBorder="1"/>
    <xf numFmtId="3" fontId="14" fillId="0" borderId="9" xfId="1" applyNumberFormat="1" applyFont="1" applyBorder="1" applyAlignment="1">
      <alignment horizontal="center"/>
    </xf>
    <xf numFmtId="3" fontId="17" fillId="0" borderId="6" xfId="1" applyNumberFormat="1" applyFont="1" applyBorder="1" applyAlignment="1">
      <alignment horizontal="center"/>
    </xf>
    <xf numFmtId="3" fontId="16" fillId="0" borderId="3" xfId="1" applyNumberFormat="1" applyFont="1" applyBorder="1" applyAlignment="1">
      <alignment horizontal="center"/>
    </xf>
    <xf numFmtId="3" fontId="16" fillId="0" borderId="2" xfId="1" applyNumberFormat="1" applyFont="1" applyBorder="1" applyAlignment="1">
      <alignment horizontal="center"/>
    </xf>
    <xf numFmtId="3" fontId="14" fillId="0" borderId="1" xfId="1" applyNumberFormat="1" applyFont="1" applyBorder="1"/>
    <xf numFmtId="0" fontId="18" fillId="0" borderId="6" xfId="0" applyFont="1" applyBorder="1"/>
    <xf numFmtId="0" fontId="16" fillId="0" borderId="3" xfId="1" applyFont="1" applyBorder="1" applyAlignment="1">
      <alignment horizontal="center"/>
    </xf>
    <xf numFmtId="0" fontId="16" fillId="0" borderId="15" xfId="1" applyFont="1" applyBorder="1" applyAlignment="1">
      <alignment horizontal="center"/>
    </xf>
    <xf numFmtId="0" fontId="18" fillId="0" borderId="5" xfId="1" applyFont="1" applyBorder="1"/>
    <xf numFmtId="0" fontId="18" fillId="0" borderId="9" xfId="1" applyFont="1" applyBorder="1"/>
    <xf numFmtId="167" fontId="18" fillId="0" borderId="0" xfId="1" applyNumberFormat="1" applyFont="1" applyAlignment="1">
      <alignment horizontal="center"/>
    </xf>
    <xf numFmtId="167" fontId="18" fillId="3" borderId="3" xfId="1" applyNumberFormat="1" applyFont="1" applyFill="1" applyBorder="1" applyAlignment="1">
      <alignment horizontal="right"/>
    </xf>
    <xf numFmtId="167" fontId="18" fillId="3" borderId="6" xfId="1" applyNumberFormat="1" applyFont="1" applyFill="1" applyBorder="1" applyAlignment="1">
      <alignment horizontal="right"/>
    </xf>
    <xf numFmtId="0" fontId="45" fillId="0" borderId="7" xfId="0" applyFont="1" applyBorder="1"/>
    <xf numFmtId="166" fontId="16" fillId="0" borderId="4" xfId="0" applyNumberFormat="1" applyFont="1" applyBorder="1" applyAlignment="1">
      <alignment horizontal="center"/>
    </xf>
    <xf numFmtId="166" fontId="16" fillId="0" borderId="11" xfId="0" applyNumberFormat="1" applyFont="1" applyBorder="1" applyAlignment="1">
      <alignment horizontal="center"/>
    </xf>
    <xf numFmtId="0" fontId="16" fillId="0" borderId="5" xfId="0" applyFont="1" applyBorder="1" applyAlignment="1">
      <alignment horizontal="center"/>
    </xf>
    <xf numFmtId="164" fontId="45" fillId="0" borderId="4" xfId="0" applyNumberFormat="1" applyFont="1" applyBorder="1" applyAlignment="1">
      <alignment horizontal="right"/>
    </xf>
    <xf numFmtId="164" fontId="45" fillId="0" borderId="3" xfId="0" applyNumberFormat="1" applyFont="1" applyBorder="1" applyAlignment="1">
      <alignment horizontal="right"/>
    </xf>
    <xf numFmtId="164" fontId="31" fillId="0" borderId="4" xfId="0" applyNumberFormat="1" applyFont="1" applyBorder="1" applyAlignment="1">
      <alignment horizontal="right"/>
    </xf>
    <xf numFmtId="164" fontId="31" fillId="0" borderId="3" xfId="0" applyNumberFormat="1" applyFont="1" applyBorder="1" applyAlignment="1">
      <alignment horizontal="right"/>
    </xf>
    <xf numFmtId="0" fontId="31" fillId="0" borderId="11" xfId="0" applyFont="1" applyBorder="1"/>
    <xf numFmtId="3" fontId="31" fillId="0" borderId="11" xfId="0" applyNumberFormat="1" applyFont="1" applyBorder="1"/>
    <xf numFmtId="164" fontId="31" fillId="0" borderId="11" xfId="0" applyNumberFormat="1" applyFont="1" applyBorder="1" applyAlignment="1">
      <alignment horizontal="right"/>
    </xf>
    <xf numFmtId="164" fontId="31" fillId="0" borderId="6" xfId="0" applyNumberFormat="1" applyFont="1" applyBorder="1" applyAlignment="1">
      <alignment horizontal="right"/>
    </xf>
    <xf numFmtId="0" fontId="42" fillId="9" borderId="0" xfId="0" applyFont="1" applyFill="1"/>
    <xf numFmtId="0" fontId="66" fillId="0" borderId="0" xfId="3" applyFont="1" applyAlignment="1" applyProtection="1"/>
    <xf numFmtId="0" fontId="41" fillId="0" borderId="0" xfId="0" applyFont="1" applyAlignment="1">
      <alignment horizontal="center"/>
    </xf>
    <xf numFmtId="3" fontId="16" fillId="0" borderId="6" xfId="1" applyNumberFormat="1" applyFont="1" applyBorder="1" applyAlignment="1">
      <alignment horizontal="right"/>
    </xf>
    <xf numFmtId="3" fontId="67" fillId="0" borderId="4" xfId="1" applyNumberFormat="1" applyFont="1" applyBorder="1" applyAlignment="1">
      <alignment horizontal="right"/>
    </xf>
    <xf numFmtId="3" fontId="67" fillId="0" borderId="3" xfId="1" applyNumberFormat="1" applyFont="1" applyBorder="1" applyAlignment="1">
      <alignment horizontal="right"/>
    </xf>
    <xf numFmtId="3" fontId="67" fillId="0" borderId="11" xfId="1" applyNumberFormat="1" applyFont="1" applyBorder="1" applyAlignment="1">
      <alignment horizontal="right"/>
    </xf>
    <xf numFmtId="3" fontId="67" fillId="0" borderId="6" xfId="1" applyNumberFormat="1" applyFont="1" applyBorder="1" applyAlignment="1">
      <alignment horizontal="right"/>
    </xf>
    <xf numFmtId="3" fontId="18" fillId="0" borderId="3" xfId="2" applyNumberFormat="1" applyFont="1" applyFill="1" applyBorder="1" applyAlignment="1">
      <alignment horizontal="right"/>
    </xf>
    <xf numFmtId="3" fontId="18" fillId="0" borderId="4" xfId="2" applyNumberFormat="1" applyFont="1" applyFill="1" applyBorder="1" applyAlignment="1">
      <alignment horizontal="right"/>
    </xf>
    <xf numFmtId="3" fontId="18" fillId="0" borderId="6" xfId="2" applyNumberFormat="1" applyFont="1" applyFill="1" applyBorder="1" applyAlignment="1">
      <alignment horizontal="right"/>
    </xf>
    <xf numFmtId="3" fontId="18" fillId="0" borderId="11" xfId="2" applyNumberFormat="1" applyFont="1" applyFill="1" applyBorder="1" applyAlignment="1">
      <alignment horizontal="right"/>
    </xf>
    <xf numFmtId="3" fontId="18" fillId="2" borderId="3" xfId="2" applyNumberFormat="1" applyFont="1" applyFill="1" applyBorder="1" applyAlignment="1">
      <alignment horizontal="right"/>
    </xf>
    <xf numFmtId="3" fontId="18" fillId="2" borderId="4" xfId="2" applyNumberFormat="1" applyFont="1" applyFill="1" applyBorder="1" applyAlignment="1">
      <alignment horizontal="right"/>
    </xf>
    <xf numFmtId="3" fontId="18" fillId="0" borderId="4" xfId="1" applyNumberFormat="1" applyFont="1" applyBorder="1" applyAlignment="1">
      <alignment horizontal="right"/>
    </xf>
    <xf numFmtId="3" fontId="18" fillId="0" borderId="11" xfId="1" applyNumberFormat="1" applyFont="1" applyBorder="1" applyAlignment="1">
      <alignment horizontal="right"/>
    </xf>
    <xf numFmtId="3" fontId="18" fillId="0" borderId="3" xfId="2" applyNumberFormat="1" applyFont="1" applyBorder="1" applyAlignment="1">
      <alignment horizontal="right"/>
    </xf>
    <xf numFmtId="3" fontId="23" fillId="0" borderId="2" xfId="1" applyNumberFormat="1" applyFont="1" applyBorder="1" applyAlignment="1">
      <alignment horizontal="right"/>
    </xf>
    <xf numFmtId="3" fontId="23" fillId="0" borderId="0" xfId="1" applyNumberFormat="1" applyFont="1" applyAlignment="1">
      <alignment horizontal="right"/>
    </xf>
    <xf numFmtId="3" fontId="19" fillId="2" borderId="2" xfId="1" applyNumberFormat="1" applyFont="1" applyFill="1" applyBorder="1" applyAlignment="1">
      <alignment horizontal="right"/>
    </xf>
    <xf numFmtId="3" fontId="18" fillId="0" borderId="3" xfId="2" applyNumberFormat="1" applyFont="1" applyBorder="1" applyAlignment="1">
      <alignment horizontal="left"/>
    </xf>
    <xf numFmtId="0" fontId="14" fillId="0" borderId="0" xfId="1" applyFont="1" applyAlignment="1">
      <alignment horizontal="center"/>
    </xf>
    <xf numFmtId="3" fontId="14" fillId="0" borderId="0" xfId="1" applyNumberFormat="1" applyFont="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4" fillId="0" borderId="12" xfId="1" applyNumberFormat="1" applyFont="1" applyBorder="1" applyAlignment="1">
      <alignment horizontal="center"/>
    </xf>
    <xf numFmtId="3" fontId="16" fillId="0" borderId="9" xfId="1" applyNumberFormat="1" applyFont="1" applyBorder="1" applyAlignment="1">
      <alignment horizontal="center"/>
    </xf>
    <xf numFmtId="3" fontId="16" fillId="0" borderId="1" xfId="1" applyNumberFormat="1" applyFont="1" applyBorder="1" applyAlignment="1">
      <alignment horizontal="center"/>
    </xf>
    <xf numFmtId="3" fontId="16" fillId="0" borderId="7" xfId="2" applyNumberFormat="1" applyFont="1" applyFill="1" applyBorder="1" applyAlignment="1">
      <alignment horizontal="right"/>
    </xf>
    <xf numFmtId="3" fontId="16" fillId="0" borderId="1" xfId="2" applyNumberFormat="1" applyFont="1" applyFill="1" applyBorder="1" applyAlignment="1">
      <alignment horizontal="right"/>
    </xf>
    <xf numFmtId="3" fontId="16" fillId="0" borderId="2" xfId="1" applyNumberFormat="1" applyFont="1" applyBorder="1" applyAlignment="1">
      <alignment horizontal="right"/>
    </xf>
    <xf numFmtId="3" fontId="16" fillId="0" borderId="4" xfId="1" applyNumberFormat="1" applyFont="1" applyBorder="1" applyAlignment="1">
      <alignment horizontal="right"/>
    </xf>
    <xf numFmtId="3" fontId="16" fillId="0" borderId="3" xfId="2" applyNumberFormat="1" applyFont="1" applyFill="1" applyBorder="1" applyAlignment="1">
      <alignment horizontal="right"/>
    </xf>
    <xf numFmtId="3" fontId="16" fillId="0" borderId="4" xfId="2" applyNumberFormat="1" applyFont="1" applyFill="1" applyBorder="1" applyAlignment="1">
      <alignment horizontal="right"/>
    </xf>
    <xf numFmtId="3" fontId="16" fillId="0" borderId="6" xfId="2" applyNumberFormat="1" applyFont="1" applyFill="1" applyBorder="1" applyAlignment="1">
      <alignment horizontal="right"/>
    </xf>
    <xf numFmtId="3" fontId="16" fillId="0" borderId="11" xfId="2" applyNumberFormat="1" applyFont="1" applyFill="1" applyBorder="1" applyAlignment="1">
      <alignment horizontal="right"/>
    </xf>
    <xf numFmtId="3" fontId="16" fillId="0" borderId="5" xfId="1" applyNumberFormat="1" applyFont="1" applyBorder="1" applyAlignment="1">
      <alignment horizontal="right"/>
    </xf>
    <xf numFmtId="3" fontId="16" fillId="0" borderId="11" xfId="1" applyNumberFormat="1" applyFont="1" applyBorder="1" applyAlignment="1">
      <alignment horizontal="right"/>
    </xf>
    <xf numFmtId="3" fontId="16" fillId="0" borderId="7" xfId="1" applyNumberFormat="1" applyFont="1" applyBorder="1" applyAlignment="1">
      <alignment horizontal="right"/>
    </xf>
    <xf numFmtId="3" fontId="16" fillId="0" borderId="1" xfId="1" applyNumberFormat="1" applyFont="1" applyBorder="1" applyAlignment="1">
      <alignment horizontal="right"/>
    </xf>
    <xf numFmtId="3" fontId="16" fillId="0" borderId="15" xfId="1" applyNumberFormat="1" applyFont="1" applyBorder="1" applyAlignment="1">
      <alignment horizontal="right"/>
    </xf>
    <xf numFmtId="3" fontId="16" fillId="2" borderId="2" xfId="1" applyNumberFormat="1" applyFont="1" applyFill="1" applyBorder="1" applyAlignment="1">
      <alignment horizontal="right"/>
    </xf>
    <xf numFmtId="3" fontId="16" fillId="2" borderId="0" xfId="1" applyNumberFormat="1" applyFont="1" applyFill="1" applyAlignment="1">
      <alignment horizontal="right"/>
    </xf>
    <xf numFmtId="3" fontId="16" fillId="2" borderId="4" xfId="1" applyNumberFormat="1" applyFont="1" applyFill="1" applyBorder="1" applyAlignment="1">
      <alignment horizontal="right"/>
    </xf>
    <xf numFmtId="3" fontId="16" fillId="2" borderId="5" xfId="1" applyNumberFormat="1" applyFont="1" applyFill="1" applyBorder="1" applyAlignment="1">
      <alignment horizontal="right"/>
    </xf>
    <xf numFmtId="3" fontId="16" fillId="2" borderId="11" xfId="1" applyNumberFormat="1" applyFont="1" applyFill="1" applyBorder="1" applyAlignment="1">
      <alignment horizontal="right"/>
    </xf>
    <xf numFmtId="3" fontId="16" fillId="2" borderId="3" xfId="1" applyNumberFormat="1" applyFont="1" applyFill="1" applyBorder="1" applyAlignment="1">
      <alignment horizontal="right"/>
    </xf>
    <xf numFmtId="3" fontId="16" fillId="2" borderId="6" xfId="1" applyNumberFormat="1" applyFont="1" applyFill="1" applyBorder="1" applyAlignment="1">
      <alignment horizontal="right"/>
    </xf>
    <xf numFmtId="14" fontId="17" fillId="0" borderId="10" xfId="1" applyNumberFormat="1" applyFont="1" applyBorder="1"/>
    <xf numFmtId="0" fontId="0" fillId="0" borderId="8" xfId="0" applyBorder="1"/>
    <xf numFmtId="3" fontId="16" fillId="0" borderId="2" xfId="1" quotePrefix="1" applyNumberFormat="1" applyFont="1" applyBorder="1" applyAlignment="1">
      <alignment horizontal="right"/>
    </xf>
    <xf numFmtId="0" fontId="56" fillId="0" borderId="0" xfId="1" applyFont="1"/>
    <xf numFmtId="0" fontId="15" fillId="0" borderId="0" xfId="1" applyFont="1" applyAlignment="1">
      <alignment horizontal="right" vertical="top"/>
    </xf>
    <xf numFmtId="0" fontId="15" fillId="0" borderId="0" xfId="1" applyFont="1" applyAlignment="1">
      <alignment vertical="top" wrapText="1"/>
    </xf>
    <xf numFmtId="0" fontId="15" fillId="0" borderId="0" xfId="1" applyFont="1" applyAlignment="1">
      <alignment horizontal="right"/>
    </xf>
    <xf numFmtId="0" fontId="15" fillId="0" borderId="0" xfId="1" applyFont="1" applyAlignment="1">
      <alignment wrapText="1"/>
    </xf>
    <xf numFmtId="0" fontId="14" fillId="0" borderId="0" xfId="1" applyFont="1" applyAlignment="1">
      <alignment horizontal="left"/>
    </xf>
    <xf numFmtId="3" fontId="31" fillId="4" borderId="3" xfId="0" applyNumberFormat="1" applyFont="1" applyFill="1" applyBorder="1" applyAlignment="1" applyProtection="1">
      <alignment horizontal="right"/>
      <protection locked="0"/>
    </xf>
    <xf numFmtId="0" fontId="68" fillId="0" borderId="0" xfId="0" applyFont="1" applyAlignment="1">
      <alignment horizontal="left" vertical="center" readingOrder="1"/>
    </xf>
    <xf numFmtId="0" fontId="70" fillId="0" borderId="0" xfId="1" applyFont="1" applyAlignment="1">
      <alignment horizontal="left"/>
    </xf>
    <xf numFmtId="0" fontId="19" fillId="0" borderId="0" xfId="1" applyFont="1"/>
    <xf numFmtId="0" fontId="42" fillId="9" borderId="0" xfId="3" applyFont="1" applyFill="1" applyAlignment="1" applyProtection="1"/>
    <xf numFmtId="0" fontId="64" fillId="0" borderId="0" xfId="0" applyFont="1"/>
    <xf numFmtId="0" fontId="65" fillId="0" borderId="0" xfId="0" applyFont="1"/>
    <xf numFmtId="0" fontId="42" fillId="0" borderId="0" xfId="3" applyFont="1" applyFill="1" applyAlignment="1" applyProtection="1"/>
    <xf numFmtId="3" fontId="16" fillId="3" borderId="7" xfId="1" applyNumberFormat="1" applyFont="1" applyFill="1" applyBorder="1" applyAlignment="1">
      <alignment horizontal="right"/>
    </xf>
    <xf numFmtId="0" fontId="72" fillId="0" borderId="0" xfId="1" applyFont="1" applyAlignment="1">
      <alignment horizontal="left"/>
    </xf>
    <xf numFmtId="3" fontId="67" fillId="0" borderId="2" xfId="1" applyNumberFormat="1" applyFont="1" applyBorder="1" applyAlignment="1">
      <alignment horizontal="right"/>
    </xf>
    <xf numFmtId="3" fontId="59" fillId="0" borderId="2" xfId="1" applyNumberFormat="1" applyFont="1" applyBorder="1" applyAlignment="1">
      <alignment horizontal="right"/>
    </xf>
    <xf numFmtId="3" fontId="14" fillId="0" borderId="14" xfId="1" applyNumberFormat="1" applyFont="1" applyBorder="1" applyAlignment="1">
      <alignment horizontal="center"/>
    </xf>
    <xf numFmtId="170" fontId="16" fillId="0" borderId="7" xfId="846" applyFont="1" applyFill="1" applyBorder="1" applyAlignment="1">
      <alignment horizontal="right"/>
    </xf>
    <xf numFmtId="170" fontId="16" fillId="0" borderId="1" xfId="846" applyFont="1" applyFill="1" applyBorder="1" applyAlignment="1">
      <alignment horizontal="right"/>
    </xf>
    <xf numFmtId="170" fontId="18" fillId="0" borderId="3" xfId="846" applyFont="1" applyBorder="1" applyAlignment="1">
      <alignment horizontal="right"/>
    </xf>
    <xf numFmtId="170" fontId="18" fillId="0" borderId="3" xfId="846" applyFont="1" applyFill="1" applyBorder="1" applyAlignment="1">
      <alignment horizontal="right"/>
    </xf>
    <xf numFmtId="170" fontId="18" fillId="0" borderId="4" xfId="846" applyFont="1" applyFill="1" applyBorder="1" applyAlignment="1">
      <alignment horizontal="right"/>
    </xf>
    <xf numFmtId="170" fontId="16" fillId="0" borderId="3" xfId="846" applyFont="1" applyFill="1" applyBorder="1" applyAlignment="1">
      <alignment horizontal="right"/>
    </xf>
    <xf numFmtId="170" fontId="16" fillId="0" borderId="4" xfId="846" applyFont="1" applyFill="1" applyBorder="1" applyAlignment="1">
      <alignment horizontal="right"/>
    </xf>
    <xf numFmtId="170" fontId="16" fillId="0" borderId="6" xfId="846" applyFont="1" applyFill="1" applyBorder="1" applyAlignment="1">
      <alignment horizontal="right"/>
    </xf>
    <xf numFmtId="170" fontId="16" fillId="0" borderId="11" xfId="846" applyFont="1" applyFill="1" applyBorder="1" applyAlignment="1">
      <alignment horizontal="right"/>
    </xf>
    <xf numFmtId="170" fontId="18" fillId="3" borderId="7" xfId="846" applyFont="1" applyFill="1" applyBorder="1" applyAlignment="1">
      <alignment horizontal="right"/>
    </xf>
    <xf numFmtId="170" fontId="18" fillId="3" borderId="2" xfId="846" applyFont="1" applyFill="1" applyBorder="1" applyAlignment="1">
      <alignment horizontal="right"/>
    </xf>
    <xf numFmtId="170" fontId="16" fillId="0" borderId="2" xfId="846" applyFont="1" applyFill="1" applyBorder="1" applyAlignment="1">
      <alignment horizontal="right"/>
    </xf>
    <xf numFmtId="170" fontId="18" fillId="3" borderId="3" xfId="846" applyFont="1" applyFill="1" applyBorder="1" applyAlignment="1">
      <alignment horizontal="right"/>
    </xf>
    <xf numFmtId="170" fontId="18" fillId="2" borderId="3" xfId="846" applyFont="1" applyFill="1" applyBorder="1" applyAlignment="1">
      <alignment horizontal="right"/>
    </xf>
    <xf numFmtId="170" fontId="18" fillId="2" borderId="4" xfId="846" applyFont="1" applyFill="1" applyBorder="1" applyAlignment="1">
      <alignment horizontal="right"/>
    </xf>
    <xf numFmtId="170" fontId="18" fillId="0" borderId="2" xfId="846" applyFont="1" applyFill="1" applyBorder="1" applyAlignment="1">
      <alignment horizontal="right"/>
    </xf>
    <xf numFmtId="170" fontId="18" fillId="3" borderId="6" xfId="846" applyFont="1" applyFill="1" applyBorder="1" applyAlignment="1">
      <alignment horizontal="right"/>
    </xf>
    <xf numFmtId="170" fontId="16" fillId="0" borderId="5" xfId="846" applyFont="1" applyFill="1" applyBorder="1" applyAlignment="1">
      <alignment horizontal="right"/>
    </xf>
    <xf numFmtId="170" fontId="16" fillId="0" borderId="15" xfId="846" applyFont="1" applyFill="1" applyBorder="1" applyAlignment="1">
      <alignment horizontal="right"/>
    </xf>
    <xf numFmtId="170" fontId="16" fillId="2" borderId="2" xfId="846" applyFont="1" applyFill="1" applyBorder="1" applyAlignment="1">
      <alignment horizontal="right"/>
    </xf>
    <xf numFmtId="170" fontId="16" fillId="2" borderId="0" xfId="846" applyFont="1" applyFill="1" applyBorder="1" applyAlignment="1">
      <alignment horizontal="right"/>
    </xf>
    <xf numFmtId="170" fontId="16" fillId="2" borderId="4" xfId="846" applyFont="1" applyFill="1" applyBorder="1" applyAlignment="1">
      <alignment horizontal="right"/>
    </xf>
    <xf numFmtId="170" fontId="16" fillId="2" borderId="5" xfId="846" applyFont="1" applyFill="1" applyBorder="1" applyAlignment="1">
      <alignment horizontal="right"/>
    </xf>
    <xf numFmtId="170" fontId="16" fillId="2" borderId="11" xfId="846" applyFont="1" applyFill="1" applyBorder="1" applyAlignment="1">
      <alignment horizontal="right"/>
    </xf>
    <xf numFmtId="170" fontId="18" fillId="0" borderId="6" xfId="846" applyFont="1" applyFill="1" applyBorder="1" applyAlignment="1">
      <alignment horizontal="right"/>
    </xf>
    <xf numFmtId="170" fontId="18" fillId="0" borderId="11" xfId="846" applyFont="1" applyFill="1" applyBorder="1" applyAlignment="1">
      <alignment horizontal="right"/>
    </xf>
    <xf numFmtId="170" fontId="67" fillId="0" borderId="2" xfId="846" applyFont="1" applyFill="1" applyBorder="1" applyAlignment="1">
      <alignment horizontal="right"/>
    </xf>
    <xf numFmtId="170" fontId="18" fillId="0" borderId="0" xfId="846" applyFont="1" applyFill="1" applyBorder="1" applyAlignment="1">
      <alignment horizontal="right"/>
    </xf>
    <xf numFmtId="170" fontId="23" fillId="0" borderId="2" xfId="846" applyFont="1" applyFill="1" applyBorder="1" applyAlignment="1">
      <alignment horizontal="right"/>
    </xf>
    <xf numFmtId="170" fontId="23" fillId="0" borderId="0" xfId="846" applyFont="1" applyFill="1" applyBorder="1" applyAlignment="1">
      <alignment horizontal="right"/>
    </xf>
    <xf numFmtId="170" fontId="16" fillId="0" borderId="0" xfId="846" applyFont="1" applyFill="1" applyBorder="1" applyAlignment="1">
      <alignment horizontal="right"/>
    </xf>
    <xf numFmtId="170" fontId="18" fillId="3" borderId="5" xfId="846" applyFont="1" applyFill="1" applyBorder="1" applyAlignment="1">
      <alignment horizontal="right"/>
    </xf>
    <xf numFmtId="170" fontId="18" fillId="3" borderId="0" xfId="846" applyFont="1" applyFill="1" applyBorder="1" applyAlignment="1">
      <alignment horizontal="right"/>
    </xf>
    <xf numFmtId="170" fontId="18" fillId="3" borderId="1" xfId="846" applyFont="1" applyFill="1" applyBorder="1" applyAlignment="1">
      <alignment horizontal="right"/>
    </xf>
    <xf numFmtId="170" fontId="18" fillId="3" borderId="4" xfId="846" applyFont="1" applyFill="1" applyBorder="1" applyAlignment="1">
      <alignment horizontal="right"/>
    </xf>
    <xf numFmtId="170" fontId="18" fillId="3" borderId="11" xfId="846" applyFont="1" applyFill="1" applyBorder="1" applyAlignment="1">
      <alignment horizontal="right"/>
    </xf>
    <xf numFmtId="164" fontId="31" fillId="0" borderId="3" xfId="0" applyNumberFormat="1" applyFont="1" applyBorder="1"/>
    <xf numFmtId="164" fontId="45" fillId="0" borderId="3" xfId="0" applyNumberFormat="1" applyFont="1" applyBorder="1"/>
    <xf numFmtId="164" fontId="45" fillId="0" borderId="6" xfId="0" applyNumberFormat="1" applyFont="1" applyBorder="1"/>
    <xf numFmtId="171" fontId="18" fillId="3" borderId="2" xfId="846" applyNumberFormat="1" applyFont="1" applyFill="1" applyBorder="1" applyAlignment="1">
      <alignment horizontal="right"/>
    </xf>
    <xf numFmtId="171" fontId="18" fillId="3" borderId="3" xfId="846" applyNumberFormat="1" applyFont="1" applyFill="1" applyBorder="1" applyAlignment="1">
      <alignment horizontal="right"/>
    </xf>
    <xf numFmtId="171" fontId="18" fillId="3" borderId="6" xfId="846" applyNumberFormat="1" applyFont="1" applyFill="1" applyBorder="1" applyAlignment="1">
      <alignment horizontal="right"/>
    </xf>
    <xf numFmtId="164" fontId="16" fillId="0" borderId="6" xfId="1" applyNumberFormat="1" applyFont="1" applyBorder="1" applyAlignment="1">
      <alignment horizontal="center"/>
    </xf>
    <xf numFmtId="164" fontId="18" fillId="3" borderId="0" xfId="1" applyNumberFormat="1" applyFont="1" applyFill="1" applyAlignment="1">
      <alignment horizontal="right"/>
    </xf>
    <xf numFmtId="164" fontId="18" fillId="3" borderId="5" xfId="1" applyNumberFormat="1" applyFont="1" applyFill="1" applyBorder="1" applyAlignment="1">
      <alignment horizontal="right"/>
    </xf>
    <xf numFmtId="49" fontId="16" fillId="0" borderId="0" xfId="1" applyNumberFormat="1" applyFont="1" applyAlignment="1">
      <alignment horizontal="right"/>
    </xf>
    <xf numFmtId="49" fontId="16" fillId="0" borderId="0" xfId="1" applyNumberFormat="1" applyFont="1" applyAlignment="1">
      <alignment horizontal="center"/>
    </xf>
    <xf numFmtId="3" fontId="16" fillId="0" borderId="0" xfId="1" quotePrefix="1" applyNumberFormat="1" applyFont="1" applyAlignment="1">
      <alignment horizontal="center"/>
    </xf>
    <xf numFmtId="170" fontId="16" fillId="3" borderId="7" xfId="846" applyFont="1" applyFill="1" applyBorder="1" applyAlignment="1">
      <alignment horizontal="right"/>
    </xf>
    <xf numFmtId="171" fontId="16" fillId="3" borderId="2" xfId="846" applyNumberFormat="1" applyFont="1" applyFill="1" applyBorder="1" applyAlignment="1">
      <alignment horizontal="right"/>
    </xf>
    <xf numFmtId="167" fontId="16" fillId="3" borderId="7" xfId="1" applyNumberFormat="1" applyFont="1" applyFill="1" applyBorder="1" applyAlignment="1">
      <alignment horizontal="right"/>
    </xf>
    <xf numFmtId="167" fontId="16" fillId="3" borderId="3" xfId="1" applyNumberFormat="1" applyFont="1" applyFill="1" applyBorder="1" applyAlignment="1">
      <alignment horizontal="right"/>
    </xf>
    <xf numFmtId="167" fontId="16" fillId="3" borderId="6" xfId="1" applyNumberFormat="1" applyFont="1" applyFill="1" applyBorder="1" applyAlignment="1">
      <alignment horizontal="right"/>
    </xf>
    <xf numFmtId="3" fontId="16" fillId="3" borderId="0" xfId="1" applyNumberFormat="1" applyFont="1" applyFill="1" applyAlignment="1">
      <alignment horizontal="right"/>
    </xf>
    <xf numFmtId="3" fontId="16" fillId="3" borderId="1" xfId="1" applyNumberFormat="1" applyFont="1" applyFill="1" applyBorder="1" applyAlignment="1">
      <alignment horizontal="right"/>
    </xf>
    <xf numFmtId="3" fontId="16" fillId="3" borderId="4" xfId="1" applyNumberFormat="1" applyFont="1" applyFill="1" applyBorder="1" applyAlignment="1">
      <alignment horizontal="right"/>
    </xf>
    <xf numFmtId="3" fontId="16" fillId="3" borderId="11" xfId="1" applyNumberFormat="1" applyFont="1" applyFill="1" applyBorder="1" applyAlignment="1">
      <alignment horizontal="right"/>
    </xf>
    <xf numFmtId="164" fontId="16" fillId="3" borderId="0" xfId="1" applyNumberFormat="1" applyFont="1" applyFill="1" applyAlignment="1">
      <alignment horizontal="right"/>
    </xf>
    <xf numFmtId="3" fontId="60" fillId="4" borderId="3" xfId="0" applyNumberFormat="1" applyFont="1" applyFill="1" applyBorder="1" applyAlignment="1" applyProtection="1">
      <alignment horizontal="right"/>
      <protection locked="0"/>
    </xf>
    <xf numFmtId="3" fontId="31" fillId="4" borderId="4" xfId="0" applyNumberFormat="1" applyFont="1" applyFill="1" applyBorder="1" applyAlignment="1" applyProtection="1">
      <alignment horizontal="right"/>
      <protection locked="0"/>
    </xf>
    <xf numFmtId="3" fontId="45" fillId="4" borderId="3" xfId="0" applyNumberFormat="1" applyFont="1" applyFill="1" applyBorder="1" applyAlignment="1" applyProtection="1">
      <alignment horizontal="right"/>
      <protection locked="0"/>
    </xf>
    <xf numFmtId="3" fontId="45" fillId="0" borderId="3" xfId="0" applyNumberFormat="1" applyFont="1" applyBorder="1" applyAlignment="1" applyProtection="1">
      <alignment horizontal="right"/>
      <protection locked="0"/>
    </xf>
    <xf numFmtId="3" fontId="31" fillId="0" borderId="3" xfId="0" applyNumberFormat="1" applyFont="1" applyBorder="1" applyAlignment="1" applyProtection="1">
      <alignment horizontal="right"/>
      <protection locked="0"/>
    </xf>
    <xf numFmtId="3" fontId="31" fillId="4" borderId="3" xfId="845" applyNumberFormat="1" applyFont="1" applyFill="1" applyBorder="1" applyAlignment="1" applyProtection="1">
      <alignment horizontal="right"/>
      <protection locked="0"/>
    </xf>
    <xf numFmtId="3" fontId="45" fillId="4" borderId="4" xfId="0" applyNumberFormat="1" applyFont="1" applyFill="1" applyBorder="1" applyAlignment="1" applyProtection="1">
      <alignment horizontal="right"/>
      <protection locked="0"/>
    </xf>
    <xf numFmtId="3" fontId="45" fillId="4" borderId="3" xfId="845" applyNumberFormat="1" applyFont="1" applyFill="1" applyBorder="1" applyAlignment="1" applyProtection="1">
      <alignment horizontal="right"/>
      <protection locked="0"/>
    </xf>
    <xf numFmtId="3" fontId="45" fillId="0" borderId="6" xfId="0" applyNumberFormat="1" applyFont="1" applyBorder="1" applyAlignment="1" applyProtection="1">
      <alignment horizontal="right"/>
      <protection locked="0"/>
    </xf>
    <xf numFmtId="3" fontId="45" fillId="4" borderId="6" xfId="0" applyNumberFormat="1" applyFont="1" applyFill="1" applyBorder="1" applyAlignment="1" applyProtection="1">
      <alignment horizontal="right"/>
      <protection locked="0"/>
    </xf>
    <xf numFmtId="3" fontId="45" fillId="4" borderId="6" xfId="845" applyNumberFormat="1" applyFont="1" applyFill="1" applyBorder="1" applyAlignment="1" applyProtection="1">
      <alignment horizontal="right"/>
      <protection locked="0"/>
    </xf>
    <xf numFmtId="3" fontId="60" fillId="4" borderId="4" xfId="0" applyNumberFormat="1" applyFont="1" applyFill="1" applyBorder="1" applyProtection="1">
      <protection locked="0"/>
    </xf>
    <xf numFmtId="3" fontId="45" fillId="4" borderId="4" xfId="0" applyNumberFormat="1" applyFont="1" applyFill="1" applyBorder="1" applyProtection="1">
      <protection locked="0"/>
    </xf>
    <xf numFmtId="0" fontId="31" fillId="0" borderId="0" xfId="0" applyFont="1" applyProtection="1">
      <protection locked="0"/>
    </xf>
    <xf numFmtId="0" fontId="0" fillId="0" borderId="0" xfId="0" applyProtection="1">
      <protection locked="0"/>
    </xf>
    <xf numFmtId="0" fontId="20" fillId="0" borderId="0" xfId="0" applyFont="1" applyProtection="1">
      <protection locked="0"/>
    </xf>
    <xf numFmtId="0" fontId="61" fillId="0" borderId="0" xfId="0" applyFont="1" applyProtection="1">
      <protection locked="0"/>
    </xf>
    <xf numFmtId="0" fontId="41" fillId="0" borderId="0" xfId="0" applyFont="1" applyProtection="1">
      <protection locked="0"/>
    </xf>
    <xf numFmtId="0" fontId="57" fillId="0" borderId="0" xfId="0" applyFont="1" applyProtection="1">
      <protection locked="0"/>
    </xf>
    <xf numFmtId="3" fontId="58" fillId="4" borderId="12" xfId="0" applyNumberFormat="1" applyFont="1" applyFill="1" applyBorder="1" applyProtection="1">
      <protection locked="0"/>
    </xf>
    <xf numFmtId="0" fontId="18" fillId="0" borderId="8" xfId="0" applyFont="1" applyBorder="1" applyProtection="1">
      <protection locked="0"/>
    </xf>
    <xf numFmtId="0" fontId="18" fillId="0" borderId="10" xfId="0" applyFont="1" applyBorder="1" applyProtection="1">
      <protection locked="0"/>
    </xf>
    <xf numFmtId="0" fontId="18" fillId="0" borderId="9" xfId="0" applyFont="1" applyBorder="1" applyProtection="1">
      <protection locked="0"/>
    </xf>
    <xf numFmtId="0" fontId="49" fillId="0" borderId="0" xfId="0" applyFont="1" applyProtection="1">
      <protection locked="0"/>
    </xf>
    <xf numFmtId="0" fontId="63" fillId="0" borderId="0" xfId="0" applyFont="1" applyProtection="1">
      <protection locked="0"/>
    </xf>
    <xf numFmtId="3" fontId="31" fillId="4" borderId="4" xfId="15" applyNumberFormat="1" applyFont="1" applyFill="1" applyBorder="1" applyAlignment="1" applyProtection="1">
      <alignment horizontal="right"/>
      <protection locked="0"/>
    </xf>
    <xf numFmtId="165" fontId="31" fillId="0" borderId="3" xfId="847" applyNumberFormat="1" applyFont="1" applyBorder="1" applyAlignment="1" applyProtection="1">
      <alignment horizontal="right"/>
      <protection locked="0"/>
    </xf>
    <xf numFmtId="169" fontId="31" fillId="0" borderId="3" xfId="847" applyNumberFormat="1" applyFont="1" applyBorder="1" applyAlignment="1" applyProtection="1">
      <alignment horizontal="right"/>
      <protection locked="0"/>
    </xf>
    <xf numFmtId="165" fontId="31" fillId="4" borderId="4" xfId="847" applyNumberFormat="1" applyFont="1" applyFill="1" applyBorder="1" applyAlignment="1" applyProtection="1">
      <alignment horizontal="right"/>
      <protection locked="0"/>
    </xf>
    <xf numFmtId="165" fontId="31" fillId="4" borderId="3" xfId="847" applyNumberFormat="1" applyFont="1" applyFill="1" applyBorder="1" applyAlignment="1" applyProtection="1">
      <alignment horizontal="right"/>
      <protection locked="0"/>
    </xf>
    <xf numFmtId="3" fontId="45" fillId="4" borderId="4" xfId="15" applyNumberFormat="1" applyFont="1" applyFill="1" applyBorder="1" applyAlignment="1" applyProtection="1">
      <alignment horizontal="right"/>
      <protection locked="0"/>
    </xf>
    <xf numFmtId="3" fontId="45" fillId="4" borderId="11" xfId="15" applyNumberFormat="1" applyFont="1" applyFill="1" applyBorder="1" applyAlignment="1" applyProtection="1">
      <alignment horizontal="right"/>
      <protection locked="0"/>
    </xf>
    <xf numFmtId="3" fontId="18" fillId="0" borderId="3" xfId="847" applyNumberFormat="1" applyFont="1" applyBorder="1" applyAlignment="1">
      <alignment horizontal="left"/>
    </xf>
    <xf numFmtId="3" fontId="18" fillId="0" borderId="3" xfId="847" applyNumberFormat="1" applyFont="1" applyFill="1" applyBorder="1" applyAlignment="1">
      <alignment horizontal="left"/>
    </xf>
    <xf numFmtId="0" fontId="45" fillId="2" borderId="3" xfId="0" applyFont="1" applyFill="1" applyBorder="1" applyProtection="1">
      <protection locked="0"/>
    </xf>
    <xf numFmtId="0" fontId="45" fillId="2" borderId="6" xfId="0" applyFont="1" applyFill="1" applyBorder="1" applyProtection="1">
      <protection locked="0"/>
    </xf>
    <xf numFmtId="3" fontId="31" fillId="4" borderId="1" xfId="0" applyNumberFormat="1" applyFont="1" applyFill="1" applyBorder="1" applyAlignment="1" applyProtection="1">
      <alignment horizontal="right"/>
      <protection locked="0"/>
    </xf>
    <xf numFmtId="0" fontId="31" fillId="0" borderId="3" xfId="0" applyFont="1" applyBorder="1" applyAlignment="1" applyProtection="1">
      <alignment horizontal="right"/>
      <protection locked="0"/>
    </xf>
    <xf numFmtId="3" fontId="31" fillId="4" borderId="7" xfId="0" applyNumberFormat="1" applyFont="1" applyFill="1" applyBorder="1" applyAlignment="1" applyProtection="1">
      <alignment horizontal="right"/>
      <protection locked="0"/>
    </xf>
    <xf numFmtId="1" fontId="31" fillId="0" borderId="3" xfId="0" applyNumberFormat="1" applyFont="1" applyBorder="1" applyAlignment="1" applyProtection="1">
      <alignment horizontal="right"/>
      <protection locked="0"/>
    </xf>
    <xf numFmtId="4" fontId="31" fillId="4" borderId="4" xfId="7" applyNumberFormat="1" applyFont="1" applyFill="1" applyBorder="1" applyAlignment="1" applyProtection="1">
      <alignment horizontal="right"/>
      <protection locked="0"/>
    </xf>
    <xf numFmtId="3" fontId="31" fillId="4" borderId="4" xfId="7" applyNumberFormat="1" applyFont="1" applyFill="1" applyBorder="1" applyAlignment="1" applyProtection="1">
      <alignment horizontal="right"/>
      <protection locked="0"/>
    </xf>
    <xf numFmtId="3" fontId="31" fillId="4" borderId="11" xfId="7" applyNumberFormat="1" applyFont="1" applyFill="1" applyBorder="1" applyAlignment="1" applyProtection="1">
      <alignment horizontal="right"/>
      <protection locked="0"/>
    </xf>
    <xf numFmtId="170" fontId="16" fillId="0" borderId="3" xfId="846" applyFont="1" applyBorder="1" applyAlignment="1">
      <alignment horizontal="right"/>
    </xf>
    <xf numFmtId="3" fontId="31" fillId="0" borderId="4" xfId="0" applyNumberFormat="1" applyFont="1" applyBorder="1" applyAlignment="1" applyProtection="1">
      <alignment horizontal="right"/>
      <protection locked="0"/>
    </xf>
    <xf numFmtId="0" fontId="41" fillId="0" borderId="0" xfId="7" applyFont="1" applyProtection="1">
      <protection locked="0"/>
    </xf>
    <xf numFmtId="0" fontId="20" fillId="0" borderId="0" xfId="7" applyProtection="1">
      <protection locked="0"/>
    </xf>
    <xf numFmtId="3" fontId="58" fillId="4" borderId="0" xfId="7" applyNumberFormat="1" applyFont="1" applyFill="1" applyProtection="1">
      <protection locked="0"/>
    </xf>
    <xf numFmtId="14" fontId="14" fillId="0" borderId="7" xfId="7" applyNumberFormat="1" applyFont="1" applyBorder="1" applyAlignment="1" applyProtection="1">
      <alignment horizontal="left"/>
      <protection locked="0"/>
    </xf>
    <xf numFmtId="0" fontId="18" fillId="0" borderId="10" xfId="7" applyFont="1" applyBorder="1" applyProtection="1">
      <protection locked="0"/>
    </xf>
    <xf numFmtId="0" fontId="18" fillId="0" borderId="8" xfId="7" applyFont="1" applyBorder="1" applyProtection="1">
      <protection locked="0"/>
    </xf>
    <xf numFmtId="0" fontId="18" fillId="0" borderId="9" xfId="7" applyFont="1" applyBorder="1" applyProtection="1">
      <protection locked="0"/>
    </xf>
    <xf numFmtId="0" fontId="69" fillId="0" borderId="8" xfId="7" applyFont="1" applyBorder="1" applyAlignment="1" applyProtection="1">
      <alignment horizontal="center"/>
      <protection locked="0"/>
    </xf>
    <xf numFmtId="0" fontId="18" fillId="4" borderId="0" xfId="7" applyFont="1" applyFill="1" applyProtection="1">
      <protection locked="0"/>
    </xf>
    <xf numFmtId="3" fontId="45" fillId="0" borderId="1" xfId="7" applyNumberFormat="1" applyFont="1" applyBorder="1" applyProtection="1">
      <protection locked="0"/>
    </xf>
    <xf numFmtId="3" fontId="45" fillId="0" borderId="4" xfId="7" applyNumberFormat="1" applyFont="1" applyBorder="1" applyProtection="1">
      <protection locked="0"/>
    </xf>
    <xf numFmtId="0" fontId="16" fillId="0" borderId="1" xfId="7" applyFont="1" applyBorder="1" applyAlignment="1" applyProtection="1">
      <alignment horizontal="center"/>
      <protection locked="0"/>
    </xf>
    <xf numFmtId="0" fontId="16" fillId="0" borderId="7" xfId="7" applyFont="1" applyBorder="1" applyAlignment="1" applyProtection="1">
      <alignment horizontal="center"/>
      <protection locked="0"/>
    </xf>
    <xf numFmtId="3" fontId="50" fillId="4" borderId="11" xfId="7" applyNumberFormat="1" applyFont="1" applyFill="1" applyBorder="1" applyProtection="1">
      <protection locked="0"/>
    </xf>
    <xf numFmtId="0" fontId="14" fillId="0" borderId="6" xfId="7" applyFont="1" applyBorder="1" applyAlignment="1" applyProtection="1">
      <alignment horizontal="center"/>
      <protection locked="0"/>
    </xf>
    <xf numFmtId="168" fontId="16" fillId="0" borderId="6" xfId="7" applyNumberFormat="1" applyFont="1" applyBorder="1" applyAlignment="1" applyProtection="1">
      <alignment horizontal="center"/>
      <protection locked="0"/>
    </xf>
    <xf numFmtId="168" fontId="14" fillId="4" borderId="0" xfId="7" applyNumberFormat="1" applyFont="1" applyFill="1" applyAlignment="1" applyProtection="1">
      <alignment horizontal="center"/>
      <protection locked="0"/>
    </xf>
    <xf numFmtId="0" fontId="14" fillId="4" borderId="0" xfId="7" applyFont="1" applyFill="1" applyAlignment="1" applyProtection="1">
      <alignment horizontal="center"/>
      <protection locked="0"/>
    </xf>
    <xf numFmtId="0" fontId="45" fillId="0" borderId="7" xfId="7" applyFont="1" applyBorder="1" applyProtection="1">
      <protection locked="0"/>
    </xf>
    <xf numFmtId="4" fontId="31" fillId="4" borderId="7" xfId="7" applyNumberFormat="1" applyFont="1" applyFill="1" applyBorder="1" applyAlignment="1" applyProtection="1">
      <alignment horizontal="right"/>
      <protection locked="0"/>
    </xf>
    <xf numFmtId="0" fontId="31" fillId="0" borderId="3" xfId="7" applyFont="1" applyBorder="1" applyProtection="1">
      <protection locked="0"/>
    </xf>
    <xf numFmtId="0" fontId="31" fillId="0" borderId="6" xfId="7" applyFont="1" applyBorder="1" applyProtection="1">
      <protection locked="0"/>
    </xf>
    <xf numFmtId="0" fontId="14" fillId="0" borderId="6" xfId="0" applyFont="1" applyBorder="1" applyAlignment="1" applyProtection="1">
      <alignment horizontal="center"/>
      <protection locked="0"/>
    </xf>
    <xf numFmtId="0" fontId="14" fillId="0" borderId="11" xfId="0" applyFont="1" applyBorder="1" applyAlignment="1" applyProtection="1">
      <alignment horizontal="center"/>
      <protection locked="0"/>
    </xf>
    <xf numFmtId="4" fontId="31" fillId="4" borderId="3" xfId="7" applyNumberFormat="1" applyFont="1" applyFill="1" applyBorder="1" applyAlignment="1" applyProtection="1">
      <alignment horizontal="right"/>
      <protection locked="0"/>
    </xf>
    <xf numFmtId="3" fontId="31" fillId="4" borderId="3" xfId="7" applyNumberFormat="1" applyFont="1" applyFill="1" applyBorder="1" applyAlignment="1" applyProtection="1">
      <alignment horizontal="right"/>
      <protection locked="0"/>
    </xf>
    <xf numFmtId="3" fontId="31" fillId="4" borderId="6" xfId="7" applyNumberFormat="1" applyFont="1" applyFill="1" applyBorder="1" applyAlignment="1" applyProtection="1">
      <alignment horizontal="right"/>
      <protection locked="0"/>
    </xf>
    <xf numFmtId="164" fontId="31" fillId="4" borderId="6" xfId="7" applyNumberFormat="1" applyFont="1" applyFill="1" applyBorder="1" applyAlignment="1" applyProtection="1">
      <alignment horizontal="right"/>
      <protection locked="0"/>
    </xf>
    <xf numFmtId="0" fontId="56" fillId="0" borderId="0" xfId="0" applyFont="1"/>
    <xf numFmtId="0" fontId="15" fillId="0" borderId="0" xfId="7" applyFont="1" applyAlignment="1">
      <alignment horizontal="right" vertical="top"/>
    </xf>
    <xf numFmtId="0" fontId="15" fillId="0" borderId="0" xfId="7" applyFont="1" applyAlignment="1">
      <alignment horizontal="right"/>
    </xf>
    <xf numFmtId="0" fontId="31" fillId="0" borderId="4" xfId="0" applyFont="1" applyBorder="1" applyProtection="1">
      <protection locked="0"/>
    </xf>
    <xf numFmtId="3" fontId="45" fillId="0" borderId="1" xfId="0" applyNumberFormat="1" applyFont="1" applyBorder="1" applyProtection="1">
      <protection locked="0"/>
    </xf>
    <xf numFmtId="3" fontId="45" fillId="0" borderId="4" xfId="0" applyNumberFormat="1" applyFont="1" applyBorder="1" applyProtection="1">
      <protection locked="0"/>
    </xf>
    <xf numFmtId="0" fontId="16" fillId="0" borderId="7" xfId="0" applyFont="1" applyBorder="1" applyAlignment="1" applyProtection="1">
      <alignment horizontal="center"/>
      <protection locked="0"/>
    </xf>
    <xf numFmtId="3" fontId="50" fillId="4" borderId="6" xfId="0" applyNumberFormat="1" applyFont="1" applyFill="1" applyBorder="1" applyProtection="1">
      <protection locked="0"/>
    </xf>
    <xf numFmtId="168" fontId="16" fillId="0" borderId="6" xfId="0" applyNumberFormat="1" applyFont="1" applyBorder="1" applyAlignment="1" applyProtection="1">
      <alignment horizontal="center"/>
      <protection locked="0"/>
    </xf>
    <xf numFmtId="0" fontId="31" fillId="4" borderId="7" xfId="0" applyFont="1" applyFill="1" applyBorder="1" applyAlignment="1" applyProtection="1">
      <alignment horizontal="right"/>
      <protection locked="0"/>
    </xf>
    <xf numFmtId="3" fontId="31" fillId="4" borderId="4" xfId="0" applyNumberFormat="1" applyFont="1" applyFill="1" applyBorder="1" applyAlignment="1">
      <alignment horizontal="right"/>
    </xf>
    <xf numFmtId="3" fontId="31" fillId="4" borderId="3" xfId="0" applyNumberFormat="1" applyFont="1" applyFill="1" applyBorder="1" applyAlignment="1">
      <alignment horizontal="right"/>
    </xf>
    <xf numFmtId="0" fontId="31" fillId="4" borderId="3" xfId="0" applyFont="1" applyFill="1" applyBorder="1" applyAlignment="1" applyProtection="1">
      <alignment horizontal="right"/>
      <protection locked="0"/>
    </xf>
    <xf numFmtId="3" fontId="31" fillId="10" borderId="3" xfId="0" applyNumberFormat="1" applyFont="1" applyFill="1" applyBorder="1" applyAlignment="1" applyProtection="1">
      <alignment horizontal="right"/>
      <protection locked="0"/>
    </xf>
    <xf numFmtId="0" fontId="45" fillId="0" borderId="11" xfId="0" applyFont="1" applyBorder="1" applyProtection="1">
      <protection locked="0"/>
    </xf>
    <xf numFmtId="0" fontId="45" fillId="0" borderId="4" xfId="0" applyFont="1" applyBorder="1" applyProtection="1">
      <protection locked="0"/>
    </xf>
    <xf numFmtId="3" fontId="45" fillId="4" borderId="7" xfId="0" applyNumberFormat="1" applyFont="1" applyFill="1" applyBorder="1" applyAlignment="1" applyProtection="1">
      <alignment horizontal="right"/>
      <protection locked="0"/>
    </xf>
    <xf numFmtId="0" fontId="45" fillId="4" borderId="7" xfId="0" applyFont="1" applyFill="1" applyBorder="1" applyAlignment="1" applyProtection="1">
      <alignment horizontal="right"/>
      <protection locked="0"/>
    </xf>
    <xf numFmtId="0" fontId="45" fillId="4" borderId="15" xfId="0" applyFont="1" applyFill="1" applyBorder="1" applyAlignment="1" applyProtection="1">
      <alignment horizontal="right"/>
      <protection locked="0"/>
    </xf>
    <xf numFmtId="0" fontId="49" fillId="0" borderId="7" xfId="0" applyFont="1" applyBorder="1" applyAlignment="1" applyProtection="1">
      <alignment horizontal="right"/>
      <protection locked="0"/>
    </xf>
    <xf numFmtId="0" fontId="45" fillId="4" borderId="3" xfId="0" applyFont="1" applyFill="1" applyBorder="1" applyAlignment="1" applyProtection="1">
      <alignment horizontal="right"/>
      <protection locked="0"/>
    </xf>
    <xf numFmtId="0" fontId="45" fillId="4" borderId="2" xfId="0" applyFont="1" applyFill="1" applyBorder="1" applyAlignment="1" applyProtection="1">
      <alignment horizontal="right"/>
      <protection locked="0"/>
    </xf>
    <xf numFmtId="0" fontId="49" fillId="0" borderId="3" xfId="0" applyFont="1" applyBorder="1" applyAlignment="1" applyProtection="1">
      <alignment horizontal="right"/>
      <protection locked="0"/>
    </xf>
    <xf numFmtId="0" fontId="31" fillId="4" borderId="2" xfId="0" applyFont="1" applyFill="1" applyBorder="1" applyAlignment="1" applyProtection="1">
      <alignment horizontal="right"/>
      <protection locked="0"/>
    </xf>
    <xf numFmtId="3" fontId="31" fillId="4" borderId="2" xfId="0" applyNumberFormat="1" applyFont="1" applyFill="1" applyBorder="1" applyAlignment="1" applyProtection="1">
      <alignment horizontal="right"/>
      <protection locked="0"/>
    </xf>
    <xf numFmtId="3" fontId="45" fillId="4" borderId="2" xfId="0" applyNumberFormat="1" applyFont="1" applyFill="1" applyBorder="1" applyAlignment="1" applyProtection="1">
      <alignment horizontal="right"/>
      <protection locked="0"/>
    </xf>
    <xf numFmtId="0" fontId="45" fillId="0" borderId="0" xfId="0" applyFont="1" applyProtection="1">
      <protection locked="0"/>
    </xf>
    <xf numFmtId="0" fontId="45" fillId="4" borderId="6" xfId="0" applyFont="1" applyFill="1" applyBorder="1" applyAlignment="1" applyProtection="1">
      <alignment horizontal="right"/>
      <protection locked="0"/>
    </xf>
    <xf numFmtId="0" fontId="45" fillId="4" borderId="5" xfId="0" applyFont="1" applyFill="1" applyBorder="1" applyAlignment="1" applyProtection="1">
      <alignment horizontal="right"/>
      <protection locked="0"/>
    </xf>
    <xf numFmtId="0" fontId="45" fillId="0" borderId="6" xfId="0" applyFont="1" applyBorder="1" applyAlignment="1" applyProtection="1">
      <alignment horizontal="right"/>
      <protection locked="0"/>
    </xf>
    <xf numFmtId="0" fontId="45" fillId="0" borderId="7" xfId="0" applyFont="1" applyBorder="1" applyProtection="1">
      <protection locked="0"/>
    </xf>
    <xf numFmtId="3" fontId="45" fillId="4" borderId="1" xfId="15" applyNumberFormat="1" applyFont="1" applyFill="1" applyBorder="1" applyAlignment="1" applyProtection="1">
      <alignment horizontal="right"/>
      <protection locked="0"/>
    </xf>
    <xf numFmtId="3" fontId="45" fillId="4" borderId="1" xfId="0" applyNumberFormat="1" applyFont="1" applyFill="1" applyBorder="1" applyAlignment="1" applyProtection="1">
      <alignment horizontal="right"/>
      <protection locked="0"/>
    </xf>
    <xf numFmtId="0" fontId="45" fillId="4" borderId="1" xfId="0" applyFont="1" applyFill="1" applyBorder="1" applyAlignment="1" applyProtection="1">
      <alignment horizontal="right"/>
      <protection locked="0"/>
    </xf>
    <xf numFmtId="0" fontId="45" fillId="0" borderId="7" xfId="0" applyFont="1" applyBorder="1" applyAlignment="1" applyProtection="1">
      <alignment horizontal="right"/>
      <protection locked="0"/>
    </xf>
    <xf numFmtId="0" fontId="31" fillId="2" borderId="3" xfId="0" applyFont="1" applyFill="1" applyBorder="1" applyProtection="1">
      <protection locked="0"/>
    </xf>
    <xf numFmtId="0" fontId="31" fillId="2" borderId="6" xfId="0" applyFont="1" applyFill="1" applyBorder="1" applyProtection="1">
      <protection locked="0"/>
    </xf>
    <xf numFmtId="3" fontId="60" fillId="4" borderId="3" xfId="0" applyNumberFormat="1" applyFont="1" applyFill="1" applyBorder="1" applyAlignment="1">
      <alignment horizontal="right"/>
    </xf>
    <xf numFmtId="3" fontId="45" fillId="4" borderId="3" xfId="0" applyNumberFormat="1" applyFont="1" applyFill="1" applyBorder="1" applyAlignment="1">
      <alignment horizontal="right"/>
    </xf>
    <xf numFmtId="0" fontId="31" fillId="0" borderId="3" xfId="0" applyFont="1" applyBorder="1" applyProtection="1">
      <protection locked="0"/>
    </xf>
    <xf numFmtId="3" fontId="31" fillId="0" borderId="3" xfId="845" applyNumberFormat="1" applyFont="1" applyBorder="1" applyAlignment="1" applyProtection="1">
      <alignment horizontal="right"/>
      <protection locked="0"/>
    </xf>
    <xf numFmtId="0" fontId="20" fillId="0" borderId="3" xfId="0" applyFont="1" applyBorder="1" applyProtection="1">
      <protection locked="0"/>
    </xf>
    <xf numFmtId="3" fontId="45" fillId="0" borderId="4" xfId="0" applyNumberFormat="1" applyFont="1" applyBorder="1" applyAlignment="1" applyProtection="1">
      <alignment horizontal="right"/>
      <protection locked="0"/>
    </xf>
    <xf numFmtId="3" fontId="31" fillId="0" borderId="0" xfId="0" applyNumberFormat="1" applyFont="1" applyProtection="1">
      <protection locked="0"/>
    </xf>
    <xf numFmtId="3" fontId="62" fillId="0" borderId="0" xfId="0" applyNumberFormat="1" applyFont="1" applyProtection="1">
      <protection locked="0"/>
    </xf>
    <xf numFmtId="0" fontId="20" fillId="0" borderId="0" xfId="852"/>
    <xf numFmtId="0" fontId="27" fillId="0" borderId="0" xfId="852" applyFont="1"/>
    <xf numFmtId="0" fontId="0" fillId="0" borderId="0" xfId="852" applyFont="1"/>
    <xf numFmtId="0" fontId="28" fillId="0" borderId="0" xfId="852" applyFont="1" applyAlignment="1">
      <alignment horizontal="right"/>
    </xf>
    <xf numFmtId="0" fontId="20" fillId="0" borderId="0" xfId="20"/>
    <xf numFmtId="0" fontId="29" fillId="0" borderId="0" xfId="852" applyFont="1" applyAlignment="1">
      <alignment horizontal="left"/>
    </xf>
    <xf numFmtId="0" fontId="30" fillId="0" borderId="0" xfId="852" applyFont="1" applyAlignment="1">
      <alignment horizontal="left"/>
    </xf>
    <xf numFmtId="0" fontId="31" fillId="0" borderId="0" xfId="20" applyFont="1" applyAlignment="1">
      <alignment horizontal="left"/>
    </xf>
    <xf numFmtId="0" fontId="32" fillId="0" borderId="0" xfId="852" applyFont="1" applyAlignment="1">
      <alignment horizontal="right"/>
    </xf>
    <xf numFmtId="0" fontId="20" fillId="0" borderId="0" xfId="852" applyAlignment="1">
      <alignment horizontal="right"/>
    </xf>
    <xf numFmtId="0" fontId="33" fillId="0" borderId="0" xfId="852" applyFont="1" applyAlignment="1">
      <alignment horizontal="left"/>
    </xf>
    <xf numFmtId="14" fontId="34" fillId="0" borderId="0" xfId="852" applyNumberFormat="1" applyFont="1" applyAlignment="1">
      <alignment horizontal="left"/>
    </xf>
    <xf numFmtId="0" fontId="34" fillId="0" borderId="0" xfId="852" applyFont="1" applyAlignment="1">
      <alignment horizontal="left"/>
    </xf>
    <xf numFmtId="0" fontId="35" fillId="0" borderId="0" xfId="20" applyFont="1" applyAlignment="1">
      <alignment vertical="center"/>
    </xf>
    <xf numFmtId="0" fontId="36" fillId="0" borderId="0" xfId="20" applyFont="1" applyAlignment="1">
      <alignment vertical="center"/>
    </xf>
    <xf numFmtId="0" fontId="74" fillId="0" borderId="0" xfId="0" applyFont="1" applyProtection="1">
      <protection locked="0"/>
    </xf>
    <xf numFmtId="0" fontId="71" fillId="0" borderId="0" xfId="848" applyFont="1" applyProtection="1">
      <protection locked="0"/>
    </xf>
    <xf numFmtId="0" fontId="22" fillId="0" borderId="0" xfId="848" applyFont="1" applyProtection="1">
      <protection locked="0"/>
    </xf>
    <xf numFmtId="0" fontId="73" fillId="0" borderId="0" xfId="0" applyFont="1" applyProtection="1">
      <protection locked="0"/>
    </xf>
    <xf numFmtId="3" fontId="45" fillId="4" borderId="0" xfId="0" applyNumberFormat="1" applyFont="1" applyFill="1" applyProtection="1">
      <protection locked="0"/>
    </xf>
    <xf numFmtId="3" fontId="16" fillId="4" borderId="0" xfId="0" applyNumberFormat="1" applyFont="1" applyFill="1" applyProtection="1">
      <protection locked="0"/>
    </xf>
    <xf numFmtId="14" fontId="14" fillId="0" borderId="7" xfId="0" applyNumberFormat="1" applyFont="1" applyBorder="1" applyAlignment="1" applyProtection="1">
      <alignment horizontal="left"/>
      <protection locked="0"/>
    </xf>
    <xf numFmtId="3" fontId="14" fillId="0" borderId="10" xfId="0" quotePrefix="1" applyNumberFormat="1" applyFont="1" applyBorder="1" applyAlignment="1" applyProtection="1">
      <alignment horizontal="center"/>
      <protection locked="0"/>
    </xf>
    <xf numFmtId="3" fontId="14" fillId="0" borderId="8" xfId="0" quotePrefix="1" applyNumberFormat="1" applyFont="1" applyBorder="1" applyAlignment="1" applyProtection="1">
      <alignment horizontal="center"/>
      <protection locked="0"/>
    </xf>
    <xf numFmtId="3" fontId="14" fillId="0" borderId="9" xfId="0" quotePrefix="1" applyNumberFormat="1" applyFont="1" applyBorder="1" applyAlignment="1" applyProtection="1">
      <alignment horizontal="center"/>
      <protection locked="0"/>
    </xf>
    <xf numFmtId="0" fontId="18" fillId="4" borderId="10" xfId="0" applyFont="1" applyFill="1" applyBorder="1" applyProtection="1">
      <protection locked="0"/>
    </xf>
    <xf numFmtId="0" fontId="18" fillId="4" borderId="8" xfId="0" applyFont="1" applyFill="1" applyBorder="1" applyProtection="1">
      <protection locked="0"/>
    </xf>
    <xf numFmtId="0" fontId="18" fillId="4" borderId="9" xfId="0" applyFont="1" applyFill="1" applyBorder="1" applyProtection="1">
      <protection locked="0"/>
    </xf>
    <xf numFmtId="0" fontId="20" fillId="0" borderId="9" xfId="0" applyFont="1" applyBorder="1" applyProtection="1">
      <protection locked="0"/>
    </xf>
    <xf numFmtId="3" fontId="59" fillId="4" borderId="0" xfId="0" applyNumberFormat="1" applyFont="1" applyFill="1" applyProtection="1">
      <protection locked="0"/>
    </xf>
    <xf numFmtId="3" fontId="14" fillId="0" borderId="8" xfId="0" quotePrefix="1" applyNumberFormat="1" applyFont="1" applyBorder="1" applyProtection="1">
      <protection locked="0"/>
    </xf>
    <xf numFmtId="3" fontId="14" fillId="0" borderId="9" xfId="0" quotePrefix="1" applyNumberFormat="1" applyFont="1" applyBorder="1" applyProtection="1">
      <protection locked="0"/>
    </xf>
    <xf numFmtId="3" fontId="14" fillId="0" borderId="10" xfId="0" quotePrefix="1" applyNumberFormat="1" applyFont="1" applyBorder="1" applyProtection="1">
      <protection locked="0"/>
    </xf>
    <xf numFmtId="0" fontId="18" fillId="4" borderId="0" xfId="0" applyFont="1" applyFill="1" applyProtection="1">
      <protection locked="0"/>
    </xf>
    <xf numFmtId="0" fontId="16" fillId="0" borderId="1" xfId="0" applyFont="1" applyBorder="1" applyAlignment="1" applyProtection="1">
      <alignment horizontal="center"/>
      <protection locked="0"/>
    </xf>
    <xf numFmtId="0" fontId="14" fillId="4" borderId="0" xfId="0" applyFont="1" applyFill="1" applyAlignment="1" applyProtection="1">
      <alignment horizontal="center"/>
      <protection locked="0"/>
    </xf>
    <xf numFmtId="168" fontId="14" fillId="4" borderId="0" xfId="0" applyNumberFormat="1" applyFont="1" applyFill="1" applyAlignment="1" applyProtection="1">
      <alignment horizontal="center"/>
      <protection locked="0"/>
    </xf>
    <xf numFmtId="3" fontId="45" fillId="4" borderId="11" xfId="0" applyNumberFormat="1" applyFont="1" applyFill="1" applyBorder="1" applyAlignment="1" applyProtection="1">
      <alignment horizontal="right"/>
      <protection locked="0"/>
    </xf>
    <xf numFmtId="0" fontId="76" fillId="0" borderId="0" xfId="0" applyFont="1"/>
    <xf numFmtId="14" fontId="14" fillId="0" borderId="6" xfId="0" applyNumberFormat="1" applyFont="1" applyBorder="1" applyAlignment="1">
      <alignment horizontal="left"/>
    </xf>
    <xf numFmtId="14" fontId="14" fillId="0" borderId="3" xfId="0" applyNumberFormat="1" applyFont="1" applyBorder="1" applyAlignment="1">
      <alignment horizontal="center"/>
    </xf>
    <xf numFmtId="0" fontId="45" fillId="0" borderId="1" xfId="7" applyFont="1" applyBorder="1" applyAlignment="1" applyProtection="1">
      <alignment horizontal="center"/>
      <protection locked="0"/>
    </xf>
    <xf numFmtId="0" fontId="45" fillId="0" borderId="14" xfId="7" applyFont="1" applyBorder="1" applyAlignment="1" applyProtection="1">
      <alignment horizontal="center"/>
      <protection locked="0"/>
    </xf>
    <xf numFmtId="0" fontId="45" fillId="0" borderId="15" xfId="7" applyFont="1" applyBorder="1" applyAlignment="1" applyProtection="1">
      <alignment horizontal="center"/>
      <protection locked="0"/>
    </xf>
    <xf numFmtId="0" fontId="45" fillId="4" borderId="0" xfId="0" applyFont="1" applyFill="1" applyAlignment="1" applyProtection="1">
      <alignment horizontal="center"/>
      <protection locked="0"/>
    </xf>
    <xf numFmtId="0" fontId="45" fillId="4" borderId="0" xfId="7" applyFont="1" applyFill="1" applyAlignment="1" applyProtection="1">
      <alignment horizontal="center"/>
      <protection locked="0"/>
    </xf>
    <xf numFmtId="0" fontId="69" fillId="0" borderId="0" xfId="0" applyFont="1"/>
    <xf numFmtId="0" fontId="19" fillId="0" borderId="0" xfId="0" applyFont="1"/>
    <xf numFmtId="0" fontId="18" fillId="0" borderId="0" xfId="7" applyFont="1" applyAlignment="1">
      <alignment horizontal="right"/>
    </xf>
    <xf numFmtId="0" fontId="15" fillId="0" borderId="0" xfId="7" applyFont="1" applyAlignment="1">
      <alignment wrapText="1"/>
    </xf>
    <xf numFmtId="3" fontId="17" fillId="0" borderId="0" xfId="1" applyNumberFormat="1" applyFont="1" applyAlignment="1">
      <alignment horizontal="left"/>
    </xf>
    <xf numFmtId="3" fontId="16" fillId="0" borderId="0" xfId="1" applyNumberFormat="1" applyFont="1" applyAlignment="1">
      <alignment horizontal="left"/>
    </xf>
    <xf numFmtId="3" fontId="19" fillId="0" borderId="0" xfId="1" applyNumberFormat="1" applyFont="1" applyAlignment="1">
      <alignment horizontal="left"/>
    </xf>
    <xf numFmtId="0" fontId="31" fillId="0" borderId="3" xfId="7" applyFont="1" applyBorder="1" applyAlignment="1" applyProtection="1">
      <alignment wrapText="1"/>
      <protection locked="0"/>
    </xf>
    <xf numFmtId="3" fontId="71" fillId="0" borderId="0" xfId="1" applyNumberFormat="1" applyFont="1" applyAlignment="1">
      <alignment horizontal="center"/>
    </xf>
    <xf numFmtId="0" fontId="15" fillId="0" borderId="0" xfId="7" applyFont="1" applyAlignment="1">
      <alignment vertical="top" wrapText="1"/>
    </xf>
    <xf numFmtId="3" fontId="31" fillId="4" borderId="1" xfId="0" applyNumberFormat="1" applyFont="1" applyFill="1" applyBorder="1" applyAlignment="1">
      <alignment horizontal="right"/>
    </xf>
    <xf numFmtId="1" fontId="31" fillId="0" borderId="3" xfId="0" applyNumberFormat="1" applyFont="1" applyBorder="1" applyAlignment="1">
      <alignment horizontal="right"/>
    </xf>
    <xf numFmtId="0" fontId="31" fillId="0" borderId="3" xfId="0" applyFont="1" applyBorder="1" applyAlignment="1">
      <alignment horizontal="right"/>
    </xf>
    <xf numFmtId="3" fontId="45" fillId="4" borderId="4" xfId="15" applyNumberFormat="1" applyFont="1" applyFill="1" applyBorder="1" applyAlignment="1" applyProtection="1">
      <alignment horizontal="right"/>
    </xf>
    <xf numFmtId="3" fontId="31" fillId="4" borderId="4" xfId="15" applyNumberFormat="1" applyFont="1" applyFill="1" applyBorder="1" applyAlignment="1" applyProtection="1">
      <alignment horizontal="right"/>
    </xf>
    <xf numFmtId="3" fontId="45" fillId="4" borderId="11" xfId="15" applyNumberFormat="1" applyFont="1" applyFill="1" applyBorder="1" applyAlignment="1" applyProtection="1">
      <alignment horizontal="right"/>
    </xf>
    <xf numFmtId="165" fontId="31" fillId="0" borderId="3" xfId="847" applyNumberFormat="1" applyFont="1" applyBorder="1" applyAlignment="1" applyProtection="1">
      <alignment horizontal="right"/>
    </xf>
    <xf numFmtId="165" fontId="31" fillId="4" borderId="4" xfId="847" applyNumberFormat="1" applyFont="1" applyFill="1" applyBorder="1" applyAlignment="1" applyProtection="1">
      <alignment horizontal="right"/>
    </xf>
    <xf numFmtId="165" fontId="31" fillId="4" borderId="3" xfId="847" applyNumberFormat="1" applyFont="1" applyFill="1" applyBorder="1" applyAlignment="1" applyProtection="1">
      <alignment horizontal="right"/>
    </xf>
    <xf numFmtId="0" fontId="23" fillId="0" borderId="6" xfId="0" applyFont="1" applyBorder="1"/>
    <xf numFmtId="3" fontId="31" fillId="4" borderId="7" xfId="0" applyNumberFormat="1" applyFont="1" applyFill="1" applyBorder="1" applyAlignment="1">
      <alignment horizontal="right"/>
    </xf>
    <xf numFmtId="0" fontId="45" fillId="0" borderId="1" xfId="0" applyFont="1" applyBorder="1" applyAlignment="1" applyProtection="1">
      <alignment horizontal="center"/>
      <protection locked="0"/>
    </xf>
    <xf numFmtId="0" fontId="45" fillId="0" borderId="14" xfId="0" applyFont="1" applyBorder="1" applyAlignment="1" applyProtection="1">
      <alignment horizontal="center"/>
      <protection locked="0"/>
    </xf>
    <xf numFmtId="0" fontId="45" fillId="0" borderId="15" xfId="0" applyFont="1" applyBorder="1" applyAlignment="1" applyProtection="1">
      <alignment horizontal="center"/>
      <protection locked="0"/>
    </xf>
    <xf numFmtId="169" fontId="31" fillId="0" borderId="3" xfId="847" applyNumberFormat="1" applyFont="1" applyBorder="1" applyAlignment="1" applyProtection="1">
      <alignment horizontal="right"/>
    </xf>
    <xf numFmtId="3" fontId="31" fillId="11" borderId="3" xfId="0" applyNumberFormat="1" applyFont="1" applyFill="1" applyBorder="1" applyAlignment="1">
      <alignment horizontal="right"/>
    </xf>
    <xf numFmtId="3" fontId="20" fillId="0" borderId="0" xfId="0" applyNumberFormat="1" applyFont="1" applyProtection="1">
      <protection locked="0"/>
    </xf>
    <xf numFmtId="0" fontId="73" fillId="0" borderId="0" xfId="7" applyFont="1" applyProtection="1">
      <protection locked="0"/>
    </xf>
    <xf numFmtId="0" fontId="20" fillId="0" borderId="3" xfId="0" applyFont="1" applyBorder="1"/>
    <xf numFmtId="0" fontId="75" fillId="0" borderId="4" xfId="0" applyFont="1" applyBorder="1" applyProtection="1">
      <protection locked="0"/>
    </xf>
    <xf numFmtId="0" fontId="31" fillId="0" borderId="4" xfId="0" applyFont="1" applyBorder="1" applyAlignment="1" applyProtection="1">
      <alignment wrapText="1"/>
      <protection locked="0"/>
    </xf>
    <xf numFmtId="172" fontId="17" fillId="0" borderId="4" xfId="1" applyNumberFormat="1" applyFont="1" applyBorder="1" applyAlignment="1">
      <alignment horizontal="center"/>
    </xf>
    <xf numFmtId="3" fontId="18" fillId="0" borderId="8" xfId="1" applyNumberFormat="1" applyFont="1" applyBorder="1"/>
    <xf numFmtId="3" fontId="16" fillId="0" borderId="6" xfId="1" applyNumberFormat="1" applyFont="1" applyBorder="1"/>
    <xf numFmtId="3" fontId="16" fillId="0" borderId="11" xfId="1" applyNumberFormat="1" applyFont="1" applyBorder="1"/>
    <xf numFmtId="3" fontId="19" fillId="2" borderId="3" xfId="1" applyNumberFormat="1" applyFont="1" applyFill="1" applyBorder="1" applyAlignment="1">
      <alignment horizontal="right"/>
    </xf>
    <xf numFmtId="3" fontId="50" fillId="0" borderId="11" xfId="0" applyNumberFormat="1" applyFont="1" applyBorder="1" applyProtection="1">
      <protection locked="0"/>
    </xf>
    <xf numFmtId="164" fontId="31" fillId="0" borderId="3" xfId="0" applyNumberFormat="1" applyFont="1" applyBorder="1" applyAlignment="1" applyProtection="1">
      <alignment horizontal="right"/>
      <protection locked="0"/>
    </xf>
    <xf numFmtId="173" fontId="31" fillId="0" borderId="3" xfId="0" applyNumberFormat="1" applyFont="1" applyBorder="1" applyAlignment="1" applyProtection="1">
      <alignment horizontal="right"/>
      <protection locked="0"/>
    </xf>
    <xf numFmtId="174" fontId="31" fillId="0" borderId="3" xfId="0" applyNumberFormat="1" applyFont="1" applyBorder="1" applyAlignment="1" applyProtection="1">
      <alignment horizontal="right"/>
      <protection locked="0"/>
    </xf>
    <xf numFmtId="175" fontId="31" fillId="0" borderId="3" xfId="0" applyNumberFormat="1" applyFont="1" applyBorder="1" applyAlignment="1" applyProtection="1">
      <alignment horizontal="right"/>
      <protection locked="0"/>
    </xf>
    <xf numFmtId="175" fontId="31" fillId="4" borderId="4" xfId="0" applyNumberFormat="1" applyFont="1" applyFill="1" applyBorder="1" applyAlignment="1" applyProtection="1">
      <alignment horizontal="right"/>
      <protection locked="0"/>
    </xf>
    <xf numFmtId="175" fontId="31" fillId="0" borderId="4" xfId="0" applyNumberFormat="1" applyFont="1" applyBorder="1" applyAlignment="1" applyProtection="1">
      <alignment horizontal="right"/>
      <protection locked="0"/>
    </xf>
    <xf numFmtId="0" fontId="18" fillId="0" borderId="3" xfId="0" applyFont="1" applyBorder="1"/>
    <xf numFmtId="0" fontId="16" fillId="8" borderId="0" xfId="0" applyFont="1" applyFill="1" applyAlignment="1">
      <alignment horizontal="center"/>
    </xf>
    <xf numFmtId="0" fontId="16" fillId="8" borderId="2" xfId="0" applyFont="1" applyFill="1" applyBorder="1" applyAlignment="1">
      <alignment horizontal="center"/>
    </xf>
    <xf numFmtId="0" fontId="45" fillId="0" borderId="12" xfId="0" applyFont="1" applyBorder="1" applyAlignment="1">
      <alignment horizontal="left"/>
    </xf>
    <xf numFmtId="0" fontId="45" fillId="0" borderId="10"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16" fillId="8" borderId="4" xfId="0" applyFont="1" applyFill="1" applyBorder="1" applyAlignment="1">
      <alignment horizontal="center"/>
    </xf>
    <xf numFmtId="0" fontId="45" fillId="0" borderId="14" xfId="0" applyFont="1" applyBorder="1" applyAlignment="1">
      <alignment horizontal="center"/>
    </xf>
    <xf numFmtId="0" fontId="45" fillId="0" borderId="15" xfId="0" applyFont="1" applyBorder="1" applyAlignment="1">
      <alignment horizontal="center"/>
    </xf>
    <xf numFmtId="0" fontId="45" fillId="0" borderId="1" xfId="0" applyFont="1" applyBorder="1" applyAlignment="1">
      <alignment horizontal="center"/>
    </xf>
    <xf numFmtId="14" fontId="14" fillId="0" borderId="11" xfId="0" applyNumberFormat="1" applyFont="1" applyBorder="1" applyAlignment="1">
      <alignment horizontal="center"/>
    </xf>
    <xf numFmtId="14" fontId="14" fillId="0" borderId="12" xfId="0" applyNumberFormat="1" applyFont="1" applyBorder="1" applyAlignment="1">
      <alignment horizontal="center"/>
    </xf>
    <xf numFmtId="14" fontId="14" fillId="0" borderId="5" xfId="0" applyNumberFormat="1" applyFont="1" applyBorder="1" applyAlignment="1">
      <alignment horizontal="center"/>
    </xf>
    <xf numFmtId="3" fontId="45" fillId="0" borderId="11" xfId="0" applyNumberFormat="1" applyFont="1" applyBorder="1" applyAlignment="1">
      <alignment horizontal="center"/>
    </xf>
    <xf numFmtId="3" fontId="45" fillId="0" borderId="12" xfId="0" applyNumberFormat="1" applyFont="1" applyBorder="1" applyAlignment="1">
      <alignment horizontal="center"/>
    </xf>
    <xf numFmtId="3" fontId="45" fillId="0" borderId="5" xfId="0" applyNumberFormat="1" applyFont="1" applyBorder="1" applyAlignment="1">
      <alignment horizontal="center"/>
    </xf>
    <xf numFmtId="0" fontId="14" fillId="0" borderId="0" xfId="1" applyFont="1" applyAlignment="1">
      <alignment horizontal="center"/>
    </xf>
    <xf numFmtId="0" fontId="71" fillId="0" borderId="0" xfId="1" applyFont="1" applyAlignment="1">
      <alignment horizontal="left"/>
    </xf>
    <xf numFmtId="0" fontId="16" fillId="0" borderId="10" xfId="1" applyFont="1" applyBorder="1" applyAlignment="1">
      <alignment horizontal="center"/>
    </xf>
    <xf numFmtId="0" fontId="16" fillId="0" borderId="8" xfId="1" applyFont="1" applyBorder="1" applyAlignment="1">
      <alignment horizontal="center"/>
    </xf>
    <xf numFmtId="0" fontId="16" fillId="0" borderId="9" xfId="1" applyFont="1" applyBorder="1" applyAlignment="1">
      <alignment horizontal="center"/>
    </xf>
    <xf numFmtId="3" fontId="14" fillId="0" borderId="12" xfId="1" applyNumberFormat="1" applyFont="1" applyBorder="1" applyAlignment="1">
      <alignment horizontal="center"/>
    </xf>
    <xf numFmtId="3" fontId="16" fillId="0" borderId="10" xfId="1" applyNumberFormat="1" applyFont="1" applyBorder="1" applyAlignment="1">
      <alignment horizontal="center"/>
    </xf>
    <xf numFmtId="3" fontId="16" fillId="0" borderId="8" xfId="1" applyNumberFormat="1" applyFont="1" applyBorder="1" applyAlignment="1">
      <alignment horizontal="center"/>
    </xf>
    <xf numFmtId="3" fontId="14" fillId="0" borderId="0" xfId="1" applyNumberFormat="1" applyFont="1" applyAlignment="1">
      <alignment horizontal="center"/>
    </xf>
    <xf numFmtId="3" fontId="14" fillId="0" borderId="14" xfId="1" applyNumberFormat="1" applyFont="1" applyBorder="1" applyAlignment="1">
      <alignment horizontal="center"/>
    </xf>
    <xf numFmtId="3" fontId="16" fillId="0" borderId="9" xfId="1" applyNumberFormat="1" applyFont="1" applyBorder="1" applyAlignment="1">
      <alignment horizontal="center"/>
    </xf>
    <xf numFmtId="0" fontId="45" fillId="0" borderId="11" xfId="0" applyFont="1" applyBorder="1" applyAlignment="1" applyProtection="1">
      <alignment horizontal="center"/>
      <protection locked="0"/>
    </xf>
    <xf numFmtId="0" fontId="45" fillId="0" borderId="12" xfId="0" applyFont="1" applyBorder="1" applyAlignment="1" applyProtection="1">
      <alignment horizontal="center"/>
      <protection locked="0"/>
    </xf>
    <xf numFmtId="0" fontId="45" fillId="0" borderId="5" xfId="0" applyFont="1" applyBorder="1" applyAlignment="1" applyProtection="1">
      <alignment horizontal="center"/>
      <protection locked="0"/>
    </xf>
    <xf numFmtId="0" fontId="45" fillId="0" borderId="1" xfId="0" applyFont="1" applyBorder="1" applyAlignment="1" applyProtection="1">
      <alignment horizontal="center"/>
      <protection locked="0"/>
    </xf>
    <xf numFmtId="0" fontId="45" fillId="0" borderId="14" xfId="0" applyFont="1" applyBorder="1" applyAlignment="1" applyProtection="1">
      <alignment horizontal="center"/>
      <protection locked="0"/>
    </xf>
    <xf numFmtId="0" fontId="45" fillId="0" borderId="15" xfId="0" applyFont="1" applyBorder="1" applyAlignment="1" applyProtection="1">
      <alignment horizontal="center"/>
      <protection locked="0"/>
    </xf>
    <xf numFmtId="0" fontId="45" fillId="4" borderId="0" xfId="0" applyFont="1" applyFill="1" applyAlignment="1" applyProtection="1">
      <alignment horizontal="center"/>
      <protection locked="0"/>
    </xf>
    <xf numFmtId="0" fontId="45" fillId="4" borderId="0" xfId="7" applyFont="1" applyFill="1" applyAlignment="1" applyProtection="1">
      <alignment horizontal="center"/>
      <protection locked="0"/>
    </xf>
    <xf numFmtId="0" fontId="45" fillId="0" borderId="11" xfId="7" applyFont="1" applyBorder="1" applyAlignment="1" applyProtection="1">
      <alignment horizontal="center"/>
      <protection locked="0"/>
    </xf>
    <xf numFmtId="0" fontId="45" fillId="0" borderId="12" xfId="7" applyFont="1" applyBorder="1" applyAlignment="1" applyProtection="1">
      <alignment horizontal="center"/>
      <protection locked="0"/>
    </xf>
    <xf numFmtId="0" fontId="45" fillId="0" borderId="5" xfId="7" applyFont="1" applyBorder="1" applyAlignment="1" applyProtection="1">
      <alignment horizontal="center"/>
      <protection locked="0"/>
    </xf>
    <xf numFmtId="0" fontId="45" fillId="0" borderId="1" xfId="7" applyFont="1" applyBorder="1" applyAlignment="1" applyProtection="1">
      <alignment horizontal="center"/>
      <protection locked="0"/>
    </xf>
    <xf numFmtId="0" fontId="45" fillId="0" borderId="14" xfId="7" applyFont="1" applyBorder="1" applyAlignment="1" applyProtection="1">
      <alignment horizontal="center"/>
      <protection locked="0"/>
    </xf>
    <xf numFmtId="0" fontId="45" fillId="0" borderId="15" xfId="7" applyFont="1" applyBorder="1" applyAlignment="1" applyProtection="1">
      <alignment horizontal="center"/>
      <protection locked="0"/>
    </xf>
    <xf numFmtId="0" fontId="68" fillId="0" borderId="0" xfId="0" applyFont="1" applyAlignment="1">
      <alignment horizontal="left" vertical="top" wrapText="1" readingOrder="1"/>
    </xf>
  </cellXfs>
  <cellStyles count="853">
    <cellStyle name="20 % – uthevingsfarge 2" xfId="844" builtinId="34"/>
    <cellStyle name="40% - uthevingsfarge 4 2" xfId="38" xr:uid="{00000000-0005-0000-0000-000001000000}"/>
    <cellStyle name="40% - uthevingsfarge 4 2 10" xfId="771" xr:uid="{00000000-0005-0000-0000-000002000000}"/>
    <cellStyle name="40% - uthevingsfarge 4 2 2" xfId="80" xr:uid="{00000000-0005-0000-0000-000003000000}"/>
    <cellStyle name="40% - uthevingsfarge 4 2 2 2" xfId="173" xr:uid="{00000000-0005-0000-0000-000004000000}"/>
    <cellStyle name="40% - uthevingsfarge 4 2 2 3" xfId="263" xr:uid="{00000000-0005-0000-0000-000005000000}"/>
    <cellStyle name="40% - uthevingsfarge 4 2 2 4" xfId="353" xr:uid="{00000000-0005-0000-0000-000006000000}"/>
    <cellStyle name="40% - uthevingsfarge 4 2 2 5" xfId="443" xr:uid="{00000000-0005-0000-0000-000007000000}"/>
    <cellStyle name="40% - uthevingsfarge 4 2 2 6" xfId="533" xr:uid="{00000000-0005-0000-0000-000008000000}"/>
    <cellStyle name="40% - uthevingsfarge 4 2 2 7" xfId="623" xr:uid="{00000000-0005-0000-0000-000009000000}"/>
    <cellStyle name="40% - uthevingsfarge 4 2 2 8" xfId="713" xr:uid="{00000000-0005-0000-0000-00000A000000}"/>
    <cellStyle name="40% - uthevingsfarge 4 2 2 9" xfId="810" xr:uid="{00000000-0005-0000-0000-00000B000000}"/>
    <cellStyle name="40% - uthevingsfarge 4 2 3" xfId="136" xr:uid="{00000000-0005-0000-0000-00000C000000}"/>
    <cellStyle name="40% - uthevingsfarge 4 2 4" xfId="226" xr:uid="{00000000-0005-0000-0000-00000D000000}"/>
    <cellStyle name="40% - uthevingsfarge 4 2 5" xfId="316" xr:uid="{00000000-0005-0000-0000-00000E000000}"/>
    <cellStyle name="40% - uthevingsfarge 4 2 6" xfId="406" xr:uid="{00000000-0005-0000-0000-00000F000000}"/>
    <cellStyle name="40% - uthevingsfarge 4 2 7" xfId="496" xr:uid="{00000000-0005-0000-0000-000010000000}"/>
    <cellStyle name="40% - uthevingsfarge 4 2 8" xfId="586" xr:uid="{00000000-0005-0000-0000-000011000000}"/>
    <cellStyle name="40% - uthevingsfarge 4 2 9" xfId="676" xr:uid="{00000000-0005-0000-0000-000012000000}"/>
    <cellStyle name="Hyperkobling" xfId="3" builtinId="8"/>
    <cellStyle name="Komma" xfId="2" builtinId="3"/>
    <cellStyle name="Komma 2" xfId="847" xr:uid="{00000000-0005-0000-0000-000015000000}"/>
    <cellStyle name="Komma 2 3" xfId="850" xr:uid="{0D7BB789-C0BC-4F58-B366-11FD845789ED}"/>
    <cellStyle name="Merknad 2" xfId="94" xr:uid="{00000000-0005-0000-0000-000016000000}"/>
    <cellStyle name="Normal" xfId="0" builtinId="0"/>
    <cellStyle name="Normal 10" xfId="31" xr:uid="{00000000-0005-0000-0000-000018000000}"/>
    <cellStyle name="Normal 10 10" xfId="670" xr:uid="{00000000-0005-0000-0000-000019000000}"/>
    <cellStyle name="Normal 10 11" xfId="765" xr:uid="{00000000-0005-0000-0000-00001A000000}"/>
    <cellStyle name="Normal 10 2" xfId="53" xr:uid="{00000000-0005-0000-0000-00001B000000}"/>
    <cellStyle name="Normal 10 2 10" xfId="785" xr:uid="{00000000-0005-0000-0000-00001C000000}"/>
    <cellStyle name="Normal 10 2 2" xfId="93" xr:uid="{00000000-0005-0000-0000-00001D000000}"/>
    <cellStyle name="Normal 10 2 2 10" xfId="823" xr:uid="{00000000-0005-0000-0000-00001E000000}"/>
    <cellStyle name="Normal 10 2 2 2" xfId="6" xr:uid="{00000000-0005-0000-0000-00001F000000}"/>
    <cellStyle name="Normal 10 2 2 2 2" xfId="116" xr:uid="{00000000-0005-0000-0000-000020000000}"/>
    <cellStyle name="Normal 10 2 2 3" xfId="186" xr:uid="{00000000-0005-0000-0000-000021000000}"/>
    <cellStyle name="Normal 10 2 2 4" xfId="276" xr:uid="{00000000-0005-0000-0000-000022000000}"/>
    <cellStyle name="Normal 10 2 2 5" xfId="366" xr:uid="{00000000-0005-0000-0000-000023000000}"/>
    <cellStyle name="Normal 10 2 2 6" xfId="456" xr:uid="{00000000-0005-0000-0000-000024000000}"/>
    <cellStyle name="Normal 10 2 2 7" xfId="546" xr:uid="{00000000-0005-0000-0000-000025000000}"/>
    <cellStyle name="Normal 10 2 2 8" xfId="636" xr:uid="{00000000-0005-0000-0000-000026000000}"/>
    <cellStyle name="Normal 10 2 2 9" xfId="726" xr:uid="{00000000-0005-0000-0000-000027000000}"/>
    <cellStyle name="Normal 10 2 3" xfId="149" xr:uid="{00000000-0005-0000-0000-000028000000}"/>
    <cellStyle name="Normal 10 2 4" xfId="239" xr:uid="{00000000-0005-0000-0000-000029000000}"/>
    <cellStyle name="Normal 10 2 5" xfId="329" xr:uid="{00000000-0005-0000-0000-00002A000000}"/>
    <cellStyle name="Normal 10 2 6" xfId="419" xr:uid="{00000000-0005-0000-0000-00002B000000}"/>
    <cellStyle name="Normal 10 2 7" xfId="509" xr:uid="{00000000-0005-0000-0000-00002C000000}"/>
    <cellStyle name="Normal 10 2 8" xfId="599" xr:uid="{00000000-0005-0000-0000-00002D000000}"/>
    <cellStyle name="Normal 10 2 9" xfId="689" xr:uid="{00000000-0005-0000-0000-00002E000000}"/>
    <cellStyle name="Normal 10 3" xfId="74" xr:uid="{00000000-0005-0000-0000-00002F000000}"/>
    <cellStyle name="Normal 10 3 2" xfId="167" xr:uid="{00000000-0005-0000-0000-000030000000}"/>
    <cellStyle name="Normal 10 3 3" xfId="257" xr:uid="{00000000-0005-0000-0000-000031000000}"/>
    <cellStyle name="Normal 10 3 4" xfId="347" xr:uid="{00000000-0005-0000-0000-000032000000}"/>
    <cellStyle name="Normal 10 3 5" xfId="437" xr:uid="{00000000-0005-0000-0000-000033000000}"/>
    <cellStyle name="Normal 10 3 6" xfId="527" xr:uid="{00000000-0005-0000-0000-000034000000}"/>
    <cellStyle name="Normal 10 3 7" xfId="617" xr:uid="{00000000-0005-0000-0000-000035000000}"/>
    <cellStyle name="Normal 10 3 8" xfId="707" xr:uid="{00000000-0005-0000-0000-000036000000}"/>
    <cellStyle name="Normal 10 3 9" xfId="804" xr:uid="{00000000-0005-0000-0000-000037000000}"/>
    <cellStyle name="Normal 10 4" xfId="130" xr:uid="{00000000-0005-0000-0000-000038000000}"/>
    <cellStyle name="Normal 10 5" xfId="220" xr:uid="{00000000-0005-0000-0000-000039000000}"/>
    <cellStyle name="Normal 10 6" xfId="310" xr:uid="{00000000-0005-0000-0000-00003A000000}"/>
    <cellStyle name="Normal 10 7" xfId="400" xr:uid="{00000000-0005-0000-0000-00003B000000}"/>
    <cellStyle name="Normal 10 8" xfId="490" xr:uid="{00000000-0005-0000-0000-00003C000000}"/>
    <cellStyle name="Normal 10 9" xfId="580" xr:uid="{00000000-0005-0000-0000-00003D000000}"/>
    <cellStyle name="Normal 11" xfId="35" xr:uid="{00000000-0005-0000-0000-00003E000000}"/>
    <cellStyle name="Normal 11 10" xfId="673" xr:uid="{00000000-0005-0000-0000-00003F000000}"/>
    <cellStyle name="Normal 11 11" xfId="768" xr:uid="{00000000-0005-0000-0000-000040000000}"/>
    <cellStyle name="Normal 11 2" xfId="57" xr:uid="{00000000-0005-0000-0000-000041000000}"/>
    <cellStyle name="Normal 11 2 10" xfId="788" xr:uid="{00000000-0005-0000-0000-000042000000}"/>
    <cellStyle name="Normal 11 2 2" xfId="97" xr:uid="{00000000-0005-0000-0000-000043000000}"/>
    <cellStyle name="Normal 11 2 2 2" xfId="189" xr:uid="{00000000-0005-0000-0000-000044000000}"/>
    <cellStyle name="Normal 11 2 2 3" xfId="279" xr:uid="{00000000-0005-0000-0000-000045000000}"/>
    <cellStyle name="Normal 11 2 2 4" xfId="369" xr:uid="{00000000-0005-0000-0000-000046000000}"/>
    <cellStyle name="Normal 11 2 2 5" xfId="459" xr:uid="{00000000-0005-0000-0000-000047000000}"/>
    <cellStyle name="Normal 11 2 2 6" xfId="549" xr:uid="{00000000-0005-0000-0000-000048000000}"/>
    <cellStyle name="Normal 11 2 2 7" xfId="639" xr:uid="{00000000-0005-0000-0000-000049000000}"/>
    <cellStyle name="Normal 11 2 2 8" xfId="729" xr:uid="{00000000-0005-0000-0000-00004A000000}"/>
    <cellStyle name="Normal 11 2 2 9" xfId="826" xr:uid="{00000000-0005-0000-0000-00004B000000}"/>
    <cellStyle name="Normal 11 2 3" xfId="152" xr:uid="{00000000-0005-0000-0000-00004C000000}"/>
    <cellStyle name="Normal 11 2 4" xfId="242" xr:uid="{00000000-0005-0000-0000-00004D000000}"/>
    <cellStyle name="Normal 11 2 5" xfId="332" xr:uid="{00000000-0005-0000-0000-00004E000000}"/>
    <cellStyle name="Normal 11 2 6" xfId="422" xr:uid="{00000000-0005-0000-0000-00004F000000}"/>
    <cellStyle name="Normal 11 2 7" xfId="512" xr:uid="{00000000-0005-0000-0000-000050000000}"/>
    <cellStyle name="Normal 11 2 8" xfId="602" xr:uid="{00000000-0005-0000-0000-000051000000}"/>
    <cellStyle name="Normal 11 2 9" xfId="692" xr:uid="{00000000-0005-0000-0000-000052000000}"/>
    <cellStyle name="Normal 11 3" xfId="77" xr:uid="{00000000-0005-0000-0000-000053000000}"/>
    <cellStyle name="Normal 11 3 2" xfId="170" xr:uid="{00000000-0005-0000-0000-000054000000}"/>
    <cellStyle name="Normal 11 3 3" xfId="260" xr:uid="{00000000-0005-0000-0000-000055000000}"/>
    <cellStyle name="Normal 11 3 4" xfId="350" xr:uid="{00000000-0005-0000-0000-000056000000}"/>
    <cellStyle name="Normal 11 3 5" xfId="440" xr:uid="{00000000-0005-0000-0000-000057000000}"/>
    <cellStyle name="Normal 11 3 6" xfId="530" xr:uid="{00000000-0005-0000-0000-000058000000}"/>
    <cellStyle name="Normal 11 3 7" xfId="620" xr:uid="{00000000-0005-0000-0000-000059000000}"/>
    <cellStyle name="Normal 11 3 8" xfId="710" xr:uid="{00000000-0005-0000-0000-00005A000000}"/>
    <cellStyle name="Normal 11 3 9" xfId="807" xr:uid="{00000000-0005-0000-0000-00005B000000}"/>
    <cellStyle name="Normal 11 4" xfId="133" xr:uid="{00000000-0005-0000-0000-00005C000000}"/>
    <cellStyle name="Normal 11 5" xfId="223" xr:uid="{00000000-0005-0000-0000-00005D000000}"/>
    <cellStyle name="Normal 11 6" xfId="313" xr:uid="{00000000-0005-0000-0000-00005E000000}"/>
    <cellStyle name="Normal 11 7" xfId="403" xr:uid="{00000000-0005-0000-0000-00005F000000}"/>
    <cellStyle name="Normal 11 8" xfId="493" xr:uid="{00000000-0005-0000-0000-000060000000}"/>
    <cellStyle name="Normal 11 9" xfId="583" xr:uid="{00000000-0005-0000-0000-000061000000}"/>
    <cellStyle name="Normal 12" xfId="100" xr:uid="{00000000-0005-0000-0000-000062000000}"/>
    <cellStyle name="Normal 12 2" xfId="192" xr:uid="{00000000-0005-0000-0000-000063000000}"/>
    <cellStyle name="Normal 12 3" xfId="282" xr:uid="{00000000-0005-0000-0000-000064000000}"/>
    <cellStyle name="Normal 12 4" xfId="372" xr:uid="{00000000-0005-0000-0000-000065000000}"/>
    <cellStyle name="Normal 12 5" xfId="462" xr:uid="{00000000-0005-0000-0000-000066000000}"/>
    <cellStyle name="Normal 12 6" xfId="552" xr:uid="{00000000-0005-0000-0000-000067000000}"/>
    <cellStyle name="Normal 12 7" xfId="642" xr:uid="{00000000-0005-0000-0000-000068000000}"/>
    <cellStyle name="Normal 12 8" xfId="732" xr:uid="{00000000-0005-0000-0000-000069000000}"/>
    <cellStyle name="Normal 12 9" xfId="829" xr:uid="{00000000-0005-0000-0000-00006A000000}"/>
    <cellStyle name="Normal 13" xfId="103" xr:uid="{00000000-0005-0000-0000-00006B000000}"/>
    <cellStyle name="Normal 13 2" xfId="195" xr:uid="{00000000-0005-0000-0000-00006C000000}"/>
    <cellStyle name="Normal 13 3" xfId="285" xr:uid="{00000000-0005-0000-0000-00006D000000}"/>
    <cellStyle name="Normal 13 4" xfId="375" xr:uid="{00000000-0005-0000-0000-00006E000000}"/>
    <cellStyle name="Normal 13 5" xfId="465" xr:uid="{00000000-0005-0000-0000-00006F000000}"/>
    <cellStyle name="Normal 13 6" xfId="555" xr:uid="{00000000-0005-0000-0000-000070000000}"/>
    <cellStyle name="Normal 13 7" xfId="645" xr:uid="{00000000-0005-0000-0000-000071000000}"/>
    <cellStyle name="Normal 13 8" xfId="735" xr:uid="{00000000-0005-0000-0000-000072000000}"/>
    <cellStyle name="Normal 13 9" xfId="832" xr:uid="{00000000-0005-0000-0000-000073000000}"/>
    <cellStyle name="Normal 14" xfId="106" xr:uid="{00000000-0005-0000-0000-000074000000}"/>
    <cellStyle name="Normal 14 2" xfId="198" xr:uid="{00000000-0005-0000-0000-000075000000}"/>
    <cellStyle name="Normal 14 3" xfId="288" xr:uid="{00000000-0005-0000-0000-000076000000}"/>
    <cellStyle name="Normal 14 4" xfId="378" xr:uid="{00000000-0005-0000-0000-000077000000}"/>
    <cellStyle name="Normal 14 5" xfId="468" xr:uid="{00000000-0005-0000-0000-000078000000}"/>
    <cellStyle name="Normal 14 6" xfId="558" xr:uid="{00000000-0005-0000-0000-000079000000}"/>
    <cellStyle name="Normal 14 7" xfId="648" xr:uid="{00000000-0005-0000-0000-00007A000000}"/>
    <cellStyle name="Normal 14 8" xfId="738" xr:uid="{00000000-0005-0000-0000-00007B000000}"/>
    <cellStyle name="Normal 14 9" xfId="835" xr:uid="{00000000-0005-0000-0000-00007C000000}"/>
    <cellStyle name="Normal 15" xfId="109" xr:uid="{00000000-0005-0000-0000-00007D000000}"/>
    <cellStyle name="Normal 15 2" xfId="201" xr:uid="{00000000-0005-0000-0000-00007E000000}"/>
    <cellStyle name="Normal 15 3" xfId="291" xr:uid="{00000000-0005-0000-0000-00007F000000}"/>
    <cellStyle name="Normal 15 4" xfId="381" xr:uid="{00000000-0005-0000-0000-000080000000}"/>
    <cellStyle name="Normal 15 5" xfId="471" xr:uid="{00000000-0005-0000-0000-000081000000}"/>
    <cellStyle name="Normal 15 6" xfId="561" xr:uid="{00000000-0005-0000-0000-000082000000}"/>
    <cellStyle name="Normal 15 7" xfId="651" xr:uid="{00000000-0005-0000-0000-000083000000}"/>
    <cellStyle name="Normal 15 8" xfId="741" xr:uid="{00000000-0005-0000-0000-000084000000}"/>
    <cellStyle name="Normal 15 9" xfId="838" xr:uid="{00000000-0005-0000-0000-000085000000}"/>
    <cellStyle name="Normal 16" xfId="112" xr:uid="{00000000-0005-0000-0000-000086000000}"/>
    <cellStyle name="Normal 16 2" xfId="204" xr:uid="{00000000-0005-0000-0000-000087000000}"/>
    <cellStyle name="Normal 16 3" xfId="294" xr:uid="{00000000-0005-0000-0000-000088000000}"/>
    <cellStyle name="Normal 16 4" xfId="384" xr:uid="{00000000-0005-0000-0000-000089000000}"/>
    <cellStyle name="Normal 16 5" xfId="474" xr:uid="{00000000-0005-0000-0000-00008A000000}"/>
    <cellStyle name="Normal 16 6" xfId="564" xr:uid="{00000000-0005-0000-0000-00008B000000}"/>
    <cellStyle name="Normal 16 7" xfId="654" xr:uid="{00000000-0005-0000-0000-00008C000000}"/>
    <cellStyle name="Normal 16 8" xfId="744" xr:uid="{00000000-0005-0000-0000-00008D000000}"/>
    <cellStyle name="Normal 16 9" xfId="841" xr:uid="{00000000-0005-0000-0000-00008E000000}"/>
    <cellStyle name="Normal 17" xfId="8" xr:uid="{00000000-0005-0000-0000-00008F000000}"/>
    <cellStyle name="Normal 18" xfId="10" xr:uid="{00000000-0005-0000-0000-000090000000}"/>
    <cellStyle name="Normal 19" xfId="117" xr:uid="{00000000-0005-0000-0000-000091000000}"/>
    <cellStyle name="Normal 2" xfId="1" xr:uid="{00000000-0005-0000-0000-000092000000}"/>
    <cellStyle name="Normal 2 2" xfId="7" xr:uid="{00000000-0005-0000-0000-000093000000}"/>
    <cellStyle name="Normal 2 2 2" xfId="852" xr:uid="{1C7488BD-D0A7-4BD6-89BE-682016A3202E}"/>
    <cellStyle name="Normal 2 3" xfId="20" xr:uid="{00000000-0005-0000-0000-000094000000}"/>
    <cellStyle name="Normal 2 4" xfId="39" xr:uid="{00000000-0005-0000-0000-000095000000}"/>
    <cellStyle name="Normal 2 5" xfId="60" xr:uid="{00000000-0005-0000-0000-000096000000}"/>
    <cellStyle name="Normal 20" xfId="207" xr:uid="{00000000-0005-0000-0000-000097000000}"/>
    <cellStyle name="Normal 21" xfId="297" xr:uid="{00000000-0005-0000-0000-000098000000}"/>
    <cellStyle name="Normal 22" xfId="387" xr:uid="{00000000-0005-0000-0000-000099000000}"/>
    <cellStyle name="Normal 23" xfId="477" xr:uid="{00000000-0005-0000-0000-00009A000000}"/>
    <cellStyle name="Normal 24" xfId="567" xr:uid="{00000000-0005-0000-0000-00009B000000}"/>
    <cellStyle name="Normal 25" xfId="657" xr:uid="{00000000-0005-0000-0000-00009C000000}"/>
    <cellStyle name="Normal 26" xfId="747" xr:uid="{00000000-0005-0000-0000-00009D000000}"/>
    <cellStyle name="Normal 27" xfId="851" xr:uid="{ED50C316-25E5-4ED7-8355-A3104735F1B2}"/>
    <cellStyle name="Normal 3" xfId="4" xr:uid="{00000000-0005-0000-0000-00009E000000}"/>
    <cellStyle name="Normal 3 10" xfId="104" xr:uid="{00000000-0005-0000-0000-00009F000000}"/>
    <cellStyle name="Normal 3 10 2" xfId="196" xr:uid="{00000000-0005-0000-0000-0000A0000000}"/>
    <cellStyle name="Normal 3 10 3" xfId="286" xr:uid="{00000000-0005-0000-0000-0000A1000000}"/>
    <cellStyle name="Normal 3 10 4" xfId="376" xr:uid="{00000000-0005-0000-0000-0000A2000000}"/>
    <cellStyle name="Normal 3 10 5" xfId="466" xr:uid="{00000000-0005-0000-0000-0000A3000000}"/>
    <cellStyle name="Normal 3 10 6" xfId="556" xr:uid="{00000000-0005-0000-0000-0000A4000000}"/>
    <cellStyle name="Normal 3 10 7" xfId="646" xr:uid="{00000000-0005-0000-0000-0000A5000000}"/>
    <cellStyle name="Normal 3 10 8" xfId="736" xr:uid="{00000000-0005-0000-0000-0000A6000000}"/>
    <cellStyle name="Normal 3 10 9" xfId="833" xr:uid="{00000000-0005-0000-0000-0000A7000000}"/>
    <cellStyle name="Normal 3 11" xfId="107" xr:uid="{00000000-0005-0000-0000-0000A8000000}"/>
    <cellStyle name="Normal 3 11 2" xfId="199" xr:uid="{00000000-0005-0000-0000-0000A9000000}"/>
    <cellStyle name="Normal 3 11 3" xfId="289" xr:uid="{00000000-0005-0000-0000-0000AA000000}"/>
    <cellStyle name="Normal 3 11 4" xfId="379" xr:uid="{00000000-0005-0000-0000-0000AB000000}"/>
    <cellStyle name="Normal 3 11 5" xfId="469" xr:uid="{00000000-0005-0000-0000-0000AC000000}"/>
    <cellStyle name="Normal 3 11 6" xfId="559" xr:uid="{00000000-0005-0000-0000-0000AD000000}"/>
    <cellStyle name="Normal 3 11 7" xfId="649" xr:uid="{00000000-0005-0000-0000-0000AE000000}"/>
    <cellStyle name="Normal 3 11 8" xfId="739" xr:uid="{00000000-0005-0000-0000-0000AF000000}"/>
    <cellStyle name="Normal 3 11 9" xfId="836" xr:uid="{00000000-0005-0000-0000-0000B0000000}"/>
    <cellStyle name="Normal 3 12" xfId="110" xr:uid="{00000000-0005-0000-0000-0000B1000000}"/>
    <cellStyle name="Normal 3 12 2" xfId="202" xr:uid="{00000000-0005-0000-0000-0000B2000000}"/>
    <cellStyle name="Normal 3 12 3" xfId="292" xr:uid="{00000000-0005-0000-0000-0000B3000000}"/>
    <cellStyle name="Normal 3 12 4" xfId="382" xr:uid="{00000000-0005-0000-0000-0000B4000000}"/>
    <cellStyle name="Normal 3 12 5" xfId="472" xr:uid="{00000000-0005-0000-0000-0000B5000000}"/>
    <cellStyle name="Normal 3 12 6" xfId="562" xr:uid="{00000000-0005-0000-0000-0000B6000000}"/>
    <cellStyle name="Normal 3 12 7" xfId="652" xr:uid="{00000000-0005-0000-0000-0000B7000000}"/>
    <cellStyle name="Normal 3 12 8" xfId="742" xr:uid="{00000000-0005-0000-0000-0000B8000000}"/>
    <cellStyle name="Normal 3 12 9" xfId="839" xr:uid="{00000000-0005-0000-0000-0000B9000000}"/>
    <cellStyle name="Normal 3 13" xfId="113" xr:uid="{00000000-0005-0000-0000-0000BA000000}"/>
    <cellStyle name="Normal 3 13 2" xfId="205" xr:uid="{00000000-0005-0000-0000-0000BB000000}"/>
    <cellStyle name="Normal 3 13 3" xfId="295" xr:uid="{00000000-0005-0000-0000-0000BC000000}"/>
    <cellStyle name="Normal 3 13 4" xfId="385" xr:uid="{00000000-0005-0000-0000-0000BD000000}"/>
    <cellStyle name="Normal 3 13 5" xfId="475" xr:uid="{00000000-0005-0000-0000-0000BE000000}"/>
    <cellStyle name="Normal 3 13 6" xfId="565" xr:uid="{00000000-0005-0000-0000-0000BF000000}"/>
    <cellStyle name="Normal 3 13 7" xfId="655" xr:uid="{00000000-0005-0000-0000-0000C0000000}"/>
    <cellStyle name="Normal 3 13 8" xfId="745" xr:uid="{00000000-0005-0000-0000-0000C1000000}"/>
    <cellStyle name="Normal 3 13 9" xfId="842" xr:uid="{00000000-0005-0000-0000-0000C2000000}"/>
    <cellStyle name="Normal 3 14" xfId="11" xr:uid="{00000000-0005-0000-0000-0000C3000000}"/>
    <cellStyle name="Normal 3 15" xfId="118" xr:uid="{00000000-0005-0000-0000-0000C4000000}"/>
    <cellStyle name="Normal 3 16" xfId="208" xr:uid="{00000000-0005-0000-0000-0000C5000000}"/>
    <cellStyle name="Normal 3 17" xfId="298" xr:uid="{00000000-0005-0000-0000-0000C6000000}"/>
    <cellStyle name="Normal 3 18" xfId="388" xr:uid="{00000000-0005-0000-0000-0000C7000000}"/>
    <cellStyle name="Normal 3 19" xfId="478" xr:uid="{00000000-0005-0000-0000-0000C8000000}"/>
    <cellStyle name="Normal 3 2" xfId="23" xr:uid="{00000000-0005-0000-0000-0000C9000000}"/>
    <cellStyle name="Normal 3 2 10" xfId="662" xr:uid="{00000000-0005-0000-0000-0000CA000000}"/>
    <cellStyle name="Normal 3 2 11" xfId="757" xr:uid="{00000000-0005-0000-0000-0000CB000000}"/>
    <cellStyle name="Normal 3 2 2" xfId="45" xr:uid="{00000000-0005-0000-0000-0000CC000000}"/>
    <cellStyle name="Normal 3 2 2 10" xfId="777" xr:uid="{00000000-0005-0000-0000-0000CD000000}"/>
    <cellStyle name="Normal 3 2 2 2" xfId="85" xr:uid="{00000000-0005-0000-0000-0000CE000000}"/>
    <cellStyle name="Normal 3 2 2 2 2" xfId="178" xr:uid="{00000000-0005-0000-0000-0000CF000000}"/>
    <cellStyle name="Normal 3 2 2 2 3" xfId="268" xr:uid="{00000000-0005-0000-0000-0000D0000000}"/>
    <cellStyle name="Normal 3 2 2 2 4" xfId="358" xr:uid="{00000000-0005-0000-0000-0000D1000000}"/>
    <cellStyle name="Normal 3 2 2 2 5" xfId="448" xr:uid="{00000000-0005-0000-0000-0000D2000000}"/>
    <cellStyle name="Normal 3 2 2 2 6" xfId="538" xr:uid="{00000000-0005-0000-0000-0000D3000000}"/>
    <cellStyle name="Normal 3 2 2 2 7" xfId="628" xr:uid="{00000000-0005-0000-0000-0000D4000000}"/>
    <cellStyle name="Normal 3 2 2 2 8" xfId="718" xr:uid="{00000000-0005-0000-0000-0000D5000000}"/>
    <cellStyle name="Normal 3 2 2 2 9" xfId="815" xr:uid="{00000000-0005-0000-0000-0000D6000000}"/>
    <cellStyle name="Normal 3 2 2 3" xfId="141" xr:uid="{00000000-0005-0000-0000-0000D7000000}"/>
    <cellStyle name="Normal 3 2 2 4" xfId="231" xr:uid="{00000000-0005-0000-0000-0000D8000000}"/>
    <cellStyle name="Normal 3 2 2 5" xfId="321" xr:uid="{00000000-0005-0000-0000-0000D9000000}"/>
    <cellStyle name="Normal 3 2 2 6" xfId="411" xr:uid="{00000000-0005-0000-0000-0000DA000000}"/>
    <cellStyle name="Normal 3 2 2 7" xfId="501" xr:uid="{00000000-0005-0000-0000-0000DB000000}"/>
    <cellStyle name="Normal 3 2 2 8" xfId="591" xr:uid="{00000000-0005-0000-0000-0000DC000000}"/>
    <cellStyle name="Normal 3 2 2 9" xfId="681" xr:uid="{00000000-0005-0000-0000-0000DD000000}"/>
    <cellStyle name="Normal 3 2 3" xfId="66" xr:uid="{00000000-0005-0000-0000-0000DE000000}"/>
    <cellStyle name="Normal 3 2 3 2" xfId="159" xr:uid="{00000000-0005-0000-0000-0000DF000000}"/>
    <cellStyle name="Normal 3 2 3 3" xfId="249" xr:uid="{00000000-0005-0000-0000-0000E0000000}"/>
    <cellStyle name="Normal 3 2 3 4" xfId="339" xr:uid="{00000000-0005-0000-0000-0000E1000000}"/>
    <cellStyle name="Normal 3 2 3 5" xfId="429" xr:uid="{00000000-0005-0000-0000-0000E2000000}"/>
    <cellStyle name="Normal 3 2 3 6" xfId="519" xr:uid="{00000000-0005-0000-0000-0000E3000000}"/>
    <cellStyle name="Normal 3 2 3 7" xfId="609" xr:uid="{00000000-0005-0000-0000-0000E4000000}"/>
    <cellStyle name="Normal 3 2 3 8" xfId="699" xr:uid="{00000000-0005-0000-0000-0000E5000000}"/>
    <cellStyle name="Normal 3 2 3 9" xfId="796" xr:uid="{00000000-0005-0000-0000-0000E6000000}"/>
    <cellStyle name="Normal 3 2 4" xfId="122" xr:uid="{00000000-0005-0000-0000-0000E7000000}"/>
    <cellStyle name="Normal 3 2 5" xfId="212" xr:uid="{00000000-0005-0000-0000-0000E8000000}"/>
    <cellStyle name="Normal 3 2 6" xfId="302" xr:uid="{00000000-0005-0000-0000-0000E9000000}"/>
    <cellStyle name="Normal 3 2 7" xfId="392" xr:uid="{00000000-0005-0000-0000-0000EA000000}"/>
    <cellStyle name="Normal 3 2 8" xfId="482" xr:uid="{00000000-0005-0000-0000-0000EB000000}"/>
    <cellStyle name="Normal 3 2 9" xfId="572" xr:uid="{00000000-0005-0000-0000-0000EC000000}"/>
    <cellStyle name="Normal 3 20" xfId="568" xr:uid="{00000000-0005-0000-0000-0000ED000000}"/>
    <cellStyle name="Normal 3 21" xfId="658" xr:uid="{00000000-0005-0000-0000-0000EE000000}"/>
    <cellStyle name="Normal 3 22" xfId="748" xr:uid="{00000000-0005-0000-0000-0000EF000000}"/>
    <cellStyle name="Normal 3 3" xfId="26" xr:uid="{00000000-0005-0000-0000-0000F0000000}"/>
    <cellStyle name="Normal 3 3 10" xfId="665" xr:uid="{00000000-0005-0000-0000-0000F1000000}"/>
    <cellStyle name="Normal 3 3 11" xfId="760" xr:uid="{00000000-0005-0000-0000-0000F2000000}"/>
    <cellStyle name="Normal 3 3 2" xfId="48" xr:uid="{00000000-0005-0000-0000-0000F3000000}"/>
    <cellStyle name="Normal 3 3 2 10" xfId="780" xr:uid="{00000000-0005-0000-0000-0000F4000000}"/>
    <cellStyle name="Normal 3 3 2 2" xfId="88" xr:uid="{00000000-0005-0000-0000-0000F5000000}"/>
    <cellStyle name="Normal 3 3 2 2 2" xfId="181" xr:uid="{00000000-0005-0000-0000-0000F6000000}"/>
    <cellStyle name="Normal 3 3 2 2 3" xfId="271" xr:uid="{00000000-0005-0000-0000-0000F7000000}"/>
    <cellStyle name="Normal 3 3 2 2 4" xfId="361" xr:uid="{00000000-0005-0000-0000-0000F8000000}"/>
    <cellStyle name="Normal 3 3 2 2 5" xfId="451" xr:uid="{00000000-0005-0000-0000-0000F9000000}"/>
    <cellStyle name="Normal 3 3 2 2 6" xfId="541" xr:uid="{00000000-0005-0000-0000-0000FA000000}"/>
    <cellStyle name="Normal 3 3 2 2 7" xfId="631" xr:uid="{00000000-0005-0000-0000-0000FB000000}"/>
    <cellStyle name="Normal 3 3 2 2 8" xfId="721" xr:uid="{00000000-0005-0000-0000-0000FC000000}"/>
    <cellStyle name="Normal 3 3 2 2 9" xfId="818" xr:uid="{00000000-0005-0000-0000-0000FD000000}"/>
    <cellStyle name="Normal 3 3 2 3" xfId="144" xr:uid="{00000000-0005-0000-0000-0000FE000000}"/>
    <cellStyle name="Normal 3 3 2 4" xfId="234" xr:uid="{00000000-0005-0000-0000-0000FF000000}"/>
    <cellStyle name="Normal 3 3 2 5" xfId="324" xr:uid="{00000000-0005-0000-0000-000000010000}"/>
    <cellStyle name="Normal 3 3 2 6" xfId="414" xr:uid="{00000000-0005-0000-0000-000001010000}"/>
    <cellStyle name="Normal 3 3 2 7" xfId="504" xr:uid="{00000000-0005-0000-0000-000002010000}"/>
    <cellStyle name="Normal 3 3 2 8" xfId="594" xr:uid="{00000000-0005-0000-0000-000003010000}"/>
    <cellStyle name="Normal 3 3 2 9" xfId="684" xr:uid="{00000000-0005-0000-0000-000004010000}"/>
    <cellStyle name="Normal 3 3 3" xfId="69" xr:uid="{00000000-0005-0000-0000-000005010000}"/>
    <cellStyle name="Normal 3 3 3 2" xfId="162" xr:uid="{00000000-0005-0000-0000-000006010000}"/>
    <cellStyle name="Normal 3 3 3 3" xfId="252" xr:uid="{00000000-0005-0000-0000-000007010000}"/>
    <cellStyle name="Normal 3 3 3 4" xfId="342" xr:uid="{00000000-0005-0000-0000-000008010000}"/>
    <cellStyle name="Normal 3 3 3 5" xfId="432" xr:uid="{00000000-0005-0000-0000-000009010000}"/>
    <cellStyle name="Normal 3 3 3 6" xfId="522" xr:uid="{00000000-0005-0000-0000-00000A010000}"/>
    <cellStyle name="Normal 3 3 3 7" xfId="612" xr:uid="{00000000-0005-0000-0000-00000B010000}"/>
    <cellStyle name="Normal 3 3 3 8" xfId="702" xr:uid="{00000000-0005-0000-0000-00000C010000}"/>
    <cellStyle name="Normal 3 3 3 9" xfId="799" xr:uid="{00000000-0005-0000-0000-00000D010000}"/>
    <cellStyle name="Normal 3 3 4" xfId="125" xr:uid="{00000000-0005-0000-0000-00000E010000}"/>
    <cellStyle name="Normal 3 3 5" xfId="215" xr:uid="{00000000-0005-0000-0000-00000F010000}"/>
    <cellStyle name="Normal 3 3 6" xfId="305" xr:uid="{00000000-0005-0000-0000-000010010000}"/>
    <cellStyle name="Normal 3 3 7" xfId="395" xr:uid="{00000000-0005-0000-0000-000011010000}"/>
    <cellStyle name="Normal 3 3 8" xfId="485" xr:uid="{00000000-0005-0000-0000-000012010000}"/>
    <cellStyle name="Normal 3 3 9" xfId="575" xr:uid="{00000000-0005-0000-0000-000013010000}"/>
    <cellStyle name="Normal 3 4" xfId="29" xr:uid="{00000000-0005-0000-0000-000014010000}"/>
    <cellStyle name="Normal 3 4 10" xfId="668" xr:uid="{00000000-0005-0000-0000-000015010000}"/>
    <cellStyle name="Normal 3 4 11" xfId="763" xr:uid="{00000000-0005-0000-0000-000016010000}"/>
    <cellStyle name="Normal 3 4 2" xfId="51" xr:uid="{00000000-0005-0000-0000-000017010000}"/>
    <cellStyle name="Normal 3 4 2 10" xfId="783" xr:uid="{00000000-0005-0000-0000-000018010000}"/>
    <cellStyle name="Normal 3 4 2 2" xfId="91" xr:uid="{00000000-0005-0000-0000-000019010000}"/>
    <cellStyle name="Normal 3 4 2 2 2" xfId="184" xr:uid="{00000000-0005-0000-0000-00001A010000}"/>
    <cellStyle name="Normal 3 4 2 2 3" xfId="274" xr:uid="{00000000-0005-0000-0000-00001B010000}"/>
    <cellStyle name="Normal 3 4 2 2 4" xfId="364" xr:uid="{00000000-0005-0000-0000-00001C010000}"/>
    <cellStyle name="Normal 3 4 2 2 5" xfId="454" xr:uid="{00000000-0005-0000-0000-00001D010000}"/>
    <cellStyle name="Normal 3 4 2 2 6" xfId="544" xr:uid="{00000000-0005-0000-0000-00001E010000}"/>
    <cellStyle name="Normal 3 4 2 2 7" xfId="634" xr:uid="{00000000-0005-0000-0000-00001F010000}"/>
    <cellStyle name="Normal 3 4 2 2 8" xfId="724" xr:uid="{00000000-0005-0000-0000-000020010000}"/>
    <cellStyle name="Normal 3 4 2 2 9" xfId="821" xr:uid="{00000000-0005-0000-0000-000021010000}"/>
    <cellStyle name="Normal 3 4 2 3" xfId="147" xr:uid="{00000000-0005-0000-0000-000022010000}"/>
    <cellStyle name="Normal 3 4 2 4" xfId="237" xr:uid="{00000000-0005-0000-0000-000023010000}"/>
    <cellStyle name="Normal 3 4 2 5" xfId="327" xr:uid="{00000000-0005-0000-0000-000024010000}"/>
    <cellStyle name="Normal 3 4 2 6" xfId="417" xr:uid="{00000000-0005-0000-0000-000025010000}"/>
    <cellStyle name="Normal 3 4 2 7" xfId="507" xr:uid="{00000000-0005-0000-0000-000026010000}"/>
    <cellStyle name="Normal 3 4 2 8" xfId="597" xr:uid="{00000000-0005-0000-0000-000027010000}"/>
    <cellStyle name="Normal 3 4 2 9" xfId="687" xr:uid="{00000000-0005-0000-0000-000028010000}"/>
    <cellStyle name="Normal 3 4 3" xfId="72" xr:uid="{00000000-0005-0000-0000-000029010000}"/>
    <cellStyle name="Normal 3 4 3 2" xfId="165" xr:uid="{00000000-0005-0000-0000-00002A010000}"/>
    <cellStyle name="Normal 3 4 3 3" xfId="255" xr:uid="{00000000-0005-0000-0000-00002B010000}"/>
    <cellStyle name="Normal 3 4 3 4" xfId="345" xr:uid="{00000000-0005-0000-0000-00002C010000}"/>
    <cellStyle name="Normal 3 4 3 5" xfId="435" xr:uid="{00000000-0005-0000-0000-00002D010000}"/>
    <cellStyle name="Normal 3 4 3 6" xfId="525" xr:uid="{00000000-0005-0000-0000-00002E010000}"/>
    <cellStyle name="Normal 3 4 3 7" xfId="615" xr:uid="{00000000-0005-0000-0000-00002F010000}"/>
    <cellStyle name="Normal 3 4 3 8" xfId="705" xr:uid="{00000000-0005-0000-0000-000030010000}"/>
    <cellStyle name="Normal 3 4 3 9" xfId="802" xr:uid="{00000000-0005-0000-0000-000031010000}"/>
    <cellStyle name="Normal 3 4 4" xfId="128" xr:uid="{00000000-0005-0000-0000-000032010000}"/>
    <cellStyle name="Normal 3 4 5" xfId="218" xr:uid="{00000000-0005-0000-0000-000033010000}"/>
    <cellStyle name="Normal 3 4 6" xfId="308" xr:uid="{00000000-0005-0000-0000-000034010000}"/>
    <cellStyle name="Normal 3 4 7" xfId="398" xr:uid="{00000000-0005-0000-0000-000035010000}"/>
    <cellStyle name="Normal 3 4 8" xfId="488" xr:uid="{00000000-0005-0000-0000-000036010000}"/>
    <cellStyle name="Normal 3 4 9" xfId="578" xr:uid="{00000000-0005-0000-0000-000037010000}"/>
    <cellStyle name="Normal 3 5" xfId="33" xr:uid="{00000000-0005-0000-0000-000038010000}"/>
    <cellStyle name="Normal 3 5 10" xfId="671" xr:uid="{00000000-0005-0000-0000-000039010000}"/>
    <cellStyle name="Normal 3 5 11" xfId="766" xr:uid="{00000000-0005-0000-0000-00003A010000}"/>
    <cellStyle name="Normal 3 5 2" xfId="55" xr:uid="{00000000-0005-0000-0000-00003B010000}"/>
    <cellStyle name="Normal 3 5 2 10" xfId="786" xr:uid="{00000000-0005-0000-0000-00003C010000}"/>
    <cellStyle name="Normal 3 5 2 2" xfId="95" xr:uid="{00000000-0005-0000-0000-00003D010000}"/>
    <cellStyle name="Normal 3 5 2 2 2" xfId="187" xr:uid="{00000000-0005-0000-0000-00003E010000}"/>
    <cellStyle name="Normal 3 5 2 2 3" xfId="277" xr:uid="{00000000-0005-0000-0000-00003F010000}"/>
    <cellStyle name="Normal 3 5 2 2 4" xfId="367" xr:uid="{00000000-0005-0000-0000-000040010000}"/>
    <cellStyle name="Normal 3 5 2 2 5" xfId="457" xr:uid="{00000000-0005-0000-0000-000041010000}"/>
    <cellStyle name="Normal 3 5 2 2 6" xfId="547" xr:uid="{00000000-0005-0000-0000-000042010000}"/>
    <cellStyle name="Normal 3 5 2 2 7" xfId="637" xr:uid="{00000000-0005-0000-0000-000043010000}"/>
    <cellStyle name="Normal 3 5 2 2 8" xfId="727" xr:uid="{00000000-0005-0000-0000-000044010000}"/>
    <cellStyle name="Normal 3 5 2 2 9" xfId="824" xr:uid="{00000000-0005-0000-0000-000045010000}"/>
    <cellStyle name="Normal 3 5 2 3" xfId="150" xr:uid="{00000000-0005-0000-0000-000046010000}"/>
    <cellStyle name="Normal 3 5 2 4" xfId="240" xr:uid="{00000000-0005-0000-0000-000047010000}"/>
    <cellStyle name="Normal 3 5 2 5" xfId="330" xr:uid="{00000000-0005-0000-0000-000048010000}"/>
    <cellStyle name="Normal 3 5 2 6" xfId="420" xr:uid="{00000000-0005-0000-0000-000049010000}"/>
    <cellStyle name="Normal 3 5 2 7" xfId="510" xr:uid="{00000000-0005-0000-0000-00004A010000}"/>
    <cellStyle name="Normal 3 5 2 8" xfId="600" xr:uid="{00000000-0005-0000-0000-00004B010000}"/>
    <cellStyle name="Normal 3 5 2 9" xfId="690" xr:uid="{00000000-0005-0000-0000-00004C010000}"/>
    <cellStyle name="Normal 3 5 3" xfId="75" xr:uid="{00000000-0005-0000-0000-00004D010000}"/>
    <cellStyle name="Normal 3 5 3 2" xfId="168" xr:uid="{00000000-0005-0000-0000-00004E010000}"/>
    <cellStyle name="Normal 3 5 3 3" xfId="258" xr:uid="{00000000-0005-0000-0000-00004F010000}"/>
    <cellStyle name="Normal 3 5 3 4" xfId="348" xr:uid="{00000000-0005-0000-0000-000050010000}"/>
    <cellStyle name="Normal 3 5 3 5" xfId="438" xr:uid="{00000000-0005-0000-0000-000051010000}"/>
    <cellStyle name="Normal 3 5 3 6" xfId="528" xr:uid="{00000000-0005-0000-0000-000052010000}"/>
    <cellStyle name="Normal 3 5 3 7" xfId="618" xr:uid="{00000000-0005-0000-0000-000053010000}"/>
    <cellStyle name="Normal 3 5 3 8" xfId="708" xr:uid="{00000000-0005-0000-0000-000054010000}"/>
    <cellStyle name="Normal 3 5 3 9" xfId="805" xr:uid="{00000000-0005-0000-0000-000055010000}"/>
    <cellStyle name="Normal 3 5 4" xfId="131" xr:uid="{00000000-0005-0000-0000-000056010000}"/>
    <cellStyle name="Normal 3 5 5" xfId="221" xr:uid="{00000000-0005-0000-0000-000057010000}"/>
    <cellStyle name="Normal 3 5 6" xfId="311" xr:uid="{00000000-0005-0000-0000-000058010000}"/>
    <cellStyle name="Normal 3 5 7" xfId="401" xr:uid="{00000000-0005-0000-0000-000059010000}"/>
    <cellStyle name="Normal 3 5 8" xfId="491" xr:uid="{00000000-0005-0000-0000-00005A010000}"/>
    <cellStyle name="Normal 3 5 9" xfId="581" xr:uid="{00000000-0005-0000-0000-00005B010000}"/>
    <cellStyle name="Normal 3 6" xfId="36" xr:uid="{00000000-0005-0000-0000-00005C010000}"/>
    <cellStyle name="Normal 3 6 10" xfId="674" xr:uid="{00000000-0005-0000-0000-00005D010000}"/>
    <cellStyle name="Normal 3 6 11" xfId="769" xr:uid="{00000000-0005-0000-0000-00005E010000}"/>
    <cellStyle name="Normal 3 6 2" xfId="58" xr:uid="{00000000-0005-0000-0000-00005F010000}"/>
    <cellStyle name="Normal 3 6 2 10" xfId="789" xr:uid="{00000000-0005-0000-0000-000060010000}"/>
    <cellStyle name="Normal 3 6 2 2" xfId="98" xr:uid="{00000000-0005-0000-0000-000061010000}"/>
    <cellStyle name="Normal 3 6 2 2 2" xfId="190" xr:uid="{00000000-0005-0000-0000-000062010000}"/>
    <cellStyle name="Normal 3 6 2 2 3" xfId="280" xr:uid="{00000000-0005-0000-0000-000063010000}"/>
    <cellStyle name="Normal 3 6 2 2 4" xfId="370" xr:uid="{00000000-0005-0000-0000-000064010000}"/>
    <cellStyle name="Normal 3 6 2 2 5" xfId="460" xr:uid="{00000000-0005-0000-0000-000065010000}"/>
    <cellStyle name="Normal 3 6 2 2 6" xfId="550" xr:uid="{00000000-0005-0000-0000-000066010000}"/>
    <cellStyle name="Normal 3 6 2 2 7" xfId="640" xr:uid="{00000000-0005-0000-0000-000067010000}"/>
    <cellStyle name="Normal 3 6 2 2 8" xfId="730" xr:uid="{00000000-0005-0000-0000-000068010000}"/>
    <cellStyle name="Normal 3 6 2 2 9" xfId="827" xr:uid="{00000000-0005-0000-0000-000069010000}"/>
    <cellStyle name="Normal 3 6 2 3" xfId="153" xr:uid="{00000000-0005-0000-0000-00006A010000}"/>
    <cellStyle name="Normal 3 6 2 4" xfId="243" xr:uid="{00000000-0005-0000-0000-00006B010000}"/>
    <cellStyle name="Normal 3 6 2 5" xfId="333" xr:uid="{00000000-0005-0000-0000-00006C010000}"/>
    <cellStyle name="Normal 3 6 2 6" xfId="423" xr:uid="{00000000-0005-0000-0000-00006D010000}"/>
    <cellStyle name="Normal 3 6 2 7" xfId="513" xr:uid="{00000000-0005-0000-0000-00006E010000}"/>
    <cellStyle name="Normal 3 6 2 8" xfId="603" xr:uid="{00000000-0005-0000-0000-00006F010000}"/>
    <cellStyle name="Normal 3 6 2 9" xfId="693" xr:uid="{00000000-0005-0000-0000-000070010000}"/>
    <cellStyle name="Normal 3 6 3" xfId="78" xr:uid="{00000000-0005-0000-0000-000071010000}"/>
    <cellStyle name="Normal 3 6 3 2" xfId="171" xr:uid="{00000000-0005-0000-0000-000072010000}"/>
    <cellStyle name="Normal 3 6 3 3" xfId="261" xr:uid="{00000000-0005-0000-0000-000073010000}"/>
    <cellStyle name="Normal 3 6 3 4" xfId="351" xr:uid="{00000000-0005-0000-0000-000074010000}"/>
    <cellStyle name="Normal 3 6 3 5" xfId="441" xr:uid="{00000000-0005-0000-0000-000075010000}"/>
    <cellStyle name="Normal 3 6 3 6" xfId="531" xr:uid="{00000000-0005-0000-0000-000076010000}"/>
    <cellStyle name="Normal 3 6 3 7" xfId="621" xr:uid="{00000000-0005-0000-0000-000077010000}"/>
    <cellStyle name="Normal 3 6 3 8" xfId="711" xr:uid="{00000000-0005-0000-0000-000078010000}"/>
    <cellStyle name="Normal 3 6 3 9" xfId="808" xr:uid="{00000000-0005-0000-0000-000079010000}"/>
    <cellStyle name="Normal 3 6 4" xfId="134" xr:uid="{00000000-0005-0000-0000-00007A010000}"/>
    <cellStyle name="Normal 3 6 5" xfId="224" xr:uid="{00000000-0005-0000-0000-00007B010000}"/>
    <cellStyle name="Normal 3 6 6" xfId="314" xr:uid="{00000000-0005-0000-0000-00007C010000}"/>
    <cellStyle name="Normal 3 6 7" xfId="404" xr:uid="{00000000-0005-0000-0000-00007D010000}"/>
    <cellStyle name="Normal 3 6 8" xfId="494" xr:uid="{00000000-0005-0000-0000-00007E010000}"/>
    <cellStyle name="Normal 3 6 9" xfId="584" xr:uid="{00000000-0005-0000-0000-00007F010000}"/>
    <cellStyle name="Normal 3 7" xfId="42" xr:uid="{00000000-0005-0000-0000-000080010000}"/>
    <cellStyle name="Normal 3 7 10" xfId="774" xr:uid="{00000000-0005-0000-0000-000081010000}"/>
    <cellStyle name="Normal 3 7 2" xfId="82" xr:uid="{00000000-0005-0000-0000-000082010000}"/>
    <cellStyle name="Normal 3 7 2 2" xfId="175" xr:uid="{00000000-0005-0000-0000-000083010000}"/>
    <cellStyle name="Normal 3 7 2 3" xfId="265" xr:uid="{00000000-0005-0000-0000-000084010000}"/>
    <cellStyle name="Normal 3 7 2 4" xfId="355" xr:uid="{00000000-0005-0000-0000-000085010000}"/>
    <cellStyle name="Normal 3 7 2 5" xfId="445" xr:uid="{00000000-0005-0000-0000-000086010000}"/>
    <cellStyle name="Normal 3 7 2 6" xfId="535" xr:uid="{00000000-0005-0000-0000-000087010000}"/>
    <cellStyle name="Normal 3 7 2 7" xfId="625" xr:uid="{00000000-0005-0000-0000-000088010000}"/>
    <cellStyle name="Normal 3 7 2 8" xfId="715" xr:uid="{00000000-0005-0000-0000-000089010000}"/>
    <cellStyle name="Normal 3 7 2 9" xfId="812" xr:uid="{00000000-0005-0000-0000-00008A010000}"/>
    <cellStyle name="Normal 3 7 3" xfId="138" xr:uid="{00000000-0005-0000-0000-00008B010000}"/>
    <cellStyle name="Normal 3 7 4" xfId="228" xr:uid="{00000000-0005-0000-0000-00008C010000}"/>
    <cellStyle name="Normal 3 7 5" xfId="318" xr:uid="{00000000-0005-0000-0000-00008D010000}"/>
    <cellStyle name="Normal 3 7 6" xfId="408" xr:uid="{00000000-0005-0000-0000-00008E010000}"/>
    <cellStyle name="Normal 3 7 7" xfId="498" xr:uid="{00000000-0005-0000-0000-00008F010000}"/>
    <cellStyle name="Normal 3 7 8" xfId="588" xr:uid="{00000000-0005-0000-0000-000090010000}"/>
    <cellStyle name="Normal 3 7 9" xfId="678" xr:uid="{00000000-0005-0000-0000-000091010000}"/>
    <cellStyle name="Normal 3 8" xfId="63" xr:uid="{00000000-0005-0000-0000-000092010000}"/>
    <cellStyle name="Normal 3 8 2" xfId="156" xr:uid="{00000000-0005-0000-0000-000093010000}"/>
    <cellStyle name="Normal 3 8 3" xfId="246" xr:uid="{00000000-0005-0000-0000-000094010000}"/>
    <cellStyle name="Normal 3 8 4" xfId="336" xr:uid="{00000000-0005-0000-0000-000095010000}"/>
    <cellStyle name="Normal 3 8 5" xfId="426" xr:uid="{00000000-0005-0000-0000-000096010000}"/>
    <cellStyle name="Normal 3 8 6" xfId="516" xr:uid="{00000000-0005-0000-0000-000097010000}"/>
    <cellStyle name="Normal 3 8 7" xfId="606" xr:uid="{00000000-0005-0000-0000-000098010000}"/>
    <cellStyle name="Normal 3 8 8" xfId="696" xr:uid="{00000000-0005-0000-0000-000099010000}"/>
    <cellStyle name="Normal 3 8 9" xfId="793" xr:uid="{00000000-0005-0000-0000-00009A010000}"/>
    <cellStyle name="Normal 3 9" xfId="101" xr:uid="{00000000-0005-0000-0000-00009B010000}"/>
    <cellStyle name="Normal 3 9 2" xfId="193" xr:uid="{00000000-0005-0000-0000-00009C010000}"/>
    <cellStyle name="Normal 3 9 3" xfId="283" xr:uid="{00000000-0005-0000-0000-00009D010000}"/>
    <cellStyle name="Normal 3 9 4" xfId="373" xr:uid="{00000000-0005-0000-0000-00009E010000}"/>
    <cellStyle name="Normal 3 9 5" xfId="463" xr:uid="{00000000-0005-0000-0000-00009F010000}"/>
    <cellStyle name="Normal 3 9 6" xfId="553" xr:uid="{00000000-0005-0000-0000-0000A0010000}"/>
    <cellStyle name="Normal 3 9 7" xfId="643" xr:uid="{00000000-0005-0000-0000-0000A1010000}"/>
    <cellStyle name="Normal 3 9 8" xfId="733" xr:uid="{00000000-0005-0000-0000-0000A2010000}"/>
    <cellStyle name="Normal 3 9 9" xfId="830" xr:uid="{00000000-0005-0000-0000-0000A3010000}"/>
    <cellStyle name="Normal 4" xfId="12" xr:uid="{00000000-0005-0000-0000-0000A4010000}"/>
    <cellStyle name="Normal 5" xfId="9" xr:uid="{00000000-0005-0000-0000-0000A5010000}"/>
    <cellStyle name="Normal 5 2" xfId="5" xr:uid="{00000000-0005-0000-0000-0000A6010000}"/>
    <cellStyle name="Normal 5 3" xfId="32" xr:uid="{00000000-0005-0000-0000-0000A7010000}"/>
    <cellStyle name="Normal 5 3 2" xfId="54" xr:uid="{00000000-0005-0000-0000-0000A8010000}"/>
    <cellStyle name="Normal 5 4" xfId="19" xr:uid="{00000000-0005-0000-0000-0000A9010000}"/>
    <cellStyle name="Normal 6" xfId="18" xr:uid="{00000000-0005-0000-0000-0000AA010000}"/>
    <cellStyle name="Normal 6 10" xfId="660" xr:uid="{00000000-0005-0000-0000-0000AB010000}"/>
    <cellStyle name="Normal 6 11" xfId="754" xr:uid="{00000000-0005-0000-0000-0000AC010000}"/>
    <cellStyle name="Normal 6 2" xfId="41" xr:uid="{00000000-0005-0000-0000-0000AD010000}"/>
    <cellStyle name="Normal 6 2 10" xfId="773" xr:uid="{00000000-0005-0000-0000-0000AE010000}"/>
    <cellStyle name="Normal 6 2 2" xfId="81" xr:uid="{00000000-0005-0000-0000-0000AF010000}"/>
    <cellStyle name="Normal 6 2 2 2" xfId="174" xr:uid="{00000000-0005-0000-0000-0000B0010000}"/>
    <cellStyle name="Normal 6 2 2 3" xfId="264" xr:uid="{00000000-0005-0000-0000-0000B1010000}"/>
    <cellStyle name="Normal 6 2 2 4" xfId="354" xr:uid="{00000000-0005-0000-0000-0000B2010000}"/>
    <cellStyle name="Normal 6 2 2 5" xfId="444" xr:uid="{00000000-0005-0000-0000-0000B3010000}"/>
    <cellStyle name="Normal 6 2 2 6" xfId="534" xr:uid="{00000000-0005-0000-0000-0000B4010000}"/>
    <cellStyle name="Normal 6 2 2 7" xfId="624" xr:uid="{00000000-0005-0000-0000-0000B5010000}"/>
    <cellStyle name="Normal 6 2 2 8" xfId="714" xr:uid="{00000000-0005-0000-0000-0000B6010000}"/>
    <cellStyle name="Normal 6 2 2 9" xfId="811" xr:uid="{00000000-0005-0000-0000-0000B7010000}"/>
    <cellStyle name="Normal 6 2 3" xfId="137" xr:uid="{00000000-0005-0000-0000-0000B8010000}"/>
    <cellStyle name="Normal 6 2 4" xfId="227" xr:uid="{00000000-0005-0000-0000-0000B9010000}"/>
    <cellStyle name="Normal 6 2 5" xfId="317" xr:uid="{00000000-0005-0000-0000-0000BA010000}"/>
    <cellStyle name="Normal 6 2 6" xfId="407" xr:uid="{00000000-0005-0000-0000-0000BB010000}"/>
    <cellStyle name="Normal 6 2 7" xfId="497" xr:uid="{00000000-0005-0000-0000-0000BC010000}"/>
    <cellStyle name="Normal 6 2 8" xfId="587" xr:uid="{00000000-0005-0000-0000-0000BD010000}"/>
    <cellStyle name="Normal 6 2 9" xfId="677" xr:uid="{00000000-0005-0000-0000-0000BE010000}"/>
    <cellStyle name="Normal 6 3" xfId="62" xr:uid="{00000000-0005-0000-0000-0000BF010000}"/>
    <cellStyle name="Normal 6 3 2" xfId="155" xr:uid="{00000000-0005-0000-0000-0000C0010000}"/>
    <cellStyle name="Normal 6 3 3" xfId="245" xr:uid="{00000000-0005-0000-0000-0000C1010000}"/>
    <cellStyle name="Normal 6 3 4" xfId="335" xr:uid="{00000000-0005-0000-0000-0000C2010000}"/>
    <cellStyle name="Normal 6 3 5" xfId="425" xr:uid="{00000000-0005-0000-0000-0000C3010000}"/>
    <cellStyle name="Normal 6 3 6" xfId="515" xr:uid="{00000000-0005-0000-0000-0000C4010000}"/>
    <cellStyle name="Normal 6 3 7" xfId="605" xr:uid="{00000000-0005-0000-0000-0000C5010000}"/>
    <cellStyle name="Normal 6 3 8" xfId="695" xr:uid="{00000000-0005-0000-0000-0000C6010000}"/>
    <cellStyle name="Normal 6 3 9" xfId="792" xr:uid="{00000000-0005-0000-0000-0000C7010000}"/>
    <cellStyle name="Normal 6 4" xfId="120" xr:uid="{00000000-0005-0000-0000-0000C8010000}"/>
    <cellStyle name="Normal 6 5" xfId="210" xr:uid="{00000000-0005-0000-0000-0000C9010000}"/>
    <cellStyle name="Normal 6 6" xfId="300" xr:uid="{00000000-0005-0000-0000-0000CA010000}"/>
    <cellStyle name="Normal 6 7" xfId="390" xr:uid="{00000000-0005-0000-0000-0000CB010000}"/>
    <cellStyle name="Normal 6 8" xfId="480" xr:uid="{00000000-0005-0000-0000-0000CC010000}"/>
    <cellStyle name="Normal 6 9" xfId="570" xr:uid="{00000000-0005-0000-0000-0000CD010000}"/>
    <cellStyle name="Normal 7" xfId="22" xr:uid="{00000000-0005-0000-0000-0000CE010000}"/>
    <cellStyle name="Normal 7 10" xfId="661" xr:uid="{00000000-0005-0000-0000-0000CF010000}"/>
    <cellStyle name="Normal 7 11" xfId="756" xr:uid="{00000000-0005-0000-0000-0000D0010000}"/>
    <cellStyle name="Normal 7 2" xfId="44" xr:uid="{00000000-0005-0000-0000-0000D1010000}"/>
    <cellStyle name="Normal 7 2 10" xfId="776" xr:uid="{00000000-0005-0000-0000-0000D2010000}"/>
    <cellStyle name="Normal 7 2 2" xfId="84" xr:uid="{00000000-0005-0000-0000-0000D3010000}"/>
    <cellStyle name="Normal 7 2 2 2" xfId="177" xr:uid="{00000000-0005-0000-0000-0000D4010000}"/>
    <cellStyle name="Normal 7 2 2 3" xfId="267" xr:uid="{00000000-0005-0000-0000-0000D5010000}"/>
    <cellStyle name="Normal 7 2 2 4" xfId="357" xr:uid="{00000000-0005-0000-0000-0000D6010000}"/>
    <cellStyle name="Normal 7 2 2 5" xfId="447" xr:uid="{00000000-0005-0000-0000-0000D7010000}"/>
    <cellStyle name="Normal 7 2 2 6" xfId="537" xr:uid="{00000000-0005-0000-0000-0000D8010000}"/>
    <cellStyle name="Normal 7 2 2 7" xfId="627" xr:uid="{00000000-0005-0000-0000-0000D9010000}"/>
    <cellStyle name="Normal 7 2 2 8" xfId="717" xr:uid="{00000000-0005-0000-0000-0000DA010000}"/>
    <cellStyle name="Normal 7 2 2 9" xfId="814" xr:uid="{00000000-0005-0000-0000-0000DB010000}"/>
    <cellStyle name="Normal 7 2 3" xfId="140" xr:uid="{00000000-0005-0000-0000-0000DC010000}"/>
    <cellStyle name="Normal 7 2 4" xfId="230" xr:uid="{00000000-0005-0000-0000-0000DD010000}"/>
    <cellStyle name="Normal 7 2 5" xfId="320" xr:uid="{00000000-0005-0000-0000-0000DE010000}"/>
    <cellStyle name="Normal 7 2 6" xfId="410" xr:uid="{00000000-0005-0000-0000-0000DF010000}"/>
    <cellStyle name="Normal 7 2 7" xfId="500" xr:uid="{00000000-0005-0000-0000-0000E0010000}"/>
    <cellStyle name="Normal 7 2 8" xfId="590" xr:uid="{00000000-0005-0000-0000-0000E1010000}"/>
    <cellStyle name="Normal 7 2 9" xfId="680" xr:uid="{00000000-0005-0000-0000-0000E2010000}"/>
    <cellStyle name="Normal 7 3" xfId="65" xr:uid="{00000000-0005-0000-0000-0000E3010000}"/>
    <cellStyle name="Normal 7 3 2" xfId="158" xr:uid="{00000000-0005-0000-0000-0000E4010000}"/>
    <cellStyle name="Normal 7 3 3" xfId="248" xr:uid="{00000000-0005-0000-0000-0000E5010000}"/>
    <cellStyle name="Normal 7 3 4" xfId="338" xr:uid="{00000000-0005-0000-0000-0000E6010000}"/>
    <cellStyle name="Normal 7 3 5" xfId="428" xr:uid="{00000000-0005-0000-0000-0000E7010000}"/>
    <cellStyle name="Normal 7 3 6" xfId="518" xr:uid="{00000000-0005-0000-0000-0000E8010000}"/>
    <cellStyle name="Normal 7 3 7" xfId="608" xr:uid="{00000000-0005-0000-0000-0000E9010000}"/>
    <cellStyle name="Normal 7 3 8" xfId="698" xr:uid="{00000000-0005-0000-0000-0000EA010000}"/>
    <cellStyle name="Normal 7 3 9" xfId="795" xr:uid="{00000000-0005-0000-0000-0000EB010000}"/>
    <cellStyle name="Normal 7 4" xfId="121" xr:uid="{00000000-0005-0000-0000-0000EC010000}"/>
    <cellStyle name="Normal 7 5" xfId="211" xr:uid="{00000000-0005-0000-0000-0000ED010000}"/>
    <cellStyle name="Normal 7 6" xfId="301" xr:uid="{00000000-0005-0000-0000-0000EE010000}"/>
    <cellStyle name="Normal 7 7" xfId="391" xr:uid="{00000000-0005-0000-0000-0000EF010000}"/>
    <cellStyle name="Normal 7 8" xfId="481" xr:uid="{00000000-0005-0000-0000-0000F0010000}"/>
    <cellStyle name="Normal 7 9" xfId="571" xr:uid="{00000000-0005-0000-0000-0000F1010000}"/>
    <cellStyle name="Normal 8" xfId="25" xr:uid="{00000000-0005-0000-0000-0000F2010000}"/>
    <cellStyle name="Normal 8 10" xfId="664" xr:uid="{00000000-0005-0000-0000-0000F3010000}"/>
    <cellStyle name="Normal 8 11" xfId="759" xr:uid="{00000000-0005-0000-0000-0000F4010000}"/>
    <cellStyle name="Normal 8 2" xfId="47" xr:uid="{00000000-0005-0000-0000-0000F5010000}"/>
    <cellStyle name="Normal 8 2 10" xfId="779" xr:uid="{00000000-0005-0000-0000-0000F6010000}"/>
    <cellStyle name="Normal 8 2 2" xfId="87" xr:uid="{00000000-0005-0000-0000-0000F7010000}"/>
    <cellStyle name="Normal 8 2 2 2" xfId="180" xr:uid="{00000000-0005-0000-0000-0000F8010000}"/>
    <cellStyle name="Normal 8 2 2 3" xfId="270" xr:uid="{00000000-0005-0000-0000-0000F9010000}"/>
    <cellStyle name="Normal 8 2 2 4" xfId="360" xr:uid="{00000000-0005-0000-0000-0000FA010000}"/>
    <cellStyle name="Normal 8 2 2 5" xfId="450" xr:uid="{00000000-0005-0000-0000-0000FB010000}"/>
    <cellStyle name="Normal 8 2 2 6" xfId="540" xr:uid="{00000000-0005-0000-0000-0000FC010000}"/>
    <cellStyle name="Normal 8 2 2 7" xfId="630" xr:uid="{00000000-0005-0000-0000-0000FD010000}"/>
    <cellStyle name="Normal 8 2 2 8" xfId="720" xr:uid="{00000000-0005-0000-0000-0000FE010000}"/>
    <cellStyle name="Normal 8 2 2 9" xfId="817" xr:uid="{00000000-0005-0000-0000-0000FF010000}"/>
    <cellStyle name="Normal 8 2 3" xfId="143" xr:uid="{00000000-0005-0000-0000-000000020000}"/>
    <cellStyle name="Normal 8 2 4" xfId="233" xr:uid="{00000000-0005-0000-0000-000001020000}"/>
    <cellStyle name="Normal 8 2 5" xfId="323" xr:uid="{00000000-0005-0000-0000-000002020000}"/>
    <cellStyle name="Normal 8 2 6" xfId="413" xr:uid="{00000000-0005-0000-0000-000003020000}"/>
    <cellStyle name="Normal 8 2 7" xfId="503" xr:uid="{00000000-0005-0000-0000-000004020000}"/>
    <cellStyle name="Normal 8 2 8" xfId="593" xr:uid="{00000000-0005-0000-0000-000005020000}"/>
    <cellStyle name="Normal 8 2 9" xfId="683" xr:uid="{00000000-0005-0000-0000-000006020000}"/>
    <cellStyle name="Normal 8 3" xfId="68" xr:uid="{00000000-0005-0000-0000-000007020000}"/>
    <cellStyle name="Normal 8 3 2" xfId="161" xr:uid="{00000000-0005-0000-0000-000008020000}"/>
    <cellStyle name="Normal 8 3 3" xfId="251" xr:uid="{00000000-0005-0000-0000-000009020000}"/>
    <cellStyle name="Normal 8 3 4" xfId="341" xr:uid="{00000000-0005-0000-0000-00000A020000}"/>
    <cellStyle name="Normal 8 3 5" xfId="431" xr:uid="{00000000-0005-0000-0000-00000B020000}"/>
    <cellStyle name="Normal 8 3 6" xfId="521" xr:uid="{00000000-0005-0000-0000-00000C020000}"/>
    <cellStyle name="Normal 8 3 7" xfId="611" xr:uid="{00000000-0005-0000-0000-00000D020000}"/>
    <cellStyle name="Normal 8 3 8" xfId="701" xr:uid="{00000000-0005-0000-0000-00000E020000}"/>
    <cellStyle name="Normal 8 3 9" xfId="798" xr:uid="{00000000-0005-0000-0000-00000F020000}"/>
    <cellStyle name="Normal 8 4" xfId="124" xr:uid="{00000000-0005-0000-0000-000010020000}"/>
    <cellStyle name="Normal 8 5" xfId="214" xr:uid="{00000000-0005-0000-0000-000011020000}"/>
    <cellStyle name="Normal 8 6" xfId="304" xr:uid="{00000000-0005-0000-0000-000012020000}"/>
    <cellStyle name="Normal 8 7" xfId="394" xr:uid="{00000000-0005-0000-0000-000013020000}"/>
    <cellStyle name="Normal 8 8" xfId="484" xr:uid="{00000000-0005-0000-0000-000014020000}"/>
    <cellStyle name="Normal 8 9" xfId="574" xr:uid="{00000000-0005-0000-0000-000015020000}"/>
    <cellStyle name="Normal 9" xfId="28" xr:uid="{00000000-0005-0000-0000-000016020000}"/>
    <cellStyle name="Normal 9 10" xfId="667" xr:uid="{00000000-0005-0000-0000-000017020000}"/>
    <cellStyle name="Normal 9 11" xfId="762" xr:uid="{00000000-0005-0000-0000-000018020000}"/>
    <cellStyle name="Normal 9 2" xfId="50" xr:uid="{00000000-0005-0000-0000-000019020000}"/>
    <cellStyle name="Normal 9 2 10" xfId="782" xr:uid="{00000000-0005-0000-0000-00001A020000}"/>
    <cellStyle name="Normal 9 2 2" xfId="90" xr:uid="{00000000-0005-0000-0000-00001B020000}"/>
    <cellStyle name="Normal 9 2 2 2" xfId="183" xr:uid="{00000000-0005-0000-0000-00001C020000}"/>
    <cellStyle name="Normal 9 2 2 3" xfId="273" xr:uid="{00000000-0005-0000-0000-00001D020000}"/>
    <cellStyle name="Normal 9 2 2 4" xfId="363" xr:uid="{00000000-0005-0000-0000-00001E020000}"/>
    <cellStyle name="Normal 9 2 2 5" xfId="453" xr:uid="{00000000-0005-0000-0000-00001F020000}"/>
    <cellStyle name="Normal 9 2 2 6" xfId="543" xr:uid="{00000000-0005-0000-0000-000020020000}"/>
    <cellStyle name="Normal 9 2 2 7" xfId="633" xr:uid="{00000000-0005-0000-0000-000021020000}"/>
    <cellStyle name="Normal 9 2 2 8" xfId="723" xr:uid="{00000000-0005-0000-0000-000022020000}"/>
    <cellStyle name="Normal 9 2 2 9" xfId="820" xr:uid="{00000000-0005-0000-0000-000023020000}"/>
    <cellStyle name="Normal 9 2 3" xfId="146" xr:uid="{00000000-0005-0000-0000-000024020000}"/>
    <cellStyle name="Normal 9 2 4" xfId="236" xr:uid="{00000000-0005-0000-0000-000025020000}"/>
    <cellStyle name="Normal 9 2 5" xfId="326" xr:uid="{00000000-0005-0000-0000-000026020000}"/>
    <cellStyle name="Normal 9 2 6" xfId="416" xr:uid="{00000000-0005-0000-0000-000027020000}"/>
    <cellStyle name="Normal 9 2 7" xfId="506" xr:uid="{00000000-0005-0000-0000-000028020000}"/>
    <cellStyle name="Normal 9 2 8" xfId="596" xr:uid="{00000000-0005-0000-0000-000029020000}"/>
    <cellStyle name="Normal 9 2 9" xfId="686" xr:uid="{00000000-0005-0000-0000-00002A020000}"/>
    <cellStyle name="Normal 9 3" xfId="71" xr:uid="{00000000-0005-0000-0000-00002B020000}"/>
    <cellStyle name="Normal 9 3 2" xfId="164" xr:uid="{00000000-0005-0000-0000-00002C020000}"/>
    <cellStyle name="Normal 9 3 3" xfId="254" xr:uid="{00000000-0005-0000-0000-00002D020000}"/>
    <cellStyle name="Normal 9 3 4" xfId="344" xr:uid="{00000000-0005-0000-0000-00002E020000}"/>
    <cellStyle name="Normal 9 3 5" xfId="434" xr:uid="{00000000-0005-0000-0000-00002F020000}"/>
    <cellStyle name="Normal 9 3 6" xfId="524" xr:uid="{00000000-0005-0000-0000-000030020000}"/>
    <cellStyle name="Normal 9 3 7" xfId="614" xr:uid="{00000000-0005-0000-0000-000031020000}"/>
    <cellStyle name="Normal 9 3 8" xfId="704" xr:uid="{00000000-0005-0000-0000-000032020000}"/>
    <cellStyle name="Normal 9 3 9" xfId="801" xr:uid="{00000000-0005-0000-0000-000033020000}"/>
    <cellStyle name="Normal 9 4" xfId="127" xr:uid="{00000000-0005-0000-0000-000034020000}"/>
    <cellStyle name="Normal 9 5" xfId="217" xr:uid="{00000000-0005-0000-0000-000035020000}"/>
    <cellStyle name="Normal 9 6" xfId="307" xr:uid="{00000000-0005-0000-0000-000036020000}"/>
    <cellStyle name="Normal 9 7" xfId="397" xr:uid="{00000000-0005-0000-0000-000037020000}"/>
    <cellStyle name="Normal 9 8" xfId="487" xr:uid="{00000000-0005-0000-0000-000038020000}"/>
    <cellStyle name="Normal 9 9" xfId="577" xr:uid="{00000000-0005-0000-0000-000039020000}"/>
    <cellStyle name="Normal_Forslag" xfId="845" xr:uid="{00000000-0005-0000-0000-00003A020000}"/>
    <cellStyle name="Normal_Forslag 2" xfId="848" xr:uid="{00000000-0005-0000-0000-00003B020000}"/>
    <cellStyle name="Tusenskille 2" xfId="14" xr:uid="{00000000-0005-0000-0000-00003C020000}"/>
    <cellStyle name="Tusenskille 2 2" xfId="15" xr:uid="{00000000-0005-0000-0000-00003D020000}"/>
    <cellStyle name="Tusenskille 2 2 2" xfId="751" xr:uid="{00000000-0005-0000-0000-00003E020000}"/>
    <cellStyle name="Tusenskille 2 2 3" xfId="849" xr:uid="{F77FA10F-B946-43D0-BDB2-55CEFCE8EA1F}"/>
    <cellStyle name="Tusenskille 2 3" xfId="21" xr:uid="{00000000-0005-0000-0000-00003F020000}"/>
    <cellStyle name="Tusenskille 2 3 2" xfId="755" xr:uid="{00000000-0005-0000-0000-000040020000}"/>
    <cellStyle name="Tusenskille 2 4" xfId="40" xr:uid="{00000000-0005-0000-0000-000041020000}"/>
    <cellStyle name="Tusenskille 2 4 2" xfId="772" xr:uid="{00000000-0005-0000-0000-000042020000}"/>
    <cellStyle name="Tusenskille 2 5" xfId="61" xr:uid="{00000000-0005-0000-0000-000043020000}"/>
    <cellStyle name="Tusenskille 2 5 2" xfId="791" xr:uid="{00000000-0005-0000-0000-000044020000}"/>
    <cellStyle name="Tusenskille 2 6" xfId="750" xr:uid="{00000000-0005-0000-0000-000045020000}"/>
    <cellStyle name="Tusenskille 3" xfId="16" xr:uid="{00000000-0005-0000-0000-000046020000}"/>
    <cellStyle name="Tusenskille 3 10" xfId="105" xr:uid="{00000000-0005-0000-0000-000047020000}"/>
    <cellStyle name="Tusenskille 3 10 2" xfId="197" xr:uid="{00000000-0005-0000-0000-000048020000}"/>
    <cellStyle name="Tusenskille 3 10 3" xfId="287" xr:uid="{00000000-0005-0000-0000-000049020000}"/>
    <cellStyle name="Tusenskille 3 10 4" xfId="377" xr:uid="{00000000-0005-0000-0000-00004A020000}"/>
    <cellStyle name="Tusenskille 3 10 5" xfId="467" xr:uid="{00000000-0005-0000-0000-00004B020000}"/>
    <cellStyle name="Tusenskille 3 10 6" xfId="557" xr:uid="{00000000-0005-0000-0000-00004C020000}"/>
    <cellStyle name="Tusenskille 3 10 7" xfId="647" xr:uid="{00000000-0005-0000-0000-00004D020000}"/>
    <cellStyle name="Tusenskille 3 10 8" xfId="737" xr:uid="{00000000-0005-0000-0000-00004E020000}"/>
    <cellStyle name="Tusenskille 3 10 9" xfId="834" xr:uid="{00000000-0005-0000-0000-00004F020000}"/>
    <cellStyle name="Tusenskille 3 11" xfId="108" xr:uid="{00000000-0005-0000-0000-000050020000}"/>
    <cellStyle name="Tusenskille 3 11 2" xfId="200" xr:uid="{00000000-0005-0000-0000-000051020000}"/>
    <cellStyle name="Tusenskille 3 11 3" xfId="290" xr:uid="{00000000-0005-0000-0000-000052020000}"/>
    <cellStyle name="Tusenskille 3 11 4" xfId="380" xr:uid="{00000000-0005-0000-0000-000053020000}"/>
    <cellStyle name="Tusenskille 3 11 5" xfId="470" xr:uid="{00000000-0005-0000-0000-000054020000}"/>
    <cellStyle name="Tusenskille 3 11 6" xfId="560" xr:uid="{00000000-0005-0000-0000-000055020000}"/>
    <cellStyle name="Tusenskille 3 11 7" xfId="650" xr:uid="{00000000-0005-0000-0000-000056020000}"/>
    <cellStyle name="Tusenskille 3 11 8" xfId="740" xr:uid="{00000000-0005-0000-0000-000057020000}"/>
    <cellStyle name="Tusenskille 3 11 9" xfId="837" xr:uid="{00000000-0005-0000-0000-000058020000}"/>
    <cellStyle name="Tusenskille 3 12" xfId="111" xr:uid="{00000000-0005-0000-0000-000059020000}"/>
    <cellStyle name="Tusenskille 3 12 2" xfId="203" xr:uid="{00000000-0005-0000-0000-00005A020000}"/>
    <cellStyle name="Tusenskille 3 12 3" xfId="293" xr:uid="{00000000-0005-0000-0000-00005B020000}"/>
    <cellStyle name="Tusenskille 3 12 4" xfId="383" xr:uid="{00000000-0005-0000-0000-00005C020000}"/>
    <cellStyle name="Tusenskille 3 12 5" xfId="473" xr:uid="{00000000-0005-0000-0000-00005D020000}"/>
    <cellStyle name="Tusenskille 3 12 6" xfId="563" xr:uid="{00000000-0005-0000-0000-00005E020000}"/>
    <cellStyle name="Tusenskille 3 12 7" xfId="653" xr:uid="{00000000-0005-0000-0000-00005F020000}"/>
    <cellStyle name="Tusenskille 3 12 8" xfId="743" xr:uid="{00000000-0005-0000-0000-000060020000}"/>
    <cellStyle name="Tusenskille 3 12 9" xfId="840" xr:uid="{00000000-0005-0000-0000-000061020000}"/>
    <cellStyle name="Tusenskille 3 13" xfId="114" xr:uid="{00000000-0005-0000-0000-000062020000}"/>
    <cellStyle name="Tusenskille 3 13 2" xfId="206" xr:uid="{00000000-0005-0000-0000-000063020000}"/>
    <cellStyle name="Tusenskille 3 13 3" xfId="296" xr:uid="{00000000-0005-0000-0000-000064020000}"/>
    <cellStyle name="Tusenskille 3 13 4" xfId="386" xr:uid="{00000000-0005-0000-0000-000065020000}"/>
    <cellStyle name="Tusenskille 3 13 5" xfId="476" xr:uid="{00000000-0005-0000-0000-000066020000}"/>
    <cellStyle name="Tusenskille 3 13 6" xfId="566" xr:uid="{00000000-0005-0000-0000-000067020000}"/>
    <cellStyle name="Tusenskille 3 13 7" xfId="656" xr:uid="{00000000-0005-0000-0000-000068020000}"/>
    <cellStyle name="Tusenskille 3 13 8" xfId="746" xr:uid="{00000000-0005-0000-0000-000069020000}"/>
    <cellStyle name="Tusenskille 3 13 9" xfId="843" xr:uid="{00000000-0005-0000-0000-00006A020000}"/>
    <cellStyle name="Tusenskille 3 14" xfId="119" xr:uid="{00000000-0005-0000-0000-00006B020000}"/>
    <cellStyle name="Tusenskille 3 15" xfId="209" xr:uid="{00000000-0005-0000-0000-00006C020000}"/>
    <cellStyle name="Tusenskille 3 16" xfId="299" xr:uid="{00000000-0005-0000-0000-00006D020000}"/>
    <cellStyle name="Tusenskille 3 17" xfId="389" xr:uid="{00000000-0005-0000-0000-00006E020000}"/>
    <cellStyle name="Tusenskille 3 18" xfId="479" xr:uid="{00000000-0005-0000-0000-00006F020000}"/>
    <cellStyle name="Tusenskille 3 19" xfId="569" xr:uid="{00000000-0005-0000-0000-000070020000}"/>
    <cellStyle name="Tusenskille 3 2" xfId="24" xr:uid="{00000000-0005-0000-0000-000071020000}"/>
    <cellStyle name="Tusenskille 3 2 10" xfId="663" xr:uid="{00000000-0005-0000-0000-000072020000}"/>
    <cellStyle name="Tusenskille 3 2 11" xfId="758" xr:uid="{00000000-0005-0000-0000-000073020000}"/>
    <cellStyle name="Tusenskille 3 2 2" xfId="46" xr:uid="{00000000-0005-0000-0000-000074020000}"/>
    <cellStyle name="Tusenskille 3 2 2 10" xfId="778" xr:uid="{00000000-0005-0000-0000-000075020000}"/>
    <cellStyle name="Tusenskille 3 2 2 2" xfId="86" xr:uid="{00000000-0005-0000-0000-000076020000}"/>
    <cellStyle name="Tusenskille 3 2 2 2 2" xfId="179" xr:uid="{00000000-0005-0000-0000-000077020000}"/>
    <cellStyle name="Tusenskille 3 2 2 2 3" xfId="269" xr:uid="{00000000-0005-0000-0000-000078020000}"/>
    <cellStyle name="Tusenskille 3 2 2 2 4" xfId="359" xr:uid="{00000000-0005-0000-0000-000079020000}"/>
    <cellStyle name="Tusenskille 3 2 2 2 5" xfId="449" xr:uid="{00000000-0005-0000-0000-00007A020000}"/>
    <cellStyle name="Tusenskille 3 2 2 2 6" xfId="539" xr:uid="{00000000-0005-0000-0000-00007B020000}"/>
    <cellStyle name="Tusenskille 3 2 2 2 7" xfId="629" xr:uid="{00000000-0005-0000-0000-00007C020000}"/>
    <cellStyle name="Tusenskille 3 2 2 2 8" xfId="719" xr:uid="{00000000-0005-0000-0000-00007D020000}"/>
    <cellStyle name="Tusenskille 3 2 2 2 9" xfId="816" xr:uid="{00000000-0005-0000-0000-00007E020000}"/>
    <cellStyle name="Tusenskille 3 2 2 3" xfId="142" xr:uid="{00000000-0005-0000-0000-00007F020000}"/>
    <cellStyle name="Tusenskille 3 2 2 4" xfId="232" xr:uid="{00000000-0005-0000-0000-000080020000}"/>
    <cellStyle name="Tusenskille 3 2 2 5" xfId="322" xr:uid="{00000000-0005-0000-0000-000081020000}"/>
    <cellStyle name="Tusenskille 3 2 2 6" xfId="412" xr:uid="{00000000-0005-0000-0000-000082020000}"/>
    <cellStyle name="Tusenskille 3 2 2 7" xfId="502" xr:uid="{00000000-0005-0000-0000-000083020000}"/>
    <cellStyle name="Tusenskille 3 2 2 8" xfId="592" xr:uid="{00000000-0005-0000-0000-000084020000}"/>
    <cellStyle name="Tusenskille 3 2 2 9" xfId="682" xr:uid="{00000000-0005-0000-0000-000085020000}"/>
    <cellStyle name="Tusenskille 3 2 3" xfId="67" xr:uid="{00000000-0005-0000-0000-000086020000}"/>
    <cellStyle name="Tusenskille 3 2 3 2" xfId="160" xr:uid="{00000000-0005-0000-0000-000087020000}"/>
    <cellStyle name="Tusenskille 3 2 3 3" xfId="250" xr:uid="{00000000-0005-0000-0000-000088020000}"/>
    <cellStyle name="Tusenskille 3 2 3 4" xfId="340" xr:uid="{00000000-0005-0000-0000-000089020000}"/>
    <cellStyle name="Tusenskille 3 2 3 5" xfId="430" xr:uid="{00000000-0005-0000-0000-00008A020000}"/>
    <cellStyle name="Tusenskille 3 2 3 6" xfId="520" xr:uid="{00000000-0005-0000-0000-00008B020000}"/>
    <cellStyle name="Tusenskille 3 2 3 7" xfId="610" xr:uid="{00000000-0005-0000-0000-00008C020000}"/>
    <cellStyle name="Tusenskille 3 2 3 8" xfId="700" xr:uid="{00000000-0005-0000-0000-00008D020000}"/>
    <cellStyle name="Tusenskille 3 2 3 9" xfId="797" xr:uid="{00000000-0005-0000-0000-00008E020000}"/>
    <cellStyle name="Tusenskille 3 2 4" xfId="123" xr:uid="{00000000-0005-0000-0000-00008F020000}"/>
    <cellStyle name="Tusenskille 3 2 5" xfId="213" xr:uid="{00000000-0005-0000-0000-000090020000}"/>
    <cellStyle name="Tusenskille 3 2 6" xfId="303" xr:uid="{00000000-0005-0000-0000-000091020000}"/>
    <cellStyle name="Tusenskille 3 2 7" xfId="393" xr:uid="{00000000-0005-0000-0000-000092020000}"/>
    <cellStyle name="Tusenskille 3 2 8" xfId="483" xr:uid="{00000000-0005-0000-0000-000093020000}"/>
    <cellStyle name="Tusenskille 3 2 9" xfId="573" xr:uid="{00000000-0005-0000-0000-000094020000}"/>
    <cellStyle name="Tusenskille 3 20" xfId="659" xr:uid="{00000000-0005-0000-0000-000095020000}"/>
    <cellStyle name="Tusenskille 3 21" xfId="752" xr:uid="{00000000-0005-0000-0000-000096020000}"/>
    <cellStyle name="Tusenskille 3 3" xfId="27" xr:uid="{00000000-0005-0000-0000-000097020000}"/>
    <cellStyle name="Tusenskille 3 3 10" xfId="666" xr:uid="{00000000-0005-0000-0000-000098020000}"/>
    <cellStyle name="Tusenskille 3 3 11" xfId="761" xr:uid="{00000000-0005-0000-0000-000099020000}"/>
    <cellStyle name="Tusenskille 3 3 2" xfId="49" xr:uid="{00000000-0005-0000-0000-00009A020000}"/>
    <cellStyle name="Tusenskille 3 3 2 10" xfId="781" xr:uid="{00000000-0005-0000-0000-00009B020000}"/>
    <cellStyle name="Tusenskille 3 3 2 2" xfId="89" xr:uid="{00000000-0005-0000-0000-00009C020000}"/>
    <cellStyle name="Tusenskille 3 3 2 2 2" xfId="182" xr:uid="{00000000-0005-0000-0000-00009D020000}"/>
    <cellStyle name="Tusenskille 3 3 2 2 3" xfId="272" xr:uid="{00000000-0005-0000-0000-00009E020000}"/>
    <cellStyle name="Tusenskille 3 3 2 2 4" xfId="362" xr:uid="{00000000-0005-0000-0000-00009F020000}"/>
    <cellStyle name="Tusenskille 3 3 2 2 5" xfId="452" xr:uid="{00000000-0005-0000-0000-0000A0020000}"/>
    <cellStyle name="Tusenskille 3 3 2 2 6" xfId="542" xr:uid="{00000000-0005-0000-0000-0000A1020000}"/>
    <cellStyle name="Tusenskille 3 3 2 2 7" xfId="632" xr:uid="{00000000-0005-0000-0000-0000A2020000}"/>
    <cellStyle name="Tusenskille 3 3 2 2 8" xfId="722" xr:uid="{00000000-0005-0000-0000-0000A3020000}"/>
    <cellStyle name="Tusenskille 3 3 2 2 9" xfId="819" xr:uid="{00000000-0005-0000-0000-0000A4020000}"/>
    <cellStyle name="Tusenskille 3 3 2 3" xfId="145" xr:uid="{00000000-0005-0000-0000-0000A5020000}"/>
    <cellStyle name="Tusenskille 3 3 2 4" xfId="235" xr:uid="{00000000-0005-0000-0000-0000A6020000}"/>
    <cellStyle name="Tusenskille 3 3 2 5" xfId="325" xr:uid="{00000000-0005-0000-0000-0000A7020000}"/>
    <cellStyle name="Tusenskille 3 3 2 6" xfId="415" xr:uid="{00000000-0005-0000-0000-0000A8020000}"/>
    <cellStyle name="Tusenskille 3 3 2 7" xfId="505" xr:uid="{00000000-0005-0000-0000-0000A9020000}"/>
    <cellStyle name="Tusenskille 3 3 2 8" xfId="595" xr:uid="{00000000-0005-0000-0000-0000AA020000}"/>
    <cellStyle name="Tusenskille 3 3 2 9" xfId="685" xr:uid="{00000000-0005-0000-0000-0000AB020000}"/>
    <cellStyle name="Tusenskille 3 3 3" xfId="70" xr:uid="{00000000-0005-0000-0000-0000AC020000}"/>
    <cellStyle name="Tusenskille 3 3 3 2" xfId="163" xr:uid="{00000000-0005-0000-0000-0000AD020000}"/>
    <cellStyle name="Tusenskille 3 3 3 3" xfId="253" xr:uid="{00000000-0005-0000-0000-0000AE020000}"/>
    <cellStyle name="Tusenskille 3 3 3 4" xfId="343" xr:uid="{00000000-0005-0000-0000-0000AF020000}"/>
    <cellStyle name="Tusenskille 3 3 3 5" xfId="433" xr:uid="{00000000-0005-0000-0000-0000B0020000}"/>
    <cellStyle name="Tusenskille 3 3 3 6" xfId="523" xr:uid="{00000000-0005-0000-0000-0000B1020000}"/>
    <cellStyle name="Tusenskille 3 3 3 7" xfId="613" xr:uid="{00000000-0005-0000-0000-0000B2020000}"/>
    <cellStyle name="Tusenskille 3 3 3 8" xfId="703" xr:uid="{00000000-0005-0000-0000-0000B3020000}"/>
    <cellStyle name="Tusenskille 3 3 3 9" xfId="800" xr:uid="{00000000-0005-0000-0000-0000B4020000}"/>
    <cellStyle name="Tusenskille 3 3 4" xfId="126" xr:uid="{00000000-0005-0000-0000-0000B5020000}"/>
    <cellStyle name="Tusenskille 3 3 5" xfId="216" xr:uid="{00000000-0005-0000-0000-0000B6020000}"/>
    <cellStyle name="Tusenskille 3 3 6" xfId="306" xr:uid="{00000000-0005-0000-0000-0000B7020000}"/>
    <cellStyle name="Tusenskille 3 3 7" xfId="396" xr:uid="{00000000-0005-0000-0000-0000B8020000}"/>
    <cellStyle name="Tusenskille 3 3 8" xfId="486" xr:uid="{00000000-0005-0000-0000-0000B9020000}"/>
    <cellStyle name="Tusenskille 3 3 9" xfId="576" xr:uid="{00000000-0005-0000-0000-0000BA020000}"/>
    <cellStyle name="Tusenskille 3 4" xfId="30" xr:uid="{00000000-0005-0000-0000-0000BB020000}"/>
    <cellStyle name="Tusenskille 3 4 10" xfId="669" xr:uid="{00000000-0005-0000-0000-0000BC020000}"/>
    <cellStyle name="Tusenskille 3 4 11" xfId="764" xr:uid="{00000000-0005-0000-0000-0000BD020000}"/>
    <cellStyle name="Tusenskille 3 4 2" xfId="52" xr:uid="{00000000-0005-0000-0000-0000BE020000}"/>
    <cellStyle name="Tusenskille 3 4 2 10" xfId="784" xr:uid="{00000000-0005-0000-0000-0000BF020000}"/>
    <cellStyle name="Tusenskille 3 4 2 2" xfId="92" xr:uid="{00000000-0005-0000-0000-0000C0020000}"/>
    <cellStyle name="Tusenskille 3 4 2 2 2" xfId="185" xr:uid="{00000000-0005-0000-0000-0000C1020000}"/>
    <cellStyle name="Tusenskille 3 4 2 2 3" xfId="275" xr:uid="{00000000-0005-0000-0000-0000C2020000}"/>
    <cellStyle name="Tusenskille 3 4 2 2 4" xfId="365" xr:uid="{00000000-0005-0000-0000-0000C3020000}"/>
    <cellStyle name="Tusenskille 3 4 2 2 5" xfId="455" xr:uid="{00000000-0005-0000-0000-0000C4020000}"/>
    <cellStyle name="Tusenskille 3 4 2 2 6" xfId="545" xr:uid="{00000000-0005-0000-0000-0000C5020000}"/>
    <cellStyle name="Tusenskille 3 4 2 2 7" xfId="635" xr:uid="{00000000-0005-0000-0000-0000C6020000}"/>
    <cellStyle name="Tusenskille 3 4 2 2 8" xfId="725" xr:uid="{00000000-0005-0000-0000-0000C7020000}"/>
    <cellStyle name="Tusenskille 3 4 2 2 9" xfId="822" xr:uid="{00000000-0005-0000-0000-0000C8020000}"/>
    <cellStyle name="Tusenskille 3 4 2 3" xfId="148" xr:uid="{00000000-0005-0000-0000-0000C9020000}"/>
    <cellStyle name="Tusenskille 3 4 2 4" xfId="238" xr:uid="{00000000-0005-0000-0000-0000CA020000}"/>
    <cellStyle name="Tusenskille 3 4 2 5" xfId="328" xr:uid="{00000000-0005-0000-0000-0000CB020000}"/>
    <cellStyle name="Tusenskille 3 4 2 6" xfId="418" xr:uid="{00000000-0005-0000-0000-0000CC020000}"/>
    <cellStyle name="Tusenskille 3 4 2 7" xfId="508" xr:uid="{00000000-0005-0000-0000-0000CD020000}"/>
    <cellStyle name="Tusenskille 3 4 2 8" xfId="598" xr:uid="{00000000-0005-0000-0000-0000CE020000}"/>
    <cellStyle name="Tusenskille 3 4 2 9" xfId="688" xr:uid="{00000000-0005-0000-0000-0000CF020000}"/>
    <cellStyle name="Tusenskille 3 4 3" xfId="73" xr:uid="{00000000-0005-0000-0000-0000D0020000}"/>
    <cellStyle name="Tusenskille 3 4 3 2" xfId="166" xr:uid="{00000000-0005-0000-0000-0000D1020000}"/>
    <cellStyle name="Tusenskille 3 4 3 3" xfId="256" xr:uid="{00000000-0005-0000-0000-0000D2020000}"/>
    <cellStyle name="Tusenskille 3 4 3 4" xfId="346" xr:uid="{00000000-0005-0000-0000-0000D3020000}"/>
    <cellStyle name="Tusenskille 3 4 3 5" xfId="436" xr:uid="{00000000-0005-0000-0000-0000D4020000}"/>
    <cellStyle name="Tusenskille 3 4 3 6" xfId="526" xr:uid="{00000000-0005-0000-0000-0000D5020000}"/>
    <cellStyle name="Tusenskille 3 4 3 7" xfId="616" xr:uid="{00000000-0005-0000-0000-0000D6020000}"/>
    <cellStyle name="Tusenskille 3 4 3 8" xfId="706" xr:uid="{00000000-0005-0000-0000-0000D7020000}"/>
    <cellStyle name="Tusenskille 3 4 3 9" xfId="803" xr:uid="{00000000-0005-0000-0000-0000D8020000}"/>
    <cellStyle name="Tusenskille 3 4 4" xfId="129" xr:uid="{00000000-0005-0000-0000-0000D9020000}"/>
    <cellStyle name="Tusenskille 3 4 5" xfId="219" xr:uid="{00000000-0005-0000-0000-0000DA020000}"/>
    <cellStyle name="Tusenskille 3 4 6" xfId="309" xr:uid="{00000000-0005-0000-0000-0000DB020000}"/>
    <cellStyle name="Tusenskille 3 4 7" xfId="399" xr:uid="{00000000-0005-0000-0000-0000DC020000}"/>
    <cellStyle name="Tusenskille 3 4 8" xfId="489" xr:uid="{00000000-0005-0000-0000-0000DD020000}"/>
    <cellStyle name="Tusenskille 3 4 9" xfId="579" xr:uid="{00000000-0005-0000-0000-0000DE020000}"/>
    <cellStyle name="Tusenskille 3 5" xfId="34" xr:uid="{00000000-0005-0000-0000-0000DF020000}"/>
    <cellStyle name="Tusenskille 3 5 10" xfId="672" xr:uid="{00000000-0005-0000-0000-0000E0020000}"/>
    <cellStyle name="Tusenskille 3 5 11" xfId="767" xr:uid="{00000000-0005-0000-0000-0000E1020000}"/>
    <cellStyle name="Tusenskille 3 5 2" xfId="56" xr:uid="{00000000-0005-0000-0000-0000E2020000}"/>
    <cellStyle name="Tusenskille 3 5 2 10" xfId="787" xr:uid="{00000000-0005-0000-0000-0000E3020000}"/>
    <cellStyle name="Tusenskille 3 5 2 2" xfId="96" xr:uid="{00000000-0005-0000-0000-0000E4020000}"/>
    <cellStyle name="Tusenskille 3 5 2 2 2" xfId="188" xr:uid="{00000000-0005-0000-0000-0000E5020000}"/>
    <cellStyle name="Tusenskille 3 5 2 2 3" xfId="278" xr:uid="{00000000-0005-0000-0000-0000E6020000}"/>
    <cellStyle name="Tusenskille 3 5 2 2 4" xfId="368" xr:uid="{00000000-0005-0000-0000-0000E7020000}"/>
    <cellStyle name="Tusenskille 3 5 2 2 5" xfId="458" xr:uid="{00000000-0005-0000-0000-0000E8020000}"/>
    <cellStyle name="Tusenskille 3 5 2 2 6" xfId="548" xr:uid="{00000000-0005-0000-0000-0000E9020000}"/>
    <cellStyle name="Tusenskille 3 5 2 2 7" xfId="638" xr:uid="{00000000-0005-0000-0000-0000EA020000}"/>
    <cellStyle name="Tusenskille 3 5 2 2 8" xfId="728" xr:uid="{00000000-0005-0000-0000-0000EB020000}"/>
    <cellStyle name="Tusenskille 3 5 2 2 9" xfId="825" xr:uid="{00000000-0005-0000-0000-0000EC020000}"/>
    <cellStyle name="Tusenskille 3 5 2 3" xfId="151" xr:uid="{00000000-0005-0000-0000-0000ED020000}"/>
    <cellStyle name="Tusenskille 3 5 2 4" xfId="241" xr:uid="{00000000-0005-0000-0000-0000EE020000}"/>
    <cellStyle name="Tusenskille 3 5 2 5" xfId="331" xr:uid="{00000000-0005-0000-0000-0000EF020000}"/>
    <cellStyle name="Tusenskille 3 5 2 6" xfId="421" xr:uid="{00000000-0005-0000-0000-0000F0020000}"/>
    <cellStyle name="Tusenskille 3 5 2 7" xfId="511" xr:uid="{00000000-0005-0000-0000-0000F1020000}"/>
    <cellStyle name="Tusenskille 3 5 2 8" xfId="601" xr:uid="{00000000-0005-0000-0000-0000F2020000}"/>
    <cellStyle name="Tusenskille 3 5 2 9" xfId="691" xr:uid="{00000000-0005-0000-0000-0000F3020000}"/>
    <cellStyle name="Tusenskille 3 5 3" xfId="76" xr:uid="{00000000-0005-0000-0000-0000F4020000}"/>
    <cellStyle name="Tusenskille 3 5 3 2" xfId="169" xr:uid="{00000000-0005-0000-0000-0000F5020000}"/>
    <cellStyle name="Tusenskille 3 5 3 3" xfId="259" xr:uid="{00000000-0005-0000-0000-0000F6020000}"/>
    <cellStyle name="Tusenskille 3 5 3 4" xfId="349" xr:uid="{00000000-0005-0000-0000-0000F7020000}"/>
    <cellStyle name="Tusenskille 3 5 3 5" xfId="439" xr:uid="{00000000-0005-0000-0000-0000F8020000}"/>
    <cellStyle name="Tusenskille 3 5 3 6" xfId="529" xr:uid="{00000000-0005-0000-0000-0000F9020000}"/>
    <cellStyle name="Tusenskille 3 5 3 7" xfId="619" xr:uid="{00000000-0005-0000-0000-0000FA020000}"/>
    <cellStyle name="Tusenskille 3 5 3 8" xfId="709" xr:uid="{00000000-0005-0000-0000-0000FB020000}"/>
    <cellStyle name="Tusenskille 3 5 3 9" xfId="806" xr:uid="{00000000-0005-0000-0000-0000FC020000}"/>
    <cellStyle name="Tusenskille 3 5 4" xfId="132" xr:uid="{00000000-0005-0000-0000-0000FD020000}"/>
    <cellStyle name="Tusenskille 3 5 5" xfId="222" xr:uid="{00000000-0005-0000-0000-0000FE020000}"/>
    <cellStyle name="Tusenskille 3 5 6" xfId="312" xr:uid="{00000000-0005-0000-0000-0000FF020000}"/>
    <cellStyle name="Tusenskille 3 5 7" xfId="402" xr:uid="{00000000-0005-0000-0000-000000030000}"/>
    <cellStyle name="Tusenskille 3 5 8" xfId="492" xr:uid="{00000000-0005-0000-0000-000001030000}"/>
    <cellStyle name="Tusenskille 3 5 9" xfId="582" xr:uid="{00000000-0005-0000-0000-000002030000}"/>
    <cellStyle name="Tusenskille 3 6" xfId="37" xr:uid="{00000000-0005-0000-0000-000003030000}"/>
    <cellStyle name="Tusenskille 3 6 10" xfId="675" xr:uid="{00000000-0005-0000-0000-000004030000}"/>
    <cellStyle name="Tusenskille 3 6 11" xfId="770" xr:uid="{00000000-0005-0000-0000-000005030000}"/>
    <cellStyle name="Tusenskille 3 6 2" xfId="59" xr:uid="{00000000-0005-0000-0000-000006030000}"/>
    <cellStyle name="Tusenskille 3 6 2 10" xfId="790" xr:uid="{00000000-0005-0000-0000-000007030000}"/>
    <cellStyle name="Tusenskille 3 6 2 2" xfId="99" xr:uid="{00000000-0005-0000-0000-000008030000}"/>
    <cellStyle name="Tusenskille 3 6 2 2 2" xfId="191" xr:uid="{00000000-0005-0000-0000-000009030000}"/>
    <cellStyle name="Tusenskille 3 6 2 2 3" xfId="281" xr:uid="{00000000-0005-0000-0000-00000A030000}"/>
    <cellStyle name="Tusenskille 3 6 2 2 4" xfId="371" xr:uid="{00000000-0005-0000-0000-00000B030000}"/>
    <cellStyle name="Tusenskille 3 6 2 2 5" xfId="461" xr:uid="{00000000-0005-0000-0000-00000C030000}"/>
    <cellStyle name="Tusenskille 3 6 2 2 6" xfId="551" xr:uid="{00000000-0005-0000-0000-00000D030000}"/>
    <cellStyle name="Tusenskille 3 6 2 2 7" xfId="641" xr:uid="{00000000-0005-0000-0000-00000E030000}"/>
    <cellStyle name="Tusenskille 3 6 2 2 8" xfId="731" xr:uid="{00000000-0005-0000-0000-00000F030000}"/>
    <cellStyle name="Tusenskille 3 6 2 2 9" xfId="828" xr:uid="{00000000-0005-0000-0000-000010030000}"/>
    <cellStyle name="Tusenskille 3 6 2 3" xfId="154" xr:uid="{00000000-0005-0000-0000-000011030000}"/>
    <cellStyle name="Tusenskille 3 6 2 4" xfId="244" xr:uid="{00000000-0005-0000-0000-000012030000}"/>
    <cellStyle name="Tusenskille 3 6 2 5" xfId="334" xr:uid="{00000000-0005-0000-0000-000013030000}"/>
    <cellStyle name="Tusenskille 3 6 2 6" xfId="424" xr:uid="{00000000-0005-0000-0000-000014030000}"/>
    <cellStyle name="Tusenskille 3 6 2 7" xfId="514" xr:uid="{00000000-0005-0000-0000-000015030000}"/>
    <cellStyle name="Tusenskille 3 6 2 8" xfId="604" xr:uid="{00000000-0005-0000-0000-000016030000}"/>
    <cellStyle name="Tusenskille 3 6 2 9" xfId="694" xr:uid="{00000000-0005-0000-0000-000017030000}"/>
    <cellStyle name="Tusenskille 3 6 3" xfId="79" xr:uid="{00000000-0005-0000-0000-000018030000}"/>
    <cellStyle name="Tusenskille 3 6 3 2" xfId="172" xr:uid="{00000000-0005-0000-0000-000019030000}"/>
    <cellStyle name="Tusenskille 3 6 3 3" xfId="262" xr:uid="{00000000-0005-0000-0000-00001A030000}"/>
    <cellStyle name="Tusenskille 3 6 3 4" xfId="352" xr:uid="{00000000-0005-0000-0000-00001B030000}"/>
    <cellStyle name="Tusenskille 3 6 3 5" xfId="442" xr:uid="{00000000-0005-0000-0000-00001C030000}"/>
    <cellStyle name="Tusenskille 3 6 3 6" xfId="532" xr:uid="{00000000-0005-0000-0000-00001D030000}"/>
    <cellStyle name="Tusenskille 3 6 3 7" xfId="622" xr:uid="{00000000-0005-0000-0000-00001E030000}"/>
    <cellStyle name="Tusenskille 3 6 3 8" xfId="712" xr:uid="{00000000-0005-0000-0000-00001F030000}"/>
    <cellStyle name="Tusenskille 3 6 3 9" xfId="809" xr:uid="{00000000-0005-0000-0000-000020030000}"/>
    <cellStyle name="Tusenskille 3 6 4" xfId="135" xr:uid="{00000000-0005-0000-0000-000021030000}"/>
    <cellStyle name="Tusenskille 3 6 5" xfId="225" xr:uid="{00000000-0005-0000-0000-000022030000}"/>
    <cellStyle name="Tusenskille 3 6 6" xfId="315" xr:uid="{00000000-0005-0000-0000-000023030000}"/>
    <cellStyle name="Tusenskille 3 6 7" xfId="405" xr:uid="{00000000-0005-0000-0000-000024030000}"/>
    <cellStyle name="Tusenskille 3 6 8" xfId="495" xr:uid="{00000000-0005-0000-0000-000025030000}"/>
    <cellStyle name="Tusenskille 3 6 9" xfId="585" xr:uid="{00000000-0005-0000-0000-000026030000}"/>
    <cellStyle name="Tusenskille 3 7" xfId="43" xr:uid="{00000000-0005-0000-0000-000027030000}"/>
    <cellStyle name="Tusenskille 3 7 10" xfId="775" xr:uid="{00000000-0005-0000-0000-000028030000}"/>
    <cellStyle name="Tusenskille 3 7 2" xfId="83" xr:uid="{00000000-0005-0000-0000-000029030000}"/>
    <cellStyle name="Tusenskille 3 7 2 2" xfId="176" xr:uid="{00000000-0005-0000-0000-00002A030000}"/>
    <cellStyle name="Tusenskille 3 7 2 3" xfId="266" xr:uid="{00000000-0005-0000-0000-00002B030000}"/>
    <cellStyle name="Tusenskille 3 7 2 4" xfId="356" xr:uid="{00000000-0005-0000-0000-00002C030000}"/>
    <cellStyle name="Tusenskille 3 7 2 5" xfId="446" xr:uid="{00000000-0005-0000-0000-00002D030000}"/>
    <cellStyle name="Tusenskille 3 7 2 6" xfId="536" xr:uid="{00000000-0005-0000-0000-00002E030000}"/>
    <cellStyle name="Tusenskille 3 7 2 7" xfId="626" xr:uid="{00000000-0005-0000-0000-00002F030000}"/>
    <cellStyle name="Tusenskille 3 7 2 8" xfId="716" xr:uid="{00000000-0005-0000-0000-000030030000}"/>
    <cellStyle name="Tusenskille 3 7 2 9" xfId="813" xr:uid="{00000000-0005-0000-0000-000031030000}"/>
    <cellStyle name="Tusenskille 3 7 3" xfId="139" xr:uid="{00000000-0005-0000-0000-000032030000}"/>
    <cellStyle name="Tusenskille 3 7 4" xfId="229" xr:uid="{00000000-0005-0000-0000-000033030000}"/>
    <cellStyle name="Tusenskille 3 7 5" xfId="319" xr:uid="{00000000-0005-0000-0000-000034030000}"/>
    <cellStyle name="Tusenskille 3 7 6" xfId="409" xr:uid="{00000000-0005-0000-0000-000035030000}"/>
    <cellStyle name="Tusenskille 3 7 7" xfId="499" xr:uid="{00000000-0005-0000-0000-000036030000}"/>
    <cellStyle name="Tusenskille 3 7 8" xfId="589" xr:uid="{00000000-0005-0000-0000-000037030000}"/>
    <cellStyle name="Tusenskille 3 7 9" xfId="679" xr:uid="{00000000-0005-0000-0000-000038030000}"/>
    <cellStyle name="Tusenskille 3 8" xfId="64" xr:uid="{00000000-0005-0000-0000-000039030000}"/>
    <cellStyle name="Tusenskille 3 8 2" xfId="157" xr:uid="{00000000-0005-0000-0000-00003A030000}"/>
    <cellStyle name="Tusenskille 3 8 3" xfId="247" xr:uid="{00000000-0005-0000-0000-00003B030000}"/>
    <cellStyle name="Tusenskille 3 8 4" xfId="337" xr:uid="{00000000-0005-0000-0000-00003C030000}"/>
    <cellStyle name="Tusenskille 3 8 5" xfId="427" xr:uid="{00000000-0005-0000-0000-00003D030000}"/>
    <cellStyle name="Tusenskille 3 8 6" xfId="517" xr:uid="{00000000-0005-0000-0000-00003E030000}"/>
    <cellStyle name="Tusenskille 3 8 7" xfId="607" xr:uid="{00000000-0005-0000-0000-00003F030000}"/>
    <cellStyle name="Tusenskille 3 8 8" xfId="697" xr:uid="{00000000-0005-0000-0000-000040030000}"/>
    <cellStyle name="Tusenskille 3 8 9" xfId="794" xr:uid="{00000000-0005-0000-0000-000041030000}"/>
    <cellStyle name="Tusenskille 3 9" xfId="102" xr:uid="{00000000-0005-0000-0000-000042030000}"/>
    <cellStyle name="Tusenskille 3 9 2" xfId="194" xr:uid="{00000000-0005-0000-0000-000043030000}"/>
    <cellStyle name="Tusenskille 3 9 3" xfId="284" xr:uid="{00000000-0005-0000-0000-000044030000}"/>
    <cellStyle name="Tusenskille 3 9 4" xfId="374" xr:uid="{00000000-0005-0000-0000-000045030000}"/>
    <cellStyle name="Tusenskille 3 9 5" xfId="464" xr:uid="{00000000-0005-0000-0000-000046030000}"/>
    <cellStyle name="Tusenskille 3 9 6" xfId="554" xr:uid="{00000000-0005-0000-0000-000047030000}"/>
    <cellStyle name="Tusenskille 3 9 7" xfId="644" xr:uid="{00000000-0005-0000-0000-000048030000}"/>
    <cellStyle name="Tusenskille 3 9 8" xfId="734" xr:uid="{00000000-0005-0000-0000-000049030000}"/>
    <cellStyle name="Tusenskille 3 9 9" xfId="831" xr:uid="{00000000-0005-0000-0000-00004A030000}"/>
    <cellStyle name="Tusenskille 4" xfId="17" xr:uid="{00000000-0005-0000-0000-00004B030000}"/>
    <cellStyle name="Tusenskille 4 2" xfId="753" xr:uid="{00000000-0005-0000-0000-00004C030000}"/>
    <cellStyle name="Tusenskille 5" xfId="13" xr:uid="{00000000-0005-0000-0000-00004D030000}"/>
    <cellStyle name="Tusenskille 5 2" xfId="749" xr:uid="{00000000-0005-0000-0000-00004E030000}"/>
    <cellStyle name="Tusenskille 6" xfId="115" xr:uid="{00000000-0005-0000-0000-00004F030000}"/>
    <cellStyle name="TusenskilleFjernNull" xfId="846" xr:uid="{00000000-0005-0000-0000-000050030000}"/>
  </cellStyles>
  <dxfs count="4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8E9D6"/>
      <color rgb="FFFFFF99"/>
      <color rgb="FFF7D7F7"/>
      <color rgb="FFFCD2E2"/>
      <color rgb="FFD2F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0" Type="http://schemas.openxmlformats.org/officeDocument/2006/relationships/worksheet" Target="worksheets/sheet20.xml"/><Relationship Id="rId4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140801174953532"/>
          <c:y val="9.8477480734069936E-2"/>
          <c:w val="0.74903048765490665"/>
          <c:h val="0.65437502946862602"/>
        </c:manualLayout>
      </c:layout>
      <c:barChart>
        <c:barDir val="col"/>
        <c:grouping val="clustered"/>
        <c:varyColors val="0"/>
        <c:ser>
          <c:idx val="0"/>
          <c:order val="0"/>
          <c:tx>
            <c:strRef>
              <c:f>Figurer!$M$7</c:f>
              <c:strCache>
                <c:ptCount val="1"/>
                <c:pt idx="0">
                  <c:v>2024</c:v>
                </c:pt>
              </c:strCache>
            </c:strRef>
          </c:tx>
          <c:invertIfNegative val="0"/>
          <c:cat>
            <c:strRef>
              <c:f>Figurer!$L$8:$L$31</c:f>
              <c:strCache>
                <c:ptCount val="24"/>
                <c:pt idx="0">
                  <c:v>DNB Liv</c:v>
                </c:pt>
                <c:pt idx="1">
                  <c:v>Eika Forsikring</c:v>
                </c:pt>
                <c:pt idx="2">
                  <c:v>Euro Accident</c:v>
                </c:pt>
                <c:pt idx="3">
                  <c:v>Fremtind Livsfors</c:v>
                </c:pt>
                <c:pt idx="4">
                  <c:v>Frende Livsfors</c:v>
                </c:pt>
                <c:pt idx="5">
                  <c:v>Frende Skade</c:v>
                </c:pt>
                <c:pt idx="6">
                  <c:v>Gjensidige Fors</c:v>
                </c:pt>
                <c:pt idx="7">
                  <c:v>Gjensidige Pensj</c:v>
                </c:pt>
                <c:pt idx="8">
                  <c:v>If Skadefors</c:v>
                </c:pt>
                <c:pt idx="9">
                  <c:v>KLP</c:v>
                </c:pt>
                <c:pt idx="10">
                  <c:v>KLP Skadef</c:v>
                </c:pt>
                <c:pt idx="11">
                  <c:v>Knif Trygghet Fors.</c:v>
                </c:pt>
                <c:pt idx="12">
                  <c:v>Landkreditt Fors.</c:v>
                </c:pt>
                <c:pt idx="13">
                  <c:v>Ly Forsikring</c:v>
                </c:pt>
                <c:pt idx="14">
                  <c:v>Nordea Liv</c:v>
                </c:pt>
                <c:pt idx="15">
                  <c:v>Oslo Forsikring</c:v>
                </c:pt>
                <c:pt idx="16">
                  <c:v>OPF</c:v>
                </c:pt>
                <c:pt idx="17">
                  <c:v>Protector Fors</c:v>
                </c:pt>
                <c:pt idx="18">
                  <c:v>SpareBank 1 Forsikring</c:v>
                </c:pt>
                <c:pt idx="19">
                  <c:v>Storebrand Liv</c:v>
                </c:pt>
                <c:pt idx="20">
                  <c:v>Telenor Fors</c:v>
                </c:pt>
                <c:pt idx="21">
                  <c:v>Tryg Fors</c:v>
                </c:pt>
                <c:pt idx="22">
                  <c:v>WaterCircles Fors.</c:v>
                </c:pt>
                <c:pt idx="23">
                  <c:v>Youplus Livsf</c:v>
                </c:pt>
              </c:strCache>
            </c:strRef>
          </c:cat>
          <c:val>
            <c:numRef>
              <c:f>Figurer!$M$8:$M$31</c:f>
              <c:numCache>
                <c:formatCode>#,##0</c:formatCode>
                <c:ptCount val="24"/>
                <c:pt idx="0">
                  <c:v>2786261.05822</c:v>
                </c:pt>
                <c:pt idx="1">
                  <c:v>452553</c:v>
                </c:pt>
                <c:pt idx="2">
                  <c:v>71355</c:v>
                </c:pt>
                <c:pt idx="3">
                  <c:v>2813938.0383600001</c:v>
                </c:pt>
                <c:pt idx="4">
                  <c:v>633438.71653000009</c:v>
                </c:pt>
                <c:pt idx="5">
                  <c:v>2550.4560000000001</c:v>
                </c:pt>
                <c:pt idx="6">
                  <c:v>1979927.014771</c:v>
                </c:pt>
                <c:pt idx="7">
                  <c:v>804951</c:v>
                </c:pt>
                <c:pt idx="8">
                  <c:v>569992.80272692</c:v>
                </c:pt>
                <c:pt idx="9">
                  <c:v>51622820.619410001</c:v>
                </c:pt>
                <c:pt idx="10">
                  <c:v>351084.87199999997</c:v>
                </c:pt>
                <c:pt idx="11">
                  <c:v>45112</c:v>
                </c:pt>
                <c:pt idx="12">
                  <c:v>33530</c:v>
                </c:pt>
                <c:pt idx="13">
                  <c:v>26022</c:v>
                </c:pt>
                <c:pt idx="14">
                  <c:v>1459976.8272531251</c:v>
                </c:pt>
                <c:pt idx="15">
                  <c:v>25648</c:v>
                </c:pt>
                <c:pt idx="16">
                  <c:v>7128000</c:v>
                </c:pt>
                <c:pt idx="17">
                  <c:v>394500</c:v>
                </c:pt>
                <c:pt idx="18">
                  <c:v>699214.96857000003</c:v>
                </c:pt>
                <c:pt idx="19">
                  <c:v>6441646.2694199998</c:v>
                </c:pt>
                <c:pt idx="20">
                  <c:v>7051</c:v>
                </c:pt>
                <c:pt idx="21">
                  <c:v>858841.02</c:v>
                </c:pt>
                <c:pt idx="22">
                  <c:v>1799.9657</c:v>
                </c:pt>
                <c:pt idx="23">
                  <c:v>58439</c:v>
                </c:pt>
              </c:numCache>
            </c:numRef>
          </c:val>
          <c:extLst>
            <c:ext xmlns:c16="http://schemas.microsoft.com/office/drawing/2014/chart" uri="{C3380CC4-5D6E-409C-BE32-E72D297353CC}">
              <c16:uniqueId val="{00000002-93AE-4CD9-98AD-A52686D1F9FB}"/>
            </c:ext>
          </c:extLst>
        </c:ser>
        <c:ser>
          <c:idx val="1"/>
          <c:order val="1"/>
          <c:tx>
            <c:strRef>
              <c:f>Figurer!$N$7</c:f>
              <c:strCache>
                <c:ptCount val="1"/>
                <c:pt idx="0">
                  <c:v>2025</c:v>
                </c:pt>
              </c:strCache>
            </c:strRef>
          </c:tx>
          <c:invertIfNegative val="0"/>
          <c:cat>
            <c:strRef>
              <c:f>Figurer!$L$8:$L$31</c:f>
              <c:strCache>
                <c:ptCount val="24"/>
                <c:pt idx="0">
                  <c:v>DNB Liv</c:v>
                </c:pt>
                <c:pt idx="1">
                  <c:v>Eika Forsikring</c:v>
                </c:pt>
                <c:pt idx="2">
                  <c:v>Euro Accident</c:v>
                </c:pt>
                <c:pt idx="3">
                  <c:v>Fremtind Livsfors</c:v>
                </c:pt>
                <c:pt idx="4">
                  <c:v>Frende Livsfors</c:v>
                </c:pt>
                <c:pt idx="5">
                  <c:v>Frende Skade</c:v>
                </c:pt>
                <c:pt idx="6">
                  <c:v>Gjensidige Fors</c:v>
                </c:pt>
                <c:pt idx="7">
                  <c:v>Gjensidige Pensj</c:v>
                </c:pt>
                <c:pt idx="8">
                  <c:v>If Skadefors</c:v>
                </c:pt>
                <c:pt idx="9">
                  <c:v>KLP</c:v>
                </c:pt>
                <c:pt idx="10">
                  <c:v>KLP Skadef</c:v>
                </c:pt>
                <c:pt idx="11">
                  <c:v>Knif Trygghet Fors.</c:v>
                </c:pt>
                <c:pt idx="12">
                  <c:v>Landkreditt Fors.</c:v>
                </c:pt>
                <c:pt idx="13">
                  <c:v>Ly Forsikring</c:v>
                </c:pt>
                <c:pt idx="14">
                  <c:v>Nordea Liv</c:v>
                </c:pt>
                <c:pt idx="15">
                  <c:v>Oslo Forsikring</c:v>
                </c:pt>
                <c:pt idx="16">
                  <c:v>OPF</c:v>
                </c:pt>
                <c:pt idx="17">
                  <c:v>Protector Fors</c:v>
                </c:pt>
                <c:pt idx="18">
                  <c:v>SpareBank 1 Forsikring</c:v>
                </c:pt>
                <c:pt idx="19">
                  <c:v>Storebrand Liv</c:v>
                </c:pt>
                <c:pt idx="20">
                  <c:v>Telenor Fors</c:v>
                </c:pt>
                <c:pt idx="21">
                  <c:v>Tryg Fors</c:v>
                </c:pt>
                <c:pt idx="22">
                  <c:v>WaterCircles Fors.</c:v>
                </c:pt>
                <c:pt idx="23">
                  <c:v>Youplus Livsf</c:v>
                </c:pt>
              </c:strCache>
            </c:strRef>
          </c:cat>
          <c:val>
            <c:numRef>
              <c:f>Figurer!$N$8:$N$31</c:f>
              <c:numCache>
                <c:formatCode>#,##0</c:formatCode>
                <c:ptCount val="24"/>
                <c:pt idx="0">
                  <c:v>2965819.5959999999</c:v>
                </c:pt>
                <c:pt idx="1">
                  <c:v>0</c:v>
                </c:pt>
                <c:pt idx="2">
                  <c:v>99295</c:v>
                </c:pt>
                <c:pt idx="3">
                  <c:v>3462010.0061499998</c:v>
                </c:pt>
                <c:pt idx="4">
                  <c:v>711774</c:v>
                </c:pt>
                <c:pt idx="5">
                  <c:v>294.02600000000001</c:v>
                </c:pt>
                <c:pt idx="6">
                  <c:v>2112841.6972000003</c:v>
                </c:pt>
                <c:pt idx="7">
                  <c:v>922743</c:v>
                </c:pt>
                <c:pt idx="8">
                  <c:v>641858.92080210301</c:v>
                </c:pt>
                <c:pt idx="9">
                  <c:v>53411640.652769998</c:v>
                </c:pt>
                <c:pt idx="10">
                  <c:v>390250.82899999997</c:v>
                </c:pt>
                <c:pt idx="11">
                  <c:v>47931</c:v>
                </c:pt>
                <c:pt idx="12">
                  <c:v>95312</c:v>
                </c:pt>
                <c:pt idx="13">
                  <c:v>28003.901999999998</c:v>
                </c:pt>
                <c:pt idx="14">
                  <c:v>1620085.9491118481</c:v>
                </c:pt>
                <c:pt idx="15">
                  <c:v>27203</c:v>
                </c:pt>
                <c:pt idx="16">
                  <c:v>7353000</c:v>
                </c:pt>
                <c:pt idx="17">
                  <c:v>406788.94739192334</c:v>
                </c:pt>
                <c:pt idx="18">
                  <c:v>755360.10631000006</c:v>
                </c:pt>
                <c:pt idx="19">
                  <c:v>7381887.6245199991</c:v>
                </c:pt>
                <c:pt idx="20">
                  <c:v>5952</c:v>
                </c:pt>
                <c:pt idx="21">
                  <c:v>861588.31699999992</c:v>
                </c:pt>
                <c:pt idx="22">
                  <c:v>1617.8920000000001</c:v>
                </c:pt>
                <c:pt idx="23">
                  <c:v>83478</c:v>
                </c:pt>
              </c:numCache>
            </c:numRef>
          </c:val>
          <c:extLst>
            <c:ext xmlns:c16="http://schemas.microsoft.com/office/drawing/2014/chart" uri="{C3380CC4-5D6E-409C-BE32-E72D297353CC}">
              <c16:uniqueId val="{00000003-93AE-4CD9-98AD-A52686D1F9FB}"/>
            </c:ext>
          </c:extLst>
        </c:ser>
        <c:dLbls>
          <c:showLegendKey val="0"/>
          <c:showVal val="0"/>
          <c:showCatName val="0"/>
          <c:showSerName val="0"/>
          <c:showPercent val="0"/>
          <c:showBubbleSize val="0"/>
        </c:dLbls>
        <c:gapWidth val="150"/>
        <c:axId val="242174208"/>
        <c:axId val="242180096"/>
      </c:barChart>
      <c:catAx>
        <c:axId val="242174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180096"/>
        <c:crosses val="autoZero"/>
        <c:auto val="1"/>
        <c:lblAlgn val="ctr"/>
        <c:lblOffset val="100"/>
        <c:tickLblSkip val="1"/>
        <c:tickMarkSkip val="1"/>
        <c:noMultiLvlLbl val="0"/>
      </c:catAx>
      <c:valAx>
        <c:axId val="2421800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444532284870034E-3"/>
              <c:y val="0.3517112756115066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174208"/>
        <c:crosses val="autoZero"/>
        <c:crossBetween val="between"/>
      </c:valAx>
    </c:plotArea>
    <c:legend>
      <c:legendPos val="b"/>
      <c:layout>
        <c:manualLayout>
          <c:xMode val="edge"/>
          <c:yMode val="edge"/>
          <c:x val="0.35321900023541236"/>
          <c:y val="0.94486784960263159"/>
          <c:w val="9.5093936551103805E-2"/>
          <c:h val="3.879799456205698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608656849620704"/>
          <c:y val="0.10754105736782903"/>
          <c:w val="0.77619271486646502"/>
          <c:h val="0.61573077622722905"/>
        </c:manualLayout>
      </c:layout>
      <c:barChart>
        <c:barDir val="col"/>
        <c:grouping val="clustered"/>
        <c:varyColors val="0"/>
        <c:ser>
          <c:idx val="0"/>
          <c:order val="0"/>
          <c:tx>
            <c:strRef>
              <c:f>Figurer!$M$35</c:f>
              <c:strCache>
                <c:ptCount val="1"/>
                <c:pt idx="0">
                  <c:v>2024</c:v>
                </c:pt>
              </c:strCache>
            </c:strRef>
          </c:tx>
          <c:invertIfNegative val="0"/>
          <c:cat>
            <c:strRef>
              <c:f>Figurer!$L$36:$L$41</c:f>
              <c:strCache>
                <c:ptCount val="6"/>
                <c:pt idx="0">
                  <c:v>DNB Liv</c:v>
                </c:pt>
                <c:pt idx="1">
                  <c:v>Gjensidige Pensj</c:v>
                </c:pt>
                <c:pt idx="2">
                  <c:v>KLP</c:v>
                </c:pt>
                <c:pt idx="3">
                  <c:v>Nordea Liv</c:v>
                </c:pt>
                <c:pt idx="4">
                  <c:v>SpareBank 1 Forsikring</c:v>
                </c:pt>
                <c:pt idx="5">
                  <c:v>Storebrand Liv</c:v>
                </c:pt>
              </c:strCache>
            </c:strRef>
          </c:cat>
          <c:val>
            <c:numRef>
              <c:f>Figurer!$M$36:$M$41</c:f>
              <c:numCache>
                <c:formatCode>#,##0</c:formatCode>
                <c:ptCount val="6"/>
                <c:pt idx="0">
                  <c:v>12094571</c:v>
                </c:pt>
                <c:pt idx="1">
                  <c:v>4843361</c:v>
                </c:pt>
                <c:pt idx="2">
                  <c:v>170993.152</c:v>
                </c:pt>
                <c:pt idx="3">
                  <c:v>15106038.54532</c:v>
                </c:pt>
                <c:pt idx="4">
                  <c:v>5611244.9301099991</c:v>
                </c:pt>
                <c:pt idx="5">
                  <c:v>13576041.978</c:v>
                </c:pt>
              </c:numCache>
            </c:numRef>
          </c:val>
          <c:extLst>
            <c:ext xmlns:c16="http://schemas.microsoft.com/office/drawing/2014/chart" uri="{C3380CC4-5D6E-409C-BE32-E72D297353CC}">
              <c16:uniqueId val="{00000000-3971-4F9A-B5A3-CF52C774B823}"/>
            </c:ext>
          </c:extLst>
        </c:ser>
        <c:ser>
          <c:idx val="1"/>
          <c:order val="1"/>
          <c:tx>
            <c:strRef>
              <c:f>Figurer!$N$35</c:f>
              <c:strCache>
                <c:ptCount val="1"/>
                <c:pt idx="0">
                  <c:v>2025</c:v>
                </c:pt>
              </c:strCache>
            </c:strRef>
          </c:tx>
          <c:invertIfNegative val="0"/>
          <c:cat>
            <c:strRef>
              <c:f>Figurer!$L$36:$L$41</c:f>
              <c:strCache>
                <c:ptCount val="6"/>
                <c:pt idx="0">
                  <c:v>DNB Liv</c:v>
                </c:pt>
                <c:pt idx="1">
                  <c:v>Gjensidige Pensj</c:v>
                </c:pt>
                <c:pt idx="2">
                  <c:v>KLP</c:v>
                </c:pt>
                <c:pt idx="3">
                  <c:v>Nordea Liv</c:v>
                </c:pt>
                <c:pt idx="4">
                  <c:v>SpareBank 1 Forsikring</c:v>
                </c:pt>
                <c:pt idx="5">
                  <c:v>Storebrand Liv</c:v>
                </c:pt>
              </c:strCache>
            </c:strRef>
          </c:cat>
          <c:val>
            <c:numRef>
              <c:f>Figurer!$N$36:$N$41</c:f>
              <c:numCache>
                <c:formatCode>#,##0</c:formatCode>
                <c:ptCount val="6"/>
                <c:pt idx="0">
                  <c:v>13229791.858069999</c:v>
                </c:pt>
                <c:pt idx="1">
                  <c:v>5338467</c:v>
                </c:pt>
                <c:pt idx="2">
                  <c:v>170064.51</c:v>
                </c:pt>
                <c:pt idx="3">
                  <c:v>13708724.2082</c:v>
                </c:pt>
                <c:pt idx="4">
                  <c:v>6177737.14004</c:v>
                </c:pt>
                <c:pt idx="5">
                  <c:v>14213473.79414</c:v>
                </c:pt>
              </c:numCache>
            </c:numRef>
          </c:val>
          <c:extLst>
            <c:ext xmlns:c16="http://schemas.microsoft.com/office/drawing/2014/chart" uri="{C3380CC4-5D6E-409C-BE32-E72D297353CC}">
              <c16:uniqueId val="{00000001-3971-4F9A-B5A3-CF52C774B823}"/>
            </c:ext>
          </c:extLst>
        </c:ser>
        <c:dLbls>
          <c:showLegendKey val="0"/>
          <c:showVal val="0"/>
          <c:showCatName val="0"/>
          <c:showSerName val="0"/>
          <c:showPercent val="0"/>
          <c:showBubbleSize val="0"/>
        </c:dLbls>
        <c:gapWidth val="150"/>
        <c:axId val="242208128"/>
        <c:axId val="242427008"/>
      </c:barChart>
      <c:catAx>
        <c:axId val="24220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27008"/>
        <c:crosses val="autoZero"/>
        <c:auto val="1"/>
        <c:lblAlgn val="ctr"/>
        <c:lblOffset val="100"/>
        <c:tickLblSkip val="1"/>
        <c:tickMarkSkip val="1"/>
        <c:noMultiLvlLbl val="0"/>
      </c:catAx>
      <c:valAx>
        <c:axId val="24242700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541508114698515E-3"/>
              <c:y val="0.33962311853875432"/>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208128"/>
        <c:crosses val="autoZero"/>
        <c:crossBetween val="between"/>
      </c:valAx>
    </c:plotArea>
    <c:legend>
      <c:legendPos val="b"/>
      <c:layout>
        <c:manualLayout>
          <c:xMode val="edge"/>
          <c:yMode val="edge"/>
          <c:x val="0.34749475592659351"/>
          <c:y val="0.93710900423161392"/>
          <c:w val="0.23943149676571668"/>
          <c:h val="5.0314424982592074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034622721340161"/>
          <c:y val="7.9682070044274814E-2"/>
          <c:w val="0.72950920069418312"/>
          <c:h val="0.62009389947752291"/>
        </c:manualLayout>
      </c:layout>
      <c:barChart>
        <c:barDir val="col"/>
        <c:grouping val="clustered"/>
        <c:varyColors val="0"/>
        <c:ser>
          <c:idx val="0"/>
          <c:order val="0"/>
          <c:tx>
            <c:strRef>
              <c:f>Figurer!$M$53</c:f>
              <c:strCache>
                <c:ptCount val="1"/>
                <c:pt idx="0">
                  <c:v>2024</c:v>
                </c:pt>
              </c:strCache>
            </c:strRef>
          </c:tx>
          <c:invertIfNegative val="0"/>
          <c:cat>
            <c:strRef>
              <c:f>Figurer!$L$54:$L$75</c:f>
              <c:strCache>
                <c:ptCount val="22"/>
                <c:pt idx="0">
                  <c:v>DNB Liv</c:v>
                </c:pt>
                <c:pt idx="1">
                  <c:v>Eika Forsikring</c:v>
                </c:pt>
                <c:pt idx="2">
                  <c:v>Euro Accident</c:v>
                </c:pt>
                <c:pt idx="3">
                  <c:v>Fremtind Livsfors</c:v>
                </c:pt>
                <c:pt idx="4">
                  <c:v>Frende Livsfors</c:v>
                </c:pt>
                <c:pt idx="5">
                  <c:v>Gjensidige Fors</c:v>
                </c:pt>
                <c:pt idx="6">
                  <c:v>Gjensidige Pensj</c:v>
                </c:pt>
                <c:pt idx="7">
                  <c:v>If Skadefors</c:v>
                </c:pt>
                <c:pt idx="8">
                  <c:v>KLP</c:v>
                </c:pt>
                <c:pt idx="9">
                  <c:v>KLP Skadef</c:v>
                </c:pt>
                <c:pt idx="10">
                  <c:v>Knif Trygghet Fors.</c:v>
                </c:pt>
                <c:pt idx="11">
                  <c:v>Landkreditt Fors</c:v>
                </c:pt>
                <c:pt idx="12">
                  <c:v>Ly Forsikring</c:v>
                </c:pt>
                <c:pt idx="13">
                  <c:v>Nordea Liv</c:v>
                </c:pt>
                <c:pt idx="14">
                  <c:v>Oslo Forsikring</c:v>
                </c:pt>
                <c:pt idx="15">
                  <c:v>OPF</c:v>
                </c:pt>
                <c:pt idx="16">
                  <c:v>SpareBank 1 Forsikring</c:v>
                </c:pt>
                <c:pt idx="17">
                  <c:v>Storebrand Liv</c:v>
                </c:pt>
                <c:pt idx="18">
                  <c:v>Telenor Forsikring</c:v>
                </c:pt>
                <c:pt idx="19">
                  <c:v>Tryg Forsikring</c:v>
                </c:pt>
                <c:pt idx="20">
                  <c:v>WaterCicles Fors.</c:v>
                </c:pt>
                <c:pt idx="21">
                  <c:v>Youplus Livsf</c:v>
                </c:pt>
              </c:strCache>
            </c:strRef>
          </c:cat>
          <c:val>
            <c:numRef>
              <c:f>Figurer!$M$54:$M$75</c:f>
              <c:numCache>
                <c:formatCode>#,##0</c:formatCode>
                <c:ptCount val="22"/>
                <c:pt idx="0">
                  <c:v>181650880.99984998</c:v>
                </c:pt>
                <c:pt idx="1">
                  <c:v>0</c:v>
                </c:pt>
                <c:pt idx="2">
                  <c:v>0</c:v>
                </c:pt>
                <c:pt idx="3">
                  <c:v>5738350.5694500003</c:v>
                </c:pt>
                <c:pt idx="4">
                  <c:v>1889136.3959733311</c:v>
                </c:pt>
                <c:pt idx="5">
                  <c:v>0</c:v>
                </c:pt>
                <c:pt idx="6">
                  <c:v>10565598</c:v>
                </c:pt>
                <c:pt idx="7">
                  <c:v>0</c:v>
                </c:pt>
                <c:pt idx="8">
                  <c:v>785558231.49354005</c:v>
                </c:pt>
                <c:pt idx="9">
                  <c:v>163752.0116</c:v>
                </c:pt>
                <c:pt idx="10">
                  <c:v>0</c:v>
                </c:pt>
                <c:pt idx="11">
                  <c:v>0</c:v>
                </c:pt>
                <c:pt idx="12">
                  <c:v>0</c:v>
                </c:pt>
                <c:pt idx="13">
                  <c:v>54775070.000001468</c:v>
                </c:pt>
                <c:pt idx="14">
                  <c:v>0</c:v>
                </c:pt>
                <c:pt idx="15">
                  <c:v>99384000</c:v>
                </c:pt>
                <c:pt idx="16">
                  <c:v>22132201.059449997</c:v>
                </c:pt>
                <c:pt idx="17">
                  <c:v>211234403.15035003</c:v>
                </c:pt>
                <c:pt idx="18">
                  <c:v>0</c:v>
                </c:pt>
                <c:pt idx="19">
                  <c:v>0</c:v>
                </c:pt>
                <c:pt idx="20">
                  <c:v>0</c:v>
                </c:pt>
                <c:pt idx="21">
                  <c:v>62677</c:v>
                </c:pt>
              </c:numCache>
            </c:numRef>
          </c:val>
          <c:extLst>
            <c:ext xmlns:c16="http://schemas.microsoft.com/office/drawing/2014/chart" uri="{C3380CC4-5D6E-409C-BE32-E72D297353CC}">
              <c16:uniqueId val="{00000000-F5D7-4882-A9B6-45C2F0317A05}"/>
            </c:ext>
          </c:extLst>
        </c:ser>
        <c:ser>
          <c:idx val="1"/>
          <c:order val="1"/>
          <c:tx>
            <c:strRef>
              <c:f>Figurer!$N$53</c:f>
              <c:strCache>
                <c:ptCount val="1"/>
                <c:pt idx="0">
                  <c:v>2025</c:v>
                </c:pt>
              </c:strCache>
            </c:strRef>
          </c:tx>
          <c:invertIfNegative val="0"/>
          <c:cat>
            <c:strRef>
              <c:f>Figurer!$L$54:$L$75</c:f>
              <c:strCache>
                <c:ptCount val="22"/>
                <c:pt idx="0">
                  <c:v>DNB Liv</c:v>
                </c:pt>
                <c:pt idx="1">
                  <c:v>Eika Forsikring</c:v>
                </c:pt>
                <c:pt idx="2">
                  <c:v>Euro Accident</c:v>
                </c:pt>
                <c:pt idx="3">
                  <c:v>Fremtind Livsfors</c:v>
                </c:pt>
                <c:pt idx="4">
                  <c:v>Frende Livsfors</c:v>
                </c:pt>
                <c:pt idx="5">
                  <c:v>Gjensidige Fors</c:v>
                </c:pt>
                <c:pt idx="6">
                  <c:v>Gjensidige Pensj</c:v>
                </c:pt>
                <c:pt idx="7">
                  <c:v>If Skadefors</c:v>
                </c:pt>
                <c:pt idx="8">
                  <c:v>KLP</c:v>
                </c:pt>
                <c:pt idx="9">
                  <c:v>KLP Skadef</c:v>
                </c:pt>
                <c:pt idx="10">
                  <c:v>Knif Trygghet Fors.</c:v>
                </c:pt>
                <c:pt idx="11">
                  <c:v>Landkreditt Fors</c:v>
                </c:pt>
                <c:pt idx="12">
                  <c:v>Ly Forsikring</c:v>
                </c:pt>
                <c:pt idx="13">
                  <c:v>Nordea Liv</c:v>
                </c:pt>
                <c:pt idx="14">
                  <c:v>Oslo Forsikring</c:v>
                </c:pt>
                <c:pt idx="15">
                  <c:v>OPF</c:v>
                </c:pt>
                <c:pt idx="16">
                  <c:v>SpareBank 1 Forsikring</c:v>
                </c:pt>
                <c:pt idx="17">
                  <c:v>Storebrand Liv</c:v>
                </c:pt>
                <c:pt idx="18">
                  <c:v>Telenor Forsikring</c:v>
                </c:pt>
                <c:pt idx="19">
                  <c:v>Tryg Forsikring</c:v>
                </c:pt>
                <c:pt idx="20">
                  <c:v>WaterCicles Fors.</c:v>
                </c:pt>
                <c:pt idx="21">
                  <c:v>Youplus Livsf</c:v>
                </c:pt>
              </c:strCache>
            </c:strRef>
          </c:cat>
          <c:val>
            <c:numRef>
              <c:f>Figurer!$N$54:$N$75</c:f>
              <c:numCache>
                <c:formatCode>#,##0</c:formatCode>
                <c:ptCount val="22"/>
                <c:pt idx="0">
                  <c:v>179486854.61621866</c:v>
                </c:pt>
                <c:pt idx="1">
                  <c:v>0</c:v>
                </c:pt>
                <c:pt idx="2">
                  <c:v>0</c:v>
                </c:pt>
                <c:pt idx="3">
                  <c:v>6270147.1001199996</c:v>
                </c:pt>
                <c:pt idx="4">
                  <c:v>2334043</c:v>
                </c:pt>
                <c:pt idx="5">
                  <c:v>0</c:v>
                </c:pt>
                <c:pt idx="6">
                  <c:v>11690672</c:v>
                </c:pt>
                <c:pt idx="7">
                  <c:v>0</c:v>
                </c:pt>
                <c:pt idx="8">
                  <c:v>846650379.46606004</c:v>
                </c:pt>
                <c:pt idx="9">
                  <c:v>198920.58899999998</c:v>
                </c:pt>
                <c:pt idx="10">
                  <c:v>0</c:v>
                </c:pt>
                <c:pt idx="11">
                  <c:v>0</c:v>
                </c:pt>
                <c:pt idx="12">
                  <c:v>0</c:v>
                </c:pt>
                <c:pt idx="13">
                  <c:v>55928890.000000685</c:v>
                </c:pt>
                <c:pt idx="14">
                  <c:v>0</c:v>
                </c:pt>
                <c:pt idx="15">
                  <c:v>105305000</c:v>
                </c:pt>
                <c:pt idx="16">
                  <c:v>26100532.247189995</c:v>
                </c:pt>
                <c:pt idx="17">
                  <c:v>220282916.46823996</c:v>
                </c:pt>
                <c:pt idx="18">
                  <c:v>0</c:v>
                </c:pt>
                <c:pt idx="19">
                  <c:v>0</c:v>
                </c:pt>
                <c:pt idx="20">
                  <c:v>0</c:v>
                </c:pt>
                <c:pt idx="21">
                  <c:v>82726</c:v>
                </c:pt>
              </c:numCache>
            </c:numRef>
          </c:val>
          <c:extLst>
            <c:ext xmlns:c16="http://schemas.microsoft.com/office/drawing/2014/chart" uri="{C3380CC4-5D6E-409C-BE32-E72D297353CC}">
              <c16:uniqueId val="{00000001-F5D7-4882-A9B6-45C2F0317A05}"/>
            </c:ext>
          </c:extLst>
        </c:ser>
        <c:dLbls>
          <c:showLegendKey val="0"/>
          <c:showVal val="0"/>
          <c:showCatName val="0"/>
          <c:showSerName val="0"/>
          <c:showPercent val="0"/>
          <c:showBubbleSize val="0"/>
        </c:dLbls>
        <c:gapWidth val="150"/>
        <c:axId val="242742784"/>
        <c:axId val="242744320"/>
      </c:barChart>
      <c:catAx>
        <c:axId val="2427427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44320"/>
        <c:crosses val="autoZero"/>
        <c:auto val="1"/>
        <c:lblAlgn val="ctr"/>
        <c:lblOffset val="100"/>
        <c:tickLblSkip val="1"/>
        <c:tickMarkSkip val="1"/>
        <c:noMultiLvlLbl val="0"/>
      </c:catAx>
      <c:valAx>
        <c:axId val="24274432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4590163934426229E-2"/>
              <c:y val="0.348659765843878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742784"/>
        <c:crosses val="autoZero"/>
        <c:crossBetween val="between"/>
      </c:valAx>
    </c:plotArea>
    <c:legend>
      <c:legendPos val="b"/>
      <c:layout>
        <c:manualLayout>
          <c:xMode val="edge"/>
          <c:yMode val="edge"/>
          <c:x val="0.36156705821608365"/>
          <c:y val="0.94061493998643431"/>
          <c:w val="0.21357027092924838"/>
          <c:h val="4.597693827597392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826753749914957"/>
          <c:y val="9.2115610054672017E-2"/>
          <c:w val="0.74306560247500353"/>
          <c:h val="0.6114621490399017"/>
        </c:manualLayout>
      </c:layout>
      <c:barChart>
        <c:barDir val="col"/>
        <c:grouping val="clustered"/>
        <c:varyColors val="0"/>
        <c:ser>
          <c:idx val="0"/>
          <c:order val="0"/>
          <c:tx>
            <c:strRef>
              <c:f>Figurer!$M$86</c:f>
              <c:strCache>
                <c:ptCount val="1"/>
                <c:pt idx="0">
                  <c:v>2024</c:v>
                </c:pt>
              </c:strCache>
            </c:strRef>
          </c:tx>
          <c:invertIfNegative val="0"/>
          <c:cat>
            <c:strRef>
              <c:f>Figurer!$L$87:$L$92</c:f>
              <c:strCache>
                <c:ptCount val="6"/>
                <c:pt idx="0">
                  <c:v>DNB Liv</c:v>
                </c:pt>
                <c:pt idx="1">
                  <c:v>Gjensidige Pensj</c:v>
                </c:pt>
                <c:pt idx="2">
                  <c:v>KLP</c:v>
                </c:pt>
                <c:pt idx="3">
                  <c:v>Nordea Liv</c:v>
                </c:pt>
                <c:pt idx="4">
                  <c:v>SpareBank 1 Forsikring</c:v>
                </c:pt>
                <c:pt idx="5">
                  <c:v>Storebrand Liv</c:v>
                </c:pt>
              </c:strCache>
            </c:strRef>
          </c:cat>
          <c:val>
            <c:numRef>
              <c:f>Figurer!$M$87:$M$92</c:f>
              <c:numCache>
                <c:formatCode>#,##0</c:formatCode>
                <c:ptCount val="6"/>
                <c:pt idx="0">
                  <c:v>196648401.42379001</c:v>
                </c:pt>
                <c:pt idx="1">
                  <c:v>73405051</c:v>
                </c:pt>
                <c:pt idx="2">
                  <c:v>2924765.91579</c:v>
                </c:pt>
                <c:pt idx="3">
                  <c:v>176350130</c:v>
                </c:pt>
                <c:pt idx="4">
                  <c:v>82868966.916639909</c:v>
                </c:pt>
                <c:pt idx="5">
                  <c:v>242616126.13030002</c:v>
                </c:pt>
              </c:numCache>
            </c:numRef>
          </c:val>
          <c:extLst>
            <c:ext xmlns:c16="http://schemas.microsoft.com/office/drawing/2014/chart" uri="{C3380CC4-5D6E-409C-BE32-E72D297353CC}">
              <c16:uniqueId val="{00000000-62B1-4395-80F9-424B1553CC96}"/>
            </c:ext>
          </c:extLst>
        </c:ser>
        <c:ser>
          <c:idx val="1"/>
          <c:order val="1"/>
          <c:tx>
            <c:strRef>
              <c:f>Figurer!$N$86</c:f>
              <c:strCache>
                <c:ptCount val="1"/>
                <c:pt idx="0">
                  <c:v>2025</c:v>
                </c:pt>
              </c:strCache>
            </c:strRef>
          </c:tx>
          <c:invertIfNegative val="0"/>
          <c:cat>
            <c:strRef>
              <c:f>Figurer!$L$87:$L$92</c:f>
              <c:strCache>
                <c:ptCount val="6"/>
                <c:pt idx="0">
                  <c:v>DNB Liv</c:v>
                </c:pt>
                <c:pt idx="1">
                  <c:v>Gjensidige Pensj</c:v>
                </c:pt>
                <c:pt idx="2">
                  <c:v>KLP</c:v>
                </c:pt>
                <c:pt idx="3">
                  <c:v>Nordea Liv</c:v>
                </c:pt>
                <c:pt idx="4">
                  <c:v>SpareBank 1 Forsikring</c:v>
                </c:pt>
                <c:pt idx="5">
                  <c:v>Storebrand Liv</c:v>
                </c:pt>
              </c:strCache>
            </c:strRef>
          </c:cat>
          <c:val>
            <c:numRef>
              <c:f>Figurer!$N$87:$N$92</c:f>
              <c:numCache>
                <c:formatCode>#,##0</c:formatCode>
                <c:ptCount val="6"/>
                <c:pt idx="0">
                  <c:v>232627888.99139962</c:v>
                </c:pt>
                <c:pt idx="1">
                  <c:v>87818915</c:v>
                </c:pt>
                <c:pt idx="2">
                  <c:v>3056998.4517899998</c:v>
                </c:pt>
                <c:pt idx="3">
                  <c:v>203536570</c:v>
                </c:pt>
                <c:pt idx="4">
                  <c:v>93102991.043080002</c:v>
                </c:pt>
                <c:pt idx="5">
                  <c:v>272560020.85496998</c:v>
                </c:pt>
              </c:numCache>
            </c:numRef>
          </c:val>
          <c:extLst>
            <c:ext xmlns:c16="http://schemas.microsoft.com/office/drawing/2014/chart" uri="{C3380CC4-5D6E-409C-BE32-E72D297353CC}">
              <c16:uniqueId val="{00000001-62B1-4395-80F9-424B1553CC96}"/>
            </c:ext>
          </c:extLst>
        </c:ser>
        <c:dLbls>
          <c:showLegendKey val="0"/>
          <c:showVal val="0"/>
          <c:showCatName val="0"/>
          <c:showSerName val="0"/>
          <c:showPercent val="0"/>
          <c:showBubbleSize val="0"/>
        </c:dLbls>
        <c:gapWidth val="150"/>
        <c:axId val="243158400"/>
        <c:axId val="243164288"/>
      </c:barChart>
      <c:catAx>
        <c:axId val="2431584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3164288"/>
        <c:crosses val="autoZero"/>
        <c:auto val="1"/>
        <c:lblAlgn val="ctr"/>
        <c:lblOffset val="100"/>
        <c:tickLblSkip val="1"/>
        <c:tickMarkSkip val="1"/>
        <c:noMultiLvlLbl val="0"/>
      </c:catAx>
      <c:valAx>
        <c:axId val="24316428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5920873124147342E-2"/>
              <c:y val="0.335443860031330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158400"/>
        <c:crosses val="autoZero"/>
        <c:crossBetween val="between"/>
      </c:valAx>
    </c:plotArea>
    <c:legend>
      <c:legendPos val="b"/>
      <c:layout>
        <c:manualLayout>
          <c:xMode val="edge"/>
          <c:yMode val="edge"/>
          <c:x val="0.34561192811335145"/>
          <c:y val="0.93671075700518092"/>
          <c:w val="0.23419750566649891"/>
          <c:h val="4.8523233014845533E-2"/>
        </c:manualLayout>
      </c:layout>
      <c:overlay val="0"/>
      <c:txPr>
        <a:bodyPr/>
        <a:lstStyle/>
        <a:p>
          <a:pPr>
            <a:defRPr sz="595"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614144699303892"/>
          <c:y val="8.40864305054419E-2"/>
          <c:w val="0.75271796188519913"/>
          <c:h val="0.62564087493112053"/>
        </c:manualLayout>
      </c:layout>
      <c:barChart>
        <c:barDir val="col"/>
        <c:grouping val="clustered"/>
        <c:varyColors val="0"/>
        <c:ser>
          <c:idx val="0"/>
          <c:order val="0"/>
          <c:tx>
            <c:strRef>
              <c:f>Figurer!$M$101</c:f>
              <c:strCache>
                <c:ptCount val="1"/>
                <c:pt idx="0">
                  <c:v>2024</c:v>
                </c:pt>
              </c:strCache>
            </c:strRef>
          </c:tx>
          <c:invertIfNegative val="0"/>
          <c:cat>
            <c:strRef>
              <c:f>Figurer!$L$102:$L$107</c:f>
              <c:strCache>
                <c:ptCount val="6"/>
                <c:pt idx="0">
                  <c:v>DNB Liv</c:v>
                </c:pt>
                <c:pt idx="1">
                  <c:v>Gjensidige Pensj</c:v>
                </c:pt>
                <c:pt idx="2">
                  <c:v>KLP</c:v>
                </c:pt>
                <c:pt idx="3">
                  <c:v>Nordea Liv</c:v>
                </c:pt>
                <c:pt idx="4">
                  <c:v>SpareBank 1 Forsikring</c:v>
                </c:pt>
                <c:pt idx="5">
                  <c:v>Storebrand Liv</c:v>
                </c:pt>
              </c:strCache>
            </c:strRef>
          </c:cat>
          <c:val>
            <c:numRef>
              <c:f>Figurer!$M$102:$M$107</c:f>
              <c:numCache>
                <c:formatCode>#,##0</c:formatCode>
                <c:ptCount val="6"/>
                <c:pt idx="0">
                  <c:v>523963</c:v>
                </c:pt>
                <c:pt idx="1">
                  <c:v>68320</c:v>
                </c:pt>
                <c:pt idx="2">
                  <c:v>-2421066.602</c:v>
                </c:pt>
                <c:pt idx="3">
                  <c:v>-8653.1796700004506</c:v>
                </c:pt>
                <c:pt idx="4">
                  <c:v>2973.2503900000011</c:v>
                </c:pt>
                <c:pt idx="5">
                  <c:v>2250790.0980400001</c:v>
                </c:pt>
              </c:numCache>
            </c:numRef>
          </c:val>
          <c:extLst>
            <c:ext xmlns:c16="http://schemas.microsoft.com/office/drawing/2014/chart" uri="{C3380CC4-5D6E-409C-BE32-E72D297353CC}">
              <c16:uniqueId val="{00000000-2BF8-4278-857F-91A0E7196849}"/>
            </c:ext>
          </c:extLst>
        </c:ser>
        <c:ser>
          <c:idx val="1"/>
          <c:order val="1"/>
          <c:tx>
            <c:strRef>
              <c:f>Figurer!$N$101</c:f>
              <c:strCache>
                <c:ptCount val="1"/>
                <c:pt idx="0">
                  <c:v>2025</c:v>
                </c:pt>
              </c:strCache>
            </c:strRef>
          </c:tx>
          <c:invertIfNegative val="0"/>
          <c:cat>
            <c:strRef>
              <c:f>Figurer!$L$102:$L$107</c:f>
              <c:strCache>
                <c:ptCount val="6"/>
                <c:pt idx="0">
                  <c:v>DNB Liv</c:v>
                </c:pt>
                <c:pt idx="1">
                  <c:v>Gjensidige Pensj</c:v>
                </c:pt>
                <c:pt idx="2">
                  <c:v>KLP</c:v>
                </c:pt>
                <c:pt idx="3">
                  <c:v>Nordea Liv</c:v>
                </c:pt>
                <c:pt idx="4">
                  <c:v>SpareBank 1 Forsikring</c:v>
                </c:pt>
                <c:pt idx="5">
                  <c:v>Storebrand Liv</c:v>
                </c:pt>
              </c:strCache>
            </c:strRef>
          </c:cat>
          <c:val>
            <c:numRef>
              <c:f>Figurer!$N$102:$N$107</c:f>
              <c:numCache>
                <c:formatCode>#,##0</c:formatCode>
                <c:ptCount val="6"/>
                <c:pt idx="0">
                  <c:v>452948.8976599999</c:v>
                </c:pt>
                <c:pt idx="1">
                  <c:v>112797</c:v>
                </c:pt>
                <c:pt idx="2">
                  <c:v>-4116139.2710000002</c:v>
                </c:pt>
                <c:pt idx="3">
                  <c:v>-3792.4341800009397</c:v>
                </c:pt>
                <c:pt idx="4">
                  <c:v>861602.72060000012</c:v>
                </c:pt>
                <c:pt idx="5">
                  <c:v>3610457.10182</c:v>
                </c:pt>
              </c:numCache>
            </c:numRef>
          </c:val>
          <c:extLst>
            <c:ext xmlns:c16="http://schemas.microsoft.com/office/drawing/2014/chart" uri="{C3380CC4-5D6E-409C-BE32-E72D297353CC}">
              <c16:uniqueId val="{00000000-0891-419B-84DB-F579F6588129}"/>
            </c:ext>
          </c:extLst>
        </c:ser>
        <c:dLbls>
          <c:showLegendKey val="0"/>
          <c:showVal val="0"/>
          <c:showCatName val="0"/>
          <c:showSerName val="0"/>
          <c:showPercent val="0"/>
          <c:showBubbleSize val="0"/>
        </c:dLbls>
        <c:gapWidth val="150"/>
        <c:axId val="243201536"/>
        <c:axId val="243203072"/>
      </c:barChart>
      <c:catAx>
        <c:axId val="24320153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203072"/>
        <c:crosses val="autoZero"/>
        <c:auto val="1"/>
        <c:lblAlgn val="ctr"/>
        <c:lblOffset val="100"/>
        <c:tickLblSkip val="1"/>
        <c:tickMarkSkip val="1"/>
        <c:noMultiLvlLbl val="0"/>
      </c:catAx>
      <c:valAx>
        <c:axId val="243203072"/>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575528341124432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201536"/>
        <c:crosses val="autoZero"/>
        <c:crossBetween val="between"/>
      </c:valAx>
    </c:plotArea>
    <c:legend>
      <c:legendPos val="b"/>
      <c:layout>
        <c:manualLayout>
          <c:xMode val="edge"/>
          <c:yMode val="edge"/>
          <c:x val="0.34737347369622462"/>
          <c:y val="0.94455128774817365"/>
          <c:w val="9.6515177450644751E-2"/>
          <c:h val="4.553361351874527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253853430922791"/>
          <c:y val="8.5614035087719767E-2"/>
          <c:w val="0.75564702786135474"/>
          <c:h val="0.63649189114519311"/>
        </c:manualLayout>
      </c:layout>
      <c:barChart>
        <c:barDir val="col"/>
        <c:grouping val="clustered"/>
        <c:varyColors val="0"/>
        <c:ser>
          <c:idx val="0"/>
          <c:order val="0"/>
          <c:tx>
            <c:strRef>
              <c:f>Figurer!$M$123</c:f>
              <c:strCache>
                <c:ptCount val="1"/>
                <c:pt idx="0">
                  <c:v>2024</c:v>
                </c:pt>
              </c:strCache>
            </c:strRef>
          </c:tx>
          <c:invertIfNegative val="0"/>
          <c:cat>
            <c:strRef>
              <c:f>Figurer!$L$124:$L$129</c:f>
              <c:strCache>
                <c:ptCount val="6"/>
                <c:pt idx="0">
                  <c:v>DNB Liv</c:v>
                </c:pt>
                <c:pt idx="1">
                  <c:v>Gjensidige Pensj</c:v>
                </c:pt>
                <c:pt idx="2">
                  <c:v>KLP</c:v>
                </c:pt>
                <c:pt idx="3">
                  <c:v>Nordea Liv</c:v>
                </c:pt>
                <c:pt idx="4">
                  <c:v>SpareBank 1 Forsikring</c:v>
                </c:pt>
                <c:pt idx="5">
                  <c:v>Storebrand Liv</c:v>
                </c:pt>
              </c:strCache>
            </c:strRef>
          </c:cat>
          <c:val>
            <c:numRef>
              <c:f>Figurer!$M$124:$M$129</c:f>
              <c:numCache>
                <c:formatCode>#,##0</c:formatCode>
                <c:ptCount val="6"/>
                <c:pt idx="0">
                  <c:v>-1872847</c:v>
                </c:pt>
                <c:pt idx="1">
                  <c:v>1367917</c:v>
                </c:pt>
                <c:pt idx="2">
                  <c:v>-373.47899999999998</c:v>
                </c:pt>
                <c:pt idx="3">
                  <c:v>-169981.7189199999</c:v>
                </c:pt>
                <c:pt idx="4">
                  <c:v>-24563.008149999194</c:v>
                </c:pt>
                <c:pt idx="5">
                  <c:v>-3049722.3363300012</c:v>
                </c:pt>
              </c:numCache>
            </c:numRef>
          </c:val>
          <c:extLst>
            <c:ext xmlns:c16="http://schemas.microsoft.com/office/drawing/2014/chart" uri="{C3380CC4-5D6E-409C-BE32-E72D297353CC}">
              <c16:uniqueId val="{00000000-B400-4C26-965B-0553A4A37873}"/>
            </c:ext>
          </c:extLst>
        </c:ser>
        <c:ser>
          <c:idx val="1"/>
          <c:order val="1"/>
          <c:tx>
            <c:strRef>
              <c:f>Figurer!$N$123</c:f>
              <c:strCache>
                <c:ptCount val="1"/>
                <c:pt idx="0">
                  <c:v>2025</c:v>
                </c:pt>
              </c:strCache>
            </c:strRef>
          </c:tx>
          <c:invertIfNegative val="0"/>
          <c:cat>
            <c:strRef>
              <c:f>Figurer!$L$124:$L$129</c:f>
              <c:strCache>
                <c:ptCount val="6"/>
                <c:pt idx="0">
                  <c:v>DNB Liv</c:v>
                </c:pt>
                <c:pt idx="1">
                  <c:v>Gjensidige Pensj</c:v>
                </c:pt>
                <c:pt idx="2">
                  <c:v>KLP</c:v>
                </c:pt>
                <c:pt idx="3">
                  <c:v>Nordea Liv</c:v>
                </c:pt>
                <c:pt idx="4">
                  <c:v>SpareBank 1 Forsikring</c:v>
                </c:pt>
                <c:pt idx="5">
                  <c:v>Storebrand Liv</c:v>
                </c:pt>
              </c:strCache>
            </c:strRef>
          </c:cat>
          <c:val>
            <c:numRef>
              <c:f>Figurer!$N$124:$N$129</c:f>
              <c:numCache>
                <c:formatCode>#,##0</c:formatCode>
                <c:ptCount val="6"/>
                <c:pt idx="0">
                  <c:v>841011.41547000222</c:v>
                </c:pt>
                <c:pt idx="1">
                  <c:v>1223653</c:v>
                </c:pt>
                <c:pt idx="2">
                  <c:v>47.674999999999997</c:v>
                </c:pt>
                <c:pt idx="3">
                  <c:v>1625038.158950001</c:v>
                </c:pt>
                <c:pt idx="4">
                  <c:v>-256372.63999999966</c:v>
                </c:pt>
                <c:pt idx="5">
                  <c:v>-6312183.0486600026</c:v>
                </c:pt>
              </c:numCache>
            </c:numRef>
          </c:val>
          <c:extLst>
            <c:ext xmlns:c16="http://schemas.microsoft.com/office/drawing/2014/chart" uri="{C3380CC4-5D6E-409C-BE32-E72D297353CC}">
              <c16:uniqueId val="{00000001-B400-4C26-965B-0553A4A37873}"/>
            </c:ext>
          </c:extLst>
        </c:ser>
        <c:dLbls>
          <c:showLegendKey val="0"/>
          <c:showVal val="0"/>
          <c:showCatName val="0"/>
          <c:showSerName val="0"/>
          <c:showPercent val="0"/>
          <c:showBubbleSize val="0"/>
        </c:dLbls>
        <c:gapWidth val="150"/>
        <c:axId val="243686400"/>
        <c:axId val="243700480"/>
      </c:barChart>
      <c:catAx>
        <c:axId val="243686400"/>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700480"/>
        <c:crosses val="autoZero"/>
        <c:auto val="1"/>
        <c:lblAlgn val="ctr"/>
        <c:lblOffset val="100"/>
        <c:tickLblSkip val="1"/>
        <c:tickMarkSkip val="1"/>
        <c:noMultiLvlLbl val="0"/>
      </c:catAx>
      <c:valAx>
        <c:axId val="24370048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3875338753387642E-2"/>
              <c:y val="0.330526785811528"/>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686400"/>
        <c:crosses val="autoZero"/>
        <c:crossBetween val="between"/>
      </c:valAx>
    </c:plotArea>
    <c:legend>
      <c:legendPos val="b"/>
      <c:layout>
        <c:manualLayout>
          <c:xMode val="edge"/>
          <c:yMode val="edge"/>
          <c:x val="0.35049740733627832"/>
          <c:y val="0.93473780507726956"/>
          <c:w val="0.23080411696505387"/>
          <c:h val="4.842116727110387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389792</xdr:colOff>
      <xdr:row>15</xdr:row>
      <xdr:rowOff>381000</xdr:rowOff>
    </xdr:from>
    <xdr:to>
      <xdr:col>4</xdr:col>
      <xdr:colOff>598714</xdr:colOff>
      <xdr:row>17</xdr:row>
      <xdr:rowOff>137745</xdr:rowOff>
    </xdr:to>
    <xdr:sp macro="" textlink="">
      <xdr:nvSpPr>
        <xdr:cNvPr id="2" name="Text Box 6">
          <a:extLst>
            <a:ext uri="{FF2B5EF4-FFF2-40B4-BE49-F238E27FC236}">
              <a16:creationId xmlns:a16="http://schemas.microsoft.com/office/drawing/2014/main" id="{499D6C09-8686-4BF0-B91B-3858981A64B8}"/>
            </a:ext>
          </a:extLst>
        </xdr:cNvPr>
        <xdr:cNvSpPr txBox="1"/>
      </xdr:nvSpPr>
      <xdr:spPr>
        <a:xfrm>
          <a:off x="389792" y="3343275"/>
          <a:ext cx="3256922" cy="613995"/>
        </a:xfrm>
        <a:prstGeom prst="rect">
          <a:avLst/>
        </a:prstGeom>
        <a:noFill/>
        <a:ln>
          <a:noFill/>
        </a:ln>
        <a:effectLst/>
        <a:extLst>
          <a:ext uri="{C572A759-6A51-4108-AA02-DFA0A04FC94B}">
            <ma14:wrappingTextBoxFlag xmlns:ma14="http://schemas.microsoft.com/office/mac/drawingml/2011/main" xmln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3. KVARTAL 2025 </a:t>
          </a:r>
          <a:r>
            <a:rPr lang="nb-NO" sz="1200">
              <a:effectLst/>
              <a:latin typeface="Arial"/>
              <a:ea typeface="ＭＳ 明朝"/>
              <a:cs typeface="Times New Roman"/>
            </a:rPr>
            <a:t>(21</a:t>
          </a:r>
          <a:r>
            <a:rPr lang="nb-NO" sz="1200">
              <a:solidFill>
                <a:schemeClr val="dk1"/>
              </a:solidFill>
              <a:effectLst/>
              <a:latin typeface="Arial"/>
              <a:ea typeface="ＭＳ 明朝"/>
              <a:cs typeface="Times New Roman"/>
            </a:rPr>
            <a:t>.11.2025</a:t>
          </a:r>
          <a:r>
            <a:rPr lang="nb-NO" sz="1200">
              <a:effectLst/>
              <a:latin typeface="Arial"/>
              <a:ea typeface="ＭＳ 明朝"/>
              <a:cs typeface="Times New Roman"/>
            </a:rPr>
            <a:t>)</a:t>
          </a:r>
          <a:endParaRPr lang="nb-NO" sz="1200">
            <a:effectLst/>
            <a:ea typeface="ＭＳ 明朝"/>
            <a:cs typeface="Times New Roman"/>
          </a:endParaRPr>
        </a:p>
      </xdr:txBody>
    </xdr:sp>
    <xdr:clientData/>
  </xdr:twoCellAnchor>
  <xdr:twoCellAnchor>
    <xdr:from>
      <xdr:col>0</xdr:col>
      <xdr:colOff>306161</xdr:colOff>
      <xdr:row>11</xdr:row>
      <xdr:rowOff>31750</xdr:rowOff>
    </xdr:from>
    <xdr:to>
      <xdr:col>12</xdr:col>
      <xdr:colOff>677636</xdr:colOff>
      <xdr:row>15</xdr:row>
      <xdr:rowOff>391583</xdr:rowOff>
    </xdr:to>
    <xdr:sp macro="" textlink="">
      <xdr:nvSpPr>
        <xdr:cNvPr id="3" name="Text Box 4">
          <a:extLst>
            <a:ext uri="{FF2B5EF4-FFF2-40B4-BE49-F238E27FC236}">
              <a16:creationId xmlns:a16="http://schemas.microsoft.com/office/drawing/2014/main" id="{4B1AAB3F-EC6D-47A5-BFC8-57614BB19A63}"/>
            </a:ext>
          </a:extLst>
        </xdr:cNvPr>
        <xdr:cNvSpPr txBox="1"/>
      </xdr:nvSpPr>
      <xdr:spPr>
        <a:xfrm>
          <a:off x="306161" y="2053167"/>
          <a:ext cx="9515475" cy="1269999"/>
        </a:xfrm>
        <a:prstGeom prst="rect">
          <a:avLst/>
        </a:prstGeom>
        <a:noFill/>
        <a:ln>
          <a:noFill/>
        </a:ln>
        <a:effectLst/>
        <a:extLst>
          <a:ext uri="{C572A759-6A51-4108-AA02-DFA0A04FC94B}">
            <ma14:wrappingTextBoxFlag xmlns:ma14="http://schemas.microsoft.com/office/mac/drawingml/2011/main" xmln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2800" b="1">
              <a:solidFill>
                <a:srgbClr val="005670"/>
              </a:solidFill>
              <a:effectLst/>
              <a:latin typeface="Arial"/>
              <a:ea typeface="ＭＳ 明朝"/>
              <a:cs typeface="Times New Roman"/>
            </a:rPr>
            <a:t>Markedsandeler</a:t>
          </a:r>
        </a:p>
        <a:p>
          <a:pPr>
            <a:spcAft>
              <a:spcPts val="0"/>
            </a:spcAft>
          </a:pPr>
          <a:r>
            <a:rPr lang="nb-NO" sz="2200" b="0" baseline="0">
              <a:solidFill>
                <a:srgbClr val="005670"/>
              </a:solidFill>
              <a:effectLst/>
              <a:latin typeface="Arial"/>
              <a:ea typeface="ＭＳ 明朝"/>
              <a:cs typeface="Times New Roman"/>
            </a:rPr>
            <a:t> </a:t>
          </a:r>
          <a:r>
            <a:rPr lang="nb-NO" sz="2600" b="0" baseline="0">
              <a:solidFill>
                <a:srgbClr val="005670"/>
              </a:solidFill>
              <a:effectLst/>
              <a:latin typeface="Arial"/>
              <a:ea typeface="ＭＳ 明朝"/>
              <a:cs typeface="Times New Roman"/>
            </a:rPr>
            <a:t>- endelige tall og regnskapsstatistikk</a:t>
          </a:r>
          <a:r>
            <a:rPr lang="nb-NO" sz="2800" b="0">
              <a:solidFill>
                <a:srgbClr val="005670"/>
              </a:solidFill>
              <a:effectLst/>
              <a:latin typeface="Arial"/>
              <a:ea typeface="ＭＳ 明朝"/>
              <a:cs typeface="Times New Roman"/>
            </a:rPr>
            <a:t>	</a:t>
          </a:r>
          <a:endParaRPr lang="nb-NO" sz="1200" b="0">
            <a:solidFill>
              <a:srgbClr val="005670"/>
            </a:solidFill>
            <a:effectLst/>
            <a:ea typeface="ＭＳ 明朝"/>
            <a:cs typeface="Times New Roman"/>
          </a:endParaRPr>
        </a:p>
      </xdr:txBody>
    </xdr:sp>
    <xdr:clientData/>
  </xdr:twoCellAnchor>
  <xdr:twoCellAnchor editAs="oneCell">
    <xdr:from>
      <xdr:col>0</xdr:col>
      <xdr:colOff>419099</xdr:colOff>
      <xdr:row>1</xdr:row>
      <xdr:rowOff>79523</xdr:rowOff>
    </xdr:from>
    <xdr:to>
      <xdr:col>5</xdr:col>
      <xdr:colOff>691091</xdr:colOff>
      <xdr:row>8</xdr:row>
      <xdr:rowOff>95250</xdr:rowOff>
    </xdr:to>
    <xdr:pic>
      <xdr:nvPicPr>
        <xdr:cNvPr id="4" name="Bilde 7">
          <a:extLst>
            <a:ext uri="{FF2B5EF4-FFF2-40B4-BE49-F238E27FC236}">
              <a16:creationId xmlns:a16="http://schemas.microsoft.com/office/drawing/2014/main" id="{1A0320DA-F81B-48DC-A876-A2AA50D0DB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099" y="238273"/>
          <a:ext cx="4081992" cy="126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6</xdr:row>
      <xdr:rowOff>0</xdr:rowOff>
    </xdr:from>
    <xdr:to>
      <xdr:col>9</xdr:col>
      <xdr:colOff>352425</xdr:colOff>
      <xdr:row>27</xdr:row>
      <xdr:rowOff>9525</xdr:rowOff>
    </xdr:to>
    <xdr:graphicFrame macro="">
      <xdr:nvGraphicFramePr>
        <xdr:cNvPr id="2" name="Chart 1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31</xdr:row>
      <xdr:rowOff>219075</xdr:rowOff>
    </xdr:from>
    <xdr:to>
      <xdr:col>9</xdr:col>
      <xdr:colOff>285750</xdr:colOff>
      <xdr:row>50</xdr:row>
      <xdr:rowOff>123825</xdr:rowOff>
    </xdr:to>
    <xdr:graphicFrame macro="">
      <xdr:nvGraphicFramePr>
        <xdr:cNvPr id="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56</xdr:row>
      <xdr:rowOff>228600</xdr:rowOff>
    </xdr:from>
    <xdr:to>
      <xdr:col>9</xdr:col>
      <xdr:colOff>142875</xdr:colOff>
      <xdr:row>73</xdr:row>
      <xdr:rowOff>180975</xdr:rowOff>
    </xdr:to>
    <xdr:graphicFrame macro="">
      <xdr:nvGraphicFramePr>
        <xdr:cNvPr id="6" name="Chart 1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81</xdr:row>
      <xdr:rowOff>57150</xdr:rowOff>
    </xdr:from>
    <xdr:to>
      <xdr:col>9</xdr:col>
      <xdr:colOff>123825</xdr:colOff>
      <xdr:row>100</xdr:row>
      <xdr:rowOff>114300</xdr:rowOff>
    </xdr:to>
    <xdr:graphicFrame macro="">
      <xdr:nvGraphicFramePr>
        <xdr:cNvPr id="7" name="Chart 1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107</xdr:row>
      <xdr:rowOff>28575</xdr:rowOff>
    </xdr:from>
    <xdr:to>
      <xdr:col>9</xdr:col>
      <xdr:colOff>180975</xdr:colOff>
      <xdr:row>123</xdr:row>
      <xdr:rowOff>200025</xdr:rowOff>
    </xdr:to>
    <xdr:graphicFrame macro="">
      <xdr:nvGraphicFramePr>
        <xdr:cNvPr id="8" name="Chart 1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131</xdr:row>
      <xdr:rowOff>57150</xdr:rowOff>
    </xdr:from>
    <xdr:to>
      <xdr:col>9</xdr:col>
      <xdr:colOff>171450</xdr:colOff>
      <xdr:row>149</xdr:row>
      <xdr:rowOff>123825</xdr:rowOff>
    </xdr:to>
    <xdr:graphicFrame macro="">
      <xdr:nvGraphicFramePr>
        <xdr:cNvPr id="9" name="Chart 1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xdr:row>
      <xdr:rowOff>137583</xdr:rowOff>
    </xdr:from>
    <xdr:to>
      <xdr:col>0</xdr:col>
      <xdr:colOff>4064000</xdr:colOff>
      <xdr:row>40</xdr:row>
      <xdr:rowOff>84666</xdr:rowOff>
    </xdr:to>
    <xdr:sp macro="" textlink="">
      <xdr:nvSpPr>
        <xdr:cNvPr id="4" name="Text Box 1026">
          <a:extLst>
            <a:ext uri="{FF2B5EF4-FFF2-40B4-BE49-F238E27FC236}">
              <a16:creationId xmlns:a16="http://schemas.microsoft.com/office/drawing/2014/main" id="{00000000-0008-0000-2100-000004000000}"/>
            </a:ext>
          </a:extLst>
        </xdr:cNvPr>
        <xdr:cNvSpPr txBox="1">
          <a:spLocks noChangeArrowheads="1"/>
        </xdr:cNvSpPr>
      </xdr:nvSpPr>
      <xdr:spPr bwMode="auto">
        <a:xfrm>
          <a:off x="10583" y="772583"/>
          <a:ext cx="4053417" cy="10318750"/>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marL="0" marR="0" indent="0" algn="l" defTabSz="914400" rtl="0" eaLnBrk="1" fontAlgn="auto" latinLnBrk="0" hangingPunct="1">
            <a:lnSpc>
              <a:spcPts val="1600"/>
            </a:lnSpc>
            <a:spcBef>
              <a:spcPts val="0"/>
            </a:spcBef>
            <a:spcAft>
              <a:spcPts val="0"/>
            </a:spcAft>
            <a:buClrTx/>
            <a:buSzTx/>
            <a:buFontTx/>
            <a:buNone/>
            <a:tabLst/>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baseline="0">
              <a:solidFill>
                <a:srgbClr val="000000"/>
              </a:solidFill>
              <a:latin typeface="Times New Roman"/>
              <a:cs typeface="Times New Roman"/>
            </a:rPr>
            <a:t>Euro Accident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baseline="0">
              <a:solidFill>
                <a:srgbClr val="000000"/>
              </a:solidFill>
              <a:latin typeface="Times New Roman"/>
              <a:cs typeface="Times New Roman"/>
            </a:rPr>
            <a:t>KLP Skadeforsikring AS</a:t>
          </a:r>
        </a:p>
        <a:p>
          <a:pPr algn="l" rtl="0">
            <a:lnSpc>
              <a:spcPts val="1600"/>
            </a:lnSpc>
            <a:defRPr sz="1000"/>
          </a:pPr>
          <a:r>
            <a:rPr lang="nb-NO" sz="1200" b="0" i="0" strike="noStrike" baseline="0">
              <a:solidFill>
                <a:srgbClr val="000000"/>
              </a:solidFill>
              <a:latin typeface="Times New Roman"/>
              <a:cs typeface="Times New Roman"/>
            </a:rPr>
            <a:t>Knig Trygghet Forsikring (skadeselskap)</a:t>
          </a:r>
        </a:p>
        <a:p>
          <a:pPr algn="l" rtl="0">
            <a:lnSpc>
              <a:spcPts val="1600"/>
            </a:lnSpc>
            <a:defRPr sz="1000"/>
          </a:pPr>
          <a:r>
            <a:rPr lang="nb-NO" sz="1200" b="0" i="0" strike="noStrike" baseline="0">
              <a:solidFill>
                <a:srgbClr val="000000"/>
              </a:solidFill>
              <a:latin typeface="Times New Roman"/>
              <a:cs typeface="Times New Roman"/>
            </a:rPr>
            <a:t>Landkreditt 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Nordea Liv Forsikring</a:t>
          </a:r>
        </a:p>
        <a:p>
          <a:pPr algn="l" rtl="0">
            <a:lnSpc>
              <a:spcPts val="1600"/>
            </a:lnSpc>
            <a:defRPr sz="1000"/>
          </a:pPr>
          <a:r>
            <a:rPr lang="nb-NO" sz="1200" b="0" i="0" strike="noStrike">
              <a:solidFill>
                <a:srgbClr val="000000"/>
              </a:solidFill>
              <a:latin typeface="Times New Roman"/>
              <a:cs typeface="Times New Roman"/>
            </a:rPr>
            <a:t>Ly Forsikring (skadeselskap)</a:t>
          </a: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Protector Forsikring (skadeselskap)</a:t>
          </a:r>
        </a:p>
        <a:p>
          <a:pPr algn="l" rtl="0">
            <a:lnSpc>
              <a:spcPts val="1700"/>
            </a:lnSpc>
            <a:defRPr sz="1000"/>
          </a:pPr>
          <a:r>
            <a:rPr lang="nb-NO" sz="1200" b="0" i="0" strike="noStrike">
              <a:solidFill>
                <a:srgbClr val="000000"/>
              </a:solidFill>
              <a:latin typeface="Times New Roman"/>
              <a:cs typeface="Times New Roman"/>
            </a:rPr>
            <a:t>SpareBank 1 Forsikring</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WaterCircles Forsikring (Skadeforsikring)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Youplus Livsforsikring nuf</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700"/>
            </a:lnSpc>
            <a:defRPr sz="1000"/>
          </a:pPr>
          <a:r>
            <a:rPr lang="nb-NO" sz="1200" b="0" i="0" strike="noStrike">
              <a:solidFill>
                <a:srgbClr val="000000"/>
              </a:solidFill>
              <a:latin typeface="Times New Roman"/>
              <a:cs typeface="Times New Roman"/>
            </a:rPr>
            <a:t>Nordea Liv Forsikring</a:t>
          </a:r>
          <a:endParaRPr kumimoji="0" lang="nb-NO" sz="1200" b="0" i="0" u="none" strike="noStrike" kern="0" cap="none" spc="0" normalizeH="0" baseline="0" noProof="0">
            <a:ln>
              <a:noFill/>
            </a:ln>
            <a:solidFill>
              <a:srgbClr val="000000"/>
            </a:solidFill>
            <a:effectLst/>
            <a:uLnTx/>
            <a:uFillTx/>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SpareBank 1 Forsikring</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5" name="TekstSylinder 4">
          <a:extLst>
            <a:ext uri="{FF2B5EF4-FFF2-40B4-BE49-F238E27FC236}">
              <a16:creationId xmlns:a16="http://schemas.microsoft.com/office/drawing/2014/main" id="{00000000-0008-0000-2100-000005000000}"/>
            </a:ext>
          </a:extLst>
        </xdr:cNvPr>
        <xdr:cNvSpPr txBox="1"/>
      </xdr:nvSpPr>
      <xdr:spPr>
        <a:xfrm>
          <a:off x="12170834" y="804333"/>
          <a:ext cx="6413499"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20xx-tall", menes endringer i forhold til tilsvarende periode året før.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(Tabell 2a)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markedstallene inngår ikke overførte reserver som gjelder Gruppeliv. Disse vil imidlertid inngå i Tabell 4.</a:t>
          </a:r>
          <a:endParaRPr lang="nb-NO" sz="1100">
            <a:latin typeface="Times New Roman" panose="02020603050405020304" pitchFamily="18" charset="0"/>
            <a:cs typeface="Times New Roman" panose="02020603050405020304" pitchFamily="18" charset="0"/>
          </a:endParaRPr>
        </a:p>
        <a:p>
          <a:endParaRPr lang="nb-NO" sz="1100" u="sng">
            <a:latin typeface="Times New Roman" panose="02020603050405020304" pitchFamily="18" charset="0"/>
            <a:cs typeface="Times New Roman" panose="02020603050405020304" pitchFamily="18" charset="0"/>
          </a:endParaRPr>
        </a:p>
        <a:p>
          <a:pPr rtl="0" eaLnBrk="1" fontAlgn="auto" latinLnBrk="0" hangingPunct="1"/>
          <a:r>
            <a:rPr lang="nb-NO" sz="1100" u="sng">
              <a:solidFill>
                <a:schemeClr val="dk1"/>
              </a:solidFill>
              <a:effectLst/>
              <a:latin typeface="+mn-lt"/>
              <a:ea typeface="+mn-ea"/>
              <a:cs typeface="+mn-cs"/>
            </a:rPr>
            <a:t>Knif Trygghet Forsikring:</a:t>
          </a:r>
          <a:endParaRPr lang="nb-NO">
            <a:effectLst/>
          </a:endParaRPr>
        </a:p>
        <a:p>
          <a:pPr rtl="0" eaLnBrk="1" fontAlgn="auto" latinLnBrk="0" hangingPunct="1"/>
          <a:r>
            <a:rPr lang="nb-NO" sz="1100">
              <a:solidFill>
                <a:schemeClr val="dk1"/>
              </a:solidFill>
              <a:effectLst/>
              <a:latin typeface="+mn-lt"/>
              <a:ea typeface="+mn-ea"/>
              <a:cs typeface="+mn-cs"/>
            </a:rPr>
            <a:t>Selskapet </a:t>
          </a:r>
          <a:r>
            <a:rPr lang="nb-NO" sz="1100" baseline="0">
              <a:solidFill>
                <a:schemeClr val="dk1"/>
              </a:solidFill>
              <a:effectLst/>
              <a:latin typeface="+mn-lt"/>
              <a:ea typeface="+mn-ea"/>
              <a:cs typeface="+mn-cs"/>
            </a:rPr>
            <a:t>inngår </a:t>
          </a:r>
          <a:r>
            <a:rPr lang="nb-NO" sz="1100">
              <a:solidFill>
                <a:schemeClr val="dk1"/>
              </a:solidFill>
              <a:effectLst/>
              <a:latin typeface="+mn-lt"/>
              <a:ea typeface="+mn-ea"/>
              <a:cs typeface="+mn-cs"/>
            </a:rPr>
            <a:t>i statistikken fra 3.kvartal 2025</a:t>
          </a:r>
          <a:r>
            <a:rPr lang="nb-NO" sz="1100" baseline="0">
              <a:solidFill>
                <a:schemeClr val="dk1"/>
              </a:solidFill>
              <a:effectLst/>
              <a:latin typeface="+mn-lt"/>
              <a:ea typeface="+mn-ea"/>
              <a:cs typeface="+mn-cs"/>
            </a:rPr>
            <a:t>.</a:t>
          </a:r>
          <a:br>
            <a:rPr lang="nb-NO" sz="1100" baseline="0">
              <a:solidFill>
                <a:schemeClr val="dk1"/>
              </a:solidFill>
              <a:effectLst/>
              <a:latin typeface="+mn-lt"/>
              <a:ea typeface="+mn-ea"/>
              <a:cs typeface="+mn-cs"/>
            </a:rPr>
          </a:br>
          <a:endParaRPr lang="nb-NO" sz="1100" u="none">
            <a:solidFill>
              <a:schemeClr val="dk1"/>
            </a:solidFill>
            <a:latin typeface="Times New Roman" panose="02020603050405020304" pitchFamily="18" charset="0"/>
            <a:ea typeface="+mn-ea"/>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1\finansnorge\SFA\Statistikk%20og%20analyse\Fellessaker\Ny%20presentasjon%20MA\Overset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t"/>
      <sheetName val="Oppslagstabeller"/>
      <sheetName val="Oversetter"/>
    </sheetNames>
    <sheetDataSet>
      <sheetData sheetId="0"/>
      <sheetData sheetId="1">
        <row r="1">
          <cell r="A1" t="str">
            <v>selskap_id</v>
          </cell>
          <cell r="B1" t="str">
            <v>sortering</v>
          </cell>
          <cell r="C1" t="str">
            <v>2a</v>
          </cell>
          <cell r="D1" t="str">
            <v>2b</v>
          </cell>
          <cell r="E1" t="str">
            <v>3a</v>
          </cell>
          <cell r="F1" t="str">
            <v>3b</v>
          </cell>
          <cell r="G1" t="str">
            <v>selskap_navn</v>
          </cell>
        </row>
        <row r="2">
          <cell r="A2" t="str">
            <v>19</v>
          </cell>
          <cell r="B2" t="str">
            <v>01</v>
          </cell>
          <cell r="C2">
            <v>3</v>
          </cell>
          <cell r="E2">
            <v>3</v>
          </cell>
          <cell r="G2" t="str">
            <v>ACE European Group Ltd</v>
          </cell>
        </row>
        <row r="3">
          <cell r="A3" t="str">
            <v>34</v>
          </cell>
          <cell r="B3" t="str">
            <v>02</v>
          </cell>
          <cell r="C3">
            <v>7</v>
          </cell>
          <cell r="D3">
            <v>3</v>
          </cell>
          <cell r="E3">
            <v>7</v>
          </cell>
          <cell r="F3">
            <v>3</v>
          </cell>
          <cell r="G3" t="str">
            <v>Danica Pensjonsforsikring</v>
          </cell>
        </row>
        <row r="4">
          <cell r="A4" t="str">
            <v>35</v>
          </cell>
          <cell r="B4" t="str">
            <v>03</v>
          </cell>
          <cell r="C4">
            <v>11</v>
          </cell>
          <cell r="D4">
            <v>7</v>
          </cell>
          <cell r="E4">
            <v>11</v>
          </cell>
          <cell r="F4">
            <v>7</v>
          </cell>
          <cell r="G4" t="str">
            <v>DNB Livsforsikring ASA</v>
          </cell>
          <cell r="N4">
            <v>16</v>
          </cell>
        </row>
        <row r="5">
          <cell r="A5" t="str">
            <v>15</v>
          </cell>
          <cell r="B5" t="str">
            <v>04</v>
          </cell>
          <cell r="C5">
            <v>15</v>
          </cell>
          <cell r="E5">
            <v>15</v>
          </cell>
          <cell r="G5" t="str">
            <v>Eika Gruppen AS</v>
          </cell>
          <cell r="N5" t="str">
            <v>4.-kvartal-2015-markedsandeler---endelige-tall-og-regnskapsstatistikk.xlsx</v>
          </cell>
        </row>
        <row r="6">
          <cell r="A6" t="str">
            <v>36</v>
          </cell>
          <cell r="B6" t="str">
            <v>05</v>
          </cell>
          <cell r="C6">
            <v>19</v>
          </cell>
          <cell r="D6">
            <v>11</v>
          </cell>
          <cell r="E6">
            <v>19</v>
          </cell>
          <cell r="F6">
            <v>11</v>
          </cell>
          <cell r="G6" t="str">
            <v>Frende Livsforsikring AS</v>
          </cell>
        </row>
        <row r="7">
          <cell r="A7" t="str">
            <v>20</v>
          </cell>
          <cell r="B7" t="str">
            <v>06</v>
          </cell>
          <cell r="C7">
            <v>23</v>
          </cell>
          <cell r="E7">
            <v>23</v>
          </cell>
          <cell r="G7" t="str">
            <v>Frende Skadeforsikring AS</v>
          </cell>
        </row>
        <row r="8">
          <cell r="A8" t="str">
            <v>4</v>
          </cell>
          <cell r="B8" t="str">
            <v>07</v>
          </cell>
          <cell r="C8">
            <v>27</v>
          </cell>
          <cell r="E8">
            <v>27</v>
          </cell>
          <cell r="G8" t="str">
            <v>Gjensidige Forsikring ASA</v>
          </cell>
        </row>
        <row r="9">
          <cell r="A9" t="str">
            <v>37</v>
          </cell>
          <cell r="B9" t="str">
            <v>08</v>
          </cell>
          <cell r="C9">
            <v>31</v>
          </cell>
          <cell r="D9">
            <v>15</v>
          </cell>
          <cell r="E9">
            <v>31</v>
          </cell>
          <cell r="F9">
            <v>15</v>
          </cell>
          <cell r="G9" t="str">
            <v>Gjensidige Pensjon og Sparing</v>
          </cell>
        </row>
        <row r="10">
          <cell r="A10" t="str">
            <v>38</v>
          </cell>
          <cell r="B10" t="str">
            <v>09</v>
          </cell>
          <cell r="C10">
            <v>35</v>
          </cell>
          <cell r="E10">
            <v>35</v>
          </cell>
          <cell r="G10" t="str">
            <v>Handelsbanken Liv</v>
          </cell>
        </row>
        <row r="11">
          <cell r="A11" t="str">
            <v>6</v>
          </cell>
          <cell r="B11" t="str">
            <v>10</v>
          </cell>
          <cell r="C11">
            <v>39</v>
          </cell>
          <cell r="E11">
            <v>39</v>
          </cell>
          <cell r="G11" t="str">
            <v>If Skadeforsikring nuf</v>
          </cell>
        </row>
        <row r="12">
          <cell r="A12" t="str">
            <v>39</v>
          </cell>
          <cell r="B12" t="str">
            <v>11</v>
          </cell>
          <cell r="C12">
            <v>47</v>
          </cell>
          <cell r="D12">
            <v>23</v>
          </cell>
          <cell r="E12">
            <v>47</v>
          </cell>
          <cell r="F12">
            <v>23</v>
          </cell>
          <cell r="G12" t="str">
            <v>KLP Bedriftspensjon AS</v>
          </cell>
        </row>
        <row r="13">
          <cell r="A13" t="str">
            <v>5</v>
          </cell>
          <cell r="B13" t="str">
            <v>12</v>
          </cell>
          <cell r="C13">
            <v>43</v>
          </cell>
          <cell r="D13">
            <v>19</v>
          </cell>
          <cell r="E13">
            <v>43</v>
          </cell>
          <cell r="F13">
            <v>19</v>
          </cell>
          <cell r="G13" t="str">
            <v>KLP</v>
          </cell>
        </row>
        <row r="14">
          <cell r="A14" t="str">
            <v>22</v>
          </cell>
          <cell r="B14" t="str">
            <v>13</v>
          </cell>
          <cell r="C14">
            <v>55</v>
          </cell>
          <cell r="E14">
            <v>55</v>
          </cell>
          <cell r="G14" t="str">
            <v>Landbruksforsikring AS</v>
          </cell>
        </row>
        <row r="15">
          <cell r="A15" t="str">
            <v>17</v>
          </cell>
          <cell r="B15" t="str">
            <v>14</v>
          </cell>
          <cell r="C15">
            <v>59</v>
          </cell>
          <cell r="E15">
            <v>59</v>
          </cell>
          <cell r="G15" t="str">
            <v>NEMI Forsikring AS</v>
          </cell>
        </row>
        <row r="16">
          <cell r="A16" t="str">
            <v>40</v>
          </cell>
          <cell r="B16" t="str">
            <v>15</v>
          </cell>
          <cell r="C16">
            <v>63</v>
          </cell>
          <cell r="D16">
            <v>27</v>
          </cell>
          <cell r="E16">
            <v>63</v>
          </cell>
          <cell r="F16">
            <v>27</v>
          </cell>
          <cell r="G16" t="str">
            <v>Livsforsikringsselskapet Nordea Liv Norge AS</v>
          </cell>
        </row>
        <row r="17">
          <cell r="A17" t="str">
            <v>41</v>
          </cell>
          <cell r="B17" t="str">
            <v>16</v>
          </cell>
          <cell r="C17">
            <v>67</v>
          </cell>
          <cell r="E17">
            <v>67</v>
          </cell>
          <cell r="G17" t="str">
            <v>Oslo Pensjonsforsikring</v>
          </cell>
        </row>
        <row r="18">
          <cell r="A18" t="str">
            <v>43</v>
          </cell>
          <cell r="B18" t="str">
            <v>17</v>
          </cell>
          <cell r="C18">
            <v>71</v>
          </cell>
          <cell r="D18">
            <v>35</v>
          </cell>
          <cell r="E18">
            <v>71</v>
          </cell>
          <cell r="F18">
            <v>35</v>
          </cell>
          <cell r="G18" t="str">
            <v>Silver Pensjonsforsikring  AS</v>
          </cell>
        </row>
        <row r="19">
          <cell r="A19" t="str">
            <v>49</v>
          </cell>
          <cell r="B19" t="str">
            <v>18</v>
          </cell>
          <cell r="C19">
            <v>75</v>
          </cell>
          <cell r="D19">
            <v>39</v>
          </cell>
          <cell r="E19">
            <v>75</v>
          </cell>
          <cell r="F19">
            <v>39</v>
          </cell>
          <cell r="G19" t="str">
            <v>Sparebank 1 Fondsforsikring</v>
          </cell>
        </row>
        <row r="20">
          <cell r="A20" t="str">
            <v>50</v>
          </cell>
          <cell r="B20" t="str">
            <v>19</v>
          </cell>
          <cell r="C20">
            <v>79</v>
          </cell>
          <cell r="D20">
            <v>43</v>
          </cell>
          <cell r="E20">
            <v>79</v>
          </cell>
          <cell r="F20">
            <v>43</v>
          </cell>
          <cell r="G20" t="str">
            <v>Storebrand Fondsforsikring</v>
          </cell>
        </row>
        <row r="21">
          <cell r="A21" t="str">
            <v>16</v>
          </cell>
          <cell r="B21" t="str">
            <v>20</v>
          </cell>
          <cell r="C21">
            <v>83</v>
          </cell>
          <cell r="E21">
            <v>83</v>
          </cell>
          <cell r="G21" t="str">
            <v>Telenor Forsikring AS</v>
          </cell>
        </row>
        <row r="22">
          <cell r="A22" t="str">
            <v>47</v>
          </cell>
          <cell r="B22" t="str">
            <v>21</v>
          </cell>
          <cell r="G22" t="str">
            <v>TrygVesta Forsikring</v>
          </cell>
        </row>
        <row r="23">
          <cell r="A23" t="str">
            <v>8</v>
          </cell>
          <cell r="B23" t="str">
            <v>22</v>
          </cell>
          <cell r="C23">
            <v>87</v>
          </cell>
          <cell r="E23">
            <v>87</v>
          </cell>
          <cell r="G23" t="str">
            <v>Tryg Forsikring</v>
          </cell>
        </row>
        <row r="24">
          <cell r="A24" t="str">
            <v>10</v>
          </cell>
          <cell r="B24" t="str">
            <v>23</v>
          </cell>
          <cell r="G24" t="str">
            <v>SpareBank 1 Forsikring AS</v>
          </cell>
        </row>
        <row r="25">
          <cell r="A25" t="str">
            <v>32</v>
          </cell>
          <cell r="B25" t="str">
            <v>24</v>
          </cell>
          <cell r="G25" t="str">
            <v>Storebrand ASA</v>
          </cell>
        </row>
        <row r="26">
          <cell r="A26" t="str">
            <v>33</v>
          </cell>
          <cell r="B26" t="str">
            <v>25</v>
          </cell>
          <cell r="G26" t="str">
            <v>Altraplan Luxembourg</v>
          </cell>
        </row>
        <row r="27">
          <cell r="A27" t="str">
            <v>42</v>
          </cell>
          <cell r="B27" t="str">
            <v>26</v>
          </cell>
          <cell r="D27">
            <v>31</v>
          </cell>
          <cell r="F27">
            <v>31</v>
          </cell>
          <cell r="G27" t="str">
            <v>SHB Liv</v>
          </cell>
        </row>
        <row r="28">
          <cell r="A28" t="str">
            <v>44</v>
          </cell>
          <cell r="B28" t="str">
            <v>27</v>
          </cell>
          <cell r="C28">
            <v>51</v>
          </cell>
          <cell r="E28">
            <v>51</v>
          </cell>
          <cell r="G28" t="str">
            <v>KLP Skadeforsikring</v>
          </cell>
        </row>
        <row r="29">
          <cell r="A29" t="str">
            <v>45</v>
          </cell>
          <cell r="B29" t="str">
            <v>28</v>
          </cell>
          <cell r="G29" t="str">
            <v>Commercial Union International Life</v>
          </cell>
        </row>
        <row r="30">
          <cell r="A30" t="str">
            <v>46</v>
          </cell>
          <cell r="B30" t="str">
            <v>29</v>
          </cell>
          <cell r="G30" t="str">
            <v>Gjensidige NOR Spareforsikring</v>
          </cell>
        </row>
        <row r="31">
          <cell r="A31" t="str">
            <v>48</v>
          </cell>
          <cell r="B31" t="str">
            <v>30</v>
          </cell>
          <cell r="G31" t="str">
            <v>Vesta</v>
          </cell>
        </row>
        <row r="32">
          <cell r="A32" t="str">
            <v>51</v>
          </cell>
          <cell r="B32" t="str">
            <v>31</v>
          </cell>
          <cell r="G32" t="str">
            <v>Danica Link</v>
          </cell>
        </row>
        <row r="33">
          <cell r="A33" t="str">
            <v>52</v>
          </cell>
          <cell r="B33" t="str">
            <v>32</v>
          </cell>
          <cell r="G33" t="str">
            <v>Danica Fondsforsikring</v>
          </cell>
        </row>
        <row r="34">
          <cell r="A34" t="str">
            <v>53</v>
          </cell>
          <cell r="B34" t="str">
            <v>33</v>
          </cell>
          <cell r="G34" t="str">
            <v>Gjensidige NOR Fondsforsikring</v>
          </cell>
        </row>
        <row r="35">
          <cell r="A35" t="str">
            <v>54</v>
          </cell>
          <cell r="B35" t="str">
            <v>34</v>
          </cell>
          <cell r="G35" t="str">
            <v>Vital Link</v>
          </cell>
        </row>
        <row r="36">
          <cell r="A36" t="str">
            <v>55</v>
          </cell>
          <cell r="B36" t="str">
            <v>35</v>
          </cell>
          <cell r="G36" t="str">
            <v>Nordea Link</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BF6A5-CA05-4275-B867-34D92981BF97}">
  <dimension ref="A1:M38"/>
  <sheetViews>
    <sheetView showGridLines="0" zoomScale="90" zoomScaleNormal="90" workbookViewId="0">
      <selection activeCell="F18" sqref="F18"/>
    </sheetView>
  </sheetViews>
  <sheetFormatPr baseColWidth="10" defaultColWidth="11.42578125" defaultRowHeight="12.75" x14ac:dyDescent="0.2"/>
  <sheetData>
    <row r="1" spans="1:13" x14ac:dyDescent="0.2">
      <c r="A1" s="458"/>
      <c r="B1" s="458"/>
      <c r="C1" s="458"/>
      <c r="D1" s="458"/>
      <c r="E1" s="458"/>
      <c r="F1" s="458"/>
      <c r="G1" s="458"/>
      <c r="H1" s="458"/>
      <c r="I1" s="458"/>
      <c r="J1" s="458"/>
      <c r="K1" s="458"/>
      <c r="L1" s="458"/>
      <c r="M1" s="458"/>
    </row>
    <row r="2" spans="1:13" x14ac:dyDescent="0.2">
      <c r="A2" s="458"/>
      <c r="B2" s="458"/>
      <c r="C2" s="458"/>
      <c r="D2" s="458"/>
      <c r="E2" s="458"/>
      <c r="F2" s="458"/>
      <c r="G2" s="458"/>
      <c r="H2" s="458"/>
      <c r="I2" s="458"/>
      <c r="J2" s="458"/>
      <c r="K2" s="458"/>
      <c r="L2" s="458"/>
      <c r="M2" s="458"/>
    </row>
    <row r="3" spans="1:13" x14ac:dyDescent="0.2">
      <c r="A3" s="458"/>
      <c r="B3" s="458"/>
      <c r="C3" s="458"/>
      <c r="D3" s="458"/>
      <c r="E3" s="458"/>
      <c r="F3" s="458"/>
      <c r="G3" s="458"/>
      <c r="H3" s="458"/>
      <c r="I3" s="458"/>
      <c r="J3" s="458"/>
      <c r="K3" s="458"/>
      <c r="L3" s="458"/>
      <c r="M3" s="458"/>
    </row>
    <row r="4" spans="1:13" x14ac:dyDescent="0.2">
      <c r="A4" s="458"/>
      <c r="B4" s="458"/>
      <c r="C4" s="458"/>
      <c r="D4" s="458"/>
      <c r="E4" s="458"/>
      <c r="F4" s="458"/>
      <c r="G4" s="458"/>
      <c r="H4" s="458"/>
      <c r="I4" s="458"/>
      <c r="J4" s="458"/>
      <c r="K4" s="458"/>
      <c r="L4" s="458"/>
      <c r="M4" s="458"/>
    </row>
    <row r="5" spans="1:13" x14ac:dyDescent="0.2">
      <c r="A5" s="458"/>
      <c r="B5" s="459"/>
      <c r="C5" s="459"/>
      <c r="D5" s="459"/>
      <c r="E5" s="459"/>
      <c r="F5" s="459"/>
      <c r="G5" s="459"/>
      <c r="H5" s="459"/>
      <c r="I5" s="458"/>
      <c r="J5" s="458"/>
      <c r="K5" s="458"/>
      <c r="L5" s="458"/>
      <c r="M5" s="458"/>
    </row>
    <row r="6" spans="1:13" ht="23.25" x14ac:dyDescent="0.35">
      <c r="A6" s="458"/>
      <c r="B6" s="460"/>
      <c r="C6" s="459"/>
      <c r="D6" s="459"/>
      <c r="E6" s="459"/>
      <c r="F6" s="459"/>
      <c r="G6" s="459"/>
      <c r="H6" s="459"/>
      <c r="I6" s="461"/>
      <c r="J6" s="458"/>
      <c r="K6" s="458"/>
      <c r="L6" s="458"/>
      <c r="M6" s="458"/>
    </row>
    <row r="7" spans="1:13" x14ac:dyDescent="0.2">
      <c r="A7" s="458"/>
      <c r="B7" s="459"/>
      <c r="C7" s="459"/>
      <c r="D7" s="459"/>
      <c r="E7" s="459"/>
      <c r="F7" s="459"/>
      <c r="G7" s="459"/>
      <c r="H7" s="459"/>
      <c r="I7" s="459"/>
      <c r="J7" s="458"/>
      <c r="K7" s="458"/>
      <c r="L7" s="458"/>
      <c r="M7" s="458"/>
    </row>
    <row r="8" spans="1:13" x14ac:dyDescent="0.2">
      <c r="A8" s="458"/>
      <c r="B8" s="459"/>
      <c r="C8" s="459"/>
      <c r="D8" s="459"/>
      <c r="E8" s="458"/>
      <c r="F8" s="459"/>
      <c r="G8" s="459"/>
      <c r="H8" s="459"/>
      <c r="I8" s="458"/>
      <c r="J8" s="458"/>
      <c r="K8" s="458"/>
      <c r="L8" s="458"/>
      <c r="M8" s="458"/>
    </row>
    <row r="9" spans="1:13" x14ac:dyDescent="0.2">
      <c r="A9" s="458"/>
      <c r="B9" s="459"/>
      <c r="C9" s="459"/>
      <c r="D9" s="459"/>
      <c r="E9" s="459"/>
      <c r="F9" s="459"/>
      <c r="G9" s="459"/>
      <c r="H9" s="459"/>
      <c r="I9" s="458"/>
      <c r="J9" s="458"/>
      <c r="K9" s="458"/>
      <c r="L9" s="458"/>
      <c r="M9" s="458"/>
    </row>
    <row r="10" spans="1:13" ht="23.25" x14ac:dyDescent="0.35">
      <c r="A10" s="458"/>
      <c r="B10" s="459"/>
      <c r="C10" s="459"/>
      <c r="D10" s="459"/>
      <c r="E10" s="458"/>
      <c r="F10" s="458"/>
      <c r="G10" s="458"/>
      <c r="H10" s="458"/>
      <c r="I10" s="461"/>
      <c r="J10" s="458"/>
      <c r="K10" s="458"/>
      <c r="L10" s="458"/>
      <c r="M10" s="458"/>
    </row>
    <row r="11" spans="1:13" x14ac:dyDescent="0.2">
      <c r="A11" s="458"/>
      <c r="B11" s="459"/>
      <c r="C11" s="459"/>
      <c r="D11" s="459"/>
      <c r="E11" s="458"/>
      <c r="F11" s="458"/>
      <c r="G11" s="458"/>
      <c r="H11" s="458"/>
      <c r="I11" s="458"/>
      <c r="J11" s="458"/>
      <c r="K11" s="458"/>
      <c r="L11" s="458"/>
      <c r="M11" s="458"/>
    </row>
    <row r="12" spans="1:13" ht="23.25" x14ac:dyDescent="0.35">
      <c r="A12" s="458"/>
      <c r="B12" s="459"/>
      <c r="C12" s="459"/>
      <c r="D12" s="459"/>
      <c r="E12" s="459"/>
      <c r="F12" s="459"/>
      <c r="G12" s="459"/>
      <c r="H12" s="459"/>
      <c r="I12" s="461"/>
      <c r="J12" s="458"/>
      <c r="K12" s="458"/>
      <c r="L12" s="458"/>
      <c r="M12" s="458"/>
    </row>
    <row r="13" spans="1:13" ht="23.25" x14ac:dyDescent="0.35">
      <c r="A13" s="458"/>
      <c r="B13" s="459"/>
      <c r="C13" s="462"/>
      <c r="D13" s="462"/>
      <c r="E13" s="462"/>
      <c r="F13" s="462"/>
      <c r="G13" s="462"/>
      <c r="H13" s="462"/>
      <c r="I13" s="461"/>
      <c r="J13" s="458"/>
      <c r="K13" s="458"/>
      <c r="L13" s="458"/>
      <c r="M13" s="458"/>
    </row>
    <row r="14" spans="1:13" x14ac:dyDescent="0.2">
      <c r="A14" s="458"/>
      <c r="B14" s="459"/>
      <c r="C14" s="459"/>
      <c r="D14" s="459"/>
      <c r="E14" s="458"/>
      <c r="F14" s="459"/>
      <c r="G14" s="459"/>
      <c r="H14" s="459"/>
      <c r="I14" s="458"/>
      <c r="J14" s="458"/>
      <c r="K14" s="458"/>
      <c r="L14" s="458"/>
      <c r="M14" s="458"/>
    </row>
    <row r="15" spans="1:13" x14ac:dyDescent="0.2">
      <c r="A15" s="458"/>
      <c r="B15" s="459"/>
      <c r="C15" s="459"/>
      <c r="D15" s="459"/>
      <c r="E15" s="458"/>
      <c r="F15" s="459"/>
      <c r="G15" s="459"/>
      <c r="H15" s="459"/>
      <c r="I15" s="459"/>
      <c r="J15" s="458"/>
      <c r="K15" s="458"/>
      <c r="L15" s="458"/>
      <c r="M15" s="458"/>
    </row>
    <row r="16" spans="1:13" ht="34.5" x14ac:dyDescent="0.45">
      <c r="A16" s="458"/>
      <c r="B16" s="459"/>
      <c r="C16" s="459"/>
      <c r="D16" s="459"/>
      <c r="E16" s="463"/>
      <c r="F16" s="459"/>
      <c r="G16" s="459"/>
      <c r="H16" s="459"/>
      <c r="I16" s="459"/>
      <c r="J16" s="458"/>
      <c r="K16" s="458"/>
      <c r="L16" s="458"/>
      <c r="M16" s="458"/>
    </row>
    <row r="17" spans="1:13" ht="33" x14ac:dyDescent="0.45">
      <c r="A17" s="458"/>
      <c r="B17" s="459"/>
      <c r="C17" s="459"/>
      <c r="D17" s="459"/>
      <c r="E17" s="464"/>
      <c r="F17" s="459"/>
      <c r="G17" s="459"/>
      <c r="H17" s="459"/>
      <c r="I17" s="459"/>
      <c r="J17" s="458"/>
      <c r="K17" s="458"/>
      <c r="L17" s="458"/>
      <c r="M17" s="458"/>
    </row>
    <row r="18" spans="1:13" ht="33" x14ac:dyDescent="0.45">
      <c r="A18" s="458"/>
      <c r="B18" s="458"/>
      <c r="C18" s="458"/>
      <c r="D18" s="464"/>
      <c r="E18" s="458"/>
      <c r="F18" s="458"/>
      <c r="G18" s="458"/>
      <c r="H18" s="458"/>
      <c r="I18" s="458"/>
      <c r="J18" s="458"/>
      <c r="K18" s="458"/>
      <c r="L18" s="458"/>
      <c r="M18" s="458"/>
    </row>
    <row r="19" spans="1:13" ht="18.75" x14ac:dyDescent="0.3">
      <c r="A19" s="458"/>
      <c r="B19" s="458"/>
      <c r="C19" s="458"/>
      <c r="D19" s="458"/>
      <c r="E19" s="465"/>
      <c r="F19" s="458"/>
      <c r="G19" s="458"/>
      <c r="H19" s="458"/>
      <c r="I19" s="466"/>
      <c r="J19" s="458"/>
      <c r="K19" s="458"/>
      <c r="L19" s="458"/>
      <c r="M19" s="458"/>
    </row>
    <row r="20" spans="1:13" x14ac:dyDescent="0.2">
      <c r="A20" s="458"/>
      <c r="B20" s="458"/>
      <c r="C20" s="458"/>
      <c r="D20" s="458"/>
      <c r="E20" s="458"/>
      <c r="F20" s="458"/>
      <c r="G20" s="458"/>
      <c r="H20" s="458"/>
      <c r="I20" s="458"/>
      <c r="J20" s="458"/>
      <c r="K20" s="458"/>
      <c r="L20" s="458"/>
      <c r="M20" s="458"/>
    </row>
    <row r="21" spans="1:13" x14ac:dyDescent="0.2">
      <c r="A21" s="458"/>
      <c r="B21" s="458"/>
      <c r="C21" s="458"/>
      <c r="D21" s="458"/>
      <c r="E21" s="467"/>
      <c r="F21" s="458"/>
      <c r="G21" s="458"/>
      <c r="H21" s="458"/>
      <c r="I21" s="458"/>
      <c r="J21" s="458"/>
      <c r="K21" s="458"/>
      <c r="L21" s="458"/>
      <c r="M21" s="458"/>
    </row>
    <row r="22" spans="1:13" ht="26.25" x14ac:dyDescent="0.4">
      <c r="A22" s="458"/>
      <c r="B22" s="458"/>
      <c r="C22" s="458"/>
      <c r="D22" s="458"/>
      <c r="E22" s="468"/>
      <c r="F22" s="458"/>
      <c r="G22" s="458"/>
      <c r="H22" s="458"/>
      <c r="I22" s="458"/>
      <c r="J22" s="458"/>
      <c r="K22" s="458"/>
      <c r="L22" s="458"/>
      <c r="M22" s="458"/>
    </row>
    <row r="23" spans="1:13" x14ac:dyDescent="0.2">
      <c r="A23" s="458"/>
      <c r="B23" s="458"/>
      <c r="C23" s="458"/>
      <c r="D23" s="458"/>
      <c r="E23" s="458"/>
      <c r="F23" s="458"/>
      <c r="G23" s="458"/>
      <c r="H23" s="458"/>
      <c r="I23" s="458"/>
      <c r="J23" s="458"/>
      <c r="K23" s="458"/>
      <c r="L23" s="458"/>
      <c r="M23" s="458"/>
    </row>
    <row r="24" spans="1:13" x14ac:dyDescent="0.2">
      <c r="A24" s="458"/>
      <c r="B24" s="458"/>
      <c r="C24" s="458"/>
      <c r="D24" s="458"/>
      <c r="E24" s="458"/>
      <c r="F24" s="458"/>
      <c r="G24" s="458"/>
      <c r="H24" s="458"/>
      <c r="I24" s="458"/>
      <c r="J24" s="458"/>
      <c r="K24" s="458"/>
      <c r="L24" s="458"/>
      <c r="M24" s="458"/>
    </row>
    <row r="25" spans="1:13" ht="18.75" x14ac:dyDescent="0.3">
      <c r="A25" s="458"/>
      <c r="B25" s="458"/>
      <c r="C25" s="458"/>
      <c r="D25" s="458"/>
      <c r="E25" s="469"/>
      <c r="F25" s="458"/>
      <c r="G25" s="458"/>
      <c r="H25" s="458"/>
      <c r="I25" s="458"/>
      <c r="J25" s="458"/>
      <c r="K25" s="458"/>
      <c r="L25" s="458"/>
      <c r="M25" s="458"/>
    </row>
    <row r="26" spans="1:13" ht="18.75" x14ac:dyDescent="0.3">
      <c r="A26" s="458"/>
      <c r="B26" s="458"/>
      <c r="C26" s="458"/>
      <c r="D26" s="458"/>
      <c r="E26" s="470"/>
      <c r="F26" s="458"/>
      <c r="G26" s="458"/>
      <c r="H26" s="458"/>
      <c r="I26" s="458"/>
      <c r="J26" s="458"/>
      <c r="K26" s="458"/>
      <c r="L26" s="458"/>
      <c r="M26" s="458"/>
    </row>
    <row r="27" spans="1:13" x14ac:dyDescent="0.2">
      <c r="A27" s="458"/>
      <c r="B27" s="458"/>
      <c r="C27" s="458"/>
      <c r="D27" s="458"/>
      <c r="E27" s="458"/>
      <c r="F27" s="458"/>
      <c r="G27" s="458"/>
      <c r="H27" s="458"/>
      <c r="I27" s="458"/>
      <c r="J27" s="458"/>
      <c r="K27" s="458"/>
      <c r="L27" s="458"/>
      <c r="M27" s="458"/>
    </row>
    <row r="28" spans="1:13" x14ac:dyDescent="0.2">
      <c r="A28" s="458"/>
      <c r="B28" s="458"/>
      <c r="C28" s="458"/>
      <c r="D28" s="462"/>
      <c r="E28" s="462"/>
      <c r="F28" s="462"/>
      <c r="G28" s="462"/>
      <c r="H28" s="462"/>
      <c r="I28" s="458"/>
      <c r="J28" s="458"/>
      <c r="K28" s="458"/>
      <c r="L28" s="458"/>
      <c r="M28" s="458"/>
    </row>
    <row r="29" spans="1:13" x14ac:dyDescent="0.2">
      <c r="A29" s="458"/>
      <c r="B29" s="458"/>
      <c r="C29" s="458"/>
      <c r="D29" s="458"/>
      <c r="E29" s="458"/>
      <c r="F29" s="458"/>
      <c r="G29" s="458"/>
      <c r="H29" s="458"/>
      <c r="I29" s="458"/>
      <c r="J29" s="458"/>
      <c r="K29" s="458"/>
      <c r="L29" s="458"/>
      <c r="M29" s="458"/>
    </row>
    <row r="30" spans="1:13" x14ac:dyDescent="0.2">
      <c r="A30" s="458"/>
      <c r="B30" s="458"/>
      <c r="C30" s="458"/>
      <c r="D30" s="458"/>
      <c r="E30" s="458"/>
      <c r="F30" s="458"/>
      <c r="G30" s="458"/>
      <c r="H30" s="458"/>
      <c r="I30" s="458"/>
      <c r="J30" s="458"/>
      <c r="K30" s="458"/>
      <c r="L30" s="458"/>
      <c r="M30" s="458"/>
    </row>
    <row r="31" spans="1:13" x14ac:dyDescent="0.2">
      <c r="A31" s="458"/>
      <c r="B31" s="458"/>
      <c r="C31" s="458"/>
      <c r="D31" s="458"/>
      <c r="E31" s="458"/>
      <c r="F31" s="458"/>
      <c r="G31" s="458"/>
      <c r="H31" s="458"/>
      <c r="I31" s="458"/>
      <c r="J31" s="458"/>
      <c r="K31" s="458"/>
      <c r="L31" s="458"/>
      <c r="M31" s="458"/>
    </row>
    <row r="32" spans="1:13" x14ac:dyDescent="0.2">
      <c r="A32" s="458"/>
      <c r="B32" s="458"/>
      <c r="C32" s="458"/>
      <c r="D32" s="458"/>
      <c r="E32" s="458"/>
      <c r="F32" s="458"/>
      <c r="G32" s="458"/>
      <c r="H32" s="458"/>
      <c r="I32" s="458"/>
      <c r="J32" s="458"/>
      <c r="K32" s="458"/>
      <c r="L32" s="458"/>
      <c r="M32" s="458"/>
    </row>
    <row r="33" spans="1:13" ht="35.25" x14ac:dyDescent="0.2">
      <c r="A33" s="471"/>
      <c r="B33" s="458"/>
      <c r="C33" s="458"/>
      <c r="D33" s="458"/>
      <c r="E33" s="458"/>
      <c r="F33" s="458"/>
      <c r="G33" s="458"/>
      <c r="H33" s="458"/>
      <c r="I33" s="458"/>
      <c r="J33" s="458"/>
      <c r="K33" s="458"/>
      <c r="L33" s="458"/>
      <c r="M33" s="458"/>
    </row>
    <row r="34" spans="1:13" x14ac:dyDescent="0.2">
      <c r="A34" s="458"/>
      <c r="B34" s="458"/>
      <c r="C34" s="458"/>
      <c r="D34" s="458"/>
      <c r="E34" s="458"/>
      <c r="F34" s="458"/>
      <c r="G34" s="458"/>
      <c r="H34" s="458"/>
      <c r="I34" s="458"/>
      <c r="J34" s="458"/>
      <c r="K34" s="458"/>
      <c r="L34" s="458"/>
      <c r="M34" s="458"/>
    </row>
    <row r="35" spans="1:13" x14ac:dyDescent="0.2">
      <c r="A35" s="458"/>
      <c r="B35" s="458"/>
      <c r="C35" s="458"/>
      <c r="D35" s="458"/>
      <c r="E35" s="458"/>
      <c r="F35" s="458"/>
      <c r="G35" s="458"/>
      <c r="H35" s="458"/>
      <c r="I35" s="458"/>
      <c r="J35" s="458"/>
      <c r="K35" s="458"/>
      <c r="L35" s="458"/>
      <c r="M35" s="458"/>
    </row>
    <row r="36" spans="1:13" ht="33" x14ac:dyDescent="0.2">
      <c r="A36" s="458"/>
      <c r="B36" s="472"/>
      <c r="C36" s="458"/>
      <c r="D36" s="458"/>
      <c r="E36" s="458"/>
      <c r="F36" s="458"/>
      <c r="G36" s="458"/>
      <c r="H36" s="458"/>
      <c r="I36" s="458"/>
      <c r="J36" s="458"/>
      <c r="K36" s="458"/>
      <c r="L36" s="458"/>
      <c r="M36" s="458"/>
    </row>
    <row r="37" spans="1:13" x14ac:dyDescent="0.2">
      <c r="A37" s="458"/>
      <c r="B37" s="458"/>
      <c r="C37" s="458"/>
      <c r="D37" s="458"/>
      <c r="E37" s="458"/>
      <c r="F37" s="458"/>
      <c r="G37" s="458"/>
      <c r="H37" s="458"/>
      <c r="I37" s="458"/>
      <c r="J37" s="458"/>
      <c r="K37" s="458"/>
      <c r="L37" s="458"/>
      <c r="M37" s="458"/>
    </row>
    <row r="38" spans="1:13" x14ac:dyDescent="0.2">
      <c r="A38" s="458"/>
      <c r="B38" s="458"/>
      <c r="C38" s="458"/>
      <c r="D38" s="458"/>
      <c r="E38" s="458"/>
      <c r="F38" s="458"/>
      <c r="G38" s="458"/>
      <c r="H38" s="458"/>
      <c r="I38" s="458"/>
      <c r="J38" s="458"/>
      <c r="K38" s="458"/>
      <c r="L38" s="458"/>
      <c r="M38" s="45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1DA9-89CE-4218-BAD2-ABC9A5D34523}">
  <dimension ref="A1:N144"/>
  <sheetViews>
    <sheetView showGridLines="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365</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32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117"/>
      <c r="J22" s="250"/>
      <c r="K22" s="250"/>
      <c r="L22" s="332"/>
      <c r="M22" s="20"/>
    </row>
    <row r="23" spans="1:13" ht="15.75" x14ac:dyDescent="0.2">
      <c r="A23" s="372" t="s">
        <v>325</v>
      </c>
      <c r="B23" s="220"/>
      <c r="C23" s="220"/>
      <c r="D23" s="121"/>
      <c r="E23" s="8"/>
      <c r="F23" s="228"/>
      <c r="G23" s="228"/>
      <c r="H23" s="121"/>
      <c r="I23" s="184"/>
      <c r="J23" s="228"/>
      <c r="K23" s="228"/>
      <c r="L23" s="121"/>
      <c r="M23" s="19"/>
    </row>
    <row r="24" spans="1:13" ht="15.75" x14ac:dyDescent="0.2">
      <c r="A24" s="372" t="s">
        <v>326</v>
      </c>
      <c r="B24" s="220"/>
      <c r="C24" s="220"/>
      <c r="D24" s="121"/>
      <c r="E24" s="8"/>
      <c r="F24" s="228"/>
      <c r="G24" s="228"/>
      <c r="H24" s="121"/>
      <c r="I24" s="184"/>
      <c r="J24" s="228"/>
      <c r="K24" s="228"/>
      <c r="L24" s="121"/>
      <c r="M24" s="19"/>
    </row>
    <row r="25" spans="1:13" ht="15.75" x14ac:dyDescent="0.2">
      <c r="A25" s="372" t="s">
        <v>327</v>
      </c>
      <c r="B25" s="220"/>
      <c r="C25" s="220"/>
      <c r="D25" s="121"/>
      <c r="E25" s="8"/>
      <c r="F25" s="228"/>
      <c r="G25" s="228"/>
      <c r="H25" s="121"/>
      <c r="I25" s="184"/>
      <c r="J25" s="228"/>
      <c r="K25" s="228"/>
      <c r="L25" s="121"/>
      <c r="M25" s="19"/>
    </row>
    <row r="26" spans="1:13" ht="15.75" x14ac:dyDescent="0.2">
      <c r="A26" s="372" t="s">
        <v>328</v>
      </c>
      <c r="B26" s="220"/>
      <c r="C26" s="220"/>
      <c r="D26" s="121"/>
      <c r="E26" s="8"/>
      <c r="F26" s="228"/>
      <c r="G26" s="228"/>
      <c r="H26" s="121"/>
      <c r="I26" s="184"/>
      <c r="J26" s="228"/>
      <c r="K26" s="228"/>
      <c r="L26" s="121"/>
      <c r="M26" s="19"/>
    </row>
    <row r="27" spans="1:13" x14ac:dyDescent="0.2">
      <c r="A27" s="372" t="s">
        <v>11</v>
      </c>
      <c r="B27" s="220"/>
      <c r="C27" s="220"/>
      <c r="D27" s="121"/>
      <c r="E27" s="8"/>
      <c r="F27" s="228"/>
      <c r="G27" s="228"/>
      <c r="H27" s="121"/>
      <c r="I27" s="184"/>
      <c r="J27" s="228"/>
      <c r="K27" s="228"/>
      <c r="L27" s="121"/>
      <c r="M27" s="19"/>
    </row>
    <row r="28" spans="1:13" ht="15.75" x14ac:dyDescent="0.2">
      <c r="A28" s="38" t="s">
        <v>247</v>
      </c>
      <c r="B28" s="35"/>
      <c r="C28" s="226"/>
      <c r="D28" s="121"/>
      <c r="E28" s="8"/>
      <c r="F28" s="137"/>
      <c r="G28" s="137"/>
      <c r="H28" s="121"/>
      <c r="I28" s="129"/>
      <c r="J28" s="35"/>
      <c r="K28" s="35"/>
      <c r="L28" s="198"/>
      <c r="M28" s="19"/>
    </row>
    <row r="29" spans="1:13" ht="15.75" x14ac:dyDescent="0.2">
      <c r="A29" s="10" t="s">
        <v>322</v>
      </c>
      <c r="B29" s="180"/>
      <c r="C29" s="180"/>
      <c r="D29" s="125"/>
      <c r="E29" s="8"/>
      <c r="F29" s="242"/>
      <c r="G29" s="242"/>
      <c r="H29" s="125"/>
      <c r="I29" s="117"/>
      <c r="J29" s="180"/>
      <c r="K29" s="180"/>
      <c r="L29" s="333"/>
      <c r="M29" s="20"/>
    </row>
    <row r="30" spans="1:13" ht="15.75" x14ac:dyDescent="0.2">
      <c r="A30" s="372" t="s">
        <v>325</v>
      </c>
      <c r="B30" s="220"/>
      <c r="C30" s="220"/>
      <c r="D30" s="121"/>
      <c r="E30" s="8"/>
      <c r="F30" s="228"/>
      <c r="G30" s="228"/>
      <c r="H30" s="121"/>
      <c r="I30" s="184"/>
      <c r="J30" s="228"/>
      <c r="K30" s="228"/>
      <c r="L30" s="121"/>
      <c r="M30" s="19"/>
    </row>
    <row r="31" spans="1:13" ht="15.75" x14ac:dyDescent="0.2">
      <c r="A31" s="372" t="s">
        <v>326</v>
      </c>
      <c r="B31" s="220"/>
      <c r="C31" s="220"/>
      <c r="D31" s="121"/>
      <c r="E31" s="8"/>
      <c r="F31" s="228"/>
      <c r="G31" s="228"/>
      <c r="H31" s="121"/>
      <c r="I31" s="184"/>
      <c r="J31" s="228"/>
      <c r="K31" s="228"/>
      <c r="L31" s="121"/>
      <c r="M31" s="19"/>
    </row>
    <row r="32" spans="1:13" ht="15.75" x14ac:dyDescent="0.2">
      <c r="A32" s="372" t="s">
        <v>327</v>
      </c>
      <c r="B32" s="220"/>
      <c r="C32" s="220"/>
      <c r="D32" s="121"/>
      <c r="E32" s="8"/>
      <c r="F32" s="228"/>
      <c r="G32" s="228"/>
      <c r="H32" s="121"/>
      <c r="I32" s="184"/>
      <c r="J32" s="228"/>
      <c r="K32" s="228"/>
      <c r="L32" s="121"/>
      <c r="M32" s="19"/>
    </row>
    <row r="33" spans="1:13" ht="15.75" x14ac:dyDescent="0.2">
      <c r="A33" s="372" t="s">
        <v>328</v>
      </c>
      <c r="B33" s="220"/>
      <c r="C33" s="220"/>
      <c r="D33" s="121"/>
      <c r="E33" s="8"/>
      <c r="F33" s="228"/>
      <c r="G33" s="228"/>
      <c r="H33" s="121"/>
      <c r="I33" s="184"/>
      <c r="J33" s="228"/>
      <c r="K33" s="228"/>
      <c r="L33" s="121"/>
      <c r="M33" s="19"/>
    </row>
    <row r="34" spans="1:13" ht="15.75" x14ac:dyDescent="0.2">
      <c r="A34" s="10" t="s">
        <v>323</v>
      </c>
      <c r="B34" s="180"/>
      <c r="C34" s="243"/>
      <c r="D34" s="125"/>
      <c r="E34" s="8"/>
      <c r="F34" s="242"/>
      <c r="G34" s="243"/>
      <c r="H34" s="125"/>
      <c r="I34" s="117"/>
      <c r="J34" s="180"/>
      <c r="K34" s="180"/>
      <c r="L34" s="333"/>
      <c r="M34" s="20"/>
    </row>
    <row r="35" spans="1:13" ht="15.75" x14ac:dyDescent="0.2">
      <c r="A35" s="10" t="s">
        <v>324</v>
      </c>
      <c r="B35" s="180"/>
      <c r="C35" s="243"/>
      <c r="D35" s="125"/>
      <c r="E35" s="8"/>
      <c r="F35" s="242"/>
      <c r="G35" s="243"/>
      <c r="H35" s="125"/>
      <c r="I35" s="117"/>
      <c r="J35" s="180"/>
      <c r="K35" s="180"/>
      <c r="L35" s="333"/>
      <c r="M35" s="20"/>
    </row>
    <row r="36" spans="1:13" ht="15.75" x14ac:dyDescent="0.2">
      <c r="A36" s="9" t="s">
        <v>254</v>
      </c>
      <c r="B36" s="180"/>
      <c r="C36" s="243"/>
      <c r="D36" s="125"/>
      <c r="E36" s="8"/>
      <c r="F36" s="253"/>
      <c r="G36" s="254"/>
      <c r="H36" s="125"/>
      <c r="I36" s="335"/>
      <c r="J36" s="180"/>
      <c r="K36" s="180"/>
      <c r="L36" s="333"/>
      <c r="M36" s="20"/>
    </row>
    <row r="37" spans="1:13" ht="15.75" x14ac:dyDescent="0.2">
      <c r="A37" s="9" t="s">
        <v>330</v>
      </c>
      <c r="B37" s="180"/>
      <c r="C37" s="243"/>
      <c r="D37" s="125"/>
      <c r="E37" s="8"/>
      <c r="F37" s="253"/>
      <c r="G37" s="255"/>
      <c r="H37" s="125"/>
      <c r="I37" s="335"/>
      <c r="J37" s="180"/>
      <c r="K37" s="180"/>
      <c r="L37" s="333"/>
      <c r="M37" s="20"/>
    </row>
    <row r="38" spans="1:13" ht="15.75" x14ac:dyDescent="0.2">
      <c r="A38" s="9" t="s">
        <v>331</v>
      </c>
      <c r="B38" s="180"/>
      <c r="C38" s="243"/>
      <c r="D38" s="125"/>
      <c r="E38" s="20"/>
      <c r="F38" s="253"/>
      <c r="G38" s="254"/>
      <c r="H38" s="125"/>
      <c r="I38" s="335"/>
      <c r="J38" s="180"/>
      <c r="K38" s="180"/>
      <c r="L38" s="333"/>
      <c r="M38" s="20"/>
    </row>
    <row r="39" spans="1:13" ht="15.75" x14ac:dyDescent="0.2">
      <c r="A39" s="15" t="s">
        <v>332</v>
      </c>
      <c r="B39" s="215"/>
      <c r="C39" s="249"/>
      <c r="D39" s="123"/>
      <c r="E39" s="29"/>
      <c r="F39" s="256"/>
      <c r="G39" s="257"/>
      <c r="H39" s="123"/>
      <c r="I39" s="123"/>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71355</v>
      </c>
      <c r="C47" s="245">
        <v>99295</v>
      </c>
      <c r="D47" s="332">
        <f t="shared" ref="D47:D55" si="0">IF(B47=0, "    ---- ", IF(ABS(ROUND(100/B47*C47-100,1))&lt;999,ROUND(100/B47*C47-100,1),IF(ROUND(100/B47*C47-100,1)&gt;999,999,-999)))</f>
        <v>39.200000000000003</v>
      </c>
      <c r="E47" s="8">
        <f>IFERROR(100/'Skjema total MA'!C47*C47,0)</f>
        <v>1.5587502062862437</v>
      </c>
      <c r="F47" s="108"/>
      <c r="G47" s="26"/>
      <c r="H47" s="116"/>
      <c r="I47" s="116"/>
      <c r="J47" s="30"/>
      <c r="K47" s="30"/>
      <c r="L47" s="116"/>
      <c r="M47" s="116"/>
    </row>
    <row r="48" spans="1:13" ht="15.75" x14ac:dyDescent="0.2">
      <c r="A48" s="17" t="s">
        <v>333</v>
      </c>
      <c r="B48" s="220">
        <v>70366</v>
      </c>
      <c r="C48" s="221">
        <v>98203</v>
      </c>
      <c r="D48" s="198">
        <f t="shared" si="0"/>
        <v>39.6</v>
      </c>
      <c r="E48" s="22">
        <f>IFERROR(100/'Skjema total MA'!C48*C48,0)</f>
        <v>2.6855927722104278</v>
      </c>
      <c r="F48" s="108"/>
      <c r="G48" s="26"/>
      <c r="H48" s="108"/>
      <c r="I48" s="108"/>
      <c r="J48" s="26"/>
      <c r="K48" s="26"/>
      <c r="L48" s="116"/>
      <c r="M48" s="116"/>
    </row>
    <row r="49" spans="1:13" ht="15.75" x14ac:dyDescent="0.2">
      <c r="A49" s="17" t="s">
        <v>334</v>
      </c>
      <c r="B49" s="35">
        <v>989</v>
      </c>
      <c r="C49" s="226">
        <v>1092</v>
      </c>
      <c r="D49" s="198">
        <f>IF(B49=0, "    ---- ", IF(ABS(ROUND(100/B49*C49-100,1))&lt;999,ROUND(100/B49*C49-100,1),IF(ROUND(100/B49*C49-100,1)&gt;999,999,-999)))</f>
        <v>10.4</v>
      </c>
      <c r="E49" s="22">
        <f>IFERROR(100/'Skjema total MA'!C49*C49,0)</f>
        <v>4.0243118008014889E-2</v>
      </c>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v>71355</v>
      </c>
      <c r="C53" s="245">
        <v>99295</v>
      </c>
      <c r="D53" s="333">
        <f t="shared" si="0"/>
        <v>39.200000000000003</v>
      </c>
      <c r="E53" s="8">
        <f>IFERROR(100/'Skjema total MA'!C53*C53,0)</f>
        <v>32.938772130497064</v>
      </c>
      <c r="F53" s="108"/>
      <c r="G53" s="26"/>
      <c r="H53" s="108"/>
      <c r="I53" s="108"/>
      <c r="J53" s="26"/>
      <c r="K53" s="26"/>
      <c r="L53" s="116"/>
      <c r="M53" s="116"/>
    </row>
    <row r="54" spans="1:13" ht="15.75" x14ac:dyDescent="0.2">
      <c r="A54" s="17" t="s">
        <v>333</v>
      </c>
      <c r="B54" s="220">
        <v>70366</v>
      </c>
      <c r="C54" s="221">
        <v>98203</v>
      </c>
      <c r="D54" s="198">
        <f t="shared" si="0"/>
        <v>39.6</v>
      </c>
      <c r="E54" s="22">
        <f>IFERROR(100/'Skjema total MA'!C54*C54,0)</f>
        <v>33.348820054512906</v>
      </c>
      <c r="F54" s="108"/>
      <c r="G54" s="26"/>
      <c r="H54" s="108"/>
      <c r="I54" s="108"/>
      <c r="J54" s="26"/>
      <c r="K54" s="26"/>
      <c r="L54" s="116"/>
      <c r="M54" s="116"/>
    </row>
    <row r="55" spans="1:13" ht="15.75" x14ac:dyDescent="0.2">
      <c r="A55" s="17" t="s">
        <v>334</v>
      </c>
      <c r="B55" s="220">
        <v>989</v>
      </c>
      <c r="C55" s="221">
        <v>1092</v>
      </c>
      <c r="D55" s="198">
        <f t="shared" si="0"/>
        <v>10.4</v>
      </c>
      <c r="E55" s="22">
        <f>IFERROR(100/'Skjema total MA'!C55*C55,0)</f>
        <v>15.642312455191293</v>
      </c>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17"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418" priority="7">
      <formula>kvartal &lt; 4</formula>
    </cfRule>
  </conditionalFormatting>
  <conditionalFormatting sqref="A69:A74">
    <cfRule type="expression" dxfId="417" priority="6">
      <formula>kvartal &lt; 4</formula>
    </cfRule>
  </conditionalFormatting>
  <conditionalFormatting sqref="A80:A85">
    <cfRule type="expression" dxfId="416" priority="5">
      <formula>kvartal &lt; 4</formula>
    </cfRule>
  </conditionalFormatting>
  <conditionalFormatting sqref="A90:A95">
    <cfRule type="expression" dxfId="415" priority="4">
      <formula>kvartal &lt; 4</formula>
    </cfRule>
  </conditionalFormatting>
  <conditionalFormatting sqref="A101:A106">
    <cfRule type="expression" dxfId="414" priority="3">
      <formula>kvartal &lt; 4</formula>
    </cfRule>
  </conditionalFormatting>
  <conditionalFormatting sqref="A115:C115">
    <cfRule type="expression" dxfId="413" priority="2">
      <formula>kvartal &lt; 4</formula>
    </cfRule>
  </conditionalFormatting>
  <conditionalFormatting sqref="A123:C123">
    <cfRule type="expression" dxfId="412" priority="1">
      <formula>kvartal &lt; 4</formula>
    </cfRule>
  </conditionalFormatting>
  <conditionalFormatting sqref="F115:G115">
    <cfRule type="expression" dxfId="411" priority="27">
      <formula>kvartal &lt; 4</formula>
    </cfRule>
  </conditionalFormatting>
  <conditionalFormatting sqref="F123:G123">
    <cfRule type="expression" dxfId="410" priority="26">
      <formula>kvartal &lt; 4</formula>
    </cfRule>
  </conditionalFormatting>
  <conditionalFormatting sqref="J115:K115">
    <cfRule type="expression" dxfId="409" priority="9">
      <formula>kvartal &lt; 4</formula>
    </cfRule>
  </conditionalFormatting>
  <conditionalFormatting sqref="J123:K123">
    <cfRule type="expression" dxfId="408" priority="8">
      <formula>kvartal &lt; 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1:N144"/>
  <sheetViews>
    <sheetView showGridLines="0" zoomScaleNormal="100" workbookViewId="0">
      <pane xSplit="1" topLeftCell="B1" activePane="topRight" state="frozen"/>
      <selection activeCell="N2" sqref="N2"/>
      <selection pane="topRight"/>
    </sheetView>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523" t="s">
        <v>353</v>
      </c>
    </row>
    <row r="2" spans="1:14" ht="15.75" x14ac:dyDescent="0.25">
      <c r="A2" s="109" t="s">
        <v>28</v>
      </c>
      <c r="B2" s="234"/>
      <c r="C2" s="234"/>
      <c r="D2" s="234"/>
      <c r="E2" s="512"/>
      <c r="F2" s="234"/>
      <c r="G2" s="234"/>
      <c r="H2" s="234"/>
      <c r="I2" s="234"/>
      <c r="J2" s="234"/>
      <c r="K2" s="234"/>
      <c r="L2" s="234"/>
      <c r="M2" s="234"/>
    </row>
    <row r="3" spans="1:14" ht="15.75" x14ac:dyDescent="0.25">
      <c r="A3" s="120"/>
      <c r="B3" s="234"/>
      <c r="C3" s="234"/>
      <c r="D3" s="234"/>
      <c r="E3" s="512"/>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23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82">
        <v>1083851.5803</v>
      </c>
      <c r="C7" s="283">
        <v>1512901.60614</v>
      </c>
      <c r="D7" s="291">
        <f t="shared" ref="D7:D10" si="0">IF(AND(_xlfn.NUMBERVALUE(B7)=0,_xlfn.NUMBERVALUE(C7)=0),,IF(B7=0, "    ---- ", IF(ABS(ROUND(100/B7*C7-100,1))&lt;999,IF(ROUND(100/B7*C7-100,1)=0,"    ---- ",ROUND(100/B7*C7-100,1)),IF(ROUND(100/B7*C7-100,1)&gt;999,999,-999))))</f>
        <v>39.6</v>
      </c>
      <c r="E7" s="292">
        <f>IFERROR(100/'Skjema total MA'!C7*C7,0)</f>
        <v>33.161133158831156</v>
      </c>
      <c r="F7" s="282"/>
      <c r="G7" s="283"/>
      <c r="H7" s="291"/>
      <c r="I7" s="292"/>
      <c r="J7" s="293">
        <f t="shared" ref="J7:K10" si="1">SUM(B7,F7)</f>
        <v>1083851.5803</v>
      </c>
      <c r="K7" s="288">
        <f t="shared" si="1"/>
        <v>1512901.60614</v>
      </c>
      <c r="L7" s="291">
        <f t="shared" ref="L7:L10" si="2">IF(AND(_xlfn.NUMBERVALUE(J7)=0,_xlfn.NUMBERVALUE(K7)=0),,IF(J7=0, "    ---- ", IF(ABS(ROUND(100/J7*K7-100,1))&lt;999,IF(ROUND(100/J7*K7-100,1)=0,"    ---- ",ROUND(100/J7*K7-100,1)),IF(ROUND(100/J7*K7-100,1)&gt;999,999,-999))))</f>
        <v>39.6</v>
      </c>
      <c r="M7" s="292">
        <f>IFERROR(100/'Skjema total MA'!I7*K7,0)</f>
        <v>11.88450368094465</v>
      </c>
    </row>
    <row r="8" spans="1:14" ht="15.75" x14ac:dyDescent="0.2">
      <c r="A8" s="17" t="s">
        <v>25</v>
      </c>
      <c r="B8" s="285">
        <v>965844.27645999996</v>
      </c>
      <c r="C8" s="286">
        <v>1204952.9425299999</v>
      </c>
      <c r="D8" s="294">
        <f t="shared" si="0"/>
        <v>24.8</v>
      </c>
      <c r="E8" s="292">
        <f>IFERROR(100/'Skjema total MA'!C8*C8,0)</f>
        <v>39.221212178941883</v>
      </c>
      <c r="F8" s="295"/>
      <c r="G8" s="296"/>
      <c r="H8" s="294"/>
      <c r="I8" s="292"/>
      <c r="J8" s="297">
        <f t="shared" si="1"/>
        <v>965844.27645999996</v>
      </c>
      <c r="K8" s="286">
        <f t="shared" si="1"/>
        <v>1204952.9425299999</v>
      </c>
      <c r="L8" s="294">
        <f t="shared" si="2"/>
        <v>24.8</v>
      </c>
      <c r="M8" s="292">
        <f>IFERROR(100/'Skjema total MA'!I8*K8,0)</f>
        <v>39.221212178941883</v>
      </c>
    </row>
    <row r="9" spans="1:14" ht="15.75" x14ac:dyDescent="0.2">
      <c r="A9" s="17" t="s">
        <v>24</v>
      </c>
      <c r="B9" s="285">
        <v>117437.22018999999</v>
      </c>
      <c r="C9" s="286">
        <v>307948.66360999999</v>
      </c>
      <c r="D9" s="294">
        <f t="shared" si="0"/>
        <v>162.19999999999999</v>
      </c>
      <c r="E9" s="292">
        <f>IFERROR(100/'Skjema total MA'!C9*C9,0)</f>
        <v>34.067224829570769</v>
      </c>
      <c r="F9" s="295"/>
      <c r="G9" s="296"/>
      <c r="H9" s="294"/>
      <c r="I9" s="292"/>
      <c r="J9" s="297">
        <f t="shared" si="1"/>
        <v>117437.22018999999</v>
      </c>
      <c r="K9" s="286">
        <f t="shared" si="1"/>
        <v>307948.66360999999</v>
      </c>
      <c r="L9" s="294">
        <f t="shared" si="2"/>
        <v>162.19999999999999</v>
      </c>
      <c r="M9" s="292">
        <f>IFERROR(100/'Skjema total MA'!I9*K9,0)</f>
        <v>34.067224829570769</v>
      </c>
    </row>
    <row r="10" spans="1:14" ht="15.75" x14ac:dyDescent="0.2">
      <c r="A10" s="10" t="s">
        <v>322</v>
      </c>
      <c r="B10" s="287">
        <v>693976.13430000003</v>
      </c>
      <c r="C10" s="288">
        <v>731109.91125</v>
      </c>
      <c r="D10" s="294">
        <f t="shared" si="0"/>
        <v>5.4</v>
      </c>
      <c r="E10" s="292">
        <f>IFERROR(100/'Skjema total MA'!C10*C10,0)</f>
        <v>5.8263607681979455</v>
      </c>
      <c r="F10" s="287"/>
      <c r="G10" s="288"/>
      <c r="H10" s="294"/>
      <c r="I10" s="292"/>
      <c r="J10" s="293">
        <f t="shared" si="1"/>
        <v>693976.13430000003</v>
      </c>
      <c r="K10" s="288">
        <f t="shared" si="1"/>
        <v>731109.91125</v>
      </c>
      <c r="L10" s="294">
        <f t="shared" si="2"/>
        <v>5.4</v>
      </c>
      <c r="M10" s="292">
        <f>IFERROR(100/'Skjema total MA'!I10*K10,0)</f>
        <v>0.6290055719872597</v>
      </c>
    </row>
    <row r="11" spans="1:14" s="34" customFormat="1" ht="15.75" x14ac:dyDescent="0.2">
      <c r="A11" s="10" t="s">
        <v>323</v>
      </c>
      <c r="B11" s="287"/>
      <c r="C11" s="288"/>
      <c r="D11" s="294"/>
      <c r="E11" s="292"/>
      <c r="F11" s="287"/>
      <c r="G11" s="288"/>
      <c r="H11" s="294"/>
      <c r="I11" s="292"/>
      <c r="J11" s="293"/>
      <c r="K11" s="288"/>
      <c r="L11" s="294"/>
      <c r="M11" s="292"/>
      <c r="N11" s="106"/>
    </row>
    <row r="12" spans="1:14" s="34" customFormat="1" ht="15.75" x14ac:dyDescent="0.2">
      <c r="A12" s="32" t="s">
        <v>324</v>
      </c>
      <c r="B12" s="289"/>
      <c r="C12" s="290"/>
      <c r="D12" s="298"/>
      <c r="E12" s="298"/>
      <c r="F12" s="289"/>
      <c r="G12" s="290"/>
      <c r="H12" s="298"/>
      <c r="I12" s="298"/>
      <c r="J12" s="299"/>
      <c r="K12" s="290"/>
      <c r="L12" s="298"/>
      <c r="M12" s="298"/>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237"/>
      <c r="C18" s="237"/>
      <c r="D18" s="237"/>
      <c r="E18" s="234"/>
      <c r="F18" s="237"/>
      <c r="G18" s="237"/>
      <c r="H18" s="237"/>
      <c r="I18" s="234"/>
      <c r="J18" s="237"/>
      <c r="K18" s="237"/>
      <c r="L18" s="237"/>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23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383">
        <v>689984.47205999994</v>
      </c>
      <c r="C22" s="383">
        <v>734762.21976000001</v>
      </c>
      <c r="D22" s="291">
        <f t="shared" ref="D22:D30" si="3">IF(AND(_xlfn.NUMBERVALUE(B22)=0,_xlfn.NUMBERVALUE(C22)=0),,IF(B22=0, "    ---- ", IF(ABS(ROUND(100/B22*C22-100,1))&lt;999,IF(ROUND(100/B22*C22-100,1)=0,"    ---- ",ROUND(100/B22*C22-100,1)),IF(ROUND(100/B22*C22-100,1)&gt;999,999,-999))))</f>
        <v>6.5</v>
      </c>
      <c r="E22" s="292">
        <f>IFERROR(100/'Skjema total MA'!C22*C22,0)</f>
        <v>34.80444021696475</v>
      </c>
      <c r="F22" s="300"/>
      <c r="G22" s="300"/>
      <c r="H22" s="291"/>
      <c r="I22" s="292"/>
      <c r="J22" s="282">
        <f t="shared" ref="J22:K29" si="4">SUM(B22,F22)</f>
        <v>689984.47205999994</v>
      </c>
      <c r="K22" s="282">
        <f t="shared" si="4"/>
        <v>734762.21976000001</v>
      </c>
      <c r="L22" s="291">
        <f t="shared" ref="L22:L30" si="5">IF(AND(_xlfn.NUMBERVALUE(J22)=0,_xlfn.NUMBERVALUE(K22)=0),,IF(J22=0, "    ---- ", IF(ABS(ROUND(100/J22*K22-100,1))&lt;999,IF(ROUND(100/J22*K22-100,1)=0,"    ---- ",ROUND(100/J22*K22-100,1)),IF(ROUND(100/J22*K22-100,1)&gt;999,999,-999))))</f>
        <v>6.5</v>
      </c>
      <c r="M22" s="292">
        <f>IFERROR(100/'Skjema total MA'!I22*K22,0)</f>
        <v>25.238670175160639</v>
      </c>
    </row>
    <row r="23" spans="1:13" ht="15.75" x14ac:dyDescent="0.2">
      <c r="A23" s="372" t="s">
        <v>325</v>
      </c>
      <c r="B23" s="284"/>
      <c r="C23" s="284"/>
      <c r="D23" s="294"/>
      <c r="E23" s="292"/>
      <c r="F23" s="284"/>
      <c r="G23" s="284"/>
      <c r="H23" s="294"/>
      <c r="I23" s="292"/>
      <c r="J23" s="284"/>
      <c r="K23" s="284"/>
      <c r="L23" s="294"/>
      <c r="M23" s="292"/>
    </row>
    <row r="24" spans="1:13" ht="15.75" x14ac:dyDescent="0.2">
      <c r="A24" s="372" t="s">
        <v>326</v>
      </c>
      <c r="B24" s="284"/>
      <c r="C24" s="284"/>
      <c r="D24" s="294"/>
      <c r="E24" s="292"/>
      <c r="F24" s="284"/>
      <c r="G24" s="284"/>
      <c r="H24" s="294"/>
      <c r="I24" s="292"/>
      <c r="J24" s="284"/>
      <c r="K24" s="284"/>
      <c r="L24" s="294"/>
      <c r="M24" s="292"/>
    </row>
    <row r="25" spans="1:13" ht="15.75" x14ac:dyDescent="0.2">
      <c r="A25" s="372" t="s">
        <v>327</v>
      </c>
      <c r="B25" s="284"/>
      <c r="C25" s="284"/>
      <c r="D25" s="294"/>
      <c r="E25" s="292"/>
      <c r="F25" s="284"/>
      <c r="G25" s="284"/>
      <c r="H25" s="294"/>
      <c r="I25" s="292"/>
      <c r="J25" s="284"/>
      <c r="K25" s="284"/>
      <c r="L25" s="294"/>
      <c r="M25" s="292"/>
    </row>
    <row r="26" spans="1:13" ht="15.75" x14ac:dyDescent="0.2">
      <c r="A26" s="372" t="s">
        <v>328</v>
      </c>
      <c r="B26" s="284"/>
      <c r="C26" s="284"/>
      <c r="D26" s="294"/>
      <c r="E26" s="292"/>
      <c r="F26" s="284"/>
      <c r="G26" s="284"/>
      <c r="H26" s="294"/>
      <c r="I26" s="292"/>
      <c r="J26" s="284"/>
      <c r="K26" s="284"/>
      <c r="L26" s="294"/>
      <c r="M26" s="292"/>
    </row>
    <row r="27" spans="1:13" x14ac:dyDescent="0.2">
      <c r="A27" s="372" t="s">
        <v>11</v>
      </c>
      <c r="B27" s="284"/>
      <c r="C27" s="284"/>
      <c r="D27" s="294"/>
      <c r="E27" s="292"/>
      <c r="F27" s="284"/>
      <c r="G27" s="284"/>
      <c r="H27" s="294"/>
      <c r="I27" s="292"/>
      <c r="J27" s="284"/>
      <c r="K27" s="284"/>
      <c r="L27" s="294"/>
      <c r="M27" s="292"/>
    </row>
    <row r="28" spans="1:13" ht="15.75" x14ac:dyDescent="0.2">
      <c r="A28" s="38" t="s">
        <v>247</v>
      </c>
      <c r="B28" s="284">
        <v>689984.47205999994</v>
      </c>
      <c r="C28" s="284">
        <v>735316.21976000001</v>
      </c>
      <c r="D28" s="294">
        <f t="shared" si="3"/>
        <v>6.6</v>
      </c>
      <c r="E28" s="292">
        <f>IFERROR(100/'Skjema total MA'!C28*C28,0)</f>
        <v>28.054456878132953</v>
      </c>
      <c r="F28" s="137"/>
      <c r="G28" s="137"/>
      <c r="H28" s="294"/>
      <c r="I28" s="292"/>
      <c r="J28" s="285">
        <f t="shared" si="4"/>
        <v>689984.47205999994</v>
      </c>
      <c r="K28" s="285">
        <f t="shared" si="4"/>
        <v>735316.21976000001</v>
      </c>
      <c r="L28" s="294">
        <f t="shared" si="5"/>
        <v>6.6</v>
      </c>
      <c r="M28" s="292">
        <f>IFERROR(100/'Skjema total MA'!I28*K28,0)</f>
        <v>28.054456878132953</v>
      </c>
    </row>
    <row r="29" spans="1:13" ht="15.75" x14ac:dyDescent="0.2">
      <c r="A29" s="10" t="s">
        <v>322</v>
      </c>
      <c r="B29" s="287">
        <v>5044374.4351500003</v>
      </c>
      <c r="C29" s="287">
        <v>5539037.1888699997</v>
      </c>
      <c r="D29" s="294">
        <f t="shared" si="3"/>
        <v>9.8000000000000007</v>
      </c>
      <c r="E29" s="292">
        <f>IFERROR(100/'Skjema total MA'!C29*C29,0)</f>
        <v>12.578572848761855</v>
      </c>
      <c r="F29" s="293"/>
      <c r="G29" s="293"/>
      <c r="H29" s="294"/>
      <c r="I29" s="292"/>
      <c r="J29" s="287">
        <f t="shared" si="4"/>
        <v>5044374.4351500003</v>
      </c>
      <c r="K29" s="287">
        <f t="shared" si="4"/>
        <v>5539037.1888699997</v>
      </c>
      <c r="L29" s="294">
        <f t="shared" si="5"/>
        <v>9.8000000000000007</v>
      </c>
      <c r="M29" s="292">
        <f>IFERROR(100/'Skjema total MA'!I29*K29,0)</f>
        <v>7.391548801821533</v>
      </c>
    </row>
    <row r="30" spans="1:13" ht="15.75" x14ac:dyDescent="0.2">
      <c r="A30" s="372" t="s">
        <v>325</v>
      </c>
      <c r="B30" s="284">
        <v>5044374.4351500003</v>
      </c>
      <c r="C30" s="284">
        <v>5539037.1888699997</v>
      </c>
      <c r="D30" s="294">
        <f t="shared" si="3"/>
        <v>9.8000000000000007</v>
      </c>
      <c r="E30" s="292">
        <f>IFERROR(100/'Skjema total MA'!C30*C30,0)</f>
        <v>29.14126401152209</v>
      </c>
      <c r="F30" s="284"/>
      <c r="G30" s="284"/>
      <c r="H30" s="294"/>
      <c r="I30" s="292"/>
      <c r="J30" s="284">
        <f t="shared" ref="J30" si="6">SUM(B30,F30)</f>
        <v>5044374.4351500003</v>
      </c>
      <c r="K30" s="284">
        <f t="shared" ref="K30" si="7">SUM(C30,G30)</f>
        <v>5539037.1888699997</v>
      </c>
      <c r="L30" s="294">
        <f t="shared" si="5"/>
        <v>9.8000000000000007</v>
      </c>
      <c r="M30" s="292">
        <f>IFERROR(100/'Skjema total MA'!I30*K30,0)</f>
        <v>24.406756301657609</v>
      </c>
    </row>
    <row r="31" spans="1:13" ht="15.75" x14ac:dyDescent="0.2">
      <c r="A31" s="372" t="s">
        <v>326</v>
      </c>
      <c r="B31" s="284"/>
      <c r="C31" s="284"/>
      <c r="D31" s="294"/>
      <c r="E31" s="292"/>
      <c r="F31" s="284"/>
      <c r="G31" s="284"/>
      <c r="H31" s="294"/>
      <c r="I31" s="292"/>
      <c r="J31" s="284"/>
      <c r="K31" s="284"/>
      <c r="L31" s="294"/>
      <c r="M31" s="292"/>
    </row>
    <row r="32" spans="1:13" ht="15.75" x14ac:dyDescent="0.2">
      <c r="A32" s="372" t="s">
        <v>327</v>
      </c>
      <c r="B32" s="284"/>
      <c r="C32" s="284"/>
      <c r="D32" s="294"/>
      <c r="E32" s="292"/>
      <c r="F32" s="284"/>
      <c r="G32" s="284"/>
      <c r="H32" s="294"/>
      <c r="I32" s="292"/>
      <c r="J32" s="284"/>
      <c r="K32" s="284"/>
      <c r="L32" s="294"/>
      <c r="M32" s="292"/>
    </row>
    <row r="33" spans="1:14" ht="15.75" x14ac:dyDescent="0.2">
      <c r="A33" s="372" t="s">
        <v>328</v>
      </c>
      <c r="B33" s="284"/>
      <c r="C33" s="284"/>
      <c r="D33" s="294"/>
      <c r="E33" s="292"/>
      <c r="F33" s="284"/>
      <c r="G33" s="284"/>
      <c r="H33" s="294"/>
      <c r="I33" s="292"/>
      <c r="J33" s="284"/>
      <c r="K33" s="284"/>
      <c r="L33" s="294"/>
      <c r="M33" s="292"/>
    </row>
    <row r="34" spans="1:14" ht="15.75" x14ac:dyDescent="0.2">
      <c r="A34" s="10" t="s">
        <v>323</v>
      </c>
      <c r="B34" s="287"/>
      <c r="C34" s="288"/>
      <c r="D34" s="294"/>
      <c r="E34" s="292"/>
      <c r="F34" s="293"/>
      <c r="G34" s="288"/>
      <c r="H34" s="294"/>
      <c r="I34" s="292"/>
      <c r="J34" s="287"/>
      <c r="K34" s="287"/>
      <c r="L34" s="294"/>
      <c r="M34" s="292"/>
    </row>
    <row r="35" spans="1:14" ht="15.75" x14ac:dyDescent="0.2">
      <c r="A35" s="10" t="s">
        <v>324</v>
      </c>
      <c r="B35" s="287"/>
      <c r="C35" s="288"/>
      <c r="D35" s="294"/>
      <c r="E35" s="292"/>
      <c r="F35" s="293"/>
      <c r="G35" s="288"/>
      <c r="H35" s="294"/>
      <c r="I35" s="292"/>
      <c r="J35" s="287"/>
      <c r="K35" s="287"/>
      <c r="L35" s="294"/>
      <c r="M35" s="292"/>
    </row>
    <row r="36" spans="1:14" ht="15.75" x14ac:dyDescent="0.2">
      <c r="A36" s="9" t="s">
        <v>254</v>
      </c>
      <c r="B36" s="287"/>
      <c r="C36" s="288"/>
      <c r="D36" s="294"/>
      <c r="E36" s="292"/>
      <c r="F36" s="301"/>
      <c r="G36" s="302"/>
      <c r="H36" s="294"/>
      <c r="I36" s="292"/>
      <c r="J36" s="287"/>
      <c r="K36" s="287"/>
      <c r="L36" s="294"/>
      <c r="M36" s="292"/>
    </row>
    <row r="37" spans="1:14" ht="15.75" x14ac:dyDescent="0.2">
      <c r="A37" s="9" t="s">
        <v>330</v>
      </c>
      <c r="B37" s="287"/>
      <c r="C37" s="288"/>
      <c r="D37" s="294"/>
      <c r="E37" s="292"/>
      <c r="F37" s="301"/>
      <c r="G37" s="303"/>
      <c r="H37" s="294"/>
      <c r="I37" s="292"/>
      <c r="J37" s="287"/>
      <c r="K37" s="287"/>
      <c r="L37" s="294"/>
      <c r="M37" s="292"/>
    </row>
    <row r="38" spans="1:14" ht="15.75" x14ac:dyDescent="0.2">
      <c r="A38" s="9" t="s">
        <v>331</v>
      </c>
      <c r="B38" s="287"/>
      <c r="C38" s="288"/>
      <c r="D38" s="294"/>
      <c r="E38" s="121"/>
      <c r="F38" s="301"/>
      <c r="G38" s="302"/>
      <c r="H38" s="294"/>
      <c r="I38" s="292"/>
      <c r="J38" s="287"/>
      <c r="K38" s="287"/>
      <c r="L38" s="294"/>
      <c r="M38" s="292"/>
    </row>
    <row r="39" spans="1:14" ht="15.75" x14ac:dyDescent="0.2">
      <c r="A39" s="15" t="s">
        <v>332</v>
      </c>
      <c r="B39" s="289"/>
      <c r="C39" s="290"/>
      <c r="D39" s="298"/>
      <c r="E39" s="122"/>
      <c r="F39" s="304"/>
      <c r="G39" s="305"/>
      <c r="H39" s="298"/>
      <c r="I39" s="292"/>
      <c r="J39" s="287"/>
      <c r="K39" s="287"/>
      <c r="L39" s="298"/>
      <c r="M39" s="298"/>
    </row>
    <row r="40" spans="1:14" ht="15.75" x14ac:dyDescent="0.25">
      <c r="A40" s="34"/>
      <c r="B40" s="197"/>
      <c r="C40" s="197"/>
      <c r="D40" s="281"/>
      <c r="E40" s="281"/>
      <c r="F40" s="281"/>
      <c r="G40" s="281"/>
      <c r="H40" s="281"/>
      <c r="I40" s="281"/>
      <c r="J40" s="281"/>
      <c r="K40" s="281"/>
      <c r="L40" s="281"/>
      <c r="M40" s="234"/>
    </row>
    <row r="41" spans="1:14" x14ac:dyDescent="0.2">
      <c r="A41" s="113"/>
    </row>
    <row r="42" spans="1:14" ht="15.75" x14ac:dyDescent="0.25">
      <c r="A42" s="109" t="s">
        <v>244</v>
      </c>
      <c r="B42" s="234"/>
      <c r="C42" s="234"/>
      <c r="D42" s="234"/>
      <c r="E42" s="234"/>
      <c r="F42" s="234"/>
      <c r="G42" s="234"/>
      <c r="H42" s="234"/>
      <c r="I42" s="234"/>
      <c r="J42" s="234"/>
      <c r="K42" s="234"/>
      <c r="L42" s="234"/>
      <c r="M42" s="234"/>
    </row>
    <row r="43" spans="1:14" ht="15.75" x14ac:dyDescent="0.25">
      <c r="A43" s="120"/>
      <c r="B43" s="237"/>
      <c r="C43" s="237"/>
      <c r="D43" s="237"/>
      <c r="E43" s="237"/>
      <c r="F43" s="234"/>
      <c r="G43" s="234"/>
      <c r="H43" s="234"/>
      <c r="I43" s="234"/>
      <c r="J43" s="234"/>
      <c r="K43" s="234"/>
      <c r="L43" s="234"/>
      <c r="M43" s="234"/>
    </row>
    <row r="44" spans="1:14" ht="15.75" x14ac:dyDescent="0.25">
      <c r="A44" s="191"/>
      <c r="B44" s="570" t="s">
        <v>0</v>
      </c>
      <c r="C44" s="571"/>
      <c r="D44" s="571"/>
      <c r="E44" s="187"/>
      <c r="F44" s="234"/>
      <c r="G44" s="234"/>
      <c r="H44" s="234"/>
      <c r="I44" s="234"/>
      <c r="J44" s="234"/>
      <c r="K44" s="234"/>
      <c r="L44" s="234"/>
      <c r="M44" s="234"/>
    </row>
    <row r="45" spans="1:14" x14ac:dyDescent="0.2">
      <c r="A45" s="104"/>
      <c r="B45" s="535">
        <v>45565</v>
      </c>
      <c r="C45" s="535">
        <v>45930</v>
      </c>
      <c r="D45" s="119" t="s">
        <v>3</v>
      </c>
      <c r="E45" s="119" t="s">
        <v>29</v>
      </c>
      <c r="F45" s="128"/>
      <c r="G45" s="128"/>
      <c r="H45" s="127"/>
      <c r="I45" s="127"/>
      <c r="J45" s="128"/>
      <c r="K45" s="128"/>
      <c r="L45" s="127"/>
      <c r="M45" s="127"/>
    </row>
    <row r="46" spans="1:14" x14ac:dyDescent="0.2">
      <c r="A46" s="538"/>
      <c r="B46" s="188"/>
      <c r="C46" s="188"/>
      <c r="D46" s="189" t="s">
        <v>4</v>
      </c>
      <c r="E46" s="114" t="s">
        <v>30</v>
      </c>
      <c r="F46" s="127"/>
      <c r="G46" s="127"/>
      <c r="H46" s="127"/>
      <c r="I46" s="127"/>
      <c r="J46" s="127"/>
      <c r="K46" s="127"/>
      <c r="L46" s="127"/>
      <c r="M46" s="127"/>
    </row>
    <row r="47" spans="1:14" s="34" customFormat="1" ht="15.75" x14ac:dyDescent="0.2">
      <c r="A47" s="11" t="s">
        <v>23</v>
      </c>
      <c r="B47" s="287">
        <v>1040101.986</v>
      </c>
      <c r="C47" s="288">
        <v>1214346.18025</v>
      </c>
      <c r="D47" s="330">
        <f>IF(AND(_xlfn.NUMBERVALUE(B47)=0,_xlfn.NUMBERVALUE(C47)=0),,IF(B47=0, "    ---- ", IF(ABS(ROUND(100/B47*C47-100,1))&lt;999,IF(ROUND(100/B47*C47-100,1)=0,"    ---- ",ROUND(100/B47*C47-100,1)),IF(ROUND(100/B47*C47-100,1)&gt;999,999,-999))))</f>
        <v>16.8</v>
      </c>
      <c r="E47" s="331">
        <f>IFERROR(100/'Skjema total MA'!C47*C47,0)</f>
        <v>19.06301786562868</v>
      </c>
      <c r="F47" s="116"/>
      <c r="G47" s="127"/>
      <c r="H47" s="116"/>
      <c r="I47" s="116"/>
      <c r="J47" s="329"/>
      <c r="K47" s="329"/>
      <c r="L47" s="116"/>
      <c r="M47" s="116"/>
      <c r="N47" s="106"/>
    </row>
    <row r="48" spans="1:14" ht="15.75" x14ac:dyDescent="0.2">
      <c r="A48" s="17" t="s">
        <v>333</v>
      </c>
      <c r="B48" s="285">
        <v>115406.84073</v>
      </c>
      <c r="C48" s="286">
        <v>151519.43734999999</v>
      </c>
      <c r="D48" s="294">
        <f t="shared" ref="D48:D57" si="8">IF(AND(_xlfn.NUMBERVALUE(B48)=0,_xlfn.NUMBERVALUE(C48)=0),,IF(B48=0, "    ---- ", IF(ABS(ROUND(100/B48*C48-100,1))&lt;999,IF(ROUND(100/B48*C48-100,1)=0,"    ---- ",ROUND(100/B48*C48-100,1)),IF(ROUND(100/B48*C48-100,1)&gt;999,999,-999))))</f>
        <v>31.3</v>
      </c>
      <c r="E48" s="321">
        <f>IFERROR(100/'Skjema total MA'!C48*C48,0)</f>
        <v>4.1436565664648812</v>
      </c>
      <c r="F48" s="108"/>
      <c r="G48" s="26"/>
      <c r="H48" s="108"/>
      <c r="I48" s="108"/>
      <c r="J48" s="26"/>
      <c r="K48" s="26"/>
      <c r="L48" s="116"/>
      <c r="M48" s="116"/>
    </row>
    <row r="49" spans="1:13" ht="15.75" x14ac:dyDescent="0.2">
      <c r="A49" s="17" t="s">
        <v>334</v>
      </c>
      <c r="B49" s="285">
        <v>924695.14526999998</v>
      </c>
      <c r="C49" s="286">
        <v>1062826.7429</v>
      </c>
      <c r="D49" s="294">
        <f t="shared" si="8"/>
        <v>14.9</v>
      </c>
      <c r="E49" s="321">
        <f>IFERROR(100/'Skjema total MA'!C49*C49,0)</f>
        <v>39.168005528020878</v>
      </c>
      <c r="F49" s="108"/>
      <c r="G49" s="26"/>
      <c r="H49" s="108"/>
      <c r="I49" s="108"/>
      <c r="J49" s="30"/>
      <c r="K49" s="30"/>
      <c r="L49" s="116"/>
      <c r="M49" s="116"/>
    </row>
    <row r="50" spans="1:13" x14ac:dyDescent="0.2">
      <c r="A50" s="232" t="s">
        <v>6</v>
      </c>
      <c r="B50" s="539"/>
      <c r="C50" s="231"/>
      <c r="D50" s="294"/>
      <c r="E50" s="322"/>
      <c r="F50" s="108"/>
      <c r="G50" s="26"/>
      <c r="H50" s="108"/>
      <c r="I50" s="108"/>
      <c r="J50" s="26"/>
      <c r="K50" s="26"/>
      <c r="L50" s="116"/>
      <c r="M50" s="116"/>
    </row>
    <row r="51" spans="1:13" x14ac:dyDescent="0.2">
      <c r="A51" s="232" t="s">
        <v>7</v>
      </c>
      <c r="B51" s="539"/>
      <c r="C51" s="231"/>
      <c r="D51" s="294"/>
      <c r="E51" s="322"/>
      <c r="F51" s="108"/>
      <c r="G51" s="26"/>
      <c r="H51" s="108"/>
      <c r="I51" s="108"/>
      <c r="J51" s="26"/>
      <c r="K51" s="26"/>
      <c r="L51" s="116"/>
      <c r="M51" s="116"/>
    </row>
    <row r="52" spans="1:13" x14ac:dyDescent="0.2">
      <c r="A52" s="232" t="s">
        <v>8</v>
      </c>
      <c r="B52" s="539"/>
      <c r="C52" s="231"/>
      <c r="D52" s="294"/>
      <c r="E52" s="322"/>
      <c r="F52" s="108"/>
      <c r="G52" s="26"/>
      <c r="H52" s="108"/>
      <c r="I52" s="108"/>
      <c r="J52" s="26"/>
      <c r="K52" s="26"/>
      <c r="L52" s="116"/>
      <c r="M52" s="116"/>
    </row>
    <row r="53" spans="1:13" ht="15.75" x14ac:dyDescent="0.2">
      <c r="A53" s="10" t="s">
        <v>335</v>
      </c>
      <c r="B53" s="287">
        <v>1235</v>
      </c>
      <c r="C53" s="288">
        <v>1428</v>
      </c>
      <c r="D53" s="294">
        <f t="shared" si="8"/>
        <v>15.6</v>
      </c>
      <c r="E53" s="321">
        <f>IFERROR(100/'Skjema total MA'!C53*C53,0)</f>
        <v>0.47370528830605574</v>
      </c>
      <c r="F53" s="108"/>
      <c r="G53" s="26"/>
      <c r="H53" s="108"/>
      <c r="I53" s="108"/>
      <c r="J53" s="26"/>
      <c r="K53" s="26"/>
      <c r="L53" s="116"/>
      <c r="M53" s="116"/>
    </row>
    <row r="54" spans="1:13" ht="15.75" x14ac:dyDescent="0.2">
      <c r="A54" s="17" t="s">
        <v>333</v>
      </c>
      <c r="B54" s="285">
        <v>1235</v>
      </c>
      <c r="C54" s="286">
        <v>1428</v>
      </c>
      <c r="D54" s="294">
        <f t="shared" si="8"/>
        <v>15.6</v>
      </c>
      <c r="E54" s="321">
        <f>IFERROR(100/'Skjema total MA'!C54*C54,0)</f>
        <v>0.48493544023954899</v>
      </c>
      <c r="F54" s="108"/>
      <c r="G54" s="26"/>
      <c r="H54" s="108"/>
      <c r="I54" s="108"/>
      <c r="J54" s="26"/>
      <c r="K54" s="26"/>
      <c r="L54" s="116"/>
      <c r="M54" s="116"/>
    </row>
    <row r="55" spans="1:13" ht="15.75" x14ac:dyDescent="0.2">
      <c r="A55" s="17" t="s">
        <v>334</v>
      </c>
      <c r="B55" s="285"/>
      <c r="C55" s="286"/>
      <c r="D55" s="294"/>
      <c r="E55" s="321"/>
      <c r="F55" s="108"/>
      <c r="G55" s="26"/>
      <c r="H55" s="108"/>
      <c r="I55" s="108"/>
      <c r="J55" s="26"/>
      <c r="K55" s="26"/>
      <c r="L55" s="116"/>
      <c r="M55" s="116"/>
    </row>
    <row r="56" spans="1:13" ht="15.75" x14ac:dyDescent="0.2">
      <c r="A56" s="10" t="s">
        <v>336</v>
      </c>
      <c r="B56" s="287">
        <v>2383</v>
      </c>
      <c r="C56" s="288">
        <v>1919</v>
      </c>
      <c r="D56" s="294">
        <f t="shared" si="8"/>
        <v>-19.5</v>
      </c>
      <c r="E56" s="321">
        <f>IFERROR(100/'Skjema total MA'!C56*C56,0)</f>
        <v>2.0429563565011435</v>
      </c>
      <c r="F56" s="108"/>
      <c r="G56" s="26"/>
      <c r="H56" s="108"/>
      <c r="I56" s="108"/>
      <c r="J56" s="26"/>
      <c r="K56" s="26"/>
      <c r="L56" s="116"/>
      <c r="M56" s="116"/>
    </row>
    <row r="57" spans="1:13" ht="15.75" x14ac:dyDescent="0.2">
      <c r="A57" s="17" t="s">
        <v>333</v>
      </c>
      <c r="B57" s="285">
        <v>2383</v>
      </c>
      <c r="C57" s="286">
        <v>1919</v>
      </c>
      <c r="D57" s="294">
        <f t="shared" si="8"/>
        <v>-19.5</v>
      </c>
      <c r="E57" s="321">
        <f>IFERROR(100/'Skjema total MA'!C57*C57,0)</f>
        <v>2.0429563565011435</v>
      </c>
      <c r="F57" s="108"/>
      <c r="G57" s="26"/>
      <c r="H57" s="108"/>
      <c r="I57" s="108"/>
      <c r="J57" s="26"/>
      <c r="K57" s="26"/>
      <c r="L57" s="116"/>
      <c r="M57" s="116"/>
    </row>
    <row r="58" spans="1:13" ht="15.75" x14ac:dyDescent="0.2">
      <c r="A58" s="7" t="s">
        <v>334</v>
      </c>
      <c r="B58" s="306"/>
      <c r="C58" s="307"/>
      <c r="D58" s="298"/>
      <c r="E58" s="323"/>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237"/>
      <c r="C62" s="237"/>
      <c r="D62" s="237"/>
      <c r="E62" s="234"/>
      <c r="F62" s="237"/>
      <c r="G62" s="237"/>
      <c r="H62" s="237"/>
      <c r="I62" s="234"/>
      <c r="J62" s="237"/>
      <c r="K62" s="237"/>
      <c r="L62" s="237"/>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308"/>
      <c r="C66" s="308"/>
      <c r="D66" s="291"/>
      <c r="E66" s="292"/>
      <c r="F66" s="308"/>
      <c r="G66" s="308"/>
      <c r="H66" s="291"/>
      <c r="I66" s="292"/>
      <c r="J66" s="288"/>
      <c r="K66" s="282"/>
      <c r="L66" s="294"/>
      <c r="M66" s="292"/>
    </row>
    <row r="67" spans="1:13" x14ac:dyDescent="0.2">
      <c r="A67" s="17" t="s">
        <v>9</v>
      </c>
      <c r="B67" s="285"/>
      <c r="C67" s="309"/>
      <c r="D67" s="294"/>
      <c r="E67" s="292"/>
      <c r="F67" s="297"/>
      <c r="G67" s="309"/>
      <c r="H67" s="294"/>
      <c r="I67" s="292"/>
      <c r="J67" s="286"/>
      <c r="K67" s="285"/>
      <c r="L67" s="294"/>
      <c r="M67" s="292"/>
    </row>
    <row r="68" spans="1:13" x14ac:dyDescent="0.2">
      <c r="A68" s="17" t="s">
        <v>10</v>
      </c>
      <c r="B68" s="310"/>
      <c r="C68" s="311"/>
      <c r="D68" s="294"/>
      <c r="E68" s="292"/>
      <c r="F68" s="310"/>
      <c r="G68" s="311"/>
      <c r="H68" s="294"/>
      <c r="I68" s="292"/>
      <c r="J68" s="286"/>
      <c r="K68" s="285"/>
      <c r="L68" s="294"/>
      <c r="M68" s="292"/>
    </row>
    <row r="69" spans="1:13" ht="15.75" x14ac:dyDescent="0.2">
      <c r="A69" s="232" t="s">
        <v>337</v>
      </c>
      <c r="B69" s="539"/>
      <c r="C69" s="231"/>
      <c r="D69" s="294"/>
      <c r="E69" s="314"/>
      <c r="F69" s="539"/>
      <c r="G69" s="231"/>
      <c r="H69" s="294"/>
      <c r="I69" s="292"/>
      <c r="J69" s="539"/>
      <c r="K69" s="231"/>
      <c r="L69" s="294"/>
      <c r="M69" s="292"/>
    </row>
    <row r="70" spans="1:13" x14ac:dyDescent="0.2">
      <c r="A70" s="232" t="s">
        <v>12</v>
      </c>
      <c r="B70" s="539"/>
      <c r="C70" s="231"/>
      <c r="D70" s="294"/>
      <c r="E70" s="314"/>
      <c r="F70" s="539"/>
      <c r="G70" s="231"/>
      <c r="H70" s="294"/>
      <c r="I70" s="292"/>
      <c r="J70" s="539"/>
      <c r="K70" s="231"/>
      <c r="L70" s="294"/>
      <c r="M70" s="292"/>
    </row>
    <row r="71" spans="1:13" x14ac:dyDescent="0.2">
      <c r="A71" s="232" t="s">
        <v>13</v>
      </c>
      <c r="B71" s="539"/>
      <c r="C71" s="231"/>
      <c r="D71" s="294"/>
      <c r="E71" s="314"/>
      <c r="F71" s="539"/>
      <c r="G71" s="231"/>
      <c r="H71" s="294"/>
      <c r="I71" s="292"/>
      <c r="J71" s="539"/>
      <c r="K71" s="231"/>
      <c r="L71" s="294"/>
      <c r="M71" s="292"/>
    </row>
    <row r="72" spans="1:13" ht="15.75" x14ac:dyDescent="0.2">
      <c r="A72" s="232" t="s">
        <v>338</v>
      </c>
      <c r="B72" s="539"/>
      <c r="C72" s="231"/>
      <c r="D72" s="294"/>
      <c r="E72" s="314"/>
      <c r="F72" s="539"/>
      <c r="G72" s="231"/>
      <c r="H72" s="294"/>
      <c r="I72" s="292"/>
      <c r="J72" s="539"/>
      <c r="K72" s="231"/>
      <c r="L72" s="294"/>
      <c r="M72" s="292"/>
    </row>
    <row r="73" spans="1:13" x14ac:dyDescent="0.2">
      <c r="A73" s="232" t="s">
        <v>12</v>
      </c>
      <c r="B73" s="539"/>
      <c r="C73" s="231"/>
      <c r="D73" s="294"/>
      <c r="E73" s="314"/>
      <c r="F73" s="539"/>
      <c r="G73" s="231"/>
      <c r="H73" s="294"/>
      <c r="I73" s="292"/>
      <c r="J73" s="539"/>
      <c r="K73" s="231"/>
      <c r="L73" s="294"/>
      <c r="M73" s="292"/>
    </row>
    <row r="74" spans="1:13" x14ac:dyDescent="0.2">
      <c r="A74" s="232" t="s">
        <v>13</v>
      </c>
      <c r="B74" s="539"/>
      <c r="C74" s="231"/>
      <c r="D74" s="294"/>
      <c r="E74" s="314"/>
      <c r="F74" s="539"/>
      <c r="G74" s="231"/>
      <c r="H74" s="294"/>
      <c r="I74" s="292"/>
      <c r="J74" s="539"/>
      <c r="K74" s="231"/>
      <c r="L74" s="294"/>
      <c r="M74" s="292"/>
    </row>
    <row r="75" spans="1:13" x14ac:dyDescent="0.2">
      <c r="A75" s="17" t="s">
        <v>309</v>
      </c>
      <c r="B75" s="297"/>
      <c r="C75" s="309"/>
      <c r="D75" s="294"/>
      <c r="E75" s="292"/>
      <c r="F75" s="297"/>
      <c r="G75" s="309"/>
      <c r="H75" s="294"/>
      <c r="I75" s="292"/>
      <c r="J75" s="286"/>
      <c r="K75" s="285"/>
      <c r="L75" s="294"/>
      <c r="M75" s="292"/>
    </row>
    <row r="76" spans="1:13" x14ac:dyDescent="0.2">
      <c r="A76" s="17" t="s">
        <v>308</v>
      </c>
      <c r="B76" s="297"/>
      <c r="C76" s="309"/>
      <c r="D76" s="294"/>
      <c r="E76" s="292"/>
      <c r="F76" s="297"/>
      <c r="G76" s="309"/>
      <c r="H76" s="294"/>
      <c r="I76" s="292"/>
      <c r="J76" s="286"/>
      <c r="K76" s="285"/>
      <c r="L76" s="294"/>
      <c r="M76" s="292">
        <f>IFERROR(100/'Skjema total MA'!I76*K76,0)</f>
        <v>0</v>
      </c>
    </row>
    <row r="77" spans="1:13" ht="15.75" x14ac:dyDescent="0.2">
      <c r="A77" s="17" t="s">
        <v>339</v>
      </c>
      <c r="B77" s="297"/>
      <c r="C77" s="297"/>
      <c r="D77" s="294"/>
      <c r="E77" s="292"/>
      <c r="F77" s="297"/>
      <c r="G77" s="309"/>
      <c r="H77" s="294"/>
      <c r="I77" s="292"/>
      <c r="J77" s="286"/>
      <c r="K77" s="285"/>
      <c r="L77" s="294"/>
      <c r="M77" s="292"/>
    </row>
    <row r="78" spans="1:13" x14ac:dyDescent="0.2">
      <c r="A78" s="17" t="s">
        <v>9</v>
      </c>
      <c r="B78" s="297"/>
      <c r="C78" s="309"/>
      <c r="D78" s="294"/>
      <c r="E78" s="292"/>
      <c r="F78" s="297"/>
      <c r="G78" s="309"/>
      <c r="H78" s="294"/>
      <c r="I78" s="292"/>
      <c r="J78" s="286"/>
      <c r="K78" s="285"/>
      <c r="L78" s="294"/>
      <c r="M78" s="292"/>
    </row>
    <row r="79" spans="1:13" x14ac:dyDescent="0.2">
      <c r="A79" s="17" t="s">
        <v>366</v>
      </c>
      <c r="B79" s="310"/>
      <c r="C79" s="311"/>
      <c r="D79" s="294"/>
      <c r="E79" s="292"/>
      <c r="F79" s="310"/>
      <c r="G79" s="311"/>
      <c r="H79" s="294"/>
      <c r="I79" s="292"/>
      <c r="J79" s="286"/>
      <c r="K79" s="285"/>
      <c r="L79" s="294"/>
      <c r="M79" s="292"/>
    </row>
    <row r="80" spans="1:13" ht="15.75" x14ac:dyDescent="0.2">
      <c r="A80" s="232" t="s">
        <v>337</v>
      </c>
      <c r="B80" s="539"/>
      <c r="C80" s="231"/>
      <c r="D80" s="294"/>
      <c r="E80" s="314"/>
      <c r="F80" s="539"/>
      <c r="G80" s="231"/>
      <c r="H80" s="294"/>
      <c r="I80" s="292"/>
      <c r="J80" s="539"/>
      <c r="K80" s="231"/>
      <c r="L80" s="294"/>
      <c r="M80" s="292"/>
    </row>
    <row r="81" spans="1:13" x14ac:dyDescent="0.2">
      <c r="A81" s="232" t="s">
        <v>12</v>
      </c>
      <c r="B81" s="539"/>
      <c r="C81" s="231"/>
      <c r="D81" s="294"/>
      <c r="E81" s="314"/>
      <c r="F81" s="539"/>
      <c r="G81" s="231"/>
      <c r="H81" s="294"/>
      <c r="I81" s="292"/>
      <c r="J81" s="539"/>
      <c r="K81" s="231"/>
      <c r="L81" s="294"/>
      <c r="M81" s="292"/>
    </row>
    <row r="82" spans="1:13" x14ac:dyDescent="0.2">
      <c r="A82" s="232" t="s">
        <v>13</v>
      </c>
      <c r="B82" s="539"/>
      <c r="C82" s="231"/>
      <c r="D82" s="294"/>
      <c r="E82" s="314"/>
      <c r="F82" s="539"/>
      <c r="G82" s="231"/>
      <c r="H82" s="294"/>
      <c r="I82" s="292"/>
      <c r="J82" s="539"/>
      <c r="K82" s="231"/>
      <c r="L82" s="294"/>
      <c r="M82" s="292"/>
    </row>
    <row r="83" spans="1:13" ht="15.75" x14ac:dyDescent="0.2">
      <c r="A83" s="232" t="s">
        <v>338</v>
      </c>
      <c r="B83" s="539"/>
      <c r="C83" s="231"/>
      <c r="D83" s="294"/>
      <c r="E83" s="314"/>
      <c r="F83" s="539"/>
      <c r="G83" s="231"/>
      <c r="H83" s="294"/>
      <c r="I83" s="292"/>
      <c r="J83" s="539"/>
      <c r="K83" s="231"/>
      <c r="L83" s="294"/>
      <c r="M83" s="292"/>
    </row>
    <row r="84" spans="1:13" x14ac:dyDescent="0.2">
      <c r="A84" s="232" t="s">
        <v>12</v>
      </c>
      <c r="B84" s="539"/>
      <c r="C84" s="231"/>
      <c r="D84" s="294"/>
      <c r="E84" s="314"/>
      <c r="F84" s="539"/>
      <c r="G84" s="231"/>
      <c r="H84" s="294"/>
      <c r="I84" s="292"/>
      <c r="J84" s="539"/>
      <c r="K84" s="231"/>
      <c r="L84" s="294"/>
      <c r="M84" s="292"/>
    </row>
    <row r="85" spans="1:13" x14ac:dyDescent="0.2">
      <c r="A85" s="232" t="s">
        <v>13</v>
      </c>
      <c r="B85" s="539"/>
      <c r="C85" s="231"/>
      <c r="D85" s="294"/>
      <c r="E85" s="314"/>
      <c r="F85" s="539"/>
      <c r="G85" s="231"/>
      <c r="H85" s="294"/>
      <c r="I85" s="292"/>
      <c r="J85" s="539"/>
      <c r="K85" s="231"/>
      <c r="L85" s="294"/>
      <c r="M85" s="292"/>
    </row>
    <row r="86" spans="1:13" ht="15.75" x14ac:dyDescent="0.2">
      <c r="A86" s="17" t="s">
        <v>340</v>
      </c>
      <c r="B86" s="297"/>
      <c r="C86" s="309"/>
      <c r="D86" s="294"/>
      <c r="E86" s="292"/>
      <c r="F86" s="297"/>
      <c r="G86" s="309"/>
      <c r="H86" s="294"/>
      <c r="I86" s="292"/>
      <c r="J86" s="286"/>
      <c r="K86" s="285"/>
      <c r="L86" s="294"/>
      <c r="M86" s="292"/>
    </row>
    <row r="87" spans="1:13" ht="15.75" x14ac:dyDescent="0.2">
      <c r="A87" s="10" t="s">
        <v>322</v>
      </c>
      <c r="B87" s="308"/>
      <c r="C87" s="308"/>
      <c r="D87" s="294"/>
      <c r="E87" s="292"/>
      <c r="F87" s="308"/>
      <c r="G87" s="308"/>
      <c r="H87" s="294"/>
      <c r="I87" s="292"/>
      <c r="J87" s="288"/>
      <c r="K87" s="287"/>
      <c r="L87" s="294"/>
      <c r="M87" s="292"/>
    </row>
    <row r="88" spans="1:13" x14ac:dyDescent="0.2">
      <c r="A88" s="17" t="s">
        <v>9</v>
      </c>
      <c r="B88" s="297"/>
      <c r="C88" s="309"/>
      <c r="D88" s="294"/>
      <c r="E88" s="292"/>
      <c r="F88" s="297"/>
      <c r="G88" s="309"/>
      <c r="H88" s="294"/>
      <c r="I88" s="292"/>
      <c r="J88" s="286"/>
      <c r="K88" s="285"/>
      <c r="L88" s="294"/>
      <c r="M88" s="292"/>
    </row>
    <row r="89" spans="1:13" x14ac:dyDescent="0.2">
      <c r="A89" s="17" t="s">
        <v>10</v>
      </c>
      <c r="B89" s="297"/>
      <c r="C89" s="309"/>
      <c r="D89" s="294"/>
      <c r="E89" s="292"/>
      <c r="F89" s="297"/>
      <c r="G89" s="309"/>
      <c r="H89" s="294"/>
      <c r="I89" s="292"/>
      <c r="J89" s="286"/>
      <c r="K89" s="285"/>
      <c r="L89" s="294"/>
      <c r="M89" s="292"/>
    </row>
    <row r="90" spans="1:13" ht="15.75" x14ac:dyDescent="0.2">
      <c r="A90" s="232" t="s">
        <v>337</v>
      </c>
      <c r="B90" s="539"/>
      <c r="C90" s="231"/>
      <c r="D90" s="294"/>
      <c r="E90" s="314"/>
      <c r="F90" s="539"/>
      <c r="G90" s="231"/>
      <c r="H90" s="294"/>
      <c r="I90" s="292"/>
      <c r="J90" s="539"/>
      <c r="K90" s="231"/>
      <c r="L90" s="294"/>
      <c r="M90" s="292"/>
    </row>
    <row r="91" spans="1:13" x14ac:dyDescent="0.2">
      <c r="A91" s="232" t="s">
        <v>12</v>
      </c>
      <c r="B91" s="539"/>
      <c r="C91" s="231"/>
      <c r="D91" s="294"/>
      <c r="E91" s="314"/>
      <c r="F91" s="539"/>
      <c r="G91" s="231"/>
      <c r="H91" s="294"/>
      <c r="I91" s="292"/>
      <c r="J91" s="539"/>
      <c r="K91" s="231"/>
      <c r="L91" s="294"/>
      <c r="M91" s="292"/>
    </row>
    <row r="92" spans="1:13" x14ac:dyDescent="0.2">
      <c r="A92" s="232" t="s">
        <v>13</v>
      </c>
      <c r="B92" s="539"/>
      <c r="C92" s="231"/>
      <c r="D92" s="294"/>
      <c r="E92" s="314"/>
      <c r="F92" s="539"/>
      <c r="G92" s="231"/>
      <c r="H92" s="294"/>
      <c r="I92" s="292"/>
      <c r="J92" s="539"/>
      <c r="K92" s="231"/>
      <c r="L92" s="294"/>
      <c r="M92" s="292"/>
    </row>
    <row r="93" spans="1:13" ht="15.75" x14ac:dyDescent="0.2">
      <c r="A93" s="232" t="s">
        <v>338</v>
      </c>
      <c r="B93" s="539"/>
      <c r="C93" s="231"/>
      <c r="D93" s="294"/>
      <c r="E93" s="314"/>
      <c r="F93" s="539"/>
      <c r="G93" s="231"/>
      <c r="H93" s="294"/>
      <c r="I93" s="292"/>
      <c r="J93" s="539"/>
      <c r="K93" s="231"/>
      <c r="L93" s="294"/>
      <c r="M93" s="292"/>
    </row>
    <row r="94" spans="1:13" x14ac:dyDescent="0.2">
      <c r="A94" s="232" t="s">
        <v>12</v>
      </c>
      <c r="B94" s="539"/>
      <c r="C94" s="231"/>
      <c r="D94" s="294"/>
      <c r="E94" s="314"/>
      <c r="F94" s="539"/>
      <c r="G94" s="231"/>
      <c r="H94" s="294"/>
      <c r="I94" s="292"/>
      <c r="J94" s="539"/>
      <c r="K94" s="231"/>
      <c r="L94" s="294"/>
      <c r="M94" s="292"/>
    </row>
    <row r="95" spans="1:13" x14ac:dyDescent="0.2">
      <c r="A95" s="232" t="s">
        <v>13</v>
      </c>
      <c r="B95" s="539"/>
      <c r="C95" s="231"/>
      <c r="D95" s="294"/>
      <c r="E95" s="314"/>
      <c r="F95" s="539"/>
      <c r="G95" s="231"/>
      <c r="H95" s="294"/>
      <c r="I95" s="292"/>
      <c r="J95" s="539"/>
      <c r="K95" s="231"/>
      <c r="L95" s="294"/>
      <c r="M95" s="292"/>
    </row>
    <row r="96" spans="1:13" x14ac:dyDescent="0.2">
      <c r="A96" s="17" t="s">
        <v>307</v>
      </c>
      <c r="B96" s="297"/>
      <c r="C96" s="309"/>
      <c r="D96" s="294"/>
      <c r="E96" s="292"/>
      <c r="F96" s="297"/>
      <c r="G96" s="309"/>
      <c r="H96" s="294"/>
      <c r="I96" s="292"/>
      <c r="J96" s="286"/>
      <c r="K96" s="285"/>
      <c r="L96" s="294"/>
      <c r="M96" s="292"/>
    </row>
    <row r="97" spans="1:13" x14ac:dyDescent="0.2">
      <c r="A97" s="17" t="s">
        <v>306</v>
      </c>
      <c r="B97" s="297"/>
      <c r="C97" s="309"/>
      <c r="D97" s="294"/>
      <c r="E97" s="292"/>
      <c r="F97" s="297"/>
      <c r="G97" s="309"/>
      <c r="H97" s="294"/>
      <c r="I97" s="292"/>
      <c r="J97" s="286"/>
      <c r="K97" s="285"/>
      <c r="L97" s="294"/>
      <c r="M97" s="292"/>
    </row>
    <row r="98" spans="1:13" ht="15.75" x14ac:dyDescent="0.2">
      <c r="A98" s="17" t="s">
        <v>339</v>
      </c>
      <c r="B98" s="297"/>
      <c r="C98" s="297"/>
      <c r="D98" s="294"/>
      <c r="E98" s="292"/>
      <c r="F98" s="310"/>
      <c r="G98" s="310"/>
      <c r="H98" s="294"/>
      <c r="I98" s="292"/>
      <c r="J98" s="286"/>
      <c r="K98" s="285"/>
      <c r="L98" s="294"/>
      <c r="M98" s="292"/>
    </row>
    <row r="99" spans="1:13" x14ac:dyDescent="0.2">
      <c r="A99" s="17" t="s">
        <v>9</v>
      </c>
      <c r="B99" s="310"/>
      <c r="C99" s="311"/>
      <c r="D99" s="294"/>
      <c r="E99" s="292"/>
      <c r="F99" s="297"/>
      <c r="G99" s="309"/>
      <c r="H99" s="294"/>
      <c r="I99" s="292"/>
      <c r="J99" s="286"/>
      <c r="K99" s="285"/>
      <c r="L99" s="294"/>
      <c r="M99" s="292"/>
    </row>
    <row r="100" spans="1:13" x14ac:dyDescent="0.2">
      <c r="A100" s="17" t="s">
        <v>366</v>
      </c>
      <c r="B100" s="310"/>
      <c r="C100" s="311"/>
      <c r="D100" s="294"/>
      <c r="E100" s="292"/>
      <c r="F100" s="297"/>
      <c r="G100" s="297"/>
      <c r="H100" s="294"/>
      <c r="I100" s="292"/>
      <c r="J100" s="286"/>
      <c r="K100" s="285"/>
      <c r="L100" s="294"/>
      <c r="M100" s="292"/>
    </row>
    <row r="101" spans="1:13" ht="15.75" x14ac:dyDescent="0.2">
      <c r="A101" s="232" t="s">
        <v>337</v>
      </c>
      <c r="B101" s="539"/>
      <c r="C101" s="231"/>
      <c r="D101" s="294"/>
      <c r="E101" s="314"/>
      <c r="F101" s="539"/>
      <c r="G101" s="231"/>
      <c r="H101" s="294"/>
      <c r="I101" s="292"/>
      <c r="J101" s="539"/>
      <c r="K101" s="231"/>
      <c r="L101" s="294"/>
      <c r="M101" s="292"/>
    </row>
    <row r="102" spans="1:13" x14ac:dyDescent="0.2">
      <c r="A102" s="232" t="s">
        <v>12</v>
      </c>
      <c r="B102" s="539"/>
      <c r="C102" s="231"/>
      <c r="D102" s="294"/>
      <c r="E102" s="314"/>
      <c r="F102" s="539"/>
      <c r="G102" s="231"/>
      <c r="H102" s="294"/>
      <c r="I102" s="292"/>
      <c r="J102" s="539"/>
      <c r="K102" s="231"/>
      <c r="L102" s="294"/>
      <c r="M102" s="292"/>
    </row>
    <row r="103" spans="1:13" x14ac:dyDescent="0.2">
      <c r="A103" s="232" t="s">
        <v>13</v>
      </c>
      <c r="B103" s="539"/>
      <c r="C103" s="231"/>
      <c r="D103" s="294"/>
      <c r="E103" s="314"/>
      <c r="F103" s="539"/>
      <c r="G103" s="231"/>
      <c r="H103" s="294"/>
      <c r="I103" s="292"/>
      <c r="J103" s="539"/>
      <c r="K103" s="231"/>
      <c r="L103" s="294"/>
      <c r="M103" s="292"/>
    </row>
    <row r="104" spans="1:13" ht="15.75" x14ac:dyDescent="0.2">
      <c r="A104" s="232" t="s">
        <v>338</v>
      </c>
      <c r="B104" s="539"/>
      <c r="C104" s="231"/>
      <c r="D104" s="294"/>
      <c r="E104" s="314"/>
      <c r="F104" s="539"/>
      <c r="G104" s="231"/>
      <c r="H104" s="294"/>
      <c r="I104" s="292"/>
      <c r="J104" s="539"/>
      <c r="K104" s="231"/>
      <c r="L104" s="294"/>
      <c r="M104" s="292"/>
    </row>
    <row r="105" spans="1:13" x14ac:dyDescent="0.2">
      <c r="A105" s="232" t="s">
        <v>12</v>
      </c>
      <c r="B105" s="539"/>
      <c r="C105" s="231"/>
      <c r="D105" s="294"/>
      <c r="E105" s="314"/>
      <c r="F105" s="539"/>
      <c r="G105" s="231"/>
      <c r="H105" s="294"/>
      <c r="I105" s="292"/>
      <c r="J105" s="539"/>
      <c r="K105" s="231"/>
      <c r="L105" s="294"/>
      <c r="M105" s="292"/>
    </row>
    <row r="106" spans="1:13" x14ac:dyDescent="0.2">
      <c r="A106" s="232" t="s">
        <v>13</v>
      </c>
      <c r="B106" s="539"/>
      <c r="C106" s="231"/>
      <c r="D106" s="294"/>
      <c r="E106" s="314"/>
      <c r="F106" s="539"/>
      <c r="G106" s="231"/>
      <c r="H106" s="294"/>
      <c r="I106" s="292"/>
      <c r="J106" s="539"/>
      <c r="K106" s="231"/>
      <c r="L106" s="294"/>
      <c r="M106" s="292"/>
    </row>
    <row r="107" spans="1:13" ht="15.75" x14ac:dyDescent="0.2">
      <c r="A107" s="17" t="s">
        <v>340</v>
      </c>
      <c r="B107" s="297"/>
      <c r="C107" s="309"/>
      <c r="D107" s="294"/>
      <c r="E107" s="292"/>
      <c r="F107" s="297"/>
      <c r="G107" s="309"/>
      <c r="H107" s="294"/>
      <c r="I107" s="292"/>
      <c r="J107" s="286"/>
      <c r="K107" s="285"/>
      <c r="L107" s="294"/>
      <c r="M107" s="292"/>
    </row>
    <row r="108" spans="1:13" ht="15.75" x14ac:dyDescent="0.2">
      <c r="A108" s="17" t="s">
        <v>341</v>
      </c>
      <c r="B108" s="297"/>
      <c r="C108" s="297"/>
      <c r="D108" s="294"/>
      <c r="E108" s="292"/>
      <c r="F108" s="297"/>
      <c r="G108" s="297"/>
      <c r="H108" s="294"/>
      <c r="I108" s="292"/>
      <c r="J108" s="286"/>
      <c r="K108" s="285"/>
      <c r="L108" s="294"/>
      <c r="M108" s="292"/>
    </row>
    <row r="109" spans="1:13" ht="15.75" x14ac:dyDescent="0.2">
      <c r="A109" s="17" t="s">
        <v>374</v>
      </c>
      <c r="B109" s="297"/>
      <c r="C109" s="297"/>
      <c r="D109" s="294"/>
      <c r="E109" s="292"/>
      <c r="F109" s="297"/>
      <c r="G109" s="297"/>
      <c r="H109" s="294"/>
      <c r="I109" s="292"/>
      <c r="J109" s="286"/>
      <c r="K109" s="285"/>
      <c r="L109" s="294"/>
      <c r="M109" s="292"/>
    </row>
    <row r="110" spans="1:13" ht="15.75" x14ac:dyDescent="0.2">
      <c r="A110" s="17" t="s">
        <v>342</v>
      </c>
      <c r="B110" s="297"/>
      <c r="C110" s="297"/>
      <c r="D110" s="294"/>
      <c r="E110" s="292"/>
      <c r="F110" s="297"/>
      <c r="G110" s="297"/>
      <c r="H110" s="294"/>
      <c r="I110" s="292"/>
      <c r="J110" s="286"/>
      <c r="K110" s="285"/>
      <c r="L110" s="294"/>
      <c r="M110" s="292"/>
    </row>
    <row r="111" spans="1:13" ht="15.75" x14ac:dyDescent="0.2">
      <c r="A111" s="10" t="s">
        <v>323</v>
      </c>
      <c r="B111" s="293"/>
      <c r="C111" s="312"/>
      <c r="D111" s="294"/>
      <c r="E111" s="292"/>
      <c r="F111" s="293"/>
      <c r="G111" s="312"/>
      <c r="H111" s="294"/>
      <c r="I111" s="292"/>
      <c r="J111" s="288"/>
      <c r="K111" s="287"/>
      <c r="L111" s="294"/>
      <c r="M111" s="292"/>
    </row>
    <row r="112" spans="1:13" x14ac:dyDescent="0.2">
      <c r="A112" s="17" t="s">
        <v>9</v>
      </c>
      <c r="B112" s="297"/>
      <c r="C112" s="309"/>
      <c r="D112" s="294"/>
      <c r="E112" s="292"/>
      <c r="F112" s="297"/>
      <c r="G112" s="309"/>
      <c r="H112" s="294"/>
      <c r="I112" s="292"/>
      <c r="J112" s="286"/>
      <c r="K112" s="285"/>
      <c r="L112" s="294"/>
      <c r="M112" s="292"/>
    </row>
    <row r="113" spans="1:13" x14ac:dyDescent="0.2">
      <c r="A113" s="17" t="s">
        <v>10</v>
      </c>
      <c r="B113" s="297"/>
      <c r="C113" s="309"/>
      <c r="D113" s="294"/>
      <c r="E113" s="292"/>
      <c r="F113" s="297"/>
      <c r="G113" s="309"/>
      <c r="H113" s="294"/>
      <c r="I113" s="292"/>
      <c r="J113" s="286"/>
      <c r="K113" s="285"/>
      <c r="L113" s="294"/>
      <c r="M113" s="292"/>
    </row>
    <row r="114" spans="1:13" x14ac:dyDescent="0.2">
      <c r="A114" s="17" t="s">
        <v>26</v>
      </c>
      <c r="B114" s="297"/>
      <c r="C114" s="309"/>
      <c r="D114" s="294"/>
      <c r="E114" s="292"/>
      <c r="F114" s="297"/>
      <c r="G114" s="309"/>
      <c r="H114" s="294"/>
      <c r="I114" s="292"/>
      <c r="J114" s="286"/>
      <c r="K114" s="285"/>
      <c r="L114" s="294"/>
      <c r="M114" s="292"/>
    </row>
    <row r="115" spans="1:13" x14ac:dyDescent="0.2">
      <c r="A115" s="232" t="s">
        <v>15</v>
      </c>
      <c r="B115" s="285"/>
      <c r="C115" s="285"/>
      <c r="D115" s="294"/>
      <c r="E115" s="314"/>
      <c r="F115" s="285"/>
      <c r="G115" s="285"/>
      <c r="H115" s="294"/>
      <c r="I115" s="292"/>
      <c r="J115" s="284"/>
      <c r="K115" s="284"/>
      <c r="L115" s="294"/>
      <c r="M115" s="292"/>
    </row>
    <row r="116" spans="1:13" ht="15.75" x14ac:dyDescent="0.2">
      <c r="A116" s="17" t="s">
        <v>343</v>
      </c>
      <c r="B116" s="297"/>
      <c r="C116" s="297"/>
      <c r="D116" s="294"/>
      <c r="E116" s="292"/>
      <c r="F116" s="297"/>
      <c r="G116" s="297"/>
      <c r="H116" s="294"/>
      <c r="I116" s="292"/>
      <c r="J116" s="286"/>
      <c r="K116" s="285"/>
      <c r="L116" s="294"/>
      <c r="M116" s="292"/>
    </row>
    <row r="117" spans="1:13" ht="15.75" x14ac:dyDescent="0.2">
      <c r="A117" s="17" t="s">
        <v>374</v>
      </c>
      <c r="B117" s="297"/>
      <c r="C117" s="297"/>
      <c r="D117" s="294"/>
      <c r="E117" s="292"/>
      <c r="F117" s="297"/>
      <c r="G117" s="297"/>
      <c r="H117" s="294"/>
      <c r="I117" s="292"/>
      <c r="J117" s="286"/>
      <c r="K117" s="285"/>
      <c r="L117" s="294"/>
      <c r="M117" s="292"/>
    </row>
    <row r="118" spans="1:13" ht="15.75" x14ac:dyDescent="0.2">
      <c r="A118" s="17" t="s">
        <v>342</v>
      </c>
      <c r="B118" s="297"/>
      <c r="C118" s="297"/>
      <c r="D118" s="294"/>
      <c r="E118" s="292"/>
      <c r="F118" s="297"/>
      <c r="G118" s="297"/>
      <c r="H118" s="294"/>
      <c r="I118" s="292"/>
      <c r="J118" s="286"/>
      <c r="K118" s="285"/>
      <c r="L118" s="294"/>
      <c r="M118" s="292"/>
    </row>
    <row r="119" spans="1:13" ht="15.75" x14ac:dyDescent="0.2">
      <c r="A119" s="10" t="s">
        <v>324</v>
      </c>
      <c r="B119" s="293"/>
      <c r="C119" s="312"/>
      <c r="D119" s="294"/>
      <c r="E119" s="292"/>
      <c r="F119" s="293"/>
      <c r="G119" s="312"/>
      <c r="H119" s="294"/>
      <c r="I119" s="292"/>
      <c r="J119" s="288"/>
      <c r="K119" s="287"/>
      <c r="L119" s="294"/>
      <c r="M119" s="292"/>
    </row>
    <row r="120" spans="1:13" x14ac:dyDescent="0.2">
      <c r="A120" s="17" t="s">
        <v>9</v>
      </c>
      <c r="B120" s="297"/>
      <c r="C120" s="309"/>
      <c r="D120" s="294"/>
      <c r="E120" s="292"/>
      <c r="F120" s="297"/>
      <c r="G120" s="309"/>
      <c r="H120" s="294"/>
      <c r="I120" s="292"/>
      <c r="J120" s="286"/>
      <c r="K120" s="285"/>
      <c r="L120" s="294"/>
      <c r="M120" s="292"/>
    </row>
    <row r="121" spans="1:13" x14ac:dyDescent="0.2">
      <c r="A121" s="17" t="s">
        <v>10</v>
      </c>
      <c r="B121" s="297"/>
      <c r="C121" s="309"/>
      <c r="D121" s="294"/>
      <c r="E121" s="292"/>
      <c r="F121" s="297"/>
      <c r="G121" s="309"/>
      <c r="H121" s="294"/>
      <c r="I121" s="292"/>
      <c r="J121" s="286"/>
      <c r="K121" s="285"/>
      <c r="L121" s="294"/>
      <c r="M121" s="292"/>
    </row>
    <row r="122" spans="1:13" x14ac:dyDescent="0.2">
      <c r="A122" s="17" t="s">
        <v>26</v>
      </c>
      <c r="B122" s="297"/>
      <c r="C122" s="309"/>
      <c r="D122" s="294"/>
      <c r="E122" s="292"/>
      <c r="F122" s="297"/>
      <c r="G122" s="309"/>
      <c r="H122" s="294"/>
      <c r="I122" s="292"/>
      <c r="J122" s="286"/>
      <c r="K122" s="285"/>
      <c r="L122" s="294"/>
      <c r="M122" s="292"/>
    </row>
    <row r="123" spans="1:13" x14ac:dyDescent="0.2">
      <c r="A123" s="232" t="s">
        <v>14</v>
      </c>
      <c r="B123" s="285"/>
      <c r="C123" s="285"/>
      <c r="D123" s="294"/>
      <c r="E123" s="314"/>
      <c r="F123" s="285"/>
      <c r="G123" s="285"/>
      <c r="H123" s="294"/>
      <c r="I123" s="292"/>
      <c r="J123" s="284"/>
      <c r="K123" s="284"/>
      <c r="L123" s="294"/>
      <c r="M123" s="292"/>
    </row>
    <row r="124" spans="1:13" ht="15.75" x14ac:dyDescent="0.2">
      <c r="A124" s="17" t="s">
        <v>348</v>
      </c>
      <c r="B124" s="297"/>
      <c r="C124" s="297"/>
      <c r="D124" s="294"/>
      <c r="E124" s="292"/>
      <c r="F124" s="297"/>
      <c r="G124" s="297"/>
      <c r="H124" s="294"/>
      <c r="I124" s="292"/>
      <c r="J124" s="286"/>
      <c r="K124" s="285"/>
      <c r="L124" s="294"/>
      <c r="M124" s="292"/>
    </row>
    <row r="125" spans="1:13" ht="15.75" x14ac:dyDescent="0.2">
      <c r="A125" s="17" t="s">
        <v>374</v>
      </c>
      <c r="B125" s="297"/>
      <c r="C125" s="297"/>
      <c r="D125" s="294"/>
      <c r="E125" s="292"/>
      <c r="F125" s="297"/>
      <c r="G125" s="297"/>
      <c r="H125" s="294"/>
      <c r="I125" s="292"/>
      <c r="J125" s="286"/>
      <c r="K125" s="285"/>
      <c r="L125" s="294"/>
      <c r="M125" s="292"/>
    </row>
    <row r="126" spans="1:13" ht="15.75" x14ac:dyDescent="0.2">
      <c r="A126" s="7" t="s">
        <v>342</v>
      </c>
      <c r="B126" s="306"/>
      <c r="C126" s="306"/>
      <c r="D126" s="298"/>
      <c r="E126" s="313"/>
      <c r="F126" s="306"/>
      <c r="G126" s="306"/>
      <c r="H126" s="298"/>
      <c r="I126" s="298"/>
      <c r="J126" s="307"/>
      <c r="K126" s="306"/>
      <c r="L126" s="298"/>
      <c r="M126" s="298"/>
    </row>
    <row r="127" spans="1:13" x14ac:dyDescent="0.2">
      <c r="A127" s="113"/>
    </row>
    <row r="129" spans="1:14" ht="15.75" x14ac:dyDescent="0.25">
      <c r="A129" s="109" t="s">
        <v>27</v>
      </c>
    </row>
    <row r="130" spans="1:14" ht="15.75" x14ac:dyDescent="0.25">
      <c r="B130" s="237"/>
      <c r="C130" s="237"/>
      <c r="D130" s="237"/>
      <c r="E130" s="234"/>
      <c r="F130" s="237"/>
      <c r="G130" s="237"/>
      <c r="H130" s="237"/>
      <c r="I130" s="234"/>
      <c r="J130" s="237"/>
      <c r="K130" s="237"/>
      <c r="L130" s="237"/>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23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287"/>
      <c r="C134" s="288"/>
      <c r="D134" s="291"/>
      <c r="E134" s="292"/>
      <c r="F134" s="282"/>
      <c r="G134" s="283"/>
      <c r="H134" s="315"/>
      <c r="I134" s="292"/>
      <c r="J134" s="300"/>
      <c r="K134" s="300"/>
      <c r="L134" s="291"/>
      <c r="M134" s="292"/>
    </row>
    <row r="135" spans="1:14" ht="15.75" x14ac:dyDescent="0.2">
      <c r="A135" s="10" t="s">
        <v>349</v>
      </c>
      <c r="B135" s="287"/>
      <c r="C135" s="288"/>
      <c r="D135" s="294"/>
      <c r="E135" s="292"/>
      <c r="F135" s="287"/>
      <c r="G135" s="288"/>
      <c r="H135" s="316"/>
      <c r="I135" s="292"/>
      <c r="J135" s="293"/>
      <c r="K135" s="293"/>
      <c r="L135" s="294"/>
      <c r="M135" s="292"/>
    </row>
    <row r="136" spans="1:14" ht="15.75" x14ac:dyDescent="0.2">
      <c r="A136" s="10" t="s">
        <v>346</v>
      </c>
      <c r="B136" s="287"/>
      <c r="C136" s="288"/>
      <c r="D136" s="294"/>
      <c r="E136" s="292"/>
      <c r="F136" s="287"/>
      <c r="G136" s="288"/>
      <c r="H136" s="316"/>
      <c r="I136" s="292"/>
      <c r="J136" s="293"/>
      <c r="K136" s="293"/>
      <c r="L136" s="294"/>
      <c r="M136" s="292"/>
    </row>
    <row r="137" spans="1:14" ht="15.75" x14ac:dyDescent="0.2">
      <c r="A137" s="32" t="s">
        <v>347</v>
      </c>
      <c r="B137" s="289"/>
      <c r="C137" s="290"/>
      <c r="D137" s="298"/>
      <c r="E137" s="313"/>
      <c r="F137" s="289"/>
      <c r="G137" s="290"/>
      <c r="H137" s="317"/>
      <c r="I137" s="313"/>
      <c r="J137" s="299"/>
      <c r="K137" s="299"/>
      <c r="L137" s="298"/>
      <c r="M137" s="298"/>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13">
    <mergeCell ref="B44:D44"/>
    <mergeCell ref="J19:L19"/>
    <mergeCell ref="F19:H19"/>
    <mergeCell ref="B19:D19"/>
    <mergeCell ref="J4:L4"/>
    <mergeCell ref="F4:H4"/>
    <mergeCell ref="B4:D4"/>
    <mergeCell ref="J131:L131"/>
    <mergeCell ref="F131:H131"/>
    <mergeCell ref="B131:D131"/>
    <mergeCell ref="J63:L63"/>
    <mergeCell ref="F63:H63"/>
    <mergeCell ref="B63:D63"/>
  </mergeCells>
  <conditionalFormatting sqref="A50:A52">
    <cfRule type="expression" dxfId="407" priority="12">
      <formula>kvartal &lt; 4</formula>
    </cfRule>
  </conditionalFormatting>
  <conditionalFormatting sqref="A69:A74">
    <cfRule type="expression" dxfId="406" priority="10">
      <formula>kvartal &lt; 4</formula>
    </cfRule>
  </conditionalFormatting>
  <conditionalFormatting sqref="A80:A85">
    <cfRule type="expression" dxfId="405" priority="9">
      <formula>kvartal &lt; 4</formula>
    </cfRule>
  </conditionalFormatting>
  <conditionalFormatting sqref="A90:A95">
    <cfRule type="expression" dxfId="404" priority="6">
      <formula>kvartal &lt; 4</formula>
    </cfRule>
  </conditionalFormatting>
  <conditionalFormatting sqref="A101:A106">
    <cfRule type="expression" dxfId="403" priority="5">
      <formula>kvartal &lt; 4</formula>
    </cfRule>
  </conditionalFormatting>
  <conditionalFormatting sqref="A115:C115">
    <cfRule type="expression" dxfId="402" priority="4">
      <formula>kvartal &lt; 4</formula>
    </cfRule>
  </conditionalFormatting>
  <conditionalFormatting sqref="A123:C123">
    <cfRule type="expression" dxfId="401" priority="3">
      <formula>kvartal &lt; 4</formula>
    </cfRule>
  </conditionalFormatting>
  <conditionalFormatting sqref="F115:G115">
    <cfRule type="expression" dxfId="400" priority="57">
      <formula>kvartal &lt; 4</formula>
    </cfRule>
  </conditionalFormatting>
  <conditionalFormatting sqref="F123:G123">
    <cfRule type="expression" dxfId="399" priority="56">
      <formula>kvartal &lt; 4</formula>
    </cfRule>
  </conditionalFormatting>
  <conditionalFormatting sqref="J115:K115">
    <cfRule type="expression" dxfId="398" priority="32">
      <formula>kvartal &lt; 4</formula>
    </cfRule>
  </conditionalFormatting>
  <conditionalFormatting sqref="J123:K123">
    <cfRule type="expression" dxfId="397" priority="31">
      <formula>kvartal &lt; 4</formula>
    </cfRule>
  </conditionalFormatting>
  <pageMargins left="0.70866141732283472" right="0.70866141732283472" top="0.78740157480314965" bottom="0.78740157480314965" header="0.31496062992125984" footer="0.31496062992125984"/>
  <pageSetup paperSize="9" scale="55" orientation="portrait" r:id="rId1"/>
  <rowBreaks count="1" manualBreakCount="1">
    <brk id="59"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4"/>
  <dimension ref="A1:P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6" x14ac:dyDescent="0.2">
      <c r="A1" s="126" t="s">
        <v>124</v>
      </c>
      <c r="B1" s="536"/>
      <c r="C1" s="192" t="s">
        <v>118</v>
      </c>
    </row>
    <row r="2" spans="1:16" ht="15.75" x14ac:dyDescent="0.25">
      <c r="A2" s="109" t="s">
        <v>28</v>
      </c>
      <c r="B2" s="572"/>
      <c r="C2" s="572"/>
      <c r="D2" s="572"/>
      <c r="E2" s="234"/>
      <c r="F2" s="572"/>
      <c r="G2" s="572"/>
      <c r="H2" s="572"/>
      <c r="I2" s="234"/>
      <c r="J2" s="572"/>
      <c r="K2" s="572"/>
      <c r="L2" s="572"/>
      <c r="M2" s="234"/>
    </row>
    <row r="3" spans="1:16" ht="15.75" x14ac:dyDescent="0.25">
      <c r="A3" s="120"/>
      <c r="B3" s="234"/>
      <c r="C3" s="234"/>
      <c r="D3" s="234"/>
      <c r="E3" s="234"/>
      <c r="F3" s="234"/>
      <c r="G3" s="234"/>
      <c r="H3" s="234"/>
      <c r="I3" s="234"/>
      <c r="J3" s="234"/>
      <c r="K3" s="234"/>
      <c r="L3" s="234"/>
      <c r="M3" s="234"/>
    </row>
    <row r="4" spans="1:16" x14ac:dyDescent="0.2">
      <c r="A4" s="107"/>
      <c r="B4" s="570" t="s">
        <v>0</v>
      </c>
      <c r="C4" s="571"/>
      <c r="D4" s="571"/>
      <c r="E4" s="236"/>
      <c r="F4" s="570" t="s">
        <v>1</v>
      </c>
      <c r="G4" s="571"/>
      <c r="H4" s="571"/>
      <c r="I4" s="238"/>
      <c r="J4" s="570" t="s">
        <v>2</v>
      </c>
      <c r="K4" s="571"/>
      <c r="L4" s="571"/>
      <c r="M4" s="238"/>
    </row>
    <row r="5" spans="1:16"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6" x14ac:dyDescent="0.2">
      <c r="A6" s="537"/>
      <c r="B6" s="114"/>
      <c r="C6" s="114"/>
      <c r="D6" s="190" t="s">
        <v>4</v>
      </c>
      <c r="E6" s="114" t="s">
        <v>30</v>
      </c>
      <c r="F6" s="118"/>
      <c r="G6" s="118"/>
      <c r="H6" s="189" t="s">
        <v>4</v>
      </c>
      <c r="I6" s="114" t="s">
        <v>30</v>
      </c>
      <c r="J6" s="118"/>
      <c r="K6" s="118"/>
      <c r="L6" s="189" t="s">
        <v>4</v>
      </c>
      <c r="M6" s="114" t="s">
        <v>30</v>
      </c>
    </row>
    <row r="7" spans="1:16" ht="15.75" x14ac:dyDescent="0.2">
      <c r="A7" s="11" t="s">
        <v>23</v>
      </c>
      <c r="B7" s="240">
        <v>280036.42855000001</v>
      </c>
      <c r="C7" s="241">
        <v>306081</v>
      </c>
      <c r="D7" s="277">
        <f>IF(B7=0, "    ---- ", IF(ABS(ROUND(100/B7*C7-100,1))&lt;999,ROUND(100/B7*C7-100,1),IF(ROUND(100/B7*C7-100,1)&gt;999,999,-999)))</f>
        <v>9.3000000000000007</v>
      </c>
      <c r="E7" s="8">
        <f>IFERROR(100/'Skjema total MA'!C7*C7,0)</f>
        <v>6.7089576461517382</v>
      </c>
      <c r="F7" s="240"/>
      <c r="G7" s="241"/>
      <c r="H7" s="277"/>
      <c r="I7" s="117"/>
      <c r="J7" s="242">
        <f t="shared" ref="J7:K10" si="0">SUM(B7,F7)</f>
        <v>280036.42855000001</v>
      </c>
      <c r="K7" s="243">
        <f t="shared" si="0"/>
        <v>306081</v>
      </c>
      <c r="L7" s="332">
        <f>IF(J7=0, "    ---- ", IF(ABS(ROUND(100/J7*K7-100,1))&lt;999,ROUND(100/J7*K7-100,1),IF(ROUND(100/J7*K7-100,1)&gt;999,999,-999)))</f>
        <v>9.3000000000000007</v>
      </c>
      <c r="M7" s="8">
        <f>IFERROR(100/'Skjema total MA'!I7*K7,0)</f>
        <v>2.404400098726978</v>
      </c>
    </row>
    <row r="8" spans="1:16" ht="15.75" x14ac:dyDescent="0.2">
      <c r="A8" s="17" t="s">
        <v>25</v>
      </c>
      <c r="B8" s="220">
        <v>248260.95209000001</v>
      </c>
      <c r="C8" s="221">
        <v>272702</v>
      </c>
      <c r="D8" s="121">
        <f t="shared" ref="D8:D10" si="1">IF(B8=0, "    ---- ", IF(ABS(ROUND(100/B8*C8-100,1))&lt;999,ROUND(100/B8*C8-100,1),IF(ROUND(100/B8*C8-100,1)&gt;999,999,-999)))</f>
        <v>9.8000000000000007</v>
      </c>
      <c r="E8" s="22">
        <f>IFERROR(100/'Skjema total MA'!C8*C8,0)</f>
        <v>8.8764487193702308</v>
      </c>
      <c r="F8" s="224"/>
      <c r="G8" s="225"/>
      <c r="H8" s="121"/>
      <c r="I8" s="129"/>
      <c r="J8" s="178">
        <f t="shared" si="0"/>
        <v>248260.95209000001</v>
      </c>
      <c r="K8" s="226">
        <f t="shared" si="0"/>
        <v>272702</v>
      </c>
      <c r="L8" s="121">
        <f t="shared" ref="L8:L9" si="2">IF(J8=0, "    ---- ", IF(ABS(ROUND(100/J8*K8-100,1))&lt;999,ROUND(100/J8*K8-100,1),IF(ROUND(100/J8*K8-100,1)&gt;999,999,-999)))</f>
        <v>9.8000000000000007</v>
      </c>
      <c r="M8" s="22">
        <f>IFERROR(100/'Skjema total MA'!I8*K8,0)</f>
        <v>8.8764487193702308</v>
      </c>
    </row>
    <row r="9" spans="1:16" ht="15.75" x14ac:dyDescent="0.2">
      <c r="A9" s="17" t="s">
        <v>24</v>
      </c>
      <c r="B9" s="220">
        <v>31775.476460000002</v>
      </c>
      <c r="C9" s="221">
        <v>33379</v>
      </c>
      <c r="D9" s="121">
        <f t="shared" si="1"/>
        <v>5</v>
      </c>
      <c r="E9" s="22">
        <f>IFERROR(100/'Skjema total MA'!C9*C9,0)</f>
        <v>3.6925956562239053</v>
      </c>
      <c r="F9" s="224"/>
      <c r="G9" s="225"/>
      <c r="H9" s="121"/>
      <c r="I9" s="129"/>
      <c r="J9" s="178">
        <f t="shared" si="0"/>
        <v>31775.476460000002</v>
      </c>
      <c r="K9" s="226">
        <f t="shared" si="0"/>
        <v>33379</v>
      </c>
      <c r="L9" s="121">
        <f t="shared" si="2"/>
        <v>5</v>
      </c>
      <c r="M9" s="22">
        <f>IFERROR(100/'Skjema total MA'!I9*K9,0)</f>
        <v>3.6925956562239053</v>
      </c>
    </row>
    <row r="10" spans="1:16" ht="15.75" x14ac:dyDescent="0.2">
      <c r="A10" s="10" t="s">
        <v>322</v>
      </c>
      <c r="B10" s="244">
        <v>153132.048599231</v>
      </c>
      <c r="C10" s="245">
        <v>158741</v>
      </c>
      <c r="D10" s="125">
        <f t="shared" si="1"/>
        <v>3.7</v>
      </c>
      <c r="E10" s="8">
        <f>IFERROR(100/'Skjema total MA'!C10*C10,0)</f>
        <v>1.2650387041302884</v>
      </c>
      <c r="F10" s="244"/>
      <c r="G10" s="245"/>
      <c r="H10" s="125"/>
      <c r="I10" s="117"/>
      <c r="J10" s="242">
        <f t="shared" si="0"/>
        <v>153132.048599231</v>
      </c>
      <c r="K10" s="243">
        <f t="shared" si="0"/>
        <v>158741</v>
      </c>
      <c r="L10" s="333">
        <f t="shared" ref="L10" si="3">IF(J10=0, "    ---- ", IF(ABS(ROUND(100/J10*K10-100,1))&lt;999,ROUND(100/J10*K10-100,1),IF(ROUND(100/J10*K10-100,1)&gt;999,999,-999)))</f>
        <v>3.7</v>
      </c>
      <c r="M10" s="8">
        <f>IFERROR(100/'Skjema total MA'!I10*K10,0)</f>
        <v>0.13657176843918703</v>
      </c>
    </row>
    <row r="11" spans="1:16" s="34" customFormat="1" ht="15.75" x14ac:dyDescent="0.2">
      <c r="A11" s="10" t="s">
        <v>323</v>
      </c>
      <c r="B11" s="244"/>
      <c r="C11" s="245"/>
      <c r="D11" s="125"/>
      <c r="E11" s="8"/>
      <c r="F11" s="244"/>
      <c r="G11" s="245"/>
      <c r="H11" s="125"/>
      <c r="I11" s="117"/>
      <c r="J11" s="242"/>
      <c r="K11" s="243"/>
      <c r="L11" s="333"/>
      <c r="M11" s="8"/>
      <c r="N11" s="106"/>
      <c r="P11" s="106"/>
    </row>
    <row r="12" spans="1:16" s="34" customFormat="1" ht="15.75" x14ac:dyDescent="0.2">
      <c r="A12" s="32" t="s">
        <v>324</v>
      </c>
      <c r="B12" s="246"/>
      <c r="C12" s="247"/>
      <c r="D12" s="123"/>
      <c r="E12" s="29"/>
      <c r="F12" s="246"/>
      <c r="G12" s="247"/>
      <c r="H12" s="123"/>
      <c r="I12" s="123"/>
      <c r="J12" s="248"/>
      <c r="K12" s="249"/>
      <c r="L12" s="334"/>
      <c r="M12" s="29"/>
      <c r="N12" s="106"/>
    </row>
    <row r="13" spans="1:16" s="34" customFormat="1" x14ac:dyDescent="0.2">
      <c r="A13" s="106"/>
      <c r="B13" s="108"/>
      <c r="C13" s="26"/>
      <c r="D13" s="116"/>
      <c r="E13" s="116"/>
      <c r="F13" s="108"/>
      <c r="G13" s="26"/>
      <c r="H13" s="116"/>
      <c r="I13" s="116"/>
      <c r="J13" s="37"/>
      <c r="K13" s="37"/>
      <c r="L13" s="116"/>
      <c r="M13" s="116"/>
      <c r="N13" s="106"/>
    </row>
    <row r="14" spans="1:16" x14ac:dyDescent="0.2">
      <c r="A14" s="112" t="s">
        <v>246</v>
      </c>
    </row>
    <row r="16" spans="1:16"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311204.23097999999</v>
      </c>
      <c r="C22" s="244">
        <v>352215</v>
      </c>
      <c r="D22" s="277">
        <f t="shared" ref="D22:D30" si="4">IF(B22=0, "    ---- ", IF(ABS(ROUND(100/B22*C22-100,1))&lt;999,ROUND(100/B22*C22-100,1),IF(ROUND(100/B22*C22-100,1)&gt;999,999,-999)))</f>
        <v>13.2</v>
      </c>
      <c r="E22" s="8">
        <f>IFERROR(100/'Skjema total MA'!C22*C22,0)</f>
        <v>16.683827204700805</v>
      </c>
      <c r="F22" s="252"/>
      <c r="G22" s="252"/>
      <c r="H22" s="277"/>
      <c r="I22" s="8"/>
      <c r="J22" s="250">
        <f t="shared" ref="J22:K29" si="5">SUM(B22,F22)</f>
        <v>311204.23097999999</v>
      </c>
      <c r="K22" s="250">
        <f t="shared" si="5"/>
        <v>352215</v>
      </c>
      <c r="L22" s="332">
        <f t="shared" ref="L22:L30" si="6">IF(J22=0, "    ---- ", IF(ABS(ROUND(100/J22*K22-100,1))&lt;999,ROUND(100/J22*K22-100,1),IF(ROUND(100/J22*K22-100,1)&gt;999,999,-999)))</f>
        <v>13.2</v>
      </c>
      <c r="M22" s="20">
        <f>IFERROR(100/'Skjema total MA'!I22*K22,0)</f>
        <v>12.09838771874773</v>
      </c>
    </row>
    <row r="23" spans="1:13" ht="15.75" x14ac:dyDescent="0.2">
      <c r="A23" s="372" t="s">
        <v>325</v>
      </c>
      <c r="B23" s="220">
        <v>311204.23097999999</v>
      </c>
      <c r="C23" s="220">
        <v>352215</v>
      </c>
      <c r="D23" s="121">
        <f t="shared" si="4"/>
        <v>13.2</v>
      </c>
      <c r="E23" s="8">
        <f>IFERROR(100/'Skjema total MA'!C23*C23,0)</f>
        <v>26.710735501168436</v>
      </c>
      <c r="F23" s="228"/>
      <c r="G23" s="228"/>
      <c r="H23" s="121"/>
      <c r="I23" s="325"/>
      <c r="J23" s="228">
        <f t="shared" ref="J23" si="7">SUM(B23,F23)</f>
        <v>311204.23097999999</v>
      </c>
      <c r="K23" s="228">
        <f t="shared" ref="K23" si="8">SUM(C23,G23)</f>
        <v>352215</v>
      </c>
      <c r="L23" s="121">
        <f t="shared" si="6"/>
        <v>13.2</v>
      </c>
      <c r="M23" s="19">
        <f>IFERROR(100/'Skjema total MA'!I23*K23,0)</f>
        <v>25.943401869037476</v>
      </c>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311204.23097999999</v>
      </c>
      <c r="C28" s="226">
        <v>352215</v>
      </c>
      <c r="D28" s="121">
        <f t="shared" si="4"/>
        <v>13.2</v>
      </c>
      <c r="E28" s="8">
        <f>IFERROR(100/'Skjema total MA'!C28*C28,0)</f>
        <v>13.438028787882205</v>
      </c>
      <c r="F28" s="137"/>
      <c r="G28" s="137"/>
      <c r="H28" s="121"/>
      <c r="I28" s="22"/>
      <c r="J28" s="35">
        <f t="shared" si="5"/>
        <v>311204.23097999999</v>
      </c>
      <c r="K28" s="35">
        <f t="shared" si="5"/>
        <v>352215</v>
      </c>
      <c r="L28" s="198">
        <f t="shared" si="6"/>
        <v>13.2</v>
      </c>
      <c r="M28" s="19">
        <f>IFERROR(100/'Skjema total MA'!I28*K28,0)</f>
        <v>13.438028787882205</v>
      </c>
    </row>
    <row r="29" spans="1:13" ht="15.75" x14ac:dyDescent="0.2">
      <c r="A29" s="10" t="s">
        <v>322</v>
      </c>
      <c r="B29" s="180">
        <v>1736004.3473741</v>
      </c>
      <c r="C29" s="180">
        <v>2175302</v>
      </c>
      <c r="D29" s="125">
        <f t="shared" si="4"/>
        <v>25.3</v>
      </c>
      <c r="E29" s="8">
        <f>IFERROR(100/'Skjema total MA'!C29*C29,0)</f>
        <v>4.9398828247693043</v>
      </c>
      <c r="F29" s="242"/>
      <c r="G29" s="242"/>
      <c r="H29" s="125"/>
      <c r="I29" s="8"/>
      <c r="J29" s="180">
        <f t="shared" si="5"/>
        <v>1736004.3473741</v>
      </c>
      <c r="K29" s="180">
        <f t="shared" si="5"/>
        <v>2175302</v>
      </c>
      <c r="L29" s="333">
        <f t="shared" si="6"/>
        <v>25.3</v>
      </c>
      <c r="M29" s="20">
        <f>IFERROR(100/'Skjema total MA'!I29*K29,0)</f>
        <v>2.9028241449630303</v>
      </c>
    </row>
    <row r="30" spans="1:13" ht="15.75" x14ac:dyDescent="0.2">
      <c r="A30" s="372" t="s">
        <v>325</v>
      </c>
      <c r="B30" s="220">
        <v>1736004.3473741</v>
      </c>
      <c r="C30" s="220">
        <v>2175302</v>
      </c>
      <c r="D30" s="121">
        <f t="shared" si="4"/>
        <v>25.3</v>
      </c>
      <c r="E30" s="8">
        <f>IFERROR(100/'Skjema total MA'!C30*C30,0)</f>
        <v>11.444416732599013</v>
      </c>
      <c r="F30" s="228"/>
      <c r="G30" s="228"/>
      <c r="H30" s="121"/>
      <c r="I30" s="325"/>
      <c r="J30" s="228">
        <f t="shared" ref="J30" si="9">SUM(B30,F30)</f>
        <v>1736004.3473741</v>
      </c>
      <c r="K30" s="228">
        <f t="shared" ref="K30" si="10">SUM(C30,G30)</f>
        <v>2175302</v>
      </c>
      <c r="L30" s="121">
        <f t="shared" si="6"/>
        <v>25.3</v>
      </c>
      <c r="M30" s="19">
        <f>IFERROR(100/'Skjema total MA'!I30*K30,0)</f>
        <v>9.5850711930929506</v>
      </c>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42198.057000000001</v>
      </c>
      <c r="C47" s="245">
        <v>53478</v>
      </c>
      <c r="D47" s="332">
        <f t="shared" ref="D47:D54" si="11">IF(B47=0, "    ---- ", IF(ABS(ROUND(100/B47*C47-100,1))&lt;999,ROUND(100/B47*C47-100,1),IF(ROUND(100/B47*C47-100,1)&gt;999,999,-999)))</f>
        <v>26.7</v>
      </c>
      <c r="E47" s="8">
        <f>IFERROR(100/'Skjema total MA'!C47*C47,0)</f>
        <v>0.8395069593813963</v>
      </c>
      <c r="F47" s="108"/>
      <c r="G47" s="26"/>
      <c r="H47" s="116"/>
      <c r="I47" s="116"/>
      <c r="J47" s="30"/>
      <c r="K47" s="30"/>
      <c r="L47" s="116"/>
      <c r="M47" s="116"/>
    </row>
    <row r="48" spans="1:13" ht="15.75" x14ac:dyDescent="0.2">
      <c r="A48" s="17" t="s">
        <v>333</v>
      </c>
      <c r="B48" s="220">
        <v>42198.057000000001</v>
      </c>
      <c r="C48" s="221">
        <v>53478</v>
      </c>
      <c r="D48" s="198">
        <f t="shared" si="11"/>
        <v>26.7</v>
      </c>
      <c r="E48" s="22">
        <f>IFERROR(100/'Skjema total MA'!C48*C48,0)</f>
        <v>1.4624821061705779</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v>1063</v>
      </c>
      <c r="D53" s="333" t="str">
        <f t="shared" si="11"/>
        <v xml:space="preserve">    ---- </v>
      </c>
      <c r="E53" s="8">
        <f>IFERROR(100/'Skjema total MA'!C53*C53,0)</f>
        <v>0.3526251550905723</v>
      </c>
      <c r="F53" s="108"/>
      <c r="G53" s="26"/>
      <c r="H53" s="108"/>
      <c r="I53" s="108"/>
      <c r="J53" s="26"/>
      <c r="K53" s="26"/>
      <c r="L53" s="116"/>
      <c r="M53" s="116"/>
    </row>
    <row r="54" spans="1:13" ht="15.75" x14ac:dyDescent="0.2">
      <c r="A54" s="17" t="s">
        <v>333</v>
      </c>
      <c r="B54" s="220"/>
      <c r="C54" s="221">
        <v>1063</v>
      </c>
      <c r="D54" s="198" t="str">
        <f t="shared" si="11"/>
        <v xml:space="preserve">    ---- </v>
      </c>
      <c r="E54" s="22">
        <f>IFERROR(100/'Skjema total MA'!C54*C54,0)</f>
        <v>0.36098485502425809</v>
      </c>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96" priority="12">
      <formula>kvartal &lt; 4</formula>
    </cfRule>
  </conditionalFormatting>
  <conditionalFormatting sqref="A69:A74">
    <cfRule type="expression" dxfId="395" priority="10">
      <formula>kvartal &lt; 4</formula>
    </cfRule>
  </conditionalFormatting>
  <conditionalFormatting sqref="A80:A85">
    <cfRule type="expression" dxfId="394" priority="9">
      <formula>kvartal &lt; 4</formula>
    </cfRule>
  </conditionalFormatting>
  <conditionalFormatting sqref="A90:A95">
    <cfRule type="expression" dxfId="393" priority="6">
      <formula>kvartal &lt; 4</formula>
    </cfRule>
  </conditionalFormatting>
  <conditionalFormatting sqref="A101:A106">
    <cfRule type="expression" dxfId="392" priority="5">
      <formula>kvartal &lt; 4</formula>
    </cfRule>
  </conditionalFormatting>
  <conditionalFormatting sqref="A115:C115">
    <cfRule type="expression" dxfId="391" priority="4">
      <formula>kvartal &lt; 4</formula>
    </cfRule>
  </conditionalFormatting>
  <conditionalFormatting sqref="A123:C123">
    <cfRule type="expression" dxfId="390" priority="3">
      <formula>kvartal &lt; 4</formula>
    </cfRule>
  </conditionalFormatting>
  <conditionalFormatting sqref="F115:G115">
    <cfRule type="expression" dxfId="389" priority="57">
      <formula>kvartal &lt; 4</formula>
    </cfRule>
  </conditionalFormatting>
  <conditionalFormatting sqref="F123:G123">
    <cfRule type="expression" dxfId="388" priority="56">
      <formula>kvartal &lt; 4</formula>
    </cfRule>
  </conditionalFormatting>
  <conditionalFormatting sqref="J115:K115">
    <cfRule type="expression" dxfId="387" priority="32">
      <formula>kvartal &lt; 4</formula>
    </cfRule>
  </conditionalFormatting>
  <conditionalFormatting sqref="J123:K123">
    <cfRule type="expression" dxfId="386" priority="31">
      <formula>kvartal &lt; 4</formula>
    </cfRule>
  </conditionalFormatting>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N144"/>
  <sheetViews>
    <sheetView showGridLines="0" zoomScaleNormal="100" workbookViewId="0">
      <selection activeCell="C48" sqref="C48"/>
    </sheetView>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119</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2550.4560000000001</v>
      </c>
      <c r="C47" s="245">
        <v>294.02600000000001</v>
      </c>
      <c r="D47" s="332">
        <f t="shared" ref="D47:D57" si="0">IF(B47=0, "    ---- ", IF(ABS(ROUND(100/B47*C47-100,1))&lt;999,ROUND(100/B47*C47-100,1),IF(ROUND(100/B47*C47-100,1)&gt;999,999,-999)))</f>
        <v>-88.5</v>
      </c>
      <c r="E47" s="8">
        <f>IFERROR(100/'Skjema total MA'!C47*C47,0)</f>
        <v>4.6156713646560163E-3</v>
      </c>
      <c r="F47" s="108"/>
      <c r="G47" s="26"/>
      <c r="H47" s="116"/>
      <c r="I47" s="116"/>
      <c r="J47" s="30"/>
      <c r="K47" s="30"/>
      <c r="L47" s="116"/>
      <c r="M47" s="116"/>
    </row>
    <row r="48" spans="1:13" ht="15.75" x14ac:dyDescent="0.2">
      <c r="A48" s="17" t="s">
        <v>333</v>
      </c>
      <c r="B48" s="220">
        <v>2550.4560000000001</v>
      </c>
      <c r="C48" s="221">
        <v>294.02600000000001</v>
      </c>
      <c r="D48" s="198">
        <f t="shared" si="0"/>
        <v>-88.5</v>
      </c>
      <c r="E48" s="22">
        <f>IFERROR(100/'Skjema total MA'!C48*C48,0)</f>
        <v>8.0408348058811172E-3</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v>7953.7790000000005</v>
      </c>
      <c r="C56" s="245">
        <v>1063.0060000000001</v>
      </c>
      <c r="D56" s="333">
        <f t="shared" si="0"/>
        <v>-86.6</v>
      </c>
      <c r="E56" s="8">
        <f>IFERROR(100/'Skjema total MA'!C56*C56,0)</f>
        <v>1.1316700701922118</v>
      </c>
      <c r="F56" s="108"/>
      <c r="G56" s="26"/>
      <c r="H56" s="108"/>
      <c r="I56" s="108"/>
      <c r="J56" s="26"/>
      <c r="K56" s="26"/>
      <c r="L56" s="116"/>
      <c r="M56" s="116"/>
    </row>
    <row r="57" spans="1:13" ht="15.75" x14ac:dyDescent="0.2">
      <c r="A57" s="17" t="s">
        <v>333</v>
      </c>
      <c r="B57" s="220">
        <v>7953.7790000000005</v>
      </c>
      <c r="C57" s="221">
        <v>1063.0060000000001</v>
      </c>
      <c r="D57" s="198">
        <f t="shared" si="0"/>
        <v>-86.6</v>
      </c>
      <c r="E57" s="22">
        <f>IFERROR(100/'Skjema total MA'!C57*C57,0)</f>
        <v>1.1316700701922118</v>
      </c>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85" priority="12">
      <formula>kvartal &lt; 4</formula>
    </cfRule>
  </conditionalFormatting>
  <conditionalFormatting sqref="A69:A74">
    <cfRule type="expression" dxfId="384" priority="10">
      <formula>kvartal &lt; 4</formula>
    </cfRule>
  </conditionalFormatting>
  <conditionalFormatting sqref="A80:A85">
    <cfRule type="expression" dxfId="383" priority="9">
      <formula>kvartal &lt; 4</formula>
    </cfRule>
  </conditionalFormatting>
  <conditionalFormatting sqref="A90:A95">
    <cfRule type="expression" dxfId="382" priority="6">
      <formula>kvartal &lt; 4</formula>
    </cfRule>
  </conditionalFormatting>
  <conditionalFormatting sqref="A101:A106">
    <cfRule type="expression" dxfId="381" priority="5">
      <formula>kvartal &lt; 4</formula>
    </cfRule>
  </conditionalFormatting>
  <conditionalFormatting sqref="A115:C115">
    <cfRule type="expression" dxfId="380" priority="4">
      <formula>kvartal &lt; 4</formula>
    </cfRule>
  </conditionalFormatting>
  <conditionalFormatting sqref="A123:C123">
    <cfRule type="expression" dxfId="379" priority="3">
      <formula>kvartal &lt; 4</formula>
    </cfRule>
  </conditionalFormatting>
  <conditionalFormatting sqref="F115:G115">
    <cfRule type="expression" dxfId="378" priority="57">
      <formula>kvartal &lt; 4</formula>
    </cfRule>
  </conditionalFormatting>
  <conditionalFormatting sqref="F123:G123">
    <cfRule type="expression" dxfId="377" priority="56">
      <formula>kvartal &lt; 4</formula>
    </cfRule>
  </conditionalFormatting>
  <conditionalFormatting sqref="J115:K115">
    <cfRule type="expression" dxfId="376" priority="32">
      <formula>kvartal &lt; 4</formula>
    </cfRule>
  </conditionalFormatting>
  <conditionalFormatting sqref="J123:K123">
    <cfRule type="expression" dxfId="375" priority="31">
      <formula>kvartal &lt; 4</formula>
    </cfRule>
  </conditionalFormatting>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N144"/>
  <sheetViews>
    <sheetView showGridLines="0" zoomScaleNormal="100" zoomScaleSheetLayoutView="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83</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781471.60600000003</v>
      </c>
      <c r="C7" s="241">
        <v>790397.10400000005</v>
      </c>
      <c r="D7" s="277">
        <f>IF(B7=0, "    ---- ", IF(ABS(ROUND(100/B7*C7-100,1))&lt;999,ROUND(100/B7*C7-100,1),IF(ROUND(100/B7*C7-100,1)&gt;999,999,-999)))</f>
        <v>1.1000000000000001</v>
      </c>
      <c r="E7" s="8">
        <f>IFERROR(100/'Skjema total MA'!C7*C7,0)</f>
        <v>17.324632023474148</v>
      </c>
      <c r="F7" s="240"/>
      <c r="G7" s="241"/>
      <c r="H7" s="277"/>
      <c r="I7" s="117"/>
      <c r="J7" s="242">
        <f t="shared" ref="J7:K9" si="0">SUM(B7,F7)</f>
        <v>781471.60600000003</v>
      </c>
      <c r="K7" s="243">
        <f t="shared" si="0"/>
        <v>790397.10400000005</v>
      </c>
      <c r="L7" s="332">
        <f>IF(J7=0, "    ---- ", IF(ABS(ROUND(100/J7*K7-100,1))&lt;999,ROUND(100/J7*K7-100,1),IF(ROUND(100/J7*K7-100,1)&gt;999,999,-999)))</f>
        <v>1.1000000000000001</v>
      </c>
      <c r="M7" s="8">
        <f>IFERROR(100/'Skjema total MA'!I7*K7,0)</f>
        <v>6.2089148783855181</v>
      </c>
    </row>
    <row r="8" spans="1:14" ht="15.75" x14ac:dyDescent="0.2">
      <c r="A8" s="17" t="s">
        <v>25</v>
      </c>
      <c r="B8" s="220">
        <v>494621.31300000002</v>
      </c>
      <c r="C8" s="221">
        <v>515145.88199999998</v>
      </c>
      <c r="D8" s="121">
        <f t="shared" ref="D8:D9" si="1">IF(B8=0, "    ---- ", IF(ABS(ROUND(100/B8*C8-100,1))&lt;999,ROUND(100/B8*C8-100,1),IF(ROUND(100/B8*C8-100,1)&gt;999,999,-999)))</f>
        <v>4.0999999999999996</v>
      </c>
      <c r="E8" s="22">
        <f>IFERROR(100/'Skjema total MA'!C8*C8,0)</f>
        <v>16.767995851030605</v>
      </c>
      <c r="F8" s="224"/>
      <c r="G8" s="225"/>
      <c r="H8" s="121"/>
      <c r="I8" s="129"/>
      <c r="J8" s="178">
        <f t="shared" si="0"/>
        <v>494621.31300000002</v>
      </c>
      <c r="K8" s="226">
        <f t="shared" si="0"/>
        <v>515145.88199999998</v>
      </c>
      <c r="L8" s="121">
        <f t="shared" ref="L8:L9" si="2">IF(J8=0, "    ---- ", IF(ABS(ROUND(100/J8*K8-100,1))&lt;999,ROUND(100/J8*K8-100,1),IF(ROUND(100/J8*K8-100,1)&gt;999,999,-999)))</f>
        <v>4.0999999999999996</v>
      </c>
      <c r="M8" s="22">
        <f>IFERROR(100/'Skjema total MA'!I8*K8,0)</f>
        <v>16.767995851030605</v>
      </c>
    </row>
    <row r="9" spans="1:14" ht="15.75" x14ac:dyDescent="0.2">
      <c r="A9" s="17" t="s">
        <v>24</v>
      </c>
      <c r="B9" s="220">
        <v>286850.29300000001</v>
      </c>
      <c r="C9" s="221">
        <v>275251.22200000001</v>
      </c>
      <c r="D9" s="121">
        <f t="shared" si="1"/>
        <v>-4</v>
      </c>
      <c r="E9" s="22">
        <f>IFERROR(100/'Skjema total MA'!C9*C9,0)</f>
        <v>30.450027464199703</v>
      </c>
      <c r="F9" s="224"/>
      <c r="G9" s="225"/>
      <c r="H9" s="121"/>
      <c r="I9" s="129"/>
      <c r="J9" s="178">
        <f t="shared" si="0"/>
        <v>286850.29300000001</v>
      </c>
      <c r="K9" s="226">
        <f t="shared" si="0"/>
        <v>275251.22200000001</v>
      </c>
      <c r="L9" s="121">
        <f t="shared" si="2"/>
        <v>-4</v>
      </c>
      <c r="M9" s="22">
        <f>IFERROR(100/'Skjema total MA'!I9*K9,0)</f>
        <v>30.450027464199703</v>
      </c>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1198455.4087709999</v>
      </c>
      <c r="C47" s="245">
        <v>1322444.5932</v>
      </c>
      <c r="D47" s="332">
        <f t="shared" ref="D47:D57" si="3">IF(B47=0, "    ---- ", IF(ABS(ROUND(100/B47*C47-100,1))&lt;999,ROUND(100/B47*C47-100,1),IF(ROUND(100/B47*C47-100,1)&gt;999,999,-999)))</f>
        <v>10.3</v>
      </c>
      <c r="E47" s="8">
        <f>IFERROR(100/'Skjema total MA'!C47*C47,0)</f>
        <v>20.759965581878522</v>
      </c>
      <c r="F47" s="108"/>
      <c r="G47" s="26"/>
      <c r="H47" s="116"/>
      <c r="I47" s="116"/>
      <c r="J47" s="30"/>
      <c r="K47" s="30"/>
      <c r="L47" s="116"/>
      <c r="M47" s="116"/>
    </row>
    <row r="48" spans="1:13" ht="15.75" x14ac:dyDescent="0.2">
      <c r="A48" s="17" t="s">
        <v>333</v>
      </c>
      <c r="B48" s="220">
        <v>799644.08777099999</v>
      </c>
      <c r="C48" s="221">
        <v>862353.68019999994</v>
      </c>
      <c r="D48" s="198">
        <f t="shared" si="3"/>
        <v>7.8</v>
      </c>
      <c r="E48" s="22">
        <f>IFERROR(100/'Skjema total MA'!C48*C48,0)</f>
        <v>23.583096347710178</v>
      </c>
      <c r="F48" s="108"/>
      <c r="G48" s="26"/>
      <c r="H48" s="108"/>
      <c r="I48" s="108"/>
      <c r="J48" s="26"/>
      <c r="K48" s="26"/>
      <c r="L48" s="116"/>
      <c r="M48" s="116"/>
    </row>
    <row r="49" spans="1:13" ht="15.75" x14ac:dyDescent="0.2">
      <c r="A49" s="17" t="s">
        <v>334</v>
      </c>
      <c r="B49" s="35">
        <v>398811.321</v>
      </c>
      <c r="C49" s="226">
        <v>460090.913</v>
      </c>
      <c r="D49" s="198">
        <f>IF(B49=0, "    ---- ", IF(ABS(ROUND(100/B49*C49-100,1))&lt;999,ROUND(100/B49*C49-100,1),IF(ROUND(100/B49*C49-100,1)&gt;999,999,-999)))</f>
        <v>15.4</v>
      </c>
      <c r="E49" s="22">
        <f>IFERROR(100/'Skjema total MA'!C49*C49,0)</f>
        <v>16.955579584500285</v>
      </c>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v>21494.918000000001</v>
      </c>
      <c r="C53" s="245">
        <v>30954.833999999999</v>
      </c>
      <c r="D53" s="333">
        <f t="shared" si="3"/>
        <v>44</v>
      </c>
      <c r="E53" s="8">
        <f>IFERROR(100/'Skjema total MA'!C53*C53,0)</f>
        <v>10.268535409268974</v>
      </c>
      <c r="F53" s="108"/>
      <c r="G53" s="26"/>
      <c r="H53" s="108"/>
      <c r="I53" s="108"/>
      <c r="J53" s="26"/>
      <c r="K53" s="26"/>
      <c r="L53" s="116"/>
      <c r="M53" s="116"/>
    </row>
    <row r="54" spans="1:13" ht="15.75" x14ac:dyDescent="0.2">
      <c r="A54" s="17" t="s">
        <v>333</v>
      </c>
      <c r="B54" s="220">
        <v>21494.918000000001</v>
      </c>
      <c r="C54" s="221">
        <v>30954.833999999999</v>
      </c>
      <c r="D54" s="198">
        <f t="shared" si="3"/>
        <v>44</v>
      </c>
      <c r="E54" s="22">
        <f>IFERROR(100/'Skjema total MA'!C54*C54,0)</f>
        <v>10.511972026142969</v>
      </c>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v>98776.251000000004</v>
      </c>
      <c r="C56" s="245">
        <v>33223.815000000002</v>
      </c>
      <c r="D56" s="333">
        <f t="shared" si="3"/>
        <v>-66.400000000000006</v>
      </c>
      <c r="E56" s="8">
        <f>IFERROR(100/'Skjema total MA'!C56*C56,0)</f>
        <v>35.36988225193749</v>
      </c>
      <c r="F56" s="108"/>
      <c r="G56" s="26"/>
      <c r="H56" s="108"/>
      <c r="I56" s="108"/>
      <c r="J56" s="26"/>
      <c r="K56" s="26"/>
      <c r="L56" s="116"/>
      <c r="M56" s="116"/>
    </row>
    <row r="57" spans="1:13" ht="15.75" x14ac:dyDescent="0.2">
      <c r="A57" s="17" t="s">
        <v>333</v>
      </c>
      <c r="B57" s="220">
        <v>98776.251000000004</v>
      </c>
      <c r="C57" s="221">
        <v>33223.815000000002</v>
      </c>
      <c r="D57" s="198">
        <f t="shared" si="3"/>
        <v>-66.400000000000006</v>
      </c>
      <c r="E57" s="22">
        <f>IFERROR(100/'Skjema total MA'!C57*C57,0)</f>
        <v>35.36988225193749</v>
      </c>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74" priority="12">
      <formula>kvartal &lt; 4</formula>
    </cfRule>
  </conditionalFormatting>
  <conditionalFormatting sqref="A69:A74">
    <cfRule type="expression" dxfId="373" priority="10">
      <formula>kvartal &lt; 4</formula>
    </cfRule>
  </conditionalFormatting>
  <conditionalFormatting sqref="A80:A85">
    <cfRule type="expression" dxfId="372" priority="9">
      <formula>kvartal &lt; 4</formula>
    </cfRule>
  </conditionalFormatting>
  <conditionalFormatting sqref="A90:A95">
    <cfRule type="expression" dxfId="371" priority="6">
      <formula>kvartal &lt; 4</formula>
    </cfRule>
  </conditionalFormatting>
  <conditionalFormatting sqref="A101:A106">
    <cfRule type="expression" dxfId="370" priority="5">
      <formula>kvartal &lt; 4</formula>
    </cfRule>
  </conditionalFormatting>
  <conditionalFormatting sqref="A115:C115">
    <cfRule type="expression" dxfId="369" priority="4">
      <formula>kvartal &lt; 4</formula>
    </cfRule>
  </conditionalFormatting>
  <conditionalFormatting sqref="A123:C123">
    <cfRule type="expression" dxfId="368" priority="3">
      <formula>kvartal &lt; 4</formula>
    </cfRule>
  </conditionalFormatting>
  <conditionalFormatting sqref="F115:G115">
    <cfRule type="expression" dxfId="367" priority="57">
      <formula>kvartal &lt; 4</formula>
    </cfRule>
  </conditionalFormatting>
  <conditionalFormatting sqref="F123:G123">
    <cfRule type="expression" dxfId="366" priority="56">
      <formula>kvartal &lt; 4</formula>
    </cfRule>
  </conditionalFormatting>
  <conditionalFormatting sqref="J115:K115">
    <cfRule type="expression" dxfId="365" priority="32">
      <formula>kvartal &lt; 4</formula>
    </cfRule>
  </conditionalFormatting>
  <conditionalFormatting sqref="J123:K123">
    <cfRule type="expression" dxfId="364" priority="31">
      <formula>kvartal &lt; 4</formula>
    </cfRule>
  </conditionalFormatting>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413</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v>194901</v>
      </c>
      <c r="G7" s="241">
        <v>199680</v>
      </c>
      <c r="H7" s="277">
        <f>IF(F7=0, "    ---- ", IF(ABS(ROUND(100/F7*G7-100,1))&lt;999,ROUND(100/F7*G7-100,1),IF(ROUND(100/F7*G7-100,1)&gt;999,999,-999)))</f>
        <v>2.5</v>
      </c>
      <c r="I7" s="117">
        <f>IFERROR(100/'Skjema total MA'!F7*G7,0)</f>
        <v>2.444733172408037</v>
      </c>
      <c r="J7" s="242">
        <f t="shared" ref="J7:K12" si="0">SUM(B7,F7)</f>
        <v>194901</v>
      </c>
      <c r="K7" s="243">
        <f t="shared" si="0"/>
        <v>199680</v>
      </c>
      <c r="L7" s="332">
        <f>IF(J7=0, "    ---- ", IF(ABS(ROUND(100/J7*K7-100,1))&lt;999,ROUND(100/J7*K7-100,1),IF(ROUND(100/J7*K7-100,1)&gt;999,999,-999)))</f>
        <v>2.5</v>
      </c>
      <c r="M7" s="8">
        <f>IFERROR(100/'Skjema total MA'!I7*K7,0)</f>
        <v>1.5685737164796345</v>
      </c>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v>2778059</v>
      </c>
      <c r="G10" s="245">
        <v>3075916</v>
      </c>
      <c r="H10" s="125">
        <f t="shared" ref="H10:H12" si="1">IF(F10=0, "    ---- ", IF(ABS(ROUND(100/F10*G10-100,1))&lt;999,ROUND(100/F10*G10-100,1),IF(ROUND(100/F10*G10-100,1)&gt;999,999,-999)))</f>
        <v>10.7</v>
      </c>
      <c r="I10" s="117">
        <f>IFERROR(100/'Skjema total MA'!F10*G10,0)</f>
        <v>2.966615535655404</v>
      </c>
      <c r="J10" s="242">
        <f t="shared" si="0"/>
        <v>2778059</v>
      </c>
      <c r="K10" s="243">
        <f t="shared" si="0"/>
        <v>3075916</v>
      </c>
      <c r="L10" s="333">
        <f t="shared" ref="L10:L12" si="2">IF(J10=0, "    ---- ", IF(ABS(ROUND(100/J10*K10-100,1))&lt;999,ROUND(100/J10*K10-100,1),IF(ROUND(100/J10*K10-100,1)&gt;999,999,-999)))</f>
        <v>10.7</v>
      </c>
      <c r="M10" s="8">
        <f>IFERROR(100/'Skjema total MA'!I10*K10,0)</f>
        <v>2.6463439671565028</v>
      </c>
    </row>
    <row r="11" spans="1:14" s="34" customFormat="1" ht="15.75" x14ac:dyDescent="0.2">
      <c r="A11" s="10" t="s">
        <v>323</v>
      </c>
      <c r="B11" s="244"/>
      <c r="C11" s="245"/>
      <c r="D11" s="125"/>
      <c r="E11" s="8"/>
      <c r="F11" s="244">
        <v>58511</v>
      </c>
      <c r="G11" s="245">
        <v>51494</v>
      </c>
      <c r="H11" s="125">
        <f t="shared" si="1"/>
        <v>-12</v>
      </c>
      <c r="I11" s="117">
        <f>IFERROR(100/'Skjema total MA'!F11*G11,0)</f>
        <v>10.455342676990263</v>
      </c>
      <c r="J11" s="242">
        <f t="shared" si="0"/>
        <v>58511</v>
      </c>
      <c r="K11" s="243">
        <f t="shared" si="0"/>
        <v>51494</v>
      </c>
      <c r="L11" s="333">
        <f t="shared" si="2"/>
        <v>-12</v>
      </c>
      <c r="M11" s="8">
        <f>IFERROR(100/'Skjema total MA'!I11*K11,0)</f>
        <v>10.44827742018275</v>
      </c>
      <c r="N11" s="106"/>
    </row>
    <row r="12" spans="1:14" s="34" customFormat="1" ht="15.75" x14ac:dyDescent="0.2">
      <c r="A12" s="32" t="s">
        <v>324</v>
      </c>
      <c r="B12" s="246"/>
      <c r="C12" s="247"/>
      <c r="D12" s="123"/>
      <c r="E12" s="29"/>
      <c r="F12" s="246">
        <v>7698</v>
      </c>
      <c r="G12" s="247">
        <v>8482</v>
      </c>
      <c r="H12" s="123">
        <f t="shared" si="1"/>
        <v>10.199999999999999</v>
      </c>
      <c r="I12" s="123">
        <f>IFERROR(100/'Skjema total MA'!F12*G12,0)</f>
        <v>1.7264351486869798</v>
      </c>
      <c r="J12" s="248">
        <f t="shared" si="0"/>
        <v>7698</v>
      </c>
      <c r="K12" s="249">
        <f t="shared" si="0"/>
        <v>8482</v>
      </c>
      <c r="L12" s="334">
        <f t="shared" si="2"/>
        <v>10.199999999999999</v>
      </c>
      <c r="M12" s="29">
        <f>IFERROR(100/'Skjema total MA'!I12*K12,0)</f>
        <v>1.7252349038941497</v>
      </c>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485281</v>
      </c>
      <c r="C22" s="244">
        <v>558615</v>
      </c>
      <c r="D22" s="277">
        <f t="shared" ref="D22:D30" si="3">IF(B22=0, "    ---- ", IF(ABS(ROUND(100/B22*C22-100,1))&lt;999,ROUND(100/B22*C22-100,1),IF(ROUND(100/B22*C22-100,1)&gt;999,999,-999)))</f>
        <v>15.1</v>
      </c>
      <c r="E22" s="8">
        <f>IFERROR(100/'Skjema total MA'!C22*C22,0)</f>
        <v>26.460645156946583</v>
      </c>
      <c r="F22" s="252">
        <v>49323</v>
      </c>
      <c r="G22" s="252">
        <v>54960</v>
      </c>
      <c r="H22" s="277">
        <f t="shared" ref="H22:H35" si="4">IF(F22=0, "    ---- ", IF(ABS(ROUND(100/F22*G22-100,1))&lt;999,ROUND(100/F22*G22-100,1),IF(ROUND(100/F22*G22-100,1)&gt;999,999,-999)))</f>
        <v>11.4</v>
      </c>
      <c r="I22" s="8">
        <f>IFERROR(100/'Skjema total MA'!F22*G22,0)</f>
        <v>6.8688034852566231</v>
      </c>
      <c r="J22" s="250">
        <f t="shared" ref="J22:K35" si="5">SUM(B22,F22)</f>
        <v>534604</v>
      </c>
      <c r="K22" s="250">
        <f t="shared" si="5"/>
        <v>613575</v>
      </c>
      <c r="L22" s="332">
        <f t="shared" ref="L22:L35" si="6">IF(J22=0, "    ---- ", IF(ABS(ROUND(100/J22*K22-100,1))&lt;999,ROUND(100/J22*K22-100,1),IF(ROUND(100/J22*K22-100,1)&gt;999,999,-999)))</f>
        <v>14.8</v>
      </c>
      <c r="M22" s="20">
        <f>IFERROR(100/'Skjema total MA'!I22*K22,0)</f>
        <v>21.075957141321744</v>
      </c>
    </row>
    <row r="23" spans="1:13" ht="15.75" x14ac:dyDescent="0.2">
      <c r="A23" s="372" t="s">
        <v>325</v>
      </c>
      <c r="B23" s="220">
        <v>485281</v>
      </c>
      <c r="C23" s="220">
        <v>558615</v>
      </c>
      <c r="D23" s="121">
        <f t="shared" si="3"/>
        <v>15.1</v>
      </c>
      <c r="E23" s="8">
        <f>IFERROR(100/'Skjema total MA'!C23*C23,0)</f>
        <v>42.363378936119148</v>
      </c>
      <c r="F23" s="228"/>
      <c r="G23" s="228"/>
      <c r="H23" s="121"/>
      <c r="I23" s="325"/>
      <c r="J23" s="228">
        <f t="shared" ref="J23:J26" si="7">SUM(B23,F23)</f>
        <v>485281</v>
      </c>
      <c r="K23" s="228">
        <f t="shared" ref="K23:K26" si="8">SUM(C23,G23)</f>
        <v>558615</v>
      </c>
      <c r="L23" s="121">
        <f t="shared" si="6"/>
        <v>15.1</v>
      </c>
      <c r="M23" s="19">
        <f>IFERROR(100/'Skjema total MA'!I23*K23,0)</f>
        <v>41.146383416584669</v>
      </c>
    </row>
    <row r="24" spans="1:13" ht="15.75" x14ac:dyDescent="0.2">
      <c r="A24" s="372" t="s">
        <v>326</v>
      </c>
      <c r="B24" s="220"/>
      <c r="C24" s="220"/>
      <c r="D24" s="121"/>
      <c r="E24" s="8"/>
      <c r="F24" s="228">
        <v>18</v>
      </c>
      <c r="G24" s="228">
        <v>0</v>
      </c>
      <c r="H24" s="121">
        <f t="shared" si="4"/>
        <v>-100</v>
      </c>
      <c r="I24" s="325">
        <f>IFERROR(100/'Skjema total MA'!F24*G24,0)</f>
        <v>0</v>
      </c>
      <c r="J24" s="228">
        <f t="shared" si="7"/>
        <v>18</v>
      </c>
      <c r="K24" s="228">
        <f t="shared" si="8"/>
        <v>0</v>
      </c>
      <c r="L24" s="121">
        <f t="shared" si="6"/>
        <v>-100</v>
      </c>
      <c r="M24" s="19">
        <f>IFERROR(100/'Skjema total MA'!I24*K24,0)</f>
        <v>0</v>
      </c>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v>49305</v>
      </c>
      <c r="G26" s="228">
        <v>54960</v>
      </c>
      <c r="H26" s="121">
        <f t="shared" si="4"/>
        <v>11.5</v>
      </c>
      <c r="I26" s="325">
        <f>IFERROR(100/'Skjema total MA'!F26*G26,0)</f>
        <v>7.3286382944946062</v>
      </c>
      <c r="J26" s="228">
        <f t="shared" si="7"/>
        <v>49305</v>
      </c>
      <c r="K26" s="228">
        <f t="shared" si="8"/>
        <v>54960</v>
      </c>
      <c r="L26" s="121">
        <f t="shared" si="6"/>
        <v>11.5</v>
      </c>
      <c r="M26" s="19">
        <f>IFERROR(100/'Skjema total MA'!I26*K26,0)</f>
        <v>7.3286382944946062</v>
      </c>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485281</v>
      </c>
      <c r="C28" s="226">
        <v>558615</v>
      </c>
      <c r="D28" s="121">
        <f t="shared" si="3"/>
        <v>15.1</v>
      </c>
      <c r="E28" s="8">
        <f>IFERROR(100/'Skjema total MA'!C28*C28,0)</f>
        <v>21.312790344939366</v>
      </c>
      <c r="F28" s="137"/>
      <c r="G28" s="137"/>
      <c r="H28" s="121"/>
      <c r="I28" s="22"/>
      <c r="J28" s="35">
        <f t="shared" si="5"/>
        <v>485281</v>
      </c>
      <c r="K28" s="35">
        <f t="shared" si="5"/>
        <v>558615</v>
      </c>
      <c r="L28" s="198">
        <f t="shared" si="6"/>
        <v>15.1</v>
      </c>
      <c r="M28" s="19">
        <f>IFERROR(100/'Skjema total MA'!I28*K28,0)</f>
        <v>21.312790344939366</v>
      </c>
    </row>
    <row r="29" spans="1:13" ht="15.75" x14ac:dyDescent="0.2">
      <c r="A29" s="10" t="s">
        <v>322</v>
      </c>
      <c r="B29" s="180">
        <v>4264549</v>
      </c>
      <c r="C29" s="180">
        <v>4941179</v>
      </c>
      <c r="D29" s="125">
        <f t="shared" si="3"/>
        <v>15.9</v>
      </c>
      <c r="E29" s="8">
        <f>IFERROR(100/'Skjema total MA'!C29*C29,0)</f>
        <v>11.22089956990375</v>
      </c>
      <c r="F29" s="242">
        <v>2518794</v>
      </c>
      <c r="G29" s="242">
        <v>2610119</v>
      </c>
      <c r="H29" s="125">
        <f t="shared" si="4"/>
        <v>3.6</v>
      </c>
      <c r="I29" s="8">
        <f>IFERROR(100/'Skjema total MA'!F29*G29,0)</f>
        <v>8.4464571590020032</v>
      </c>
      <c r="J29" s="180">
        <f t="shared" si="5"/>
        <v>6783343</v>
      </c>
      <c r="K29" s="180">
        <f t="shared" si="5"/>
        <v>7551298</v>
      </c>
      <c r="L29" s="333">
        <f t="shared" si="6"/>
        <v>11.3</v>
      </c>
      <c r="M29" s="20">
        <f>IFERROR(100/'Skjema total MA'!I29*K29,0)</f>
        <v>10.076803202594878</v>
      </c>
    </row>
    <row r="30" spans="1:13" ht="15.75" x14ac:dyDescent="0.2">
      <c r="A30" s="372" t="s">
        <v>325</v>
      </c>
      <c r="B30" s="220">
        <v>4264549</v>
      </c>
      <c r="C30" s="220">
        <v>4941179</v>
      </c>
      <c r="D30" s="121">
        <f t="shared" si="3"/>
        <v>15.9</v>
      </c>
      <c r="E30" s="8">
        <f>IFERROR(100/'Skjema total MA'!C30*C30,0)</f>
        <v>25.995890054055419</v>
      </c>
      <c r="F30" s="228">
        <v>18185</v>
      </c>
      <c r="G30" s="228">
        <v>16900</v>
      </c>
      <c r="H30" s="121">
        <f t="shared" si="4"/>
        <v>-7.1</v>
      </c>
      <c r="I30" s="325">
        <f>IFERROR(100/'Skjema total MA'!F30*G30,0)</f>
        <v>0.45834874421783361</v>
      </c>
      <c r="J30" s="228">
        <f t="shared" ref="J30:J33" si="9">SUM(B30,F30)</f>
        <v>4282734</v>
      </c>
      <c r="K30" s="228">
        <f t="shared" ref="K30:K33" si="10">SUM(C30,G30)</f>
        <v>4958079</v>
      </c>
      <c r="L30" s="121">
        <f t="shared" si="6"/>
        <v>15.8</v>
      </c>
      <c r="M30" s="19">
        <f>IFERROR(100/'Skjema total MA'!I30*K30,0)</f>
        <v>21.846870087913821</v>
      </c>
    </row>
    <row r="31" spans="1:13" ht="15.75" x14ac:dyDescent="0.2">
      <c r="A31" s="372" t="s">
        <v>326</v>
      </c>
      <c r="B31" s="220"/>
      <c r="C31" s="220"/>
      <c r="D31" s="121"/>
      <c r="E31" s="8"/>
      <c r="F31" s="228">
        <v>1150553</v>
      </c>
      <c r="G31" s="228">
        <v>1071723</v>
      </c>
      <c r="H31" s="121">
        <f t="shared" si="4"/>
        <v>-6.9</v>
      </c>
      <c r="I31" s="325">
        <f>IFERROR(100/'Skjema total MA'!F31*G31,0)</f>
        <v>14.592415107541838</v>
      </c>
      <c r="J31" s="228">
        <f t="shared" si="9"/>
        <v>1150553</v>
      </c>
      <c r="K31" s="228">
        <f t="shared" si="10"/>
        <v>1071723</v>
      </c>
      <c r="L31" s="121">
        <f t="shared" si="6"/>
        <v>-6.9</v>
      </c>
      <c r="M31" s="19">
        <f>IFERROR(100/'Skjema total MA'!I31*K31,0)</f>
        <v>3.617432006225306</v>
      </c>
    </row>
    <row r="32" spans="1:13" ht="15.75" x14ac:dyDescent="0.2">
      <c r="A32" s="372" t="s">
        <v>327</v>
      </c>
      <c r="B32" s="220"/>
      <c r="C32" s="220"/>
      <c r="D32" s="121"/>
      <c r="E32" s="8"/>
      <c r="F32" s="228">
        <v>122919</v>
      </c>
      <c r="G32" s="228">
        <v>123093</v>
      </c>
      <c r="H32" s="121">
        <f t="shared" si="4"/>
        <v>0.1</v>
      </c>
      <c r="I32" s="325">
        <f>IFERROR(100/'Skjema total MA'!F32*G32,0)</f>
        <v>1.7036461631889819</v>
      </c>
      <c r="J32" s="228">
        <f t="shared" si="9"/>
        <v>122919</v>
      </c>
      <c r="K32" s="228">
        <f t="shared" si="10"/>
        <v>123093</v>
      </c>
      <c r="L32" s="121">
        <f t="shared" si="6"/>
        <v>0.1</v>
      </c>
      <c r="M32" s="19">
        <f>IFERROR(100/'Skjema total MA'!I32*K32,0)</f>
        <v>1.2559691342885311</v>
      </c>
    </row>
    <row r="33" spans="1:13" ht="15.75" x14ac:dyDescent="0.2">
      <c r="A33" s="372" t="s">
        <v>328</v>
      </c>
      <c r="B33" s="220"/>
      <c r="C33" s="220"/>
      <c r="D33" s="121"/>
      <c r="E33" s="8"/>
      <c r="F33" s="228">
        <v>1227137</v>
      </c>
      <c r="G33" s="228">
        <v>1398403</v>
      </c>
      <c r="H33" s="121">
        <f t="shared" si="4"/>
        <v>14</v>
      </c>
      <c r="I33" s="325">
        <f>IFERROR(100/'Skjema total MA'!F33*G33,0)</f>
        <v>11.058819732311953</v>
      </c>
      <c r="J33" s="228">
        <f t="shared" si="9"/>
        <v>1227137</v>
      </c>
      <c r="K33" s="228">
        <f t="shared" si="10"/>
        <v>1398403</v>
      </c>
      <c r="L33" s="121">
        <f t="shared" si="6"/>
        <v>14</v>
      </c>
      <c r="M33" s="19">
        <f>IFERROR(100/'Skjema total MA'!I33*K33,0)</f>
        <v>11.058819732311953</v>
      </c>
    </row>
    <row r="34" spans="1:13" ht="15.75" x14ac:dyDescent="0.2">
      <c r="A34" s="10" t="s">
        <v>323</v>
      </c>
      <c r="B34" s="180"/>
      <c r="C34" s="243"/>
      <c r="D34" s="125"/>
      <c r="E34" s="8"/>
      <c r="F34" s="242">
        <v>29629</v>
      </c>
      <c r="G34" s="243">
        <v>24765</v>
      </c>
      <c r="H34" s="125">
        <f t="shared" si="4"/>
        <v>-16.399999999999999</v>
      </c>
      <c r="I34" s="8">
        <f>IFERROR(100/'Skjema total MA'!F34*G34,0)</f>
        <v>-12.666407179234319</v>
      </c>
      <c r="J34" s="180">
        <f t="shared" si="5"/>
        <v>29629</v>
      </c>
      <c r="K34" s="180">
        <f t="shared" si="5"/>
        <v>24765</v>
      </c>
      <c r="L34" s="333">
        <f t="shared" si="6"/>
        <v>-16.399999999999999</v>
      </c>
      <c r="M34" s="20">
        <f>IFERROR(100/'Skjema total MA'!I34*K34,0)</f>
        <v>-14.462074016335956</v>
      </c>
    </row>
    <row r="35" spans="1:13" ht="15.75" x14ac:dyDescent="0.2">
      <c r="A35" s="10" t="s">
        <v>324</v>
      </c>
      <c r="B35" s="180"/>
      <c r="C35" s="243"/>
      <c r="D35" s="125"/>
      <c r="E35" s="8"/>
      <c r="F35" s="242">
        <v>22687</v>
      </c>
      <c r="G35" s="243">
        <v>26292</v>
      </c>
      <c r="H35" s="125">
        <f t="shared" si="4"/>
        <v>15.9</v>
      </c>
      <c r="I35" s="8">
        <f>IFERROR(100/'Skjema total MA'!F35*G35,0)</f>
        <v>14.428693419456653</v>
      </c>
      <c r="J35" s="180">
        <f t="shared" si="5"/>
        <v>22687</v>
      </c>
      <c r="K35" s="180">
        <f t="shared" si="5"/>
        <v>26292</v>
      </c>
      <c r="L35" s="333">
        <f t="shared" si="6"/>
        <v>15.9</v>
      </c>
      <c r="M35" s="20">
        <f>IFERROR(100/'Skjema total MA'!I35*K35,0)</f>
        <v>-16.003299886766882</v>
      </c>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c r="C47" s="245"/>
      <c r="D47" s="332"/>
      <c r="E47" s="8"/>
      <c r="F47" s="108"/>
      <c r="G47" s="26"/>
      <c r="H47" s="116"/>
      <c r="I47" s="116"/>
      <c r="J47" s="30"/>
      <c r="K47" s="30"/>
      <c r="L47" s="116"/>
      <c r="M47" s="116"/>
    </row>
    <row r="48" spans="1:13" ht="15.75" x14ac:dyDescent="0.2">
      <c r="A48" s="17" t="s">
        <v>333</v>
      </c>
      <c r="B48" s="220"/>
      <c r="C48" s="221"/>
      <c r="D48" s="198"/>
      <c r="E48" s="22"/>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v>319670</v>
      </c>
      <c r="C66" s="280">
        <v>364128</v>
      </c>
      <c r="D66" s="277">
        <f t="shared" ref="D66:D111" si="11">IF(B66=0, "    ---- ", IF(ABS(ROUND(100/B66*C66-100,1))&lt;999,ROUND(100/B66*C66-100,1),IF(ROUND(100/B66*C66-100,1)&gt;999,999,-999)))</f>
        <v>13.9</v>
      </c>
      <c r="E66" s="8">
        <f>IFERROR(100/'Skjema total MA'!C66*C66,0)</f>
        <v>4.8479359504398642</v>
      </c>
      <c r="F66" s="279">
        <v>4599137</v>
      </c>
      <c r="G66" s="279">
        <v>5083827</v>
      </c>
      <c r="H66" s="277">
        <f t="shared" ref="H66:H111" si="12">IF(F66=0, "    ---- ", IF(ABS(ROUND(100/F66*G66-100,1))&lt;999,ROUND(100/F66*G66-100,1),IF(ROUND(100/F66*G66-100,1)&gt;999,999,-999)))</f>
        <v>10.5</v>
      </c>
      <c r="I66" s="8">
        <f>IFERROR(100/'Skjema total MA'!F66*G66,0)</f>
        <v>11.633393631934178</v>
      </c>
      <c r="J66" s="243">
        <f t="shared" ref="J66:K86" si="13">SUM(B66,F66)</f>
        <v>4918807</v>
      </c>
      <c r="K66" s="250">
        <f t="shared" si="13"/>
        <v>5447955</v>
      </c>
      <c r="L66" s="333">
        <f t="shared" ref="L66:L111" si="14">IF(J66=0, "    ---- ", IF(ABS(ROUND(100/J66*K66-100,1))&lt;999,ROUND(100/J66*K66-100,1),IF(ROUND(100/J66*K66-100,1)&gt;999,999,-999)))</f>
        <v>10.8</v>
      </c>
      <c r="M66" s="8">
        <f>IFERROR(100/'Skjema total MA'!I66*K66,0)</f>
        <v>10.638192876463446</v>
      </c>
    </row>
    <row r="67" spans="1:13" x14ac:dyDescent="0.2">
      <c r="A67" s="38" t="s">
        <v>9</v>
      </c>
      <c r="B67" s="35">
        <v>319670</v>
      </c>
      <c r="C67" s="108">
        <v>364128</v>
      </c>
      <c r="D67" s="121">
        <f t="shared" si="11"/>
        <v>13.9</v>
      </c>
      <c r="E67" s="22">
        <f>IFERROR(100/'Skjema total MA'!C67*C67,0)</f>
        <v>9.0272755505943412</v>
      </c>
      <c r="F67" s="178"/>
      <c r="G67" s="108"/>
      <c r="H67" s="121"/>
      <c r="I67" s="22"/>
      <c r="J67" s="226">
        <f t="shared" si="13"/>
        <v>319670</v>
      </c>
      <c r="K67" s="35">
        <f t="shared" si="13"/>
        <v>364128</v>
      </c>
      <c r="L67" s="198">
        <f t="shared" si="14"/>
        <v>13.9</v>
      </c>
      <c r="M67" s="22">
        <f>IFERROR(100/'Skjema total MA'!I67*K67,0)</f>
        <v>9.0272755505943412</v>
      </c>
    </row>
    <row r="68" spans="1:13" x14ac:dyDescent="0.2">
      <c r="A68" s="17" t="s">
        <v>10</v>
      </c>
      <c r="B68" s="229"/>
      <c r="C68" s="230"/>
      <c r="D68" s="121"/>
      <c r="E68" s="22"/>
      <c r="F68" s="229">
        <v>4599137</v>
      </c>
      <c r="G68" s="229">
        <v>5083827</v>
      </c>
      <c r="H68" s="121">
        <f t="shared" si="12"/>
        <v>10.5</v>
      </c>
      <c r="I68" s="22">
        <f>IFERROR(100/'Skjema total MA'!F68*G68,0)</f>
        <v>12.087815478904663</v>
      </c>
      <c r="J68" s="226">
        <f t="shared" si="13"/>
        <v>4599137</v>
      </c>
      <c r="K68" s="35">
        <f t="shared" si="13"/>
        <v>5083827</v>
      </c>
      <c r="L68" s="198">
        <f t="shared" si="14"/>
        <v>10.5</v>
      </c>
      <c r="M68" s="22">
        <f>IFERROR(100/'Skjema total MA'!I68*K68,0)</f>
        <v>12.082361094772239</v>
      </c>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v>318525</v>
      </c>
      <c r="C77" s="178">
        <v>362782</v>
      </c>
      <c r="D77" s="121">
        <f t="shared" si="11"/>
        <v>13.9</v>
      </c>
      <c r="E77" s="22">
        <f>IFERROR(100/'Skjema total MA'!C77*C77,0)</f>
        <v>9.1594156198802885</v>
      </c>
      <c r="F77" s="178">
        <v>4599073</v>
      </c>
      <c r="G77" s="108">
        <v>5083826</v>
      </c>
      <c r="H77" s="121">
        <f t="shared" si="12"/>
        <v>10.5</v>
      </c>
      <c r="I77" s="22">
        <f>IFERROR(100/'Skjema total MA'!F77*G77,0)</f>
        <v>12.090787005366565</v>
      </c>
      <c r="J77" s="226">
        <f t="shared" si="13"/>
        <v>4917598</v>
      </c>
      <c r="K77" s="35">
        <f t="shared" si="13"/>
        <v>5446608</v>
      </c>
      <c r="L77" s="198">
        <f t="shared" si="14"/>
        <v>10.8</v>
      </c>
      <c r="M77" s="22">
        <f>IFERROR(100/'Skjema total MA'!I77*K77,0)</f>
        <v>11.83842918381475</v>
      </c>
    </row>
    <row r="78" spans="1:13" x14ac:dyDescent="0.2">
      <c r="A78" s="17" t="s">
        <v>9</v>
      </c>
      <c r="B78" s="178">
        <v>318525</v>
      </c>
      <c r="C78" s="108">
        <v>362782</v>
      </c>
      <c r="D78" s="121">
        <f t="shared" si="11"/>
        <v>13.9</v>
      </c>
      <c r="E78" s="22">
        <f>IFERROR(100/'Skjema total MA'!C78*C78,0)</f>
        <v>9.2035333823644407</v>
      </c>
      <c r="F78" s="178"/>
      <c r="G78" s="108"/>
      <c r="H78" s="121"/>
      <c r="I78" s="22"/>
      <c r="J78" s="226">
        <f t="shared" si="13"/>
        <v>318525</v>
      </c>
      <c r="K78" s="35">
        <f t="shared" si="13"/>
        <v>362782</v>
      </c>
      <c r="L78" s="198">
        <f t="shared" si="14"/>
        <v>13.9</v>
      </c>
      <c r="M78" s="22">
        <f>IFERROR(100/'Skjema total MA'!I78*K78,0)</f>
        <v>9.2035333823644407</v>
      </c>
    </row>
    <row r="79" spans="1:13" x14ac:dyDescent="0.2">
      <c r="A79" s="17" t="s">
        <v>366</v>
      </c>
      <c r="B79" s="229"/>
      <c r="C79" s="230"/>
      <c r="D79" s="121"/>
      <c r="E79" s="22"/>
      <c r="F79" s="229">
        <v>4599073</v>
      </c>
      <c r="G79" s="230">
        <v>5083826</v>
      </c>
      <c r="H79" s="121">
        <f t="shared" si="12"/>
        <v>10.5</v>
      </c>
      <c r="I79" s="22">
        <f>IFERROR(100/'Skjema total MA'!F79*G79,0)</f>
        <v>12.090787005366565</v>
      </c>
      <c r="J79" s="226">
        <f t="shared" si="13"/>
        <v>4599073</v>
      </c>
      <c r="K79" s="35">
        <f t="shared" si="13"/>
        <v>5083826</v>
      </c>
      <c r="L79" s="198">
        <f t="shared" si="14"/>
        <v>10.5</v>
      </c>
      <c r="M79" s="22">
        <f>IFERROR(100/'Skjema total MA'!I79*K79,0)</f>
        <v>12.085329938753564</v>
      </c>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v>1145</v>
      </c>
      <c r="C86" s="108">
        <v>1346</v>
      </c>
      <c r="D86" s="121">
        <f t="shared" si="11"/>
        <v>17.600000000000001</v>
      </c>
      <c r="E86" s="22">
        <f>IFERROR(100/'Skjema total MA'!C86*C86,0)</f>
        <v>1.4650575661499341</v>
      </c>
      <c r="F86" s="178">
        <v>64</v>
      </c>
      <c r="G86" s="108">
        <v>1</v>
      </c>
      <c r="H86" s="121">
        <f t="shared" si="12"/>
        <v>-98.4</v>
      </c>
      <c r="I86" s="22">
        <f>IFERROR(100/'Skjema total MA'!F86*G86,0)</f>
        <v>9.6668428932126082E-3</v>
      </c>
      <c r="J86" s="226">
        <f t="shared" si="13"/>
        <v>1209</v>
      </c>
      <c r="K86" s="35">
        <f t="shared" si="13"/>
        <v>1347</v>
      </c>
      <c r="L86" s="198">
        <f t="shared" si="14"/>
        <v>11.4</v>
      </c>
      <c r="M86" s="22">
        <f>IFERROR(100/'Skjema total MA'!I86*K86,0)</f>
        <v>1.3177697325451811</v>
      </c>
    </row>
    <row r="87" spans="1:13" ht="15.75" x14ac:dyDescent="0.2">
      <c r="A87" s="10" t="s">
        <v>322</v>
      </c>
      <c r="B87" s="280">
        <v>6301049</v>
      </c>
      <c r="C87" s="280">
        <v>6749493</v>
      </c>
      <c r="D87" s="125">
        <f t="shared" si="11"/>
        <v>7.1</v>
      </c>
      <c r="E87" s="8">
        <f>IFERROR(100/'Skjema total MA'!C87*C87,0)</f>
        <v>1.6316467509685879</v>
      </c>
      <c r="F87" s="279">
        <v>68108198</v>
      </c>
      <c r="G87" s="279">
        <v>82132880</v>
      </c>
      <c r="H87" s="125">
        <f t="shared" si="12"/>
        <v>20.6</v>
      </c>
      <c r="I87" s="8">
        <f>IFERROR(100/'Skjema total MA'!F87*G87,0)</f>
        <v>10.87766128277104</v>
      </c>
      <c r="J87" s="243">
        <f t="shared" ref="J87:K111" si="15">SUM(B87,F87)</f>
        <v>74409247</v>
      </c>
      <c r="K87" s="180">
        <f t="shared" si="15"/>
        <v>88882373</v>
      </c>
      <c r="L87" s="333">
        <f t="shared" si="14"/>
        <v>19.5</v>
      </c>
      <c r="M87" s="8">
        <f>IFERROR(100/'Skjema total MA'!I87*K87,0)</f>
        <v>7.6050942972387707</v>
      </c>
    </row>
    <row r="88" spans="1:13" x14ac:dyDescent="0.2">
      <c r="A88" s="17" t="s">
        <v>9</v>
      </c>
      <c r="B88" s="178">
        <v>6301049</v>
      </c>
      <c r="C88" s="108">
        <v>6749493</v>
      </c>
      <c r="D88" s="121">
        <f t="shared" si="11"/>
        <v>7.1</v>
      </c>
      <c r="E88" s="22">
        <f>IFERROR(100/'Skjema total MA'!C88*C88,0)</f>
        <v>1.7415254694289093</v>
      </c>
      <c r="F88" s="178"/>
      <c r="G88" s="108"/>
      <c r="H88" s="121"/>
      <c r="I88" s="22"/>
      <c r="J88" s="226">
        <f t="shared" si="15"/>
        <v>6301049</v>
      </c>
      <c r="K88" s="35">
        <f t="shared" si="15"/>
        <v>6749493</v>
      </c>
      <c r="L88" s="198">
        <f t="shared" si="14"/>
        <v>7.1</v>
      </c>
      <c r="M88" s="22">
        <f>IFERROR(100/'Skjema total MA'!I88*K88,0)</f>
        <v>1.7415254694289093</v>
      </c>
    </row>
    <row r="89" spans="1:13" x14ac:dyDescent="0.2">
      <c r="A89" s="17" t="s">
        <v>10</v>
      </c>
      <c r="B89" s="178"/>
      <c r="C89" s="108"/>
      <c r="D89" s="121"/>
      <c r="E89" s="22"/>
      <c r="F89" s="178">
        <v>68108198</v>
      </c>
      <c r="G89" s="108">
        <v>82132880</v>
      </c>
      <c r="H89" s="121">
        <f t="shared" si="12"/>
        <v>20.6</v>
      </c>
      <c r="I89" s="22">
        <f>IFERROR(100/'Skjema total MA'!F89*G89,0)</f>
        <v>11.053389575253702</v>
      </c>
      <c r="J89" s="226">
        <f t="shared" si="15"/>
        <v>68108198</v>
      </c>
      <c r="K89" s="35">
        <f t="shared" si="15"/>
        <v>82132880</v>
      </c>
      <c r="L89" s="198">
        <f t="shared" si="14"/>
        <v>20.6</v>
      </c>
      <c r="M89" s="22">
        <f>IFERROR(100/'Skjema total MA'!I89*K89,0)</f>
        <v>10.992244175040986</v>
      </c>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v>6296025</v>
      </c>
      <c r="C98" s="178">
        <v>6742997</v>
      </c>
      <c r="D98" s="121">
        <f t="shared" si="11"/>
        <v>7.1</v>
      </c>
      <c r="E98" s="22">
        <f>IFERROR(100/'Skjema total MA'!C98*C98,0)</f>
        <v>1.7396883007904345</v>
      </c>
      <c r="F98" s="229">
        <v>68108051</v>
      </c>
      <c r="G98" s="229">
        <v>82132778</v>
      </c>
      <c r="H98" s="121">
        <f t="shared" si="12"/>
        <v>20.6</v>
      </c>
      <c r="I98" s="22">
        <f>IFERROR(100/'Skjema total MA'!F98*G98,0)</f>
        <v>11.059545918198451</v>
      </c>
      <c r="J98" s="226">
        <f t="shared" si="15"/>
        <v>74404076</v>
      </c>
      <c r="K98" s="35">
        <f t="shared" si="15"/>
        <v>88875775</v>
      </c>
      <c r="L98" s="198">
        <f t="shared" si="14"/>
        <v>19.5</v>
      </c>
      <c r="M98" s="22">
        <f>IFERROR(100/'Skjema total MA'!I98*K98,0)</f>
        <v>7.8634462039603177</v>
      </c>
    </row>
    <row r="99" spans="1:13" x14ac:dyDescent="0.2">
      <c r="A99" s="17" t="s">
        <v>9</v>
      </c>
      <c r="B99" s="229">
        <v>6296025</v>
      </c>
      <c r="C99" s="230">
        <v>6742997</v>
      </c>
      <c r="D99" s="121">
        <f t="shared" si="11"/>
        <v>7.1</v>
      </c>
      <c r="E99" s="22">
        <f>IFERROR(100/'Skjema total MA'!C99*C99,0)</f>
        <v>1.758440192133597</v>
      </c>
      <c r="F99" s="178"/>
      <c r="G99" s="108"/>
      <c r="H99" s="121"/>
      <c r="I99" s="22"/>
      <c r="J99" s="226">
        <f t="shared" si="15"/>
        <v>6296025</v>
      </c>
      <c r="K99" s="35">
        <f t="shared" si="15"/>
        <v>6742997</v>
      </c>
      <c r="L99" s="198">
        <f t="shared" si="14"/>
        <v>7.1</v>
      </c>
      <c r="M99" s="22">
        <f>IFERROR(100/'Skjema total MA'!I99*K99,0)</f>
        <v>1.758440192133597</v>
      </c>
    </row>
    <row r="100" spans="1:13" x14ac:dyDescent="0.2">
      <c r="A100" s="17" t="s">
        <v>366</v>
      </c>
      <c r="B100" s="229"/>
      <c r="C100" s="230"/>
      <c r="D100" s="121"/>
      <c r="E100" s="22"/>
      <c r="F100" s="178">
        <v>68108051</v>
      </c>
      <c r="G100" s="178">
        <v>82132778</v>
      </c>
      <c r="H100" s="121">
        <f t="shared" si="12"/>
        <v>20.6</v>
      </c>
      <c r="I100" s="22">
        <f>IFERROR(100/'Skjema total MA'!F100*G100,0)</f>
        <v>11.059545918198451</v>
      </c>
      <c r="J100" s="226">
        <f t="shared" si="15"/>
        <v>68108051</v>
      </c>
      <c r="K100" s="35">
        <f t="shared" si="15"/>
        <v>82132778</v>
      </c>
      <c r="L100" s="198">
        <f t="shared" si="14"/>
        <v>20.6</v>
      </c>
      <c r="M100" s="22">
        <f>IFERROR(100/'Skjema total MA'!I100*K100,0)</f>
        <v>10.998332500413166</v>
      </c>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v>5024</v>
      </c>
      <c r="C107" s="108">
        <v>6496</v>
      </c>
      <c r="D107" s="121">
        <f t="shared" si="11"/>
        <v>29.3</v>
      </c>
      <c r="E107" s="22">
        <f>IFERROR(100/'Skjema total MA'!C107*C107,0)</f>
        <v>0.15853795717967289</v>
      </c>
      <c r="F107" s="178">
        <v>147</v>
      </c>
      <c r="G107" s="108">
        <v>102</v>
      </c>
      <c r="H107" s="121">
        <f t="shared" si="12"/>
        <v>-30.6</v>
      </c>
      <c r="I107" s="22">
        <f>IFERROR(100/'Skjema total MA'!F107*G107,0)</f>
        <v>2.4605145250766246E-2</v>
      </c>
      <c r="J107" s="226">
        <f t="shared" si="15"/>
        <v>5171</v>
      </c>
      <c r="K107" s="35">
        <f t="shared" si="15"/>
        <v>6598</v>
      </c>
      <c r="L107" s="198">
        <f t="shared" si="14"/>
        <v>27.6</v>
      </c>
      <c r="M107" s="22">
        <f>IFERROR(100/'Skjema total MA'!I107*K107,0)</f>
        <v>0.14623262895854777</v>
      </c>
    </row>
    <row r="108" spans="1:13" ht="15.75" x14ac:dyDescent="0.2">
      <c r="A108" s="17" t="s">
        <v>341</v>
      </c>
      <c r="B108" s="178">
        <v>3977815</v>
      </c>
      <c r="C108" s="178">
        <v>3940041</v>
      </c>
      <c r="D108" s="121">
        <f t="shared" si="11"/>
        <v>-0.9</v>
      </c>
      <c r="E108" s="22">
        <f>IFERROR(100/'Skjema total MA'!C108*C108,0)</f>
        <v>1.186640395050957</v>
      </c>
      <c r="F108" s="178"/>
      <c r="G108" s="178"/>
      <c r="H108" s="121"/>
      <c r="I108" s="22"/>
      <c r="J108" s="226">
        <f t="shared" si="15"/>
        <v>3977815</v>
      </c>
      <c r="K108" s="35">
        <f t="shared" si="15"/>
        <v>3940041</v>
      </c>
      <c r="L108" s="198">
        <f t="shared" si="14"/>
        <v>-0.9</v>
      </c>
      <c r="M108" s="22">
        <f>IFERROR(100/'Skjema total MA'!I108*K108,0)</f>
        <v>1.1022319972606667</v>
      </c>
    </row>
    <row r="109" spans="1:13" ht="15.75" x14ac:dyDescent="0.2">
      <c r="A109" s="17" t="s">
        <v>374</v>
      </c>
      <c r="B109" s="178"/>
      <c r="C109" s="178"/>
      <c r="D109" s="121"/>
      <c r="E109" s="22"/>
      <c r="F109" s="178">
        <v>29551560</v>
      </c>
      <c r="G109" s="178">
        <v>36714105</v>
      </c>
      <c r="H109" s="121">
        <f t="shared" si="12"/>
        <v>24.2</v>
      </c>
      <c r="I109" s="22">
        <f>IFERROR(100/'Skjema total MA'!F109*G109,0)</f>
        <v>12.675238916641593</v>
      </c>
      <c r="J109" s="226">
        <f t="shared" si="15"/>
        <v>29551560</v>
      </c>
      <c r="K109" s="35">
        <f t="shared" si="15"/>
        <v>36714105</v>
      </c>
      <c r="L109" s="198">
        <f t="shared" si="14"/>
        <v>24.2</v>
      </c>
      <c r="M109" s="22">
        <f>IFERROR(100/'Skjema total MA'!I109*K109,0)</f>
        <v>12.560782801926246</v>
      </c>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v>102244</v>
      </c>
      <c r="C111" s="116">
        <v>188409</v>
      </c>
      <c r="D111" s="125">
        <f t="shared" si="11"/>
        <v>84.3</v>
      </c>
      <c r="E111" s="8">
        <f>IFERROR(100/'Skjema total MA'!C111*C111,0)</f>
        <v>9.7163100604985342</v>
      </c>
      <c r="F111" s="242">
        <v>7162918</v>
      </c>
      <c r="G111" s="116">
        <v>9950066</v>
      </c>
      <c r="H111" s="125">
        <f t="shared" si="12"/>
        <v>38.9</v>
      </c>
      <c r="I111" s="8">
        <f>IFERROR(100/'Skjema total MA'!F111*G111,0)</f>
        <v>19.080103390243842</v>
      </c>
      <c r="J111" s="243">
        <f t="shared" si="15"/>
        <v>7265162</v>
      </c>
      <c r="K111" s="180">
        <f t="shared" si="15"/>
        <v>10138475</v>
      </c>
      <c r="L111" s="333">
        <f t="shared" si="14"/>
        <v>39.5</v>
      </c>
      <c r="M111" s="8">
        <f>IFERROR(100/'Skjema total MA'!I111*K111,0)</f>
        <v>18.744403583826848</v>
      </c>
    </row>
    <row r="112" spans="1:13" x14ac:dyDescent="0.2">
      <c r="A112" s="17" t="s">
        <v>9</v>
      </c>
      <c r="B112" s="178">
        <v>102244</v>
      </c>
      <c r="C112" s="108">
        <v>188409</v>
      </c>
      <c r="D112" s="121">
        <f t="shared" ref="D112:D120" si="16">IF(B112=0, "    ---- ", IF(ABS(ROUND(100/B112*C112-100,1))&lt;999,ROUND(100/B112*C112-100,1),IF(ROUND(100/B112*C112-100,1)&gt;999,999,-999)))</f>
        <v>84.3</v>
      </c>
      <c r="E112" s="22">
        <f>IFERROR(100/'Skjema total MA'!C112*C112,0)</f>
        <v>10.550802530855663</v>
      </c>
      <c r="F112" s="178"/>
      <c r="G112" s="108"/>
      <c r="H112" s="121"/>
      <c r="I112" s="22"/>
      <c r="J112" s="226">
        <f t="shared" ref="J112:K125" si="17">SUM(B112,F112)</f>
        <v>102244</v>
      </c>
      <c r="K112" s="35">
        <f t="shared" si="17"/>
        <v>188409</v>
      </c>
      <c r="L112" s="198">
        <f t="shared" ref="L112:L125" si="18">IF(J112=0, "    ---- ", IF(ABS(ROUND(100/J112*K112-100,1))&lt;999,ROUND(100/J112*K112-100,1),IF(ROUND(100/J112*K112-100,1)&gt;999,999,-999)))</f>
        <v>84.3</v>
      </c>
      <c r="M112" s="22">
        <f>IFERROR(100/'Skjema total MA'!I112*K112,0)</f>
        <v>10.521832024950855</v>
      </c>
    </row>
    <row r="113" spans="1:13" x14ac:dyDescent="0.2">
      <c r="A113" s="17" t="s">
        <v>10</v>
      </c>
      <c r="B113" s="178"/>
      <c r="C113" s="108"/>
      <c r="D113" s="121"/>
      <c r="E113" s="22"/>
      <c r="F113" s="178">
        <v>7162918</v>
      </c>
      <c r="G113" s="108">
        <v>9950066</v>
      </c>
      <c r="H113" s="121">
        <f t="shared" ref="H113:H125" si="19">IF(F113=0, "    ---- ", IF(ABS(ROUND(100/F113*G113-100,1))&lt;999,ROUND(100/F113*G113-100,1),IF(ROUND(100/F113*G113-100,1)&gt;999,999,-999)))</f>
        <v>38.9</v>
      </c>
      <c r="I113" s="22">
        <f>IFERROR(100/'Skjema total MA'!F113*G113,0)</f>
        <v>19.081902498511479</v>
      </c>
      <c r="J113" s="226">
        <f t="shared" si="17"/>
        <v>7162918</v>
      </c>
      <c r="K113" s="35">
        <f t="shared" si="17"/>
        <v>9950066</v>
      </c>
      <c r="L113" s="198">
        <f t="shared" si="18"/>
        <v>38.9</v>
      </c>
      <c r="M113" s="22">
        <f>IFERROR(100/'Skjema total MA'!I113*K113,0)</f>
        <v>19.071167758114687</v>
      </c>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v>11662</v>
      </c>
      <c r="C116" s="178">
        <v>0</v>
      </c>
      <c r="D116" s="121">
        <f t="shared" si="16"/>
        <v>-100</v>
      </c>
      <c r="E116" s="22">
        <f>IFERROR(100/'Skjema total MA'!C116*C116,0)</f>
        <v>0</v>
      </c>
      <c r="F116" s="178"/>
      <c r="G116" s="178"/>
      <c r="H116" s="121"/>
      <c r="I116" s="22"/>
      <c r="J116" s="226">
        <f t="shared" si="17"/>
        <v>11662</v>
      </c>
      <c r="K116" s="35">
        <f t="shared" si="17"/>
        <v>0</v>
      </c>
      <c r="L116" s="198">
        <f t="shared" si="18"/>
        <v>-100</v>
      </c>
      <c r="M116" s="22">
        <f>IFERROR(100/'Skjema total MA'!I116*K116,0)</f>
        <v>0</v>
      </c>
    </row>
    <row r="117" spans="1:13" ht="15.75" x14ac:dyDescent="0.2">
      <c r="A117" s="17" t="s">
        <v>374</v>
      </c>
      <c r="B117" s="178"/>
      <c r="C117" s="178"/>
      <c r="D117" s="121"/>
      <c r="E117" s="22"/>
      <c r="F117" s="178">
        <v>3710167</v>
      </c>
      <c r="G117" s="178">
        <v>4126758</v>
      </c>
      <c r="H117" s="121">
        <f t="shared" si="19"/>
        <v>11.2</v>
      </c>
      <c r="I117" s="22">
        <f>IFERROR(100/'Skjema total MA'!F117*G117,0)</f>
        <v>13.089678444377117</v>
      </c>
      <c r="J117" s="226">
        <f t="shared" si="17"/>
        <v>3710167</v>
      </c>
      <c r="K117" s="35">
        <f t="shared" si="17"/>
        <v>4126758</v>
      </c>
      <c r="L117" s="198">
        <f t="shared" si="18"/>
        <v>11.2</v>
      </c>
      <c r="M117" s="22">
        <f>IFERROR(100/'Skjema total MA'!I117*K117,0)</f>
        <v>13.089678444377117</v>
      </c>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v>33924</v>
      </c>
      <c r="C119" s="116">
        <v>75612</v>
      </c>
      <c r="D119" s="125">
        <f t="shared" si="16"/>
        <v>122.9</v>
      </c>
      <c r="E119" s="8">
        <f>IFERROR(100/'Skjema total MA'!C119*C119,0)</f>
        <v>14.241695904216131</v>
      </c>
      <c r="F119" s="242">
        <v>5852756</v>
      </c>
      <c r="G119" s="116">
        <v>8767898</v>
      </c>
      <c r="H119" s="125">
        <f t="shared" si="19"/>
        <v>49.8</v>
      </c>
      <c r="I119" s="8">
        <f>IFERROR(100/'Skjema total MA'!F119*G119,0)</f>
        <v>16.043365649009388</v>
      </c>
      <c r="J119" s="243">
        <f t="shared" si="17"/>
        <v>5886680</v>
      </c>
      <c r="K119" s="180">
        <f t="shared" si="17"/>
        <v>8843510</v>
      </c>
      <c r="L119" s="333">
        <f t="shared" si="18"/>
        <v>50.2</v>
      </c>
      <c r="M119" s="8">
        <f>IFERROR(100/'Skjema total MA'!I119*K119,0)</f>
        <v>16.026031380461344</v>
      </c>
    </row>
    <row r="120" spans="1:13" x14ac:dyDescent="0.2">
      <c r="A120" s="17" t="s">
        <v>9</v>
      </c>
      <c r="B120" s="178">
        <v>33924</v>
      </c>
      <c r="C120" s="108">
        <v>75612</v>
      </c>
      <c r="D120" s="121">
        <f t="shared" si="16"/>
        <v>122.9</v>
      </c>
      <c r="E120" s="22">
        <f>IFERROR(100/'Skjema total MA'!C120*C120,0)</f>
        <v>44.854073775559122</v>
      </c>
      <c r="F120" s="178"/>
      <c r="G120" s="108"/>
      <c r="H120" s="121"/>
      <c r="I120" s="22"/>
      <c r="J120" s="226">
        <f t="shared" si="17"/>
        <v>33924</v>
      </c>
      <c r="K120" s="35">
        <f t="shared" si="17"/>
        <v>75612</v>
      </c>
      <c r="L120" s="198">
        <f t="shared" si="18"/>
        <v>122.9</v>
      </c>
      <c r="M120" s="22">
        <f>IFERROR(100/'Skjema total MA'!I120*K120,0)</f>
        <v>44.854073775559122</v>
      </c>
    </row>
    <row r="121" spans="1:13" x14ac:dyDescent="0.2">
      <c r="A121" s="17" t="s">
        <v>10</v>
      </c>
      <c r="B121" s="178"/>
      <c r="C121" s="108"/>
      <c r="D121" s="121"/>
      <c r="E121" s="22"/>
      <c r="F121" s="178">
        <v>5852756</v>
      </c>
      <c r="G121" s="108">
        <v>8767898</v>
      </c>
      <c r="H121" s="121">
        <f t="shared" si="19"/>
        <v>49.8</v>
      </c>
      <c r="I121" s="22">
        <f>IFERROR(100/'Skjema total MA'!F121*G121,0)</f>
        <v>16.043365649009388</v>
      </c>
      <c r="J121" s="226">
        <f t="shared" si="17"/>
        <v>5852756</v>
      </c>
      <c r="K121" s="35">
        <f t="shared" si="17"/>
        <v>8767898</v>
      </c>
      <c r="L121" s="198">
        <f t="shared" si="18"/>
        <v>49.8</v>
      </c>
      <c r="M121" s="22">
        <f>IFERROR(100/'Skjema total MA'!I121*K121,0)</f>
        <v>16.030747634025534</v>
      </c>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v>2561687</v>
      </c>
      <c r="G125" s="178">
        <v>2719777</v>
      </c>
      <c r="H125" s="121">
        <f t="shared" si="19"/>
        <v>6.2</v>
      </c>
      <c r="I125" s="22">
        <f>IFERROR(100/'Skjema total MA'!F125*G125,0)</f>
        <v>9.2062826011041192</v>
      </c>
      <c r="J125" s="226">
        <f t="shared" si="17"/>
        <v>2561687</v>
      </c>
      <c r="K125" s="35">
        <f t="shared" si="17"/>
        <v>2719777</v>
      </c>
      <c r="L125" s="198">
        <f t="shared" si="18"/>
        <v>6.2</v>
      </c>
      <c r="M125" s="22">
        <f>IFERROR(100/'Skjema total MA'!I125*K125,0)</f>
        <v>9.2057104642654384</v>
      </c>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63" priority="13">
      <formula>kvartal &lt; 4</formula>
    </cfRule>
  </conditionalFormatting>
  <conditionalFormatting sqref="A69:A74">
    <cfRule type="expression" dxfId="362" priority="11">
      <formula>kvartal &lt; 4</formula>
    </cfRule>
  </conditionalFormatting>
  <conditionalFormatting sqref="A80:A85">
    <cfRule type="expression" dxfId="361" priority="10">
      <formula>kvartal &lt; 4</formula>
    </cfRule>
  </conditionalFormatting>
  <conditionalFormatting sqref="A90:A95">
    <cfRule type="expression" dxfId="360" priority="7">
      <formula>kvartal &lt; 4</formula>
    </cfRule>
  </conditionalFormatting>
  <conditionalFormatting sqref="A101:A106">
    <cfRule type="expression" dxfId="359" priority="6">
      <formula>kvartal &lt; 4</formula>
    </cfRule>
  </conditionalFormatting>
  <conditionalFormatting sqref="A115:C115">
    <cfRule type="expression" dxfId="358" priority="5">
      <formula>kvartal &lt; 4</formula>
    </cfRule>
  </conditionalFormatting>
  <conditionalFormatting sqref="A123:C123">
    <cfRule type="expression" dxfId="357" priority="4">
      <formula>kvartal &lt; 4</formula>
    </cfRule>
  </conditionalFormatting>
  <conditionalFormatting sqref="F115:G115">
    <cfRule type="expression" dxfId="356" priority="58">
      <formula>kvartal &lt; 4</formula>
    </cfRule>
  </conditionalFormatting>
  <conditionalFormatting sqref="F123:G123">
    <cfRule type="expression" dxfId="355" priority="57">
      <formula>kvartal &lt; 4</formula>
    </cfRule>
  </conditionalFormatting>
  <conditionalFormatting sqref="J115:K115">
    <cfRule type="expression" dxfId="354" priority="33">
      <formula>kvartal &lt; 4</formula>
    </cfRule>
  </conditionalFormatting>
  <conditionalFormatting sqref="J123:K123">
    <cfRule type="expression" dxfId="353" priority="32">
      <formula>kvartal &lt; 4</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9"/>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120</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372468.26454692002</v>
      </c>
      <c r="C7" s="241">
        <v>413002.92871210299</v>
      </c>
      <c r="D7" s="277">
        <f>IF(B7=0, "    ---- ", IF(ABS(ROUND(100/B7*C7-100,1))&lt;999,ROUND(100/B7*C7-100,1),IF(ROUND(100/B7*C7-100,1)&gt;999,999,-999)))</f>
        <v>10.9</v>
      </c>
      <c r="E7" s="8">
        <f>IFERROR(100/'Skjema total MA'!C7*C7,0)</f>
        <v>9.0525682955365561</v>
      </c>
      <c r="F7" s="240"/>
      <c r="G7" s="241"/>
      <c r="H7" s="277"/>
      <c r="I7" s="117"/>
      <c r="J7" s="242">
        <f t="shared" ref="J7:K9" si="0">SUM(B7,F7)</f>
        <v>372468.26454692002</v>
      </c>
      <c r="K7" s="243">
        <f t="shared" si="0"/>
        <v>413002.92871210299</v>
      </c>
      <c r="L7" s="332">
        <f>IF(J7=0, "    ---- ", IF(ABS(ROUND(100/J7*K7-100,1))&lt;999,ROUND(100/J7*K7-100,1),IF(ROUND(100/J7*K7-100,1)&gt;999,999,-999)))</f>
        <v>10.9</v>
      </c>
      <c r="M7" s="8">
        <f>IFERROR(100/'Skjema total MA'!I7*K7,0)</f>
        <v>3.2443186038006657</v>
      </c>
    </row>
    <row r="8" spans="1:14" ht="15.75" x14ac:dyDescent="0.2">
      <c r="A8" s="17" t="s">
        <v>25</v>
      </c>
      <c r="B8" s="220">
        <v>288824.96857839602</v>
      </c>
      <c r="C8" s="221">
        <v>328199.56813756702</v>
      </c>
      <c r="D8" s="121">
        <f t="shared" ref="D8:D9" si="1">IF(B8=0, "    ---- ", IF(ABS(ROUND(100/B8*C8-100,1))&lt;999,ROUND(100/B8*C8-100,1),IF(ROUND(100/B8*C8-100,1)&gt;999,999,-999)))</f>
        <v>13.6</v>
      </c>
      <c r="E8" s="22">
        <f>IFERROR(100/'Skjema total MA'!C8*C8,0)</f>
        <v>10.682894281276154</v>
      </c>
      <c r="F8" s="224"/>
      <c r="G8" s="225"/>
      <c r="H8" s="121"/>
      <c r="I8" s="129"/>
      <c r="J8" s="178">
        <f t="shared" si="0"/>
        <v>288824.96857839602</v>
      </c>
      <c r="K8" s="226">
        <f t="shared" si="0"/>
        <v>328199.56813756702</v>
      </c>
      <c r="L8" s="121">
        <f t="shared" ref="L8:L9" si="2">IF(J8=0, "    ---- ", IF(ABS(ROUND(100/J8*K8-100,1))&lt;999,ROUND(100/J8*K8-100,1),IF(ROUND(100/J8*K8-100,1)&gt;999,999,-999)))</f>
        <v>13.6</v>
      </c>
      <c r="M8" s="22">
        <f>IFERROR(100/'Skjema total MA'!I8*K8,0)</f>
        <v>10.682894281276154</v>
      </c>
    </row>
    <row r="9" spans="1:14" ht="15.75" x14ac:dyDescent="0.2">
      <c r="A9" s="17" t="s">
        <v>24</v>
      </c>
      <c r="B9" s="220">
        <v>83643.2959685237</v>
      </c>
      <c r="C9" s="221">
        <v>84803.360574536404</v>
      </c>
      <c r="D9" s="121">
        <f t="shared" si="1"/>
        <v>1.4</v>
      </c>
      <c r="E9" s="22">
        <f>IFERROR(100/'Skjema total MA'!C9*C9,0)</f>
        <v>9.3814829950185068</v>
      </c>
      <c r="F9" s="224"/>
      <c r="G9" s="225"/>
      <c r="H9" s="121"/>
      <c r="I9" s="129"/>
      <c r="J9" s="178">
        <f t="shared" si="0"/>
        <v>83643.2959685237</v>
      </c>
      <c r="K9" s="226">
        <f t="shared" si="0"/>
        <v>84803.360574536404</v>
      </c>
      <c r="L9" s="121">
        <f t="shared" si="2"/>
        <v>1.4</v>
      </c>
      <c r="M9" s="22">
        <f>IFERROR(100/'Skjema total MA'!I9*K9,0)</f>
        <v>9.3814829950185068</v>
      </c>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249653.81125256</v>
      </c>
      <c r="C28" s="226">
        <v>318059.20314301702</v>
      </c>
      <c r="D28" s="121">
        <f t="shared" ref="D28" si="3">IF(B28=0, "    ---- ", IF(ABS(ROUND(100/B28*C28-100,1))&lt;999,ROUND(100/B28*C28-100,1),IF(ROUND(100/B28*C28-100,1)&gt;999,999,-999)))</f>
        <v>27.4</v>
      </c>
      <c r="E28" s="22">
        <f>IFERROR(100/'Skjema total MA'!C28*C28,0)</f>
        <v>12.134885590013875</v>
      </c>
      <c r="F28" s="137"/>
      <c r="G28" s="137"/>
      <c r="H28" s="121"/>
      <c r="I28" s="22"/>
      <c r="J28" s="35">
        <f t="shared" ref="J28:K28" si="4">SUM(B28,F28)</f>
        <v>249653.81125256</v>
      </c>
      <c r="K28" s="35">
        <f t="shared" si="4"/>
        <v>318059.20314301702</v>
      </c>
      <c r="L28" s="198">
        <f t="shared" ref="L28" si="5">IF(J28=0, "    ---- ", IF(ABS(ROUND(100/J28*K28-100,1))&lt;999,ROUND(100/J28*K28-100,1),IF(ROUND(100/J28*K28-100,1)&gt;999,999,-999)))</f>
        <v>27.4</v>
      </c>
      <c r="M28" s="19">
        <f>IFERROR(100/'Skjema total MA'!I28*K28,0)</f>
        <v>12.134885590013875</v>
      </c>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197524.53818</v>
      </c>
      <c r="C47" s="245">
        <v>228855.99209000001</v>
      </c>
      <c r="D47" s="332">
        <f t="shared" ref="D47:D57" si="6">IF(B47=0, "    ---- ", IF(ABS(ROUND(100/B47*C47-100,1))&lt;999,ROUND(100/B47*C47-100,1),IF(ROUND(100/B47*C47-100,1)&gt;999,999,-999)))</f>
        <v>15.9</v>
      </c>
      <c r="E47" s="8">
        <f>IFERROR(100/'Skjema total MA'!C47*C47,0)</f>
        <v>3.5926212284619616</v>
      </c>
      <c r="F47" s="108"/>
      <c r="G47" s="26"/>
      <c r="H47" s="116"/>
      <c r="I47" s="116"/>
      <c r="J47" s="30"/>
      <c r="K47" s="30"/>
      <c r="L47" s="116"/>
      <c r="M47" s="116"/>
    </row>
    <row r="48" spans="1:13" ht="15.75" x14ac:dyDescent="0.2">
      <c r="A48" s="17" t="s">
        <v>333</v>
      </c>
      <c r="B48" s="220">
        <v>197524.53818</v>
      </c>
      <c r="C48" s="221">
        <v>228855.99209000001</v>
      </c>
      <c r="D48" s="198">
        <f t="shared" si="6"/>
        <v>15.9</v>
      </c>
      <c r="E48" s="22">
        <f>IFERROR(100/'Skjema total MA'!C48*C48,0)</f>
        <v>6.2586071528767029</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v>6638.7526778481397</v>
      </c>
      <c r="C53" s="245">
        <v>774.91873999999996</v>
      </c>
      <c r="D53" s="333">
        <f t="shared" si="6"/>
        <v>-88.3</v>
      </c>
      <c r="E53" s="8">
        <f>IFERROR(100/'Skjema total MA'!C53*C53,0)</f>
        <v>0.25706099800102622</v>
      </c>
      <c r="F53" s="108"/>
      <c r="G53" s="26"/>
      <c r="H53" s="108"/>
      <c r="I53" s="108"/>
      <c r="J53" s="26"/>
      <c r="K53" s="26"/>
      <c r="L53" s="116"/>
      <c r="M53" s="116"/>
    </row>
    <row r="54" spans="1:13" ht="15.75" x14ac:dyDescent="0.2">
      <c r="A54" s="17" t="s">
        <v>333</v>
      </c>
      <c r="B54" s="220">
        <v>6638.7526778481397</v>
      </c>
      <c r="C54" s="221">
        <v>774.91873999999996</v>
      </c>
      <c r="D54" s="198">
        <f t="shared" si="6"/>
        <v>-88.3</v>
      </c>
      <c r="E54" s="22">
        <f>IFERROR(100/'Skjema total MA'!C54*C54,0)</f>
        <v>0.26315515429396119</v>
      </c>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v>6291.652</v>
      </c>
      <c r="C56" s="245">
        <v>500.63299999999998</v>
      </c>
      <c r="D56" s="333">
        <f t="shared" si="6"/>
        <v>-92</v>
      </c>
      <c r="E56" s="8">
        <f>IFERROR(100/'Skjema total MA'!C56*C56,0)</f>
        <v>0.53297101074738762</v>
      </c>
      <c r="F56" s="108"/>
      <c r="G56" s="26"/>
      <c r="H56" s="108"/>
      <c r="I56" s="108"/>
      <c r="J56" s="26"/>
      <c r="K56" s="26"/>
      <c r="L56" s="116"/>
      <c r="M56" s="116"/>
    </row>
    <row r="57" spans="1:13" ht="15.75" x14ac:dyDescent="0.2">
      <c r="A57" s="17" t="s">
        <v>333</v>
      </c>
      <c r="B57" s="220">
        <v>6291.652</v>
      </c>
      <c r="C57" s="221">
        <v>500.63299999999998</v>
      </c>
      <c r="D57" s="198">
        <f t="shared" si="6"/>
        <v>-92</v>
      </c>
      <c r="E57" s="22">
        <f>IFERROR(100/'Skjema total MA'!C57*C57,0)</f>
        <v>0.53297101074738762</v>
      </c>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52" priority="12">
      <formula>kvartal &lt; 4</formula>
    </cfRule>
  </conditionalFormatting>
  <conditionalFormatting sqref="A69:A74">
    <cfRule type="expression" dxfId="351" priority="10">
      <formula>kvartal &lt; 4</formula>
    </cfRule>
  </conditionalFormatting>
  <conditionalFormatting sqref="A80:A85">
    <cfRule type="expression" dxfId="350" priority="9">
      <formula>kvartal &lt; 4</formula>
    </cfRule>
  </conditionalFormatting>
  <conditionalFormatting sqref="A90:A95">
    <cfRule type="expression" dxfId="349" priority="6">
      <formula>kvartal &lt; 4</formula>
    </cfRule>
  </conditionalFormatting>
  <conditionalFormatting sqref="A101:A106">
    <cfRule type="expression" dxfId="348" priority="5">
      <formula>kvartal &lt; 4</formula>
    </cfRule>
  </conditionalFormatting>
  <conditionalFormatting sqref="A115:C115">
    <cfRule type="expression" dxfId="347" priority="4">
      <formula>kvartal &lt; 4</formula>
    </cfRule>
  </conditionalFormatting>
  <conditionalFormatting sqref="A123:C123">
    <cfRule type="expression" dxfId="346" priority="3">
      <formula>kvartal &lt; 4</formula>
    </cfRule>
  </conditionalFormatting>
  <conditionalFormatting sqref="F115:G115">
    <cfRule type="expression" dxfId="345" priority="57">
      <formula>kvartal &lt; 4</formula>
    </cfRule>
  </conditionalFormatting>
  <conditionalFormatting sqref="F123:G123">
    <cfRule type="expression" dxfId="344" priority="56">
      <formula>kvartal &lt; 4</formula>
    </cfRule>
  </conditionalFormatting>
  <conditionalFormatting sqref="J115:K115">
    <cfRule type="expression" dxfId="343" priority="32">
      <formula>kvartal &lt; 4</formula>
    </cfRule>
  </conditionalFormatting>
  <conditionalFormatting sqref="J123:K123">
    <cfRule type="expression" dxfId="342" priority="31">
      <formula>kvartal &lt; 4</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61</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508"/>
      <c r="H45" s="127"/>
      <c r="I45" s="127"/>
      <c r="J45" s="128"/>
      <c r="K45" s="128"/>
      <c r="L45" s="127"/>
      <c r="M45" s="127"/>
    </row>
    <row r="46" spans="1:13" x14ac:dyDescent="0.2">
      <c r="A46" s="538"/>
      <c r="B46" s="188"/>
      <c r="C46" s="188"/>
      <c r="D46" s="189" t="s">
        <v>4</v>
      </c>
      <c r="E46" s="114" t="s">
        <v>30</v>
      </c>
      <c r="F46" s="127"/>
      <c r="G46" s="509"/>
      <c r="H46" s="127"/>
      <c r="I46" s="127"/>
      <c r="J46" s="127"/>
      <c r="K46" s="127"/>
      <c r="L46" s="127"/>
      <c r="M46" s="127"/>
    </row>
    <row r="47" spans="1:13" ht="15.75" x14ac:dyDescent="0.2">
      <c r="A47" s="11" t="s">
        <v>23</v>
      </c>
      <c r="B47" s="244"/>
      <c r="C47" s="245">
        <v>-76.765289999999993</v>
      </c>
      <c r="D47" s="332" t="str">
        <f t="shared" ref="D47" si="0">IF(B47=0, "    ---- ", IF(ABS(ROUND(100/B47*C47-100,1))&lt;999,ROUND(100/B47*C47-100,1),IF(ROUND(100/B47*C47-100,1)&gt;999,999,-999)))</f>
        <v xml:space="preserve">    ---- </v>
      </c>
      <c r="E47" s="8">
        <f>IFERROR(100/'Skjema total MA'!C47*C47,0)</f>
        <v>-1.2050748942355942E-3</v>
      </c>
      <c r="F47" s="108"/>
      <c r="G47" s="113"/>
      <c r="H47" s="116"/>
      <c r="I47" s="116"/>
      <c r="J47" s="30"/>
      <c r="K47" s="30"/>
      <c r="L47" s="116"/>
      <c r="M47" s="116"/>
    </row>
    <row r="48" spans="1:13" ht="15.75" x14ac:dyDescent="0.2">
      <c r="A48" s="17" t="s">
        <v>333</v>
      </c>
      <c r="B48" s="221"/>
      <c r="C48" s="221"/>
      <c r="D48" s="198"/>
      <c r="E48" s="22"/>
      <c r="F48" s="108"/>
      <c r="G48" s="510"/>
      <c r="H48" s="108"/>
      <c r="I48" s="108"/>
      <c r="J48" s="26"/>
      <c r="K48" s="26"/>
      <c r="L48" s="116"/>
      <c r="M48" s="116"/>
    </row>
    <row r="49" spans="1:13" ht="15.75" x14ac:dyDescent="0.2">
      <c r="A49" s="17" t="s">
        <v>334</v>
      </c>
      <c r="B49" s="35"/>
      <c r="C49" s="226">
        <v>-76.765289999999993</v>
      </c>
      <c r="D49" s="198" t="str">
        <f>IF(B49=0, "    ---- ", IF(ABS(ROUND(100/B49*C49-100,1))&lt;999,ROUND(100/B49*C49-100,1),IF(ROUND(100/B49*C49-100,1)&gt;999,999,-999)))</f>
        <v xml:space="preserve">    ---- </v>
      </c>
      <c r="E49" s="22">
        <f>IFERROR(100/'Skjema total MA'!C49*C49,0)</f>
        <v>-2.829006066290737E-3</v>
      </c>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v>51622820.619410001</v>
      </c>
      <c r="C134" s="243">
        <v>53411717.418059997</v>
      </c>
      <c r="D134" s="277">
        <f t="shared" ref="D134:D137" si="1">IF(B134=0, "    ---- ", IF(ABS(ROUND(100/B134*C134-100,1))&lt;999,ROUND(100/B134*C134-100,1),IF(ROUND(100/B134*C134-100,1)&gt;999,999,-999)))</f>
        <v>3.5</v>
      </c>
      <c r="E134" s="8">
        <f>IFERROR(100/'Skjema total MA'!C134*C134,0)</f>
        <v>85.033816687885249</v>
      </c>
      <c r="F134" s="250">
        <v>170993.152</v>
      </c>
      <c r="G134" s="251">
        <v>170064.51</v>
      </c>
      <c r="H134" s="336">
        <f t="shared" ref="H134:H136" si="2">IF(F134=0, "    ---- ", IF(ABS(ROUND(100/F134*G134-100,1))&lt;999,ROUND(100/F134*G134-100,1),IF(ROUND(100/F134*G134-100,1)&gt;999,999,-999)))</f>
        <v>-0.5</v>
      </c>
      <c r="I134" s="20">
        <f>IFERROR(100/'Skjema total MA'!F134*G134,0)</f>
        <v>100</v>
      </c>
      <c r="J134" s="252">
        <f t="shared" ref="J134:K137" si="3">SUM(B134,F134)</f>
        <v>51793813.771410003</v>
      </c>
      <c r="K134" s="252">
        <f t="shared" si="3"/>
        <v>53581781.928059995</v>
      </c>
      <c r="L134" s="332">
        <f t="shared" ref="L134:L137" si="4">IF(J134=0, "    ---- ", IF(ABS(ROUND(100/J134*K134-100,1))&lt;999,ROUND(100/J134*K134-100,1),IF(ROUND(100/J134*K134-100,1)&gt;999,999,-999)))</f>
        <v>3.5</v>
      </c>
      <c r="M134" s="8">
        <f>IFERROR(100/'Skjema total MA'!I134*K134,0)</f>
        <v>85.07422824809494</v>
      </c>
    </row>
    <row r="135" spans="1:14" ht="15.75" x14ac:dyDescent="0.2">
      <c r="A135" s="10" t="s">
        <v>349</v>
      </c>
      <c r="B135" s="180">
        <v>785558231.49354005</v>
      </c>
      <c r="C135" s="243">
        <v>846650379.46606004</v>
      </c>
      <c r="D135" s="125">
        <f t="shared" si="1"/>
        <v>7.8</v>
      </c>
      <c r="E135" s="8">
        <f>IFERROR(100/'Skjema total MA'!C135*C135,0)</f>
        <v>86.241875338270091</v>
      </c>
      <c r="F135" s="180">
        <v>2924765.91579</v>
      </c>
      <c r="G135" s="243">
        <v>3056998.4517899998</v>
      </c>
      <c r="H135" s="337">
        <f t="shared" si="2"/>
        <v>4.5</v>
      </c>
      <c r="I135" s="20">
        <f>IFERROR(100/'Skjema total MA'!F135*G135,0)</f>
        <v>100</v>
      </c>
      <c r="J135" s="242">
        <f t="shared" si="3"/>
        <v>788482997.40933001</v>
      </c>
      <c r="K135" s="242">
        <f t="shared" si="3"/>
        <v>849707377.91785002</v>
      </c>
      <c r="L135" s="333">
        <f t="shared" si="4"/>
        <v>7.8</v>
      </c>
      <c r="M135" s="8">
        <f>IFERROR(100/'Skjema total MA'!I135*K135,0)</f>
        <v>86.284584227903864</v>
      </c>
    </row>
    <row r="136" spans="1:14" ht="15.75" x14ac:dyDescent="0.2">
      <c r="A136" s="10" t="s">
        <v>346</v>
      </c>
      <c r="B136" s="180">
        <v>1588.0419999999999</v>
      </c>
      <c r="C136" s="243">
        <v>40361.074000000001</v>
      </c>
      <c r="D136" s="125">
        <f t="shared" si="1"/>
        <v>999</v>
      </c>
      <c r="E136" s="8">
        <f>IFERROR(100/'Skjema total MA'!C136*C136,0)</f>
        <v>1.2250537494116742</v>
      </c>
      <c r="F136" s="180">
        <v>-373.47899999999998</v>
      </c>
      <c r="G136" s="243">
        <v>47.674999999999997</v>
      </c>
      <c r="H136" s="337">
        <f t="shared" si="2"/>
        <v>-112.8</v>
      </c>
      <c r="I136" s="20">
        <f>IFERROR(100/'Skjema total MA'!F136*G136,0)</f>
        <v>100</v>
      </c>
      <c r="J136" s="242">
        <f t="shared" si="3"/>
        <v>1214.5629999999999</v>
      </c>
      <c r="K136" s="242">
        <f t="shared" si="3"/>
        <v>40408.749000000003</v>
      </c>
      <c r="L136" s="333">
        <f t="shared" si="4"/>
        <v>999</v>
      </c>
      <c r="M136" s="8">
        <f>IFERROR(100/'Skjema total MA'!I136*K136,0)</f>
        <v>1.2264830502518014</v>
      </c>
    </row>
    <row r="137" spans="1:14" ht="15.75" x14ac:dyDescent="0.2">
      <c r="A137" s="32" t="s">
        <v>347</v>
      </c>
      <c r="B137" s="215">
        <v>2422654.6439999999</v>
      </c>
      <c r="C137" s="249">
        <v>4156500.3450000002</v>
      </c>
      <c r="D137" s="123">
        <f t="shared" si="1"/>
        <v>71.599999999999994</v>
      </c>
      <c r="E137" s="6">
        <f>IFERROR(100/'Skjema total MA'!C137*C137,0)</f>
        <v>100</v>
      </c>
      <c r="F137" s="215"/>
      <c r="G137" s="249"/>
      <c r="H137" s="338"/>
      <c r="I137" s="29"/>
      <c r="J137" s="248">
        <f t="shared" si="3"/>
        <v>2422654.6439999999</v>
      </c>
      <c r="K137" s="248">
        <f t="shared" si="3"/>
        <v>4156500.3450000002</v>
      </c>
      <c r="L137" s="334">
        <f t="shared" si="4"/>
        <v>71.599999999999994</v>
      </c>
      <c r="M137" s="29">
        <f>IFERROR(100/'Skjema total MA'!I137*K137,0)</f>
        <v>100</v>
      </c>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41" priority="12">
      <formula>kvartal &lt; 4</formula>
    </cfRule>
  </conditionalFormatting>
  <conditionalFormatting sqref="A69:A74">
    <cfRule type="expression" dxfId="340" priority="10">
      <formula>kvartal &lt; 4</formula>
    </cfRule>
  </conditionalFormatting>
  <conditionalFormatting sqref="A80:A85">
    <cfRule type="expression" dxfId="339" priority="9">
      <formula>kvartal &lt; 4</formula>
    </cfRule>
  </conditionalFormatting>
  <conditionalFormatting sqref="A90:A95">
    <cfRule type="expression" dxfId="338" priority="6">
      <formula>kvartal &lt; 4</formula>
    </cfRule>
  </conditionalFormatting>
  <conditionalFormatting sqref="A101:A106">
    <cfRule type="expression" dxfId="337" priority="5">
      <formula>kvartal &lt; 4</formula>
    </cfRule>
  </conditionalFormatting>
  <conditionalFormatting sqref="A115:C115">
    <cfRule type="expression" dxfId="336" priority="4">
      <formula>kvartal &lt; 4</formula>
    </cfRule>
  </conditionalFormatting>
  <conditionalFormatting sqref="A123:C123">
    <cfRule type="expression" dxfId="335" priority="3">
      <formula>kvartal &lt; 4</formula>
    </cfRule>
  </conditionalFormatting>
  <conditionalFormatting sqref="F115:G115">
    <cfRule type="expression" dxfId="334" priority="57">
      <formula>kvartal &lt; 4</formula>
    </cfRule>
  </conditionalFormatting>
  <conditionalFormatting sqref="F123:G123">
    <cfRule type="expression" dxfId="333" priority="56">
      <formula>kvartal &lt; 4</formula>
    </cfRule>
  </conditionalFormatting>
  <conditionalFormatting sqref="J115:K115">
    <cfRule type="expression" dxfId="332" priority="32">
      <formula>kvartal &lt; 4</formula>
    </cfRule>
  </conditionalFormatting>
  <conditionalFormatting sqref="J123:K123">
    <cfRule type="expression" dxfId="331" priority="31">
      <formula>kvartal &lt; 4</formula>
    </cfRule>
  </conditionalFormatting>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123</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28085.477999999999</v>
      </c>
      <c r="C7" s="241">
        <v>32797.71</v>
      </c>
      <c r="D7" s="277">
        <f>IF(B7=0, "    ---- ", IF(ABS(ROUND(100/B7*C7-100,1))&lt;999,ROUND(100/B7*C7-100,1),IF(ROUND(100/B7*C7-100,1)&gt;999,999,-999)))</f>
        <v>16.8</v>
      </c>
      <c r="E7" s="8">
        <f>IFERROR(100/'Skjema total MA'!C7*C7,0)</f>
        <v>0.71888959876884651</v>
      </c>
      <c r="F7" s="240"/>
      <c r="G7" s="241"/>
      <c r="H7" s="277"/>
      <c r="I7" s="117"/>
      <c r="J7" s="242">
        <f t="shared" ref="J7:K10" si="0">SUM(B7,F7)</f>
        <v>28085.477999999999</v>
      </c>
      <c r="K7" s="243">
        <f t="shared" si="0"/>
        <v>32797.71</v>
      </c>
      <c r="L7" s="332">
        <f>IF(J7=0, "    ---- ", IF(ABS(ROUND(100/J7*K7-100,1))&lt;999,ROUND(100/J7*K7-100,1),IF(ROUND(100/J7*K7-100,1)&gt;999,999,-999)))</f>
        <v>16.8</v>
      </c>
      <c r="M7" s="8">
        <f>IFERROR(100/'Skjema total MA'!I7*K7,0)</f>
        <v>0.25764035389984608</v>
      </c>
    </row>
    <row r="8" spans="1:14" ht="15.75" x14ac:dyDescent="0.2">
      <c r="A8" s="17" t="s">
        <v>25</v>
      </c>
      <c r="B8" s="220">
        <v>26943.679</v>
      </c>
      <c r="C8" s="221">
        <v>31605.725999999999</v>
      </c>
      <c r="D8" s="121">
        <f t="shared" ref="D8:D10" si="1">IF(B8=0, "    ---- ", IF(ABS(ROUND(100/B8*C8-100,1))&lt;999,ROUND(100/B8*C8-100,1),IF(ROUND(100/B8*C8-100,1)&gt;999,999,-999)))</f>
        <v>17.3</v>
      </c>
      <c r="E8" s="22">
        <f>IFERROR(100/'Skjema total MA'!C8*C8,0)</f>
        <v>1.0287662212872162</v>
      </c>
      <c r="F8" s="224"/>
      <c r="G8" s="225"/>
      <c r="H8" s="121"/>
      <c r="I8" s="129"/>
      <c r="J8" s="178">
        <f t="shared" si="0"/>
        <v>26943.679</v>
      </c>
      <c r="K8" s="226">
        <f t="shared" si="0"/>
        <v>31605.725999999999</v>
      </c>
      <c r="L8" s="121">
        <f t="shared" ref="L8:L9" si="2">IF(J8=0, "    ---- ", IF(ABS(ROUND(100/J8*K8-100,1))&lt;999,ROUND(100/J8*K8-100,1),IF(ROUND(100/J8*K8-100,1)&gt;999,999,-999)))</f>
        <v>17.3</v>
      </c>
      <c r="M8" s="22">
        <f>IFERROR(100/'Skjema total MA'!I8*K8,0)</f>
        <v>1.0287662212872162</v>
      </c>
    </row>
    <row r="9" spans="1:14" ht="15.75" x14ac:dyDescent="0.2">
      <c r="A9" s="17" t="s">
        <v>24</v>
      </c>
      <c r="B9" s="220">
        <v>1141.799</v>
      </c>
      <c r="C9" s="221">
        <v>1191.9839999999999</v>
      </c>
      <c r="D9" s="121">
        <f t="shared" si="1"/>
        <v>4.4000000000000004</v>
      </c>
      <c r="E9" s="22">
        <f>IFERROR(100/'Skjema total MA'!C9*C9,0)</f>
        <v>0.1318647934536204</v>
      </c>
      <c r="F9" s="224"/>
      <c r="G9" s="225"/>
      <c r="H9" s="121"/>
      <c r="I9" s="129"/>
      <c r="J9" s="178">
        <f t="shared" si="0"/>
        <v>1141.799</v>
      </c>
      <c r="K9" s="226">
        <f t="shared" si="0"/>
        <v>1191.9839999999999</v>
      </c>
      <c r="L9" s="121">
        <f t="shared" si="2"/>
        <v>4.4000000000000004</v>
      </c>
      <c r="M9" s="22">
        <f>IFERROR(100/'Skjema total MA'!I9*K9,0)</f>
        <v>0.1318647934536204</v>
      </c>
    </row>
    <row r="10" spans="1:14" ht="15.75" x14ac:dyDescent="0.2">
      <c r="A10" s="10" t="s">
        <v>322</v>
      </c>
      <c r="B10" s="244">
        <v>29646.9506</v>
      </c>
      <c r="C10" s="245">
        <v>28573.452000000001</v>
      </c>
      <c r="D10" s="125">
        <f t="shared" si="1"/>
        <v>-3.6</v>
      </c>
      <c r="E10" s="8">
        <f>IFERROR(100/'Skjema total MA'!C10*C10,0)</f>
        <v>0.22770754052581876</v>
      </c>
      <c r="F10" s="244"/>
      <c r="G10" s="245"/>
      <c r="H10" s="125"/>
      <c r="I10" s="117"/>
      <c r="J10" s="242">
        <f t="shared" si="0"/>
        <v>29646.9506</v>
      </c>
      <c r="K10" s="243">
        <f t="shared" si="0"/>
        <v>28573.452000000001</v>
      </c>
      <c r="L10" s="333">
        <f t="shared" ref="L10" si="3">IF(J10=0, "    ---- ", IF(ABS(ROUND(100/J10*K10-100,1))&lt;999,ROUND(100/J10*K10-100,1),IF(ROUND(100/J10*K10-100,1)&gt;999,999,-999)))</f>
        <v>-3.6</v>
      </c>
      <c r="M10" s="8">
        <f>IFERROR(100/'Skjema total MA'!I10*K10,0)</f>
        <v>2.4582980263777008E-2</v>
      </c>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26909.481</v>
      </c>
      <c r="C22" s="244">
        <v>32542.004000000001</v>
      </c>
      <c r="D22" s="277">
        <f t="shared" ref="D22:D29" si="4">IF(B22=0, "    ---- ", IF(ABS(ROUND(100/B22*C22-100,1))&lt;999,ROUND(100/B22*C22-100,1),IF(ROUND(100/B22*C22-100,1)&gt;999,999,-999)))</f>
        <v>20.9</v>
      </c>
      <c r="E22" s="8">
        <f>IFERROR(100/'Skjema total MA'!C22*C22,0)</f>
        <v>1.5414595392890207</v>
      </c>
      <c r="F22" s="252"/>
      <c r="G22" s="252"/>
      <c r="H22" s="277"/>
      <c r="I22" s="8"/>
      <c r="J22" s="250">
        <f t="shared" ref="J22:K29" si="5">SUM(B22,F22)</f>
        <v>26909.481</v>
      </c>
      <c r="K22" s="250">
        <f t="shared" si="5"/>
        <v>32542.004000000001</v>
      </c>
      <c r="L22" s="332">
        <f t="shared" ref="L22:L29" si="6">IF(J22=0, "    ---- ", IF(ABS(ROUND(100/J22*K22-100,1))&lt;999,ROUND(100/J22*K22-100,1),IF(ROUND(100/J22*K22-100,1)&gt;999,999,-999)))</f>
        <v>20.9</v>
      </c>
      <c r="M22" s="20">
        <f>IFERROR(100/'Skjema total MA'!I22*K22,0)</f>
        <v>1.1177995870052084</v>
      </c>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26909.481</v>
      </c>
      <c r="C28" s="226">
        <v>32542.004000000001</v>
      </c>
      <c r="D28" s="121">
        <f t="shared" si="4"/>
        <v>20.9</v>
      </c>
      <c r="E28" s="8">
        <f>IFERROR(100/'Skjema total MA'!C28*C28,0)</f>
        <v>1.2415722969418619</v>
      </c>
      <c r="F28" s="137"/>
      <c r="G28" s="137"/>
      <c r="H28" s="121"/>
      <c r="I28" s="22"/>
      <c r="J28" s="35">
        <f t="shared" si="5"/>
        <v>26909.481</v>
      </c>
      <c r="K28" s="35">
        <f t="shared" si="5"/>
        <v>32542.004000000001</v>
      </c>
      <c r="L28" s="198">
        <f t="shared" si="6"/>
        <v>20.9</v>
      </c>
      <c r="M28" s="19">
        <f>IFERROR(100/'Skjema total MA'!I28*K28,0)</f>
        <v>1.2415722969418619</v>
      </c>
    </row>
    <row r="29" spans="1:13" ht="15.75" x14ac:dyDescent="0.2">
      <c r="A29" s="10" t="s">
        <v>322</v>
      </c>
      <c r="B29" s="180">
        <v>134105.06099999999</v>
      </c>
      <c r="C29" s="180">
        <v>170347.13699999999</v>
      </c>
      <c r="D29" s="125">
        <f t="shared" si="4"/>
        <v>27</v>
      </c>
      <c r="E29" s="8">
        <f>IFERROR(100/'Skjema total MA'!C29*C29,0)</f>
        <v>0.38684049217760275</v>
      </c>
      <c r="F29" s="242"/>
      <c r="G29" s="242"/>
      <c r="H29" s="125"/>
      <c r="I29" s="8"/>
      <c r="J29" s="180">
        <f t="shared" si="5"/>
        <v>134105.06099999999</v>
      </c>
      <c r="K29" s="180">
        <f t="shared" si="5"/>
        <v>170347.13699999999</v>
      </c>
      <c r="L29" s="333">
        <f t="shared" si="6"/>
        <v>27</v>
      </c>
      <c r="M29" s="20">
        <f>IFERROR(100/'Skjema total MA'!I29*K29,0)</f>
        <v>0.22731914111646345</v>
      </c>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296089.913</v>
      </c>
      <c r="C47" s="245">
        <v>324911.11499999999</v>
      </c>
      <c r="D47" s="332">
        <f t="shared" ref="D47:D48" si="7">IF(B47=0, "    ---- ", IF(ABS(ROUND(100/B47*C47-100,1))&lt;999,ROUND(100/B47*C47-100,1),IF(ROUND(100/B47*C47-100,1)&gt;999,999,-999)))</f>
        <v>9.6999999999999993</v>
      </c>
      <c r="E47" s="8">
        <f>IFERROR(100/'Skjema total MA'!C47*C47,0)</f>
        <v>5.1005112798322516</v>
      </c>
      <c r="F47" s="108"/>
      <c r="G47" s="26"/>
      <c r="H47" s="116"/>
      <c r="I47" s="116"/>
      <c r="J47" s="30"/>
      <c r="K47" s="30"/>
      <c r="L47" s="116"/>
      <c r="M47" s="116"/>
    </row>
    <row r="48" spans="1:13" ht="15.75" x14ac:dyDescent="0.2">
      <c r="A48" s="17" t="s">
        <v>333</v>
      </c>
      <c r="B48" s="220">
        <v>296089.913</v>
      </c>
      <c r="C48" s="221">
        <v>324911.11499999999</v>
      </c>
      <c r="D48" s="198">
        <f t="shared" si="7"/>
        <v>9.6999999999999993</v>
      </c>
      <c r="E48" s="22">
        <f>IFERROR(100/'Skjema total MA'!C48*C48,0)</f>
        <v>8.8854611575494751</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30" priority="12">
      <formula>kvartal &lt; 4</formula>
    </cfRule>
  </conditionalFormatting>
  <conditionalFormatting sqref="A69:A74">
    <cfRule type="expression" dxfId="329" priority="10">
      <formula>kvartal &lt; 4</formula>
    </cfRule>
  </conditionalFormatting>
  <conditionalFormatting sqref="A80:A85">
    <cfRule type="expression" dxfId="328" priority="9">
      <formula>kvartal &lt; 4</formula>
    </cfRule>
  </conditionalFormatting>
  <conditionalFormatting sqref="A90:A95">
    <cfRule type="expression" dxfId="327" priority="6">
      <formula>kvartal &lt; 4</formula>
    </cfRule>
  </conditionalFormatting>
  <conditionalFormatting sqref="A101:A106">
    <cfRule type="expression" dxfId="326" priority="5">
      <formula>kvartal &lt; 4</formula>
    </cfRule>
  </conditionalFormatting>
  <conditionalFormatting sqref="A115:C115">
    <cfRule type="expression" dxfId="325" priority="4">
      <formula>kvartal &lt; 4</formula>
    </cfRule>
  </conditionalFormatting>
  <conditionalFormatting sqref="A123:C123">
    <cfRule type="expression" dxfId="324" priority="3">
      <formula>kvartal &lt; 4</formula>
    </cfRule>
  </conditionalFormatting>
  <conditionalFormatting sqref="F115:G115">
    <cfRule type="expression" dxfId="323" priority="57">
      <formula>kvartal &lt; 4</formula>
    </cfRule>
  </conditionalFormatting>
  <conditionalFormatting sqref="F123:G123">
    <cfRule type="expression" dxfId="322" priority="56">
      <formula>kvartal &lt; 4</formula>
    </cfRule>
  </conditionalFormatting>
  <conditionalFormatting sqref="J115:K115">
    <cfRule type="expression" dxfId="321" priority="32">
      <formula>kvartal &lt; 4</formula>
    </cfRule>
  </conditionalFormatting>
  <conditionalFormatting sqref="J123:K123">
    <cfRule type="expression" dxfId="320" priority="31">
      <formula>kvartal &lt; 4</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C72C-4223-43EB-9734-94FDC1E0B514}">
  <dimension ref="A1:N144"/>
  <sheetViews>
    <sheetView showGridLines="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408</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15439</v>
      </c>
      <c r="C7" s="241">
        <v>15386</v>
      </c>
      <c r="D7" s="277">
        <f>IF(B7=0, "    ---- ", IF(ABS(ROUND(100/B7*C7-100,1))&lt;999,ROUND(100/B7*C7-100,1),IF(ROUND(100/B7*C7-100,1)&gt;999,999,-999)))</f>
        <v>-0.3</v>
      </c>
      <c r="E7" s="8">
        <f>IFERROR(100/'Skjema total MA'!C7*C7,0)</f>
        <v>0.33724413584538288</v>
      </c>
      <c r="F7" s="240"/>
      <c r="G7" s="241"/>
      <c r="H7" s="277"/>
      <c r="I7" s="117"/>
      <c r="J7" s="242">
        <f t="shared" ref="J7:K9" si="0">SUM(B7,F7)</f>
        <v>15439</v>
      </c>
      <c r="K7" s="243">
        <f t="shared" si="0"/>
        <v>15386</v>
      </c>
      <c r="L7" s="332">
        <f>IF(J7=0, "    ---- ", IF(ABS(ROUND(100/J7*K7-100,1))&lt;999,ROUND(100/J7*K7-100,1),IF(ROUND(100/J7*K7-100,1)&gt;999,999,-999)))</f>
        <v>-0.3</v>
      </c>
      <c r="M7" s="8">
        <f>IFERROR(100/'Skjema total MA'!I7*K7,0)</f>
        <v>0.12086375802161285</v>
      </c>
    </row>
    <row r="8" spans="1:14" ht="15.75" x14ac:dyDescent="0.2">
      <c r="A8" s="17" t="s">
        <v>25</v>
      </c>
      <c r="B8" s="220"/>
      <c r="C8" s="221"/>
      <c r="D8" s="121"/>
      <c r="E8" s="22"/>
      <c r="F8" s="224"/>
      <c r="G8" s="225"/>
      <c r="H8" s="121"/>
      <c r="I8" s="129"/>
      <c r="J8" s="178"/>
      <c r="K8" s="226"/>
      <c r="L8" s="121"/>
      <c r="M8" s="22"/>
    </row>
    <row r="9" spans="1:14" ht="15.75" x14ac:dyDescent="0.2">
      <c r="A9" s="17" t="s">
        <v>24</v>
      </c>
      <c r="B9" s="220">
        <v>15439</v>
      </c>
      <c r="C9" s="221">
        <v>15386</v>
      </c>
      <c r="D9" s="121">
        <f t="shared" ref="D9" si="1">IF(B9=0, "    ---- ", IF(ABS(ROUND(100/B9*C9-100,1))&lt;999,ROUND(100/B9*C9-100,1),IF(ROUND(100/B9*C9-100,1)&gt;999,999,-999)))</f>
        <v>-0.3</v>
      </c>
      <c r="E9" s="22">
        <f>IFERROR(100/'Skjema total MA'!C9*C9,0)</f>
        <v>1.7020964308895117</v>
      </c>
      <c r="F9" s="224"/>
      <c r="G9" s="225"/>
      <c r="H9" s="121"/>
      <c r="I9" s="129"/>
      <c r="J9" s="178">
        <f t="shared" si="0"/>
        <v>15439</v>
      </c>
      <c r="K9" s="226">
        <f t="shared" si="0"/>
        <v>15386</v>
      </c>
      <c r="L9" s="121">
        <f t="shared" ref="L9" si="2">IF(J9=0, "    ---- ", IF(ABS(ROUND(100/J9*K9-100,1))&lt;999,ROUND(100/J9*K9-100,1),IF(ROUND(100/J9*K9-100,1)&gt;999,999,-999)))</f>
        <v>-0.3</v>
      </c>
      <c r="M9" s="22">
        <f>IFERROR(100/'Skjema total MA'!I9*K9,0)</f>
        <v>1.7020964308895117</v>
      </c>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29673</v>
      </c>
      <c r="C47" s="245">
        <v>32545</v>
      </c>
      <c r="D47" s="332">
        <f t="shared" ref="D47:D54" si="3">IF(B47=0, "    ---- ", IF(ABS(ROUND(100/B47*C47-100,1))&lt;999,ROUND(100/B47*C47-100,1),IF(ROUND(100/B47*C47-100,1)&gt;999,999,-999)))</f>
        <v>9.6999999999999993</v>
      </c>
      <c r="E47" s="8">
        <f>IFERROR(100/'Skjema total MA'!C47*C47,0)</f>
        <v>0.51089707904311199</v>
      </c>
      <c r="F47" s="108"/>
      <c r="G47" s="26"/>
      <c r="H47" s="116"/>
      <c r="I47" s="116"/>
      <c r="J47" s="30"/>
      <c r="K47" s="30"/>
      <c r="L47" s="116"/>
      <c r="M47" s="116"/>
    </row>
    <row r="48" spans="1:13" ht="15.75" x14ac:dyDescent="0.2">
      <c r="A48" s="17" t="s">
        <v>333</v>
      </c>
      <c r="B48" s="220">
        <v>29673</v>
      </c>
      <c r="C48" s="221">
        <v>32545</v>
      </c>
      <c r="D48" s="198">
        <f t="shared" si="3"/>
        <v>9.6999999999999993</v>
      </c>
      <c r="E48" s="22">
        <f>IFERROR(100/'Skjema total MA'!C48*C48,0)</f>
        <v>0.89001982395230672</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v>1300</v>
      </c>
      <c r="D53" s="333" t="str">
        <f t="shared" si="3"/>
        <v xml:space="preserve">    ---- </v>
      </c>
      <c r="E53" s="8">
        <f>IFERROR(100/'Skjema total MA'!C53*C53,0)</f>
        <v>0.43124431008254371</v>
      </c>
      <c r="F53" s="108"/>
      <c r="G53" s="26"/>
      <c r="H53" s="108"/>
      <c r="I53" s="108"/>
      <c r="J53" s="26"/>
      <c r="K53" s="26"/>
      <c r="L53" s="116"/>
      <c r="M53" s="116"/>
    </row>
    <row r="54" spans="1:13" ht="15.75" x14ac:dyDescent="0.2">
      <c r="A54" s="17" t="s">
        <v>333</v>
      </c>
      <c r="B54" s="220"/>
      <c r="C54" s="221">
        <v>1300</v>
      </c>
      <c r="D54" s="198" t="str">
        <f t="shared" si="3"/>
        <v xml:space="preserve">    ---- </v>
      </c>
      <c r="E54" s="22">
        <f>IFERROR(100/'Skjema total MA'!C54*C54,0)</f>
        <v>0.44146783775309084</v>
      </c>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319" priority="7">
      <formula>kvartal &lt; 4</formula>
    </cfRule>
  </conditionalFormatting>
  <conditionalFormatting sqref="A69:A74">
    <cfRule type="expression" dxfId="318" priority="6">
      <formula>kvartal &lt; 4</formula>
    </cfRule>
  </conditionalFormatting>
  <conditionalFormatting sqref="A80:A85">
    <cfRule type="expression" dxfId="317" priority="5">
      <formula>kvartal &lt; 4</formula>
    </cfRule>
  </conditionalFormatting>
  <conditionalFormatting sqref="A90:A95">
    <cfRule type="expression" dxfId="316" priority="4">
      <formula>kvartal &lt; 4</formula>
    </cfRule>
  </conditionalFormatting>
  <conditionalFormatting sqref="A101:A106">
    <cfRule type="expression" dxfId="315" priority="3">
      <formula>kvartal &lt; 4</formula>
    </cfRule>
  </conditionalFormatting>
  <conditionalFormatting sqref="A115:C115">
    <cfRule type="expression" dxfId="314" priority="2">
      <formula>kvartal &lt; 4</formula>
    </cfRule>
  </conditionalFormatting>
  <conditionalFormatting sqref="A123:C123">
    <cfRule type="expression" dxfId="313" priority="1">
      <formula>kvartal &lt; 4</formula>
    </cfRule>
  </conditionalFormatting>
  <conditionalFormatting sqref="F115:G115">
    <cfRule type="expression" dxfId="312" priority="27">
      <formula>kvartal &lt; 4</formula>
    </cfRule>
  </conditionalFormatting>
  <conditionalFormatting sqref="F123:G123">
    <cfRule type="expression" dxfId="311" priority="26">
      <formula>kvartal &lt; 4</formula>
    </cfRule>
  </conditionalFormatting>
  <conditionalFormatting sqref="J115:K115">
    <cfRule type="expression" dxfId="310" priority="9">
      <formula>kvartal &lt; 4</formula>
    </cfRule>
  </conditionalFormatting>
  <conditionalFormatting sqref="J123:K123">
    <cfRule type="expression" dxfId="309" priority="8">
      <formula>kvartal &lt; 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58"/>
  <sheetViews>
    <sheetView showGridLines="0" tabSelected="1" zoomScale="70" zoomScaleNormal="70" workbookViewId="0">
      <selection activeCell="A2" sqref="A2"/>
    </sheetView>
  </sheetViews>
  <sheetFormatPr baseColWidth="10" defaultColWidth="11.42578125" defaultRowHeight="25.5" x14ac:dyDescent="0.35"/>
  <cols>
    <col min="1" max="1" width="11.42578125" style="40"/>
    <col min="2" max="2" width="25" style="40" customWidth="1"/>
    <col min="3" max="3" width="141.7109375" style="40" customWidth="1"/>
    <col min="4" max="16384" width="11.42578125" style="40"/>
  </cols>
  <sheetData>
    <row r="1" spans="1:14" ht="20.100000000000001" customHeight="1" x14ac:dyDescent="0.35">
      <c r="C1" s="41"/>
      <c r="D1" s="42"/>
      <c r="E1" s="42"/>
      <c r="F1" s="42"/>
      <c r="G1" s="42"/>
      <c r="H1" s="42"/>
      <c r="I1" s="42"/>
      <c r="J1" s="42"/>
      <c r="K1" s="42"/>
      <c r="L1" s="42"/>
      <c r="M1" s="42"/>
      <c r="N1" s="42"/>
    </row>
    <row r="2" spans="1:14" ht="20.100000000000001" customHeight="1" x14ac:dyDescent="0.35">
      <c r="C2" s="214" t="s">
        <v>31</v>
      </c>
      <c r="D2" s="42"/>
      <c r="E2" s="42"/>
      <c r="F2" s="42"/>
      <c r="G2" s="42"/>
      <c r="H2" s="42"/>
      <c r="I2" s="42"/>
      <c r="J2" s="42"/>
      <c r="K2" s="42"/>
      <c r="L2" s="42"/>
      <c r="M2" s="42"/>
      <c r="N2" s="42"/>
    </row>
    <row r="3" spans="1:14" ht="20.100000000000001" customHeight="1" x14ac:dyDescent="0.35">
      <c r="C3" s="43"/>
      <c r="D3" s="42"/>
      <c r="E3" s="42"/>
      <c r="F3" s="42"/>
      <c r="G3" s="42"/>
      <c r="H3" s="42"/>
      <c r="I3" s="42"/>
      <c r="J3" s="42"/>
      <c r="K3" s="42"/>
      <c r="L3" s="42"/>
      <c r="M3" s="42"/>
      <c r="N3" s="42"/>
    </row>
    <row r="4" spans="1:14" ht="20.100000000000001" customHeight="1" x14ac:dyDescent="0.35">
      <c r="C4" s="43"/>
      <c r="D4" s="42"/>
      <c r="E4" s="42"/>
      <c r="F4" s="42"/>
      <c r="G4" s="42"/>
      <c r="H4" s="42"/>
      <c r="I4" s="42"/>
      <c r="J4" s="42"/>
      <c r="K4" s="42"/>
      <c r="L4" s="42"/>
      <c r="M4" s="42"/>
      <c r="N4" s="42"/>
    </row>
    <row r="5" spans="1:14" ht="20.100000000000001" customHeight="1" x14ac:dyDescent="0.35">
      <c r="A5" s="43"/>
      <c r="B5" s="43"/>
      <c r="C5" s="43"/>
      <c r="D5" s="42"/>
      <c r="E5" s="42"/>
      <c r="F5" s="42"/>
      <c r="G5" s="42"/>
      <c r="H5" s="42"/>
      <c r="I5" s="42"/>
      <c r="J5" s="42"/>
      <c r="K5" s="42"/>
      <c r="L5" s="42"/>
      <c r="M5" s="42"/>
      <c r="N5" s="42"/>
    </row>
    <row r="6" spans="1:14" ht="20.100000000000001" customHeight="1" x14ac:dyDescent="0.35">
      <c r="A6" s="44" t="s">
        <v>32</v>
      </c>
      <c r="B6" s="44"/>
      <c r="C6" s="43"/>
      <c r="D6" s="42"/>
      <c r="E6" s="42"/>
      <c r="F6" s="42"/>
      <c r="G6" s="42"/>
      <c r="H6" s="42"/>
      <c r="I6" s="42"/>
      <c r="J6" s="42"/>
      <c r="K6" s="42"/>
      <c r="L6" s="42"/>
      <c r="M6" s="42"/>
      <c r="N6" s="42"/>
    </row>
    <row r="7" spans="1:14" ht="20.100000000000001" customHeight="1" x14ac:dyDescent="0.35">
      <c r="A7" s="43"/>
      <c r="B7" s="43" t="s">
        <v>33</v>
      </c>
      <c r="C7" s="43" t="s">
        <v>34</v>
      </c>
      <c r="D7" s="42"/>
      <c r="E7" s="42"/>
      <c r="F7" s="42"/>
      <c r="G7" s="42"/>
      <c r="H7" s="42"/>
      <c r="I7" s="42"/>
      <c r="J7" s="42"/>
      <c r="K7" s="42"/>
      <c r="L7" s="42"/>
      <c r="M7" s="42"/>
      <c r="N7" s="42"/>
    </row>
    <row r="8" spans="1:14" ht="20.100000000000001" customHeight="1" x14ac:dyDescent="0.35">
      <c r="A8" s="43"/>
      <c r="B8" s="43" t="s">
        <v>35</v>
      </c>
      <c r="C8" s="43" t="s">
        <v>36</v>
      </c>
      <c r="D8" s="42"/>
      <c r="E8" s="42"/>
      <c r="F8" s="42"/>
      <c r="G8" s="42"/>
      <c r="H8" s="42"/>
      <c r="I8" s="42"/>
      <c r="J8" s="42"/>
      <c r="K8" s="42"/>
      <c r="L8" s="42"/>
      <c r="M8" s="42"/>
      <c r="N8" s="42"/>
    </row>
    <row r="9" spans="1:14" ht="20.100000000000001" customHeight="1" x14ac:dyDescent="0.35">
      <c r="A9" s="43"/>
      <c r="B9" s="43" t="s">
        <v>37</v>
      </c>
      <c r="C9" s="43" t="s">
        <v>40</v>
      </c>
      <c r="D9" s="42"/>
      <c r="E9" s="42"/>
      <c r="F9" s="42"/>
      <c r="G9" s="42"/>
      <c r="H9" s="42"/>
      <c r="I9" s="42"/>
      <c r="J9" s="42"/>
      <c r="K9" s="42"/>
      <c r="L9" s="42"/>
      <c r="M9" s="42"/>
      <c r="N9" s="42"/>
    </row>
    <row r="10" spans="1:14" ht="20.100000000000001" customHeight="1" x14ac:dyDescent="0.35">
      <c r="A10" s="43"/>
      <c r="B10" s="43" t="s">
        <v>38</v>
      </c>
      <c r="C10" s="43" t="s">
        <v>42</v>
      </c>
      <c r="D10" s="42"/>
      <c r="E10" s="42"/>
      <c r="F10" s="42"/>
      <c r="G10" s="42"/>
      <c r="H10" s="42"/>
      <c r="I10" s="42"/>
      <c r="J10" s="42"/>
      <c r="K10" s="42"/>
      <c r="L10" s="42"/>
      <c r="M10" s="42"/>
      <c r="N10" s="42"/>
    </row>
    <row r="11" spans="1:14" ht="20.100000000000001" customHeight="1" x14ac:dyDescent="0.35">
      <c r="A11" s="43"/>
      <c r="B11" s="43" t="s">
        <v>39</v>
      </c>
      <c r="C11" s="43" t="s">
        <v>43</v>
      </c>
      <c r="D11" s="42"/>
      <c r="E11" s="42"/>
      <c r="F11" s="42"/>
      <c r="G11" s="42"/>
      <c r="H11" s="42"/>
      <c r="I11" s="42"/>
      <c r="J11" s="42"/>
      <c r="K11" s="42"/>
      <c r="L11" s="42"/>
      <c r="M11" s="42"/>
      <c r="N11" s="42"/>
    </row>
    <row r="12" spans="1:14" ht="20.100000000000001" customHeight="1" x14ac:dyDescent="0.35">
      <c r="A12" s="43"/>
      <c r="B12" s="43" t="s">
        <v>41</v>
      </c>
      <c r="C12" s="43" t="s">
        <v>44</v>
      </c>
      <c r="D12" s="42"/>
      <c r="E12" s="42"/>
      <c r="F12" s="42"/>
      <c r="G12" s="42"/>
      <c r="H12" s="42"/>
      <c r="I12" s="42"/>
      <c r="J12" s="42"/>
      <c r="K12" s="42"/>
      <c r="L12" s="42"/>
      <c r="M12" s="42"/>
      <c r="N12" s="42"/>
    </row>
    <row r="13" spans="1:14" ht="18.75" customHeight="1" x14ac:dyDescent="0.35">
      <c r="A13" s="43"/>
      <c r="B13" s="43"/>
      <c r="C13" s="43"/>
      <c r="D13" s="42"/>
      <c r="E13" s="42"/>
      <c r="F13" s="42"/>
      <c r="G13" s="42"/>
      <c r="H13" s="42"/>
      <c r="I13" s="42"/>
      <c r="J13" s="42"/>
      <c r="K13" s="42"/>
      <c r="L13" s="42"/>
      <c r="M13" s="42"/>
      <c r="N13" s="42"/>
    </row>
    <row r="14" spans="1:14" ht="20.100000000000001" customHeight="1" x14ac:dyDescent="0.35">
      <c r="A14" s="213" t="s">
        <v>45</v>
      </c>
      <c r="B14" s="44"/>
      <c r="C14" s="43"/>
      <c r="D14" s="42"/>
      <c r="E14" s="42"/>
      <c r="F14" s="42"/>
      <c r="G14" s="42"/>
      <c r="H14" s="42"/>
      <c r="I14" s="42"/>
      <c r="J14" s="42"/>
      <c r="K14" s="42"/>
      <c r="L14" s="42"/>
      <c r="M14" s="42"/>
      <c r="N14" s="42"/>
    </row>
    <row r="15" spans="1:14" ht="20.100000000000001" customHeight="1" x14ac:dyDescent="0.35">
      <c r="A15" s="43"/>
      <c r="B15" s="43" t="s">
        <v>46</v>
      </c>
      <c r="C15" s="43"/>
      <c r="D15" s="42"/>
      <c r="E15" s="42"/>
      <c r="F15" s="42"/>
      <c r="G15" s="42"/>
      <c r="H15" s="42"/>
      <c r="I15" s="42"/>
      <c r="J15" s="42"/>
      <c r="K15" s="42"/>
      <c r="L15" s="42"/>
      <c r="M15" s="42"/>
      <c r="N15" s="42"/>
    </row>
    <row r="16" spans="1:14" ht="20.100000000000001" customHeight="1" x14ac:dyDescent="0.35">
      <c r="A16" s="43"/>
      <c r="B16" s="44" t="s">
        <v>47</v>
      </c>
      <c r="C16" s="43" t="s">
        <v>48</v>
      </c>
      <c r="D16" s="42"/>
      <c r="E16" s="42"/>
      <c r="F16" s="42"/>
      <c r="G16" s="42"/>
      <c r="H16" s="42"/>
      <c r="I16" s="42"/>
      <c r="J16" s="42"/>
      <c r="K16" s="42"/>
      <c r="L16" s="42"/>
      <c r="M16" s="42"/>
      <c r="N16" s="42"/>
    </row>
    <row r="17" spans="1:14" ht="20.100000000000001" customHeight="1" x14ac:dyDescent="0.35">
      <c r="A17" s="43"/>
      <c r="B17" s="44" t="s">
        <v>49</v>
      </c>
      <c r="C17" s="43" t="s">
        <v>50</v>
      </c>
      <c r="D17" s="42"/>
      <c r="E17" s="42"/>
      <c r="F17" s="42"/>
      <c r="G17" s="42"/>
      <c r="H17" s="42"/>
      <c r="I17" s="42"/>
      <c r="J17" s="42"/>
      <c r="K17" s="42"/>
      <c r="L17" s="42"/>
      <c r="M17" s="42"/>
      <c r="N17" s="42"/>
    </row>
    <row r="18" spans="1:14" ht="20.100000000000001" customHeight="1" x14ac:dyDescent="0.35">
      <c r="A18" s="43"/>
      <c r="B18" s="44" t="s">
        <v>301</v>
      </c>
      <c r="C18" s="43" t="s">
        <v>302</v>
      </c>
      <c r="D18" s="42"/>
      <c r="E18" s="42"/>
      <c r="F18" s="42"/>
      <c r="G18" s="42"/>
      <c r="H18" s="42"/>
      <c r="I18" s="42"/>
      <c r="J18" s="42"/>
      <c r="K18" s="42"/>
      <c r="L18" s="42"/>
      <c r="M18" s="42"/>
      <c r="N18" s="42"/>
    </row>
    <row r="19" spans="1:14" ht="20.100000000000001" customHeight="1" x14ac:dyDescent="0.35">
      <c r="A19" s="43"/>
      <c r="B19" s="43" t="s">
        <v>303</v>
      </c>
      <c r="C19" s="43" t="s">
        <v>242</v>
      </c>
      <c r="D19" s="42"/>
      <c r="E19" s="42"/>
      <c r="F19" s="42"/>
      <c r="G19" s="42"/>
      <c r="H19" s="42"/>
      <c r="I19" s="42"/>
      <c r="J19" s="42"/>
      <c r="K19" s="42"/>
      <c r="L19" s="42"/>
      <c r="M19" s="42"/>
      <c r="N19" s="42"/>
    </row>
    <row r="20" spans="1:14" ht="20.100000000000001" customHeight="1" x14ac:dyDescent="0.35">
      <c r="A20" s="43"/>
      <c r="B20" s="43" t="s">
        <v>305</v>
      </c>
      <c r="C20" s="43" t="s">
        <v>304</v>
      </c>
      <c r="D20" s="42"/>
      <c r="E20" s="42"/>
      <c r="F20" s="42"/>
      <c r="G20" s="42"/>
      <c r="H20" s="42"/>
      <c r="I20" s="42"/>
      <c r="J20" s="42"/>
      <c r="K20" s="42"/>
      <c r="L20" s="42"/>
      <c r="M20" s="42"/>
      <c r="N20" s="42"/>
    </row>
    <row r="21" spans="1:14" ht="20.100000000000001" customHeight="1" x14ac:dyDescent="0.35">
      <c r="A21" s="43"/>
      <c r="B21" s="43"/>
      <c r="C21" s="43"/>
    </row>
    <row r="22" spans="1:14" ht="18.75" customHeight="1" x14ac:dyDescent="0.35">
      <c r="A22" s="43"/>
      <c r="B22" s="43" t="s">
        <v>226</v>
      </c>
      <c r="C22" s="43"/>
    </row>
    <row r="23" spans="1:14" ht="20.100000000000001" customHeight="1" x14ac:dyDescent="0.35">
      <c r="A23" s="43"/>
      <c r="B23" s="276" t="s">
        <v>227</v>
      </c>
      <c r="C23" s="43" t="s">
        <v>228</v>
      </c>
    </row>
    <row r="24" spans="1:14" ht="20.100000000000001" hidden="1" customHeight="1" x14ac:dyDescent="0.35">
      <c r="A24" s="43"/>
      <c r="B24" s="276" t="s">
        <v>229</v>
      </c>
      <c r="C24" s="43" t="s">
        <v>230</v>
      </c>
    </row>
    <row r="25" spans="1:14" ht="20.100000000000001" hidden="1" customHeight="1" x14ac:dyDescent="0.35">
      <c r="A25" s="43"/>
      <c r="B25" s="276" t="s">
        <v>231</v>
      </c>
      <c r="C25" s="43" t="s">
        <v>232</v>
      </c>
    </row>
    <row r="26" spans="1:14" ht="20.100000000000001" hidden="1" customHeight="1" x14ac:dyDescent="0.35">
      <c r="A26" s="43"/>
      <c r="B26" s="276" t="s">
        <v>233</v>
      </c>
      <c r="C26" s="43" t="s">
        <v>234</v>
      </c>
    </row>
    <row r="27" spans="1:14" ht="20.100000000000001" customHeight="1" x14ac:dyDescent="0.35">
      <c r="A27" s="43"/>
      <c r="B27" s="276" t="s">
        <v>154</v>
      </c>
      <c r="C27" s="43" t="s">
        <v>235</v>
      </c>
    </row>
    <row r="28" spans="1:14" ht="20.100000000000001" hidden="1" customHeight="1" x14ac:dyDescent="0.35">
      <c r="A28" s="43"/>
      <c r="B28" s="273" t="s">
        <v>236</v>
      </c>
      <c r="C28" s="212" t="s">
        <v>237</v>
      </c>
    </row>
    <row r="29" spans="1:14" ht="20.100000000000001" hidden="1" customHeight="1" x14ac:dyDescent="0.35">
      <c r="A29" s="43"/>
      <c r="B29" s="273" t="s">
        <v>238</v>
      </c>
      <c r="C29" s="212" t="s">
        <v>239</v>
      </c>
    </row>
    <row r="30" spans="1:14" ht="18.75" customHeight="1" x14ac:dyDescent="0.35">
      <c r="A30" s="43"/>
      <c r="B30" s="276" t="s">
        <v>240</v>
      </c>
      <c r="C30" s="43" t="s">
        <v>241</v>
      </c>
    </row>
    <row r="31" spans="1:14" ht="18.75" customHeight="1" x14ac:dyDescent="0.35">
      <c r="A31" s="43"/>
      <c r="B31" s="276"/>
      <c r="C31" s="43"/>
    </row>
    <row r="32" spans="1:14" ht="20.100000000000001" customHeight="1" x14ac:dyDescent="0.35">
      <c r="A32" s="43"/>
      <c r="B32" s="43"/>
      <c r="C32" s="43"/>
    </row>
    <row r="33" spans="1:4" x14ac:dyDescent="0.35">
      <c r="A33" s="44" t="s">
        <v>51</v>
      </c>
      <c r="B33" s="43"/>
      <c r="C33" s="43"/>
    </row>
    <row r="34" spans="1:4" ht="26.25" hidden="1" customHeight="1" x14ac:dyDescent="0.4">
      <c r="C34" s="45"/>
    </row>
    <row r="35" spans="1:4" ht="26.25" hidden="1" customHeight="1" x14ac:dyDescent="0.4">
      <c r="C35" s="45"/>
    </row>
    <row r="36" spans="1:4" ht="18.75" customHeight="1" x14ac:dyDescent="0.4">
      <c r="C36" s="274"/>
      <c r="D36" s="275"/>
    </row>
    <row r="37" spans="1:4" ht="26.25" x14ac:dyDescent="0.4">
      <c r="C37" s="45"/>
    </row>
    <row r="38" spans="1:4" ht="26.25" x14ac:dyDescent="0.4">
      <c r="C38" s="45"/>
    </row>
    <row r="39" spans="1:4" ht="26.25" x14ac:dyDescent="0.4">
      <c r="C39" s="274"/>
    </row>
    <row r="40" spans="1:4" ht="26.25" x14ac:dyDescent="0.4">
      <c r="C40" s="45"/>
    </row>
    <row r="41" spans="1:4" ht="26.25" x14ac:dyDescent="0.4">
      <c r="C41" s="45"/>
    </row>
    <row r="42" spans="1:4" ht="26.25" x14ac:dyDescent="0.4">
      <c r="C42" s="45"/>
    </row>
    <row r="43" spans="1:4" ht="26.25" x14ac:dyDescent="0.4">
      <c r="C43" s="45"/>
    </row>
    <row r="44" spans="1:4" ht="26.25" x14ac:dyDescent="0.4">
      <c r="C44" s="45"/>
    </row>
    <row r="45" spans="1:4" ht="26.25" x14ac:dyDescent="0.4">
      <c r="C45" s="45"/>
    </row>
    <row r="46" spans="1:4" ht="26.25" x14ac:dyDescent="0.4">
      <c r="C46" s="45"/>
    </row>
    <row r="47" spans="1:4" ht="26.25" x14ac:dyDescent="0.4">
      <c r="C47" s="45"/>
    </row>
    <row r="48" spans="1:4" ht="26.25" x14ac:dyDescent="0.4">
      <c r="C48" s="45"/>
    </row>
    <row r="49" spans="3:3" ht="26.25" x14ac:dyDescent="0.4">
      <c r="C49" s="45"/>
    </row>
    <row r="50" spans="3:3" ht="26.25" x14ac:dyDescent="0.4">
      <c r="C50" s="45"/>
    </row>
    <row r="51" spans="3:3" ht="26.25" x14ac:dyDescent="0.4">
      <c r="C51" s="45"/>
    </row>
    <row r="52" spans="3:3" ht="26.25" x14ac:dyDescent="0.4">
      <c r="C52" s="45"/>
    </row>
    <row r="53" spans="3:3" ht="26.25" x14ac:dyDescent="0.4">
      <c r="C53" s="45"/>
    </row>
    <row r="54" spans="3:3" ht="26.25" x14ac:dyDescent="0.4">
      <c r="C54" s="45"/>
    </row>
    <row r="55" spans="3:3" ht="26.25" x14ac:dyDescent="0.4">
      <c r="C55" s="45"/>
    </row>
    <row r="56" spans="3:3" ht="26.25" x14ac:dyDescent="0.4">
      <c r="C56" s="45"/>
    </row>
    <row r="57" spans="3:3" ht="26.25" x14ac:dyDescent="0.4">
      <c r="C57" s="45"/>
    </row>
    <row r="58" spans="3:3" ht="26.25" x14ac:dyDescent="0.4">
      <c r="C58" s="45"/>
    </row>
  </sheetData>
  <hyperlinks>
    <hyperlink ref="A6" location="Figurer!A1" display="FIGURER" xr:uid="{00000000-0004-0000-0100-000000000000}"/>
    <hyperlink ref="A14" location="'Tabel 1.1'!A1" display="TABELLER" xr:uid="{00000000-0004-0000-0100-000001000000}"/>
    <hyperlink ref="B16" location="'Tabell 1.1'!A1" display="Tabell 1.1" xr:uid="{00000000-0004-0000-0100-000002000000}"/>
    <hyperlink ref="B17" location="'Tabell 1.2'!A1" display="Tabell 1.2" xr:uid="{00000000-0004-0000-0100-000003000000}"/>
    <hyperlink ref="A33" location="'Noter og kommentarer'!A1" display="NOTER OG KOMMENTARER" xr:uid="{00000000-0004-0000-0100-000004000000}"/>
    <hyperlink ref="B23" location="'Tabell 4'!A1" display="Tabell 4" xr:uid="{00000000-0004-0000-0100-000005000000}"/>
    <hyperlink ref="B27" location="'Tabell 6'!A1" display="Tabell 6" xr:uid="{00000000-0004-0000-0100-000006000000}"/>
    <hyperlink ref="B30" location="'Tabell 8'!A1" display="Tabell 8" xr:uid="{00000000-0004-0000-0100-000007000000}"/>
    <hyperlink ref="B24" location="'Tabell 5.1'!A1" display="Tabell 5.1" xr:uid="{00000000-0004-0000-0100-000008000000}"/>
    <hyperlink ref="B25" location="'Tabell 5.2'!A1" display="Tabell 5.2" xr:uid="{00000000-0004-0000-0100-000009000000}"/>
    <hyperlink ref="B26" location="'Tabell 5.3'!A1" display="Tabell 5.3" xr:uid="{00000000-0004-0000-0100-00000A000000}"/>
    <hyperlink ref="B28" location="'Tabell 7a'!A1" display="Tabell 7a" xr:uid="{00000000-0004-0000-0100-00000B000000}"/>
    <hyperlink ref="B29" location="'Tabell 7b'!A1" display="Tabell 7b" xr:uid="{00000000-0004-0000-0100-00000C00000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3"/>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360</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33530</v>
      </c>
      <c r="C47" s="245">
        <v>95312</v>
      </c>
      <c r="D47" s="332">
        <f t="shared" ref="D47:D57" si="0">IF(B47=0, "    ---- ", IF(ABS(ROUND(100/B47*C47-100,1))&lt;999,ROUND(100/B47*C47-100,1),IF(ROUND(100/B47*C47-100,1)&gt;999,999,-999)))</f>
        <v>184.3</v>
      </c>
      <c r="E47" s="8">
        <f>IFERROR(100/'Skjema total MA'!C47*C47,0)</f>
        <v>1.4962243784838558</v>
      </c>
      <c r="F47" s="108"/>
      <c r="G47" s="26"/>
      <c r="H47" s="116"/>
      <c r="I47" s="116"/>
      <c r="J47" s="30"/>
      <c r="K47" s="30"/>
      <c r="L47" s="116"/>
      <c r="M47" s="116"/>
    </row>
    <row r="48" spans="1:13" ht="15.75" x14ac:dyDescent="0.2">
      <c r="A48" s="17" t="s">
        <v>333</v>
      </c>
      <c r="B48" s="220">
        <v>33530</v>
      </c>
      <c r="C48" s="221">
        <v>95312</v>
      </c>
      <c r="D48" s="198">
        <f t="shared" si="0"/>
        <v>184.3</v>
      </c>
      <c r="E48" s="22">
        <f>IFERROR(100/'Skjema total MA'!C48*C48,0)</f>
        <v>2.6065315550942465</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v>2362</v>
      </c>
      <c r="C53" s="245">
        <v>57360</v>
      </c>
      <c r="D53" s="333">
        <f t="shared" si="0"/>
        <v>999</v>
      </c>
      <c r="E53" s="8">
        <f>IFERROR(100/'Skjema total MA'!C53*C53,0)</f>
        <v>19.027825866411312</v>
      </c>
      <c r="F53" s="108"/>
      <c r="G53" s="26"/>
      <c r="H53" s="108"/>
      <c r="I53" s="108"/>
      <c r="J53" s="26"/>
      <c r="K53" s="26"/>
      <c r="L53" s="116"/>
      <c r="M53" s="116"/>
    </row>
    <row r="54" spans="1:13" ht="15.75" x14ac:dyDescent="0.2">
      <c r="A54" s="17" t="s">
        <v>333</v>
      </c>
      <c r="B54" s="220">
        <v>2362</v>
      </c>
      <c r="C54" s="221">
        <v>57360</v>
      </c>
      <c r="D54" s="198">
        <f t="shared" si="0"/>
        <v>999</v>
      </c>
      <c r="E54" s="22">
        <f>IFERROR(100/'Skjema total MA'!C54*C54,0)</f>
        <v>19.478919364244067</v>
      </c>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v>774</v>
      </c>
      <c r="C56" s="245">
        <v>506</v>
      </c>
      <c r="D56" s="333">
        <f t="shared" si="0"/>
        <v>-34.6</v>
      </c>
      <c r="E56" s="8">
        <f>IFERROR(100/'Skjema total MA'!C56*C56,0)</f>
        <v>0.53868468806127079</v>
      </c>
      <c r="F56" s="108"/>
      <c r="G56" s="26"/>
      <c r="H56" s="108"/>
      <c r="I56" s="108"/>
      <c r="J56" s="26"/>
      <c r="K56" s="26"/>
      <c r="L56" s="116"/>
      <c r="M56" s="116"/>
    </row>
    <row r="57" spans="1:13" ht="15.75" x14ac:dyDescent="0.2">
      <c r="A57" s="17" t="s">
        <v>333</v>
      </c>
      <c r="B57" s="220">
        <v>774</v>
      </c>
      <c r="C57" s="221">
        <v>506</v>
      </c>
      <c r="D57" s="198">
        <f t="shared" si="0"/>
        <v>-34.6</v>
      </c>
      <c r="E57" s="22">
        <f>IFERROR(100/'Skjema total MA'!C57*C57,0)</f>
        <v>0.53868468806127079</v>
      </c>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308" priority="12">
      <formula>kvartal &lt; 4</formula>
    </cfRule>
  </conditionalFormatting>
  <conditionalFormatting sqref="A69:A74">
    <cfRule type="expression" dxfId="307" priority="10">
      <formula>kvartal &lt; 4</formula>
    </cfRule>
  </conditionalFormatting>
  <conditionalFormatting sqref="A80:A85">
    <cfRule type="expression" dxfId="306" priority="9">
      <formula>kvartal &lt; 4</formula>
    </cfRule>
  </conditionalFormatting>
  <conditionalFormatting sqref="A90:A95">
    <cfRule type="expression" dxfId="305" priority="6">
      <formula>kvartal &lt; 4</formula>
    </cfRule>
  </conditionalFormatting>
  <conditionalFormatting sqref="A101:A106">
    <cfRule type="expression" dxfId="304" priority="5">
      <formula>kvartal &lt; 4</formula>
    </cfRule>
  </conditionalFormatting>
  <conditionalFormatting sqref="A115:C115">
    <cfRule type="expression" dxfId="303" priority="4">
      <formula>kvartal &lt; 4</formula>
    </cfRule>
  </conditionalFormatting>
  <conditionalFormatting sqref="A123:C123">
    <cfRule type="expression" dxfId="302" priority="3">
      <formula>kvartal &lt; 4</formula>
    </cfRule>
  </conditionalFormatting>
  <conditionalFormatting sqref="F115:G115">
    <cfRule type="expression" dxfId="301" priority="57">
      <formula>kvartal &lt; 4</formula>
    </cfRule>
  </conditionalFormatting>
  <conditionalFormatting sqref="F123:G123">
    <cfRule type="expression" dxfId="300" priority="56">
      <formula>kvartal &lt; 4</formula>
    </cfRule>
  </conditionalFormatting>
  <conditionalFormatting sqref="J115:K115">
    <cfRule type="expression" dxfId="299" priority="32">
      <formula>kvartal &lt; 4</formula>
    </cfRule>
  </conditionalFormatting>
  <conditionalFormatting sqref="J123:K123">
    <cfRule type="expression" dxfId="298" priority="31">
      <formula>kvartal &lt; 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D853-0DF0-4C61-8584-51A962037551}">
  <dimension ref="A1:N144"/>
  <sheetViews>
    <sheetView showGridLines="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369</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26022</v>
      </c>
      <c r="C47" s="245">
        <v>28003.901999999998</v>
      </c>
      <c r="D47" s="332">
        <f t="shared" ref="D47:D48" si="0">IF(B47=0, "    ---- ", IF(ABS(ROUND(100/B47*C47-100,1))&lt;999,ROUND(100/B47*C47-100,1),IF(ROUND(100/B47*C47-100,1)&gt;999,999,-999)))</f>
        <v>7.6</v>
      </c>
      <c r="E47" s="8">
        <f>IFERROR(100/'Skjema total MA'!C47*C47,0)</f>
        <v>0.43961013162112644</v>
      </c>
      <c r="F47" s="108"/>
      <c r="G47" s="26"/>
      <c r="H47" s="116"/>
      <c r="I47" s="116"/>
      <c r="J47" s="30"/>
      <c r="K47" s="30"/>
      <c r="L47" s="116"/>
      <c r="M47" s="116"/>
    </row>
    <row r="48" spans="1:13" ht="15.75" x14ac:dyDescent="0.2">
      <c r="A48" s="17" t="s">
        <v>333</v>
      </c>
      <c r="B48" s="220">
        <v>26022</v>
      </c>
      <c r="C48" s="221">
        <v>28003.901999999998</v>
      </c>
      <c r="D48" s="198">
        <f t="shared" si="0"/>
        <v>7.6</v>
      </c>
      <c r="E48" s="22">
        <f>IFERROR(100/'Skjema total MA'!C48*C48,0)</f>
        <v>0.76583278316231829</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297" priority="7">
      <formula>kvartal &lt; 4</formula>
    </cfRule>
  </conditionalFormatting>
  <conditionalFormatting sqref="A69:A74">
    <cfRule type="expression" dxfId="296" priority="6">
      <formula>kvartal &lt; 4</formula>
    </cfRule>
  </conditionalFormatting>
  <conditionalFormatting sqref="A80:A85">
    <cfRule type="expression" dxfId="295" priority="5">
      <formula>kvartal &lt; 4</formula>
    </cfRule>
  </conditionalFormatting>
  <conditionalFormatting sqref="A90:A95">
    <cfRule type="expression" dxfId="294" priority="4">
      <formula>kvartal &lt; 4</formula>
    </cfRule>
  </conditionalFormatting>
  <conditionalFormatting sqref="A101:A106">
    <cfRule type="expression" dxfId="293" priority="3">
      <formula>kvartal &lt; 4</formula>
    </cfRule>
  </conditionalFormatting>
  <conditionalFormatting sqref="A115:C115">
    <cfRule type="expression" dxfId="292" priority="2">
      <formula>kvartal &lt; 4</formula>
    </cfRule>
  </conditionalFormatting>
  <conditionalFormatting sqref="A123:C123">
    <cfRule type="expression" dxfId="291" priority="1">
      <formula>kvartal &lt; 4</formula>
    </cfRule>
  </conditionalFormatting>
  <conditionalFormatting sqref="F115:G115">
    <cfRule type="expression" dxfId="290" priority="27">
      <formula>kvartal &lt; 4</formula>
    </cfRule>
  </conditionalFormatting>
  <conditionalFormatting sqref="F123:G123">
    <cfRule type="expression" dxfId="289" priority="26">
      <formula>kvartal &lt; 4</formula>
    </cfRule>
  </conditionalFormatting>
  <conditionalFormatting sqref="J115:K115">
    <cfRule type="expression" dxfId="288" priority="9">
      <formula>kvartal &lt; 4</formula>
    </cfRule>
  </conditionalFormatting>
  <conditionalFormatting sqref="J123:K123">
    <cfRule type="expression" dxfId="287" priority="8">
      <formula>kvartal &lt; 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5"/>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405</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419728.93344490102</v>
      </c>
      <c r="C7" s="241">
        <v>439293.76769275003</v>
      </c>
      <c r="D7" s="277">
        <f>IF(B7=0, "    ---- ", IF(ABS(ROUND(100/B7*C7-100,1))&lt;999,ROUND(100/B7*C7-100,1),IF(ROUND(100/B7*C7-100,1)&gt;999,999,-999)))</f>
        <v>4.7</v>
      </c>
      <c r="E7" s="8">
        <f>IFERROR(100/'Skjema total MA'!C7*C7,0)</f>
        <v>9.6288344643054646</v>
      </c>
      <c r="F7" s="240">
        <v>8523775.4786799997</v>
      </c>
      <c r="G7" s="241">
        <v>6301857.1321099997</v>
      </c>
      <c r="H7" s="277">
        <f>IF(F7=0, "    ---- ", IF(ABS(ROUND(100/F7*G7-100,1))&lt;999,ROUND(100/F7*G7-100,1),IF(ROUND(100/F7*G7-100,1)&gt;999,999,-999)))</f>
        <v>-26.1</v>
      </c>
      <c r="I7" s="117">
        <f>IFERROR(100/'Skjema total MA'!F7*G7,0)</f>
        <v>77.155244284081988</v>
      </c>
      <c r="J7" s="242">
        <f t="shared" ref="J7:K12" si="0">SUM(B7,F7)</f>
        <v>8943504.4121249001</v>
      </c>
      <c r="K7" s="243">
        <f t="shared" si="0"/>
        <v>6741150.89980275</v>
      </c>
      <c r="L7" s="332">
        <f>IF(J7=0, "    ---- ", IF(ABS(ROUND(100/J7*K7-100,1))&lt;999,ROUND(100/J7*K7-100,1),IF(ROUND(100/J7*K7-100,1)&gt;999,999,-999)))</f>
        <v>-24.6</v>
      </c>
      <c r="M7" s="8">
        <f>IFERROR(100/'Skjema total MA'!I7*K7,0)</f>
        <v>52.954688102231728</v>
      </c>
    </row>
    <row r="8" spans="1:14" ht="15.75" x14ac:dyDescent="0.2">
      <c r="A8" s="17" t="s">
        <v>25</v>
      </c>
      <c r="B8" s="220">
        <v>367168.70279263199</v>
      </c>
      <c r="C8" s="221">
        <v>388810.58150781598</v>
      </c>
      <c r="D8" s="121">
        <f t="shared" ref="D8:D10" si="1">IF(B8=0, "    ---- ", IF(ABS(ROUND(100/B8*C8-100,1))&lt;999,ROUND(100/B8*C8-100,1),IF(ROUND(100/B8*C8-100,1)&gt;999,999,-999)))</f>
        <v>5.9</v>
      </c>
      <c r="E8" s="22">
        <f>IFERROR(100/'Skjema total MA'!C8*C8,0)</f>
        <v>12.655782459617635</v>
      </c>
      <c r="F8" s="224"/>
      <c r="G8" s="225"/>
      <c r="H8" s="121"/>
      <c r="I8" s="129"/>
      <c r="J8" s="178">
        <f t="shared" si="0"/>
        <v>367168.70279263199</v>
      </c>
      <c r="K8" s="226">
        <f t="shared" si="0"/>
        <v>388810.58150781598</v>
      </c>
      <c r="L8" s="121">
        <f t="shared" ref="L8:L9" si="2">IF(J8=0, "    ---- ", IF(ABS(ROUND(100/J8*K8-100,1))&lt;999,ROUND(100/J8*K8-100,1),IF(ROUND(100/J8*K8-100,1)&gt;999,999,-999)))</f>
        <v>5.9</v>
      </c>
      <c r="M8" s="22">
        <f>IFERROR(100/'Skjema total MA'!I8*K8,0)</f>
        <v>12.655782459617635</v>
      </c>
    </row>
    <row r="9" spans="1:14" ht="15.75" x14ac:dyDescent="0.2">
      <c r="A9" s="17" t="s">
        <v>24</v>
      </c>
      <c r="B9" s="220">
        <v>48760.5433920578</v>
      </c>
      <c r="C9" s="221">
        <v>46956.260445956599</v>
      </c>
      <c r="D9" s="121">
        <f t="shared" si="1"/>
        <v>-3.7</v>
      </c>
      <c r="E9" s="22">
        <f>IFERROR(100/'Skjema total MA'!C9*C9,0)</f>
        <v>5.1945979015326325</v>
      </c>
      <c r="F9" s="224"/>
      <c r="G9" s="225"/>
      <c r="H9" s="121"/>
      <c r="I9" s="129"/>
      <c r="J9" s="178">
        <f t="shared" si="0"/>
        <v>48760.5433920578</v>
      </c>
      <c r="K9" s="226">
        <f t="shared" si="0"/>
        <v>46956.260445956599</v>
      </c>
      <c r="L9" s="121">
        <f t="shared" si="2"/>
        <v>-3.7</v>
      </c>
      <c r="M9" s="22">
        <f>IFERROR(100/'Skjema total MA'!I9*K9,0)</f>
        <v>5.1945979015326325</v>
      </c>
    </row>
    <row r="10" spans="1:14" ht="15.75" x14ac:dyDescent="0.2">
      <c r="A10" s="10" t="s">
        <v>322</v>
      </c>
      <c r="B10" s="244">
        <v>574521.52793074597</v>
      </c>
      <c r="C10" s="245">
        <v>512593.38980566501</v>
      </c>
      <c r="D10" s="125">
        <f t="shared" si="1"/>
        <v>-10.8</v>
      </c>
      <c r="E10" s="8">
        <f>IFERROR(100/'Skjema total MA'!C10*C10,0)</f>
        <v>4.0849590060885985</v>
      </c>
      <c r="F10" s="244">
        <v>63696721.822449997</v>
      </c>
      <c r="G10" s="245">
        <v>66715491.529385</v>
      </c>
      <c r="H10" s="125">
        <f t="shared" ref="H10:H12" si="3">IF(F10=0, "    ---- ", IF(ABS(ROUND(100/F10*G10-100,1))&lt;999,ROUND(100/F10*G10-100,1),IF(ROUND(100/F10*G10-100,1)&gt;999,999,-999)))</f>
        <v>4.7</v>
      </c>
      <c r="I10" s="117">
        <f>IFERROR(100/'Skjema total MA'!F10*G10,0)</f>
        <v>64.344804487495779</v>
      </c>
      <c r="J10" s="242">
        <f t="shared" si="0"/>
        <v>64271243.350380741</v>
      </c>
      <c r="K10" s="243">
        <f t="shared" si="0"/>
        <v>67228084.91919066</v>
      </c>
      <c r="L10" s="333">
        <f t="shared" ref="L10:L12" si="4">IF(J10=0, "    ---- ", IF(ABS(ROUND(100/J10*K10-100,1))&lt;999,ROUND(100/J10*K10-100,1),IF(ROUND(100/J10*K10-100,1)&gt;999,999,-999)))</f>
        <v>4.5999999999999996</v>
      </c>
      <c r="M10" s="8">
        <f>IFERROR(100/'Skjema total MA'!I10*K10,0)</f>
        <v>57.839237791079235</v>
      </c>
    </row>
    <row r="11" spans="1:14" s="34" customFormat="1" ht="15.75" x14ac:dyDescent="0.2">
      <c r="A11" s="10" t="s">
        <v>323</v>
      </c>
      <c r="B11" s="244"/>
      <c r="C11" s="245"/>
      <c r="D11" s="125"/>
      <c r="E11" s="8"/>
      <c r="F11" s="244">
        <v>100729.02888</v>
      </c>
      <c r="G11" s="245">
        <v>354982.95659999998</v>
      </c>
      <c r="H11" s="125">
        <f t="shared" si="3"/>
        <v>252.4</v>
      </c>
      <c r="I11" s="117">
        <f>IFERROR(100/'Skjema total MA'!F11*G11,0)</f>
        <v>72.075745829497848</v>
      </c>
      <c r="J11" s="242">
        <f t="shared" si="0"/>
        <v>100729.02888</v>
      </c>
      <c r="K11" s="243">
        <f t="shared" si="0"/>
        <v>354982.95659999998</v>
      </c>
      <c r="L11" s="333">
        <f t="shared" si="4"/>
        <v>252.4</v>
      </c>
      <c r="M11" s="8">
        <f>IFERROR(100/'Skjema total MA'!I11*K11,0)</f>
        <v>72.027040237571228</v>
      </c>
      <c r="N11" s="106"/>
    </row>
    <row r="12" spans="1:14" s="34" customFormat="1" ht="15.75" x14ac:dyDescent="0.2">
      <c r="A12" s="32" t="s">
        <v>324</v>
      </c>
      <c r="B12" s="246"/>
      <c r="C12" s="247"/>
      <c r="D12" s="123"/>
      <c r="E12" s="29"/>
      <c r="F12" s="246">
        <v>70024.854879999999</v>
      </c>
      <c r="G12" s="247">
        <v>64225.695059999998</v>
      </c>
      <c r="H12" s="123">
        <f t="shared" si="3"/>
        <v>-8.3000000000000007</v>
      </c>
      <c r="I12" s="123">
        <f>IFERROR(100/'Skjema total MA'!F12*G12,0)</f>
        <v>13.072565126200862</v>
      </c>
      <c r="J12" s="248">
        <f t="shared" si="0"/>
        <v>70024.854879999999</v>
      </c>
      <c r="K12" s="249">
        <f t="shared" si="0"/>
        <v>64225.695059999998</v>
      </c>
      <c r="L12" s="334">
        <f t="shared" si="4"/>
        <v>-8.3000000000000007</v>
      </c>
      <c r="M12" s="29">
        <f>IFERROR(100/'Skjema total MA'!I12*K12,0)</f>
        <v>13.063476873894608</v>
      </c>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182185.89380822401</v>
      </c>
      <c r="C22" s="244">
        <v>208342.18141909799</v>
      </c>
      <c r="D22" s="277">
        <f t="shared" ref="D22:D34" si="5">IF(B22=0, "    ---- ", IF(ABS(ROUND(100/B22*C22-100,1))&lt;999,ROUND(100/B22*C22-100,1),IF(ROUND(100/B22*C22-100,1)&gt;999,999,-999)))</f>
        <v>14.4</v>
      </c>
      <c r="E22" s="8">
        <f>IFERROR(100/'Skjema total MA'!C22*C22,0)</f>
        <v>9.8688157921912971</v>
      </c>
      <c r="F22" s="252">
        <v>181089.62964</v>
      </c>
      <c r="G22" s="252">
        <v>212356.77809000001</v>
      </c>
      <c r="H22" s="277">
        <f t="shared" ref="H22:H35" si="6">IF(F22=0, "    ---- ", IF(ABS(ROUND(100/F22*G22-100,1))&lt;999,ROUND(100/F22*G22-100,1),IF(ROUND(100/F22*G22-100,1)&gt;999,999,-999)))</f>
        <v>17.3</v>
      </c>
      <c r="I22" s="8">
        <f>IFERROR(100/'Skjema total MA'!F22*G22,0)</f>
        <v>26.539974116856975</v>
      </c>
      <c r="J22" s="250">
        <f t="shared" ref="J22:K35" si="7">SUM(B22,F22)</f>
        <v>363275.523448224</v>
      </c>
      <c r="K22" s="250">
        <f t="shared" si="7"/>
        <v>420698.95950909797</v>
      </c>
      <c r="L22" s="332">
        <f t="shared" ref="L22:L35" si="8">IF(J22=0, "    ---- ", IF(ABS(ROUND(100/J22*K22-100,1))&lt;999,ROUND(100/J22*K22-100,1),IF(ROUND(100/J22*K22-100,1)&gt;999,999,-999)))</f>
        <v>15.8</v>
      </c>
      <c r="M22" s="20">
        <f>IFERROR(100/'Skjema total MA'!I22*K22,0)</f>
        <v>14.450773320315204</v>
      </c>
    </row>
    <row r="23" spans="1:13" ht="15.75" x14ac:dyDescent="0.2">
      <c r="A23" s="372" t="s">
        <v>325</v>
      </c>
      <c r="B23" s="220">
        <v>182062.46680822401</v>
      </c>
      <c r="C23" s="220">
        <v>208243.053419098</v>
      </c>
      <c r="D23" s="121">
        <f t="shared" si="5"/>
        <v>14.4</v>
      </c>
      <c r="E23" s="8">
        <f>IFERROR(100/'Skjema total MA'!C23*C23,0)</f>
        <v>15.792414064799102</v>
      </c>
      <c r="F23" s="228">
        <v>1482.84294</v>
      </c>
      <c r="G23" s="228">
        <v>1148.7149999999999</v>
      </c>
      <c r="H23" s="121">
        <f t="shared" si="6"/>
        <v>-22.5</v>
      </c>
      <c r="I23" s="325">
        <f>IFERROR(100/'Skjema total MA'!F23*G23,0)</f>
        <v>2.9453233520504321</v>
      </c>
      <c r="J23" s="228">
        <f t="shared" ref="J23:J26" si="9">SUM(B23,F23)</f>
        <v>183545.30974822401</v>
      </c>
      <c r="K23" s="228">
        <f t="shared" ref="K23:K26" si="10">SUM(C23,G23)</f>
        <v>209391.76841909799</v>
      </c>
      <c r="L23" s="121">
        <f t="shared" si="8"/>
        <v>14.1</v>
      </c>
      <c r="M23" s="19">
        <f>IFERROR(100/'Skjema total MA'!I23*K23,0)</f>
        <v>15.423348795948749</v>
      </c>
    </row>
    <row r="24" spans="1:13" ht="15.75" x14ac:dyDescent="0.2">
      <c r="A24" s="372" t="s">
        <v>326</v>
      </c>
      <c r="B24" s="220">
        <v>123.42700000000001</v>
      </c>
      <c r="C24" s="220">
        <v>99.128</v>
      </c>
      <c r="D24" s="121">
        <f t="shared" si="5"/>
        <v>-19.7</v>
      </c>
      <c r="E24" s="8">
        <f>IFERROR(100/'Skjema total MA'!C24*C24,0)</f>
        <v>1.0050388596670528</v>
      </c>
      <c r="F24" s="228"/>
      <c r="G24" s="228"/>
      <c r="H24" s="121"/>
      <c r="I24" s="325"/>
      <c r="J24" s="228">
        <f t="shared" si="9"/>
        <v>123.42700000000001</v>
      </c>
      <c r="K24" s="228">
        <f t="shared" si="10"/>
        <v>99.128</v>
      </c>
      <c r="L24" s="121">
        <f t="shared" si="8"/>
        <v>-19.7</v>
      </c>
      <c r="M24" s="19">
        <f>IFERROR(100/'Skjema total MA'!I24*K24,0)</f>
        <v>0.96754072864201279</v>
      </c>
    </row>
    <row r="25" spans="1:13" ht="15.75" x14ac:dyDescent="0.2">
      <c r="A25" s="372" t="s">
        <v>327</v>
      </c>
      <c r="B25" s="220"/>
      <c r="C25" s="220"/>
      <c r="D25" s="121"/>
      <c r="E25" s="8"/>
      <c r="F25" s="228">
        <v>595.1</v>
      </c>
      <c r="G25" s="228">
        <v>537.495</v>
      </c>
      <c r="H25" s="121">
        <f t="shared" si="6"/>
        <v>-9.6999999999999993</v>
      </c>
      <c r="I25" s="325">
        <f>IFERROR(100/'Skjema total MA'!F25*G25,0)</f>
        <v>4.9671002739419636</v>
      </c>
      <c r="J25" s="228">
        <f t="shared" si="9"/>
        <v>595.1</v>
      </c>
      <c r="K25" s="228">
        <f t="shared" si="10"/>
        <v>537.495</v>
      </c>
      <c r="L25" s="121">
        <f t="shared" si="8"/>
        <v>-9.6999999999999993</v>
      </c>
      <c r="M25" s="19">
        <f>IFERROR(100/'Skjema total MA'!I25*K25,0)</f>
        <v>2.055981177114115</v>
      </c>
    </row>
    <row r="26" spans="1:13" ht="15.75" x14ac:dyDescent="0.2">
      <c r="A26" s="372" t="s">
        <v>328</v>
      </c>
      <c r="B26" s="220"/>
      <c r="C26" s="220"/>
      <c r="D26" s="121"/>
      <c r="E26" s="8"/>
      <c r="F26" s="228">
        <v>179011.68669999999</v>
      </c>
      <c r="G26" s="228">
        <v>210670.56808999999</v>
      </c>
      <c r="H26" s="121">
        <f t="shared" si="6"/>
        <v>17.7</v>
      </c>
      <c r="I26" s="325">
        <f>IFERROR(100/'Skjema total MA'!F26*G26,0)</f>
        <v>28.091855764688997</v>
      </c>
      <c r="J26" s="228">
        <f t="shared" si="9"/>
        <v>179011.68669999999</v>
      </c>
      <c r="K26" s="228">
        <f t="shared" si="10"/>
        <v>210670.56808999999</v>
      </c>
      <c r="L26" s="121">
        <f t="shared" si="8"/>
        <v>17.7</v>
      </c>
      <c r="M26" s="19">
        <f>IFERROR(100/'Skjema total MA'!I26*K26,0)</f>
        <v>28.091855764688997</v>
      </c>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188695.835155735</v>
      </c>
      <c r="C28" s="226">
        <v>215702.42980213999</v>
      </c>
      <c r="D28" s="121">
        <f t="shared" si="5"/>
        <v>14.3</v>
      </c>
      <c r="E28" s="8">
        <f>IFERROR(100/'Skjema total MA'!C28*C28,0)</f>
        <v>8.2296763661323276</v>
      </c>
      <c r="F28" s="137"/>
      <c r="G28" s="137"/>
      <c r="H28" s="121"/>
      <c r="I28" s="22"/>
      <c r="J28" s="35">
        <f t="shared" si="7"/>
        <v>188695.835155735</v>
      </c>
      <c r="K28" s="35">
        <f t="shared" si="7"/>
        <v>215702.42980213999</v>
      </c>
      <c r="L28" s="198">
        <f t="shared" si="8"/>
        <v>14.3</v>
      </c>
      <c r="M28" s="19">
        <f>IFERROR(100/'Skjema total MA'!I28*K28,0)</f>
        <v>8.2296763661323276</v>
      </c>
    </row>
    <row r="29" spans="1:13" ht="15.75" x14ac:dyDescent="0.2">
      <c r="A29" s="10" t="s">
        <v>322</v>
      </c>
      <c r="B29" s="180">
        <v>4034310.6865805299</v>
      </c>
      <c r="C29" s="180">
        <v>4284261.58281112</v>
      </c>
      <c r="D29" s="125">
        <f t="shared" si="5"/>
        <v>6.2</v>
      </c>
      <c r="E29" s="8">
        <f>IFERROR(100/'Skjema total MA'!C29*C29,0)</f>
        <v>9.729108974178116</v>
      </c>
      <c r="F29" s="242">
        <v>6788142.5300000003</v>
      </c>
      <c r="G29" s="242">
        <v>7379762.1200000001</v>
      </c>
      <c r="H29" s="125">
        <f t="shared" si="6"/>
        <v>8.6999999999999993</v>
      </c>
      <c r="I29" s="8">
        <f>IFERROR(100/'Skjema total MA'!F29*G29,0)</f>
        <v>23.881227097387438</v>
      </c>
      <c r="J29" s="180">
        <f t="shared" si="7"/>
        <v>10822453.216580531</v>
      </c>
      <c r="K29" s="180">
        <f t="shared" si="7"/>
        <v>11664023.70281112</v>
      </c>
      <c r="L29" s="333">
        <f t="shared" si="8"/>
        <v>7.8</v>
      </c>
      <c r="M29" s="20">
        <f>IFERROR(100/'Skjema total MA'!I29*K29,0)</f>
        <v>15.565015630906057</v>
      </c>
    </row>
    <row r="30" spans="1:13" ht="15.75" x14ac:dyDescent="0.2">
      <c r="A30" s="372" t="s">
        <v>325</v>
      </c>
      <c r="B30" s="220">
        <v>450110.66811272298</v>
      </c>
      <c r="C30" s="220">
        <v>432721.36826518201</v>
      </c>
      <c r="D30" s="121">
        <f t="shared" si="5"/>
        <v>-3.9</v>
      </c>
      <c r="E30" s="8">
        <f>IFERROR(100/'Skjema total MA'!C30*C30,0)</f>
        <v>2.2765775361431144</v>
      </c>
      <c r="F30" s="228">
        <v>387966.14636483998</v>
      </c>
      <c r="G30" s="228">
        <v>365597.56357933598</v>
      </c>
      <c r="H30" s="121">
        <f t="shared" si="6"/>
        <v>-5.8</v>
      </c>
      <c r="I30" s="325">
        <f>IFERROR(100/'Skjema total MA'!F30*G30,0)</f>
        <v>9.9154546837685338</v>
      </c>
      <c r="J30" s="228">
        <f t="shared" ref="J30:J33" si="11">SUM(B30,F30)</f>
        <v>838076.8144775629</v>
      </c>
      <c r="K30" s="228">
        <f t="shared" ref="K30:K33" si="12">SUM(C30,G30)</f>
        <v>798318.93184451805</v>
      </c>
      <c r="L30" s="121">
        <f t="shared" si="8"/>
        <v>-4.7</v>
      </c>
      <c r="M30" s="19">
        <f>IFERROR(100/'Skjema total MA'!I30*K30,0)</f>
        <v>3.517646651602226</v>
      </c>
    </row>
    <row r="31" spans="1:13" ht="15.75" x14ac:dyDescent="0.2">
      <c r="A31" s="372" t="s">
        <v>326</v>
      </c>
      <c r="B31" s="220">
        <v>2666978.6096613798</v>
      </c>
      <c r="C31" s="220">
        <v>2750003.93481434</v>
      </c>
      <c r="D31" s="121">
        <f t="shared" si="5"/>
        <v>3.1</v>
      </c>
      <c r="E31" s="8">
        <f>IFERROR(100/'Skjema total MA'!C31*C31,0)</f>
        <v>12.341684959182608</v>
      </c>
      <c r="F31" s="228">
        <v>682981.70108854806</v>
      </c>
      <c r="G31" s="228">
        <v>640162.06789784494</v>
      </c>
      <c r="H31" s="121">
        <f t="shared" si="6"/>
        <v>-6.3</v>
      </c>
      <c r="I31" s="325">
        <f>IFERROR(100/'Skjema total MA'!F31*G31,0)</f>
        <v>8.7163480030453169</v>
      </c>
      <c r="J31" s="228">
        <f t="shared" si="11"/>
        <v>3349960.310749928</v>
      </c>
      <c r="K31" s="228">
        <f t="shared" si="12"/>
        <v>3390166.002712185</v>
      </c>
      <c r="L31" s="121">
        <f t="shared" si="8"/>
        <v>1.2</v>
      </c>
      <c r="M31" s="19">
        <f>IFERROR(100/'Skjema total MA'!I31*K31,0)</f>
        <v>11.44297080927438</v>
      </c>
    </row>
    <row r="32" spans="1:13" ht="15.75" x14ac:dyDescent="0.2">
      <c r="A32" s="372" t="s">
        <v>327</v>
      </c>
      <c r="B32" s="220">
        <v>917221.40880642203</v>
      </c>
      <c r="C32" s="220">
        <v>1101536.2797315901</v>
      </c>
      <c r="D32" s="121">
        <f t="shared" si="5"/>
        <v>20.100000000000001</v>
      </c>
      <c r="E32" s="8">
        <f>IFERROR(100/'Skjema total MA'!C32*C32,0)</f>
        <v>42.771945494977629</v>
      </c>
      <c r="F32" s="228">
        <v>2747119.9391684099</v>
      </c>
      <c r="G32" s="228">
        <v>2860011.0848461199</v>
      </c>
      <c r="H32" s="121">
        <f t="shared" si="6"/>
        <v>4.0999999999999996</v>
      </c>
      <c r="I32" s="325">
        <f>IFERROR(100/'Skjema total MA'!F32*G32,0)</f>
        <v>39.583460565394049</v>
      </c>
      <c r="J32" s="228">
        <f t="shared" si="11"/>
        <v>3664341.3479748322</v>
      </c>
      <c r="K32" s="228">
        <f t="shared" si="12"/>
        <v>3961547.3645777097</v>
      </c>
      <c r="L32" s="121">
        <f t="shared" si="8"/>
        <v>8.1</v>
      </c>
      <c r="M32" s="19">
        <f>IFERROR(100/'Skjema total MA'!I32*K32,0)</f>
        <v>40.421317328618834</v>
      </c>
    </row>
    <row r="33" spans="1:13" ht="15.75" x14ac:dyDescent="0.2">
      <c r="A33" s="372" t="s">
        <v>328</v>
      </c>
      <c r="B33" s="220"/>
      <c r="C33" s="220"/>
      <c r="D33" s="121"/>
      <c r="E33" s="8"/>
      <c r="F33" s="228">
        <v>2970074.7433782099</v>
      </c>
      <c r="G33" s="228">
        <v>3513991.4036766998</v>
      </c>
      <c r="H33" s="121">
        <f t="shared" si="6"/>
        <v>18.3</v>
      </c>
      <c r="I33" s="325">
        <f>IFERROR(100/'Skjema total MA'!F33*G33,0)</f>
        <v>27.789269240808597</v>
      </c>
      <c r="J33" s="228">
        <f t="shared" si="11"/>
        <v>2970074.7433782099</v>
      </c>
      <c r="K33" s="228">
        <f t="shared" si="12"/>
        <v>3513991.4036766998</v>
      </c>
      <c r="L33" s="121">
        <f t="shared" si="8"/>
        <v>18.3</v>
      </c>
      <c r="M33" s="19">
        <f>IFERROR(100/'Skjema total MA'!I33*K33,0)</f>
        <v>27.789269240808597</v>
      </c>
    </row>
    <row r="34" spans="1:13" ht="15.75" x14ac:dyDescent="0.2">
      <c r="A34" s="10" t="s">
        <v>323</v>
      </c>
      <c r="B34" s="180"/>
      <c r="C34" s="243">
        <v>4264.03665</v>
      </c>
      <c r="D34" s="125" t="str">
        <f t="shared" si="5"/>
        <v xml:space="preserve">    ---- </v>
      </c>
      <c r="E34" s="8">
        <f>IFERROR(100/'Skjema total MA'!C34*C34,0)</f>
        <v>17.564704964318587</v>
      </c>
      <c r="F34" s="242">
        <v>38524.33453</v>
      </c>
      <c r="G34" s="243">
        <v>69178.829519999999</v>
      </c>
      <c r="H34" s="125">
        <f t="shared" si="6"/>
        <v>79.599999999999994</v>
      </c>
      <c r="I34" s="8">
        <f>IFERROR(100/'Skjema total MA'!F34*G34,0)</f>
        <v>-35.382484267440141</v>
      </c>
      <c r="J34" s="180">
        <f t="shared" si="7"/>
        <v>38524.33453</v>
      </c>
      <c r="K34" s="180">
        <f t="shared" si="7"/>
        <v>73442.866169999994</v>
      </c>
      <c r="L34" s="333">
        <f t="shared" si="8"/>
        <v>90.6</v>
      </c>
      <c r="M34" s="20">
        <f>IFERROR(100/'Skjema total MA'!I34*K34,0)</f>
        <v>-42.888599496159742</v>
      </c>
    </row>
    <row r="35" spans="1:13" ht="15.75" x14ac:dyDescent="0.2">
      <c r="A35" s="10" t="s">
        <v>324</v>
      </c>
      <c r="B35" s="180"/>
      <c r="C35" s="243"/>
      <c r="D35" s="125"/>
      <c r="E35" s="8"/>
      <c r="F35" s="242">
        <v>39561.407449999999</v>
      </c>
      <c r="G35" s="243">
        <v>39958.017110000001</v>
      </c>
      <c r="H35" s="125">
        <f t="shared" si="6"/>
        <v>1</v>
      </c>
      <c r="I35" s="8">
        <f>IFERROR(100/'Skjema total MA'!F35*G35,0)</f>
        <v>21.928418474425428</v>
      </c>
      <c r="J35" s="180">
        <f t="shared" si="7"/>
        <v>39561.407449999999</v>
      </c>
      <c r="K35" s="180">
        <f t="shared" si="7"/>
        <v>39958.017110000001</v>
      </c>
      <c r="L35" s="333">
        <f t="shared" si="8"/>
        <v>1</v>
      </c>
      <c r="M35" s="20">
        <f>IFERROR(100/'Skjema total MA'!I35*K35,0)</f>
        <v>-24.321471576597144</v>
      </c>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c r="C47" s="245"/>
      <c r="D47" s="332"/>
      <c r="E47" s="8"/>
      <c r="F47" s="108"/>
      <c r="G47" s="26"/>
      <c r="H47" s="116"/>
      <c r="I47" s="116"/>
      <c r="J47" s="30"/>
      <c r="K47" s="30"/>
      <c r="L47" s="116"/>
      <c r="M47" s="116"/>
    </row>
    <row r="48" spans="1:13" ht="15.75" x14ac:dyDescent="0.2">
      <c r="A48" s="17" t="s">
        <v>333</v>
      </c>
      <c r="B48" s="220"/>
      <c r="C48" s="221"/>
      <c r="D48" s="198"/>
      <c r="E48" s="22"/>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v>858062</v>
      </c>
      <c r="C66" s="280">
        <v>972450</v>
      </c>
      <c r="D66" s="277">
        <f t="shared" ref="D66:D109" si="13">IF(B66=0, "    ---- ", IF(ABS(ROUND(100/B66*C66-100,1))&lt;999,ROUND(100/B66*C66-100,1),IF(ROUND(100/B66*C66-100,1)&gt;999,999,-999)))</f>
        <v>13.3</v>
      </c>
      <c r="E66" s="8">
        <f>IFERROR(100/'Skjema total MA'!C66*C66,0)</f>
        <v>12.947027734767021</v>
      </c>
      <c r="F66" s="279">
        <v>6401173.4369999999</v>
      </c>
      <c r="G66" s="279">
        <v>7194510.2980000004</v>
      </c>
      <c r="H66" s="277">
        <f t="shared" ref="H66:H111" si="14">IF(F66=0, "    ---- ", IF(ABS(ROUND(100/F66*G66-100,1))&lt;999,ROUND(100/F66*G66-100,1),IF(ROUND(100/F66*G66-100,1)&gt;999,999,-999)))</f>
        <v>12.4</v>
      </c>
      <c r="I66" s="8">
        <f>IFERROR(100/'Skjema total MA'!F66*G66,0)</f>
        <v>16.463300243229771</v>
      </c>
      <c r="J66" s="243">
        <f t="shared" ref="J66:K86" si="15">SUM(B66,F66)</f>
        <v>7259235.4369999999</v>
      </c>
      <c r="K66" s="250">
        <f t="shared" si="15"/>
        <v>8166960.2980000004</v>
      </c>
      <c r="L66" s="333">
        <f t="shared" ref="L66:L111" si="16">IF(J66=0, "    ---- ", IF(ABS(ROUND(100/J66*K66-100,1))&lt;999,ROUND(100/J66*K66-100,1),IF(ROUND(100/J66*K66-100,1)&gt;999,999,-999)))</f>
        <v>12.5</v>
      </c>
      <c r="M66" s="8">
        <f>IFERROR(100/'Skjema total MA'!I66*K66,0)</f>
        <v>15.947580122182249</v>
      </c>
    </row>
    <row r="67" spans="1:13" x14ac:dyDescent="0.2">
      <c r="A67" s="38" t="s">
        <v>9</v>
      </c>
      <c r="B67" s="35">
        <v>498206.91434095299</v>
      </c>
      <c r="C67" s="108">
        <v>562621.76848131302</v>
      </c>
      <c r="D67" s="121">
        <f t="shared" si="13"/>
        <v>12.9</v>
      </c>
      <c r="E67" s="22">
        <f>IFERROR(100/'Skjema total MA'!C67*C67,0)</f>
        <v>13.948231761478125</v>
      </c>
      <c r="F67" s="178"/>
      <c r="G67" s="108"/>
      <c r="H67" s="121"/>
      <c r="I67" s="22"/>
      <c r="J67" s="226">
        <f t="shared" si="15"/>
        <v>498206.91434095299</v>
      </c>
      <c r="K67" s="35">
        <f t="shared" si="15"/>
        <v>562621.76848131302</v>
      </c>
      <c r="L67" s="198">
        <f t="shared" si="16"/>
        <v>12.9</v>
      </c>
      <c r="M67" s="22">
        <f>IFERROR(100/'Skjema total MA'!I67*K67,0)</f>
        <v>13.948231761478125</v>
      </c>
    </row>
    <row r="68" spans="1:13" x14ac:dyDescent="0.2">
      <c r="A68" s="17" t="s">
        <v>10</v>
      </c>
      <c r="B68" s="229">
        <v>577</v>
      </c>
      <c r="C68" s="230">
        <v>1789</v>
      </c>
      <c r="D68" s="121">
        <f t="shared" si="13"/>
        <v>210.1</v>
      </c>
      <c r="E68" s="22">
        <f>IFERROR(100/'Skjema total MA'!C68*C68,0)</f>
        <v>9.4226593263086595</v>
      </c>
      <c r="F68" s="229">
        <v>6401173.4369999999</v>
      </c>
      <c r="G68" s="230">
        <v>7194510.2980000004</v>
      </c>
      <c r="H68" s="121">
        <f t="shared" si="14"/>
        <v>12.4</v>
      </c>
      <c r="I68" s="22">
        <f>IFERROR(100/'Skjema total MA'!F68*G68,0)</f>
        <v>17.106387165279894</v>
      </c>
      <c r="J68" s="226">
        <f t="shared" si="15"/>
        <v>6401750.4369999999</v>
      </c>
      <c r="K68" s="35">
        <f t="shared" si="15"/>
        <v>7196299.2980000004</v>
      </c>
      <c r="L68" s="198">
        <f t="shared" si="16"/>
        <v>12.4</v>
      </c>
      <c r="M68" s="22">
        <f>IFERROR(100/'Skjema total MA'!I68*K68,0)</f>
        <v>17.102920037304962</v>
      </c>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v>359278.08565904701</v>
      </c>
      <c r="C76" s="108">
        <v>408039.23151868698</v>
      </c>
      <c r="D76" s="121">
        <f t="shared" ref="D76" si="17">IF(B76=0, "    ---- ", IF(ABS(ROUND(100/B76*C76-100,1))&lt;999,ROUND(100/B76*C76-100,1),IF(ROUND(100/B76*C76-100,1)&gt;999,999,-999)))</f>
        <v>13.6</v>
      </c>
      <c r="E76" s="22">
        <f>IFERROR(100/'Skjema total MA'!C76*C76,0)</f>
        <v>15.075015951268361</v>
      </c>
      <c r="F76" s="178"/>
      <c r="G76" s="108"/>
      <c r="H76" s="121"/>
      <c r="I76" s="22"/>
      <c r="J76" s="226">
        <f t="shared" ref="J76" si="18">SUM(B76,F76)</f>
        <v>359278.08565904701</v>
      </c>
      <c r="K76" s="35">
        <f t="shared" ref="K76" si="19">SUM(C76,G76)</f>
        <v>408039.23151868698</v>
      </c>
      <c r="L76" s="198">
        <f t="shared" ref="L76" si="20">IF(J76=0, "    ---- ", IF(ABS(ROUND(100/J76*K76-100,1))&lt;999,ROUND(100/J76*K76-100,1),IF(ROUND(100/J76*K76-100,1)&gt;999,999,-999)))</f>
        <v>13.6</v>
      </c>
      <c r="M76" s="22">
        <f>IFERROR(100/'Skjema total MA'!I76*K76,0)</f>
        <v>15.075015951268361</v>
      </c>
    </row>
    <row r="77" spans="1:13" ht="15.75" x14ac:dyDescent="0.2">
      <c r="A77" s="17" t="s">
        <v>339</v>
      </c>
      <c r="B77" s="178">
        <v>492360.946340953</v>
      </c>
      <c r="C77" s="178">
        <v>558585.21848131297</v>
      </c>
      <c r="D77" s="121">
        <f t="shared" si="13"/>
        <v>13.5</v>
      </c>
      <c r="E77" s="22">
        <f>IFERROR(100/'Skjema total MA'!C77*C77,0)</f>
        <v>14.102998977876469</v>
      </c>
      <c r="F77" s="178">
        <v>6399112.2379999999</v>
      </c>
      <c r="G77" s="108">
        <v>7192498.7879999997</v>
      </c>
      <c r="H77" s="121">
        <f t="shared" si="14"/>
        <v>12.4</v>
      </c>
      <c r="I77" s="22">
        <f>IFERROR(100/'Skjema total MA'!F77*G77,0)</f>
        <v>17.105811820086913</v>
      </c>
      <c r="J77" s="226">
        <f t="shared" si="15"/>
        <v>6891473.1843409529</v>
      </c>
      <c r="K77" s="35">
        <f t="shared" si="15"/>
        <v>7751084.0064813122</v>
      </c>
      <c r="L77" s="198">
        <f t="shared" si="16"/>
        <v>12.5</v>
      </c>
      <c r="M77" s="22">
        <f>IFERROR(100/'Skjema total MA'!I77*K77,0)</f>
        <v>16.847303699573775</v>
      </c>
    </row>
    <row r="78" spans="1:13" x14ac:dyDescent="0.2">
      <c r="A78" s="17" t="s">
        <v>9</v>
      </c>
      <c r="B78" s="178">
        <v>491783.946340953</v>
      </c>
      <c r="C78" s="108">
        <v>556796.21848131297</v>
      </c>
      <c r="D78" s="121">
        <f t="shared" si="13"/>
        <v>13.2</v>
      </c>
      <c r="E78" s="22">
        <f>IFERROR(100/'Skjema total MA'!C78*C78,0)</f>
        <v>14.125542568173307</v>
      </c>
      <c r="F78" s="178"/>
      <c r="G78" s="108"/>
      <c r="H78" s="121"/>
      <c r="I78" s="22"/>
      <c r="J78" s="226">
        <f t="shared" si="15"/>
        <v>491783.946340953</v>
      </c>
      <c r="K78" s="35">
        <f t="shared" si="15"/>
        <v>556796.21848131297</v>
      </c>
      <c r="L78" s="198">
        <f t="shared" si="16"/>
        <v>13.2</v>
      </c>
      <c r="M78" s="22">
        <f>IFERROR(100/'Skjema total MA'!I78*K78,0)</f>
        <v>14.125542568173307</v>
      </c>
    </row>
    <row r="79" spans="1:13" x14ac:dyDescent="0.2">
      <c r="A79" s="17" t="s">
        <v>366</v>
      </c>
      <c r="B79" s="229">
        <v>577</v>
      </c>
      <c r="C79" s="230">
        <v>1789</v>
      </c>
      <c r="D79" s="121">
        <f t="shared" si="13"/>
        <v>210.1</v>
      </c>
      <c r="E79" s="22">
        <f>IFERROR(100/'Skjema total MA'!C79*C79,0)</f>
        <v>9.4226593263086595</v>
      </c>
      <c r="F79" s="229">
        <v>6399112.2379999999</v>
      </c>
      <c r="G79" s="230">
        <v>7192498.7879999997</v>
      </c>
      <c r="H79" s="121">
        <f t="shared" si="14"/>
        <v>12.4</v>
      </c>
      <c r="I79" s="22">
        <f>IFERROR(100/'Skjema total MA'!F79*G79,0)</f>
        <v>17.105811820086913</v>
      </c>
      <c r="J79" s="226">
        <f t="shared" si="15"/>
        <v>6399689.2379999999</v>
      </c>
      <c r="K79" s="35">
        <f t="shared" si="15"/>
        <v>7194287.7879999997</v>
      </c>
      <c r="L79" s="198">
        <f t="shared" si="16"/>
        <v>12.4</v>
      </c>
      <c r="M79" s="22">
        <f>IFERROR(100/'Skjema total MA'!I79*K79,0)</f>
        <v>17.102344099173642</v>
      </c>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v>6423.0720000000001</v>
      </c>
      <c r="C86" s="108">
        <v>5825.55</v>
      </c>
      <c r="D86" s="121">
        <f t="shared" si="13"/>
        <v>-9.3000000000000007</v>
      </c>
      <c r="E86" s="22">
        <f>IFERROR(100/'Skjema total MA'!C86*C86,0)</f>
        <v>6.3408366303749997</v>
      </c>
      <c r="F86" s="178">
        <v>2061.1990000000001</v>
      </c>
      <c r="G86" s="108">
        <v>2011.51</v>
      </c>
      <c r="H86" s="121">
        <f t="shared" si="14"/>
        <v>-2.4</v>
      </c>
      <c r="I86" s="22">
        <f>IFERROR(100/'Skjema total MA'!F86*G86,0)</f>
        <v>19.444951148126094</v>
      </c>
      <c r="J86" s="226">
        <f t="shared" si="15"/>
        <v>8484.2710000000006</v>
      </c>
      <c r="K86" s="35">
        <f t="shared" si="15"/>
        <v>7837.06</v>
      </c>
      <c r="L86" s="198">
        <f t="shared" si="16"/>
        <v>-7.6</v>
      </c>
      <c r="M86" s="22">
        <f>IFERROR(100/'Skjema total MA'!I86*K86,0)</f>
        <v>7.6669936600894859</v>
      </c>
    </row>
    <row r="87" spans="1:13" ht="15.75" x14ac:dyDescent="0.2">
      <c r="A87" s="10" t="s">
        <v>322</v>
      </c>
      <c r="B87" s="280">
        <v>50166237.785490192</v>
      </c>
      <c r="C87" s="280">
        <v>51132035.027383901</v>
      </c>
      <c r="D87" s="125">
        <f t="shared" si="13"/>
        <v>1.9</v>
      </c>
      <c r="E87" s="8">
        <f>IFERROR(100/'Skjema total MA'!C87*C87,0)</f>
        <v>12.360842336282587</v>
      </c>
      <c r="F87" s="279">
        <v>105865265.64755</v>
      </c>
      <c r="G87" s="279">
        <v>129441316.35061499</v>
      </c>
      <c r="H87" s="125">
        <f t="shared" si="14"/>
        <v>22.3</v>
      </c>
      <c r="I87" s="8">
        <f>IFERROR(100/'Skjema total MA'!F87*G87,0)</f>
        <v>17.143180602677059</v>
      </c>
      <c r="J87" s="243">
        <f t="shared" ref="J87:K111" si="21">SUM(B87,F87)</f>
        <v>156031503.4330402</v>
      </c>
      <c r="K87" s="180">
        <f t="shared" si="21"/>
        <v>180573351.37799889</v>
      </c>
      <c r="L87" s="333">
        <f t="shared" si="16"/>
        <v>15.7</v>
      </c>
      <c r="M87" s="8">
        <f>IFERROR(100/'Skjema total MA'!I87*K87,0)</f>
        <v>15.450502933783193</v>
      </c>
    </row>
    <row r="88" spans="1:13" x14ac:dyDescent="0.2">
      <c r="A88" s="17" t="s">
        <v>9</v>
      </c>
      <c r="B88" s="178">
        <v>48203159.844338201</v>
      </c>
      <c r="C88" s="108">
        <v>49035962.4383839</v>
      </c>
      <c r="D88" s="121">
        <f t="shared" si="13"/>
        <v>1.7</v>
      </c>
      <c r="E88" s="22">
        <f>IFERROR(100/'Skjema total MA'!C88*C88,0)</f>
        <v>12.652413670834964</v>
      </c>
      <c r="F88" s="178"/>
      <c r="G88" s="108"/>
      <c r="H88" s="121"/>
      <c r="I88" s="22"/>
      <c r="J88" s="226">
        <f t="shared" si="21"/>
        <v>48203159.844338201</v>
      </c>
      <c r="K88" s="35">
        <f t="shared" si="21"/>
        <v>49035962.4383839</v>
      </c>
      <c r="L88" s="198">
        <f t="shared" si="16"/>
        <v>1.7</v>
      </c>
      <c r="M88" s="22">
        <f>IFERROR(100/'Skjema total MA'!I88*K88,0)</f>
        <v>12.652413670834964</v>
      </c>
    </row>
    <row r="89" spans="1:13" x14ac:dyDescent="0.2">
      <c r="A89" s="17" t="s">
        <v>10</v>
      </c>
      <c r="B89" s="178">
        <v>1614263.7101519899</v>
      </c>
      <c r="C89" s="108">
        <v>1701140.7919999999</v>
      </c>
      <c r="D89" s="121">
        <f t="shared" si="13"/>
        <v>5.4</v>
      </c>
      <c r="E89" s="22">
        <f>IFERROR(100/'Skjema total MA'!C89*C89,0)</f>
        <v>41.156767653342733</v>
      </c>
      <c r="F89" s="178">
        <v>105865265.64755</v>
      </c>
      <c r="G89" s="108">
        <v>129441316.35061499</v>
      </c>
      <c r="H89" s="121">
        <f t="shared" si="14"/>
        <v>22.3</v>
      </c>
      <c r="I89" s="22">
        <f>IFERROR(100/'Skjema total MA'!F89*G89,0)</f>
        <v>17.420128172261879</v>
      </c>
      <c r="J89" s="226">
        <f t="shared" si="21"/>
        <v>107479529.35770199</v>
      </c>
      <c r="K89" s="35">
        <f t="shared" si="21"/>
        <v>131142457.14261499</v>
      </c>
      <c r="L89" s="198">
        <f t="shared" si="16"/>
        <v>22</v>
      </c>
      <c r="M89" s="22">
        <f>IFERROR(100/'Skjema total MA'!I89*K89,0)</f>
        <v>17.55143507236653</v>
      </c>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v>348814.23100000003</v>
      </c>
      <c r="C97" s="108">
        <v>394931.79700000002</v>
      </c>
      <c r="D97" s="121">
        <f t="shared" ref="D97" si="22">IF(B97=0, "    ---- ", IF(ABS(ROUND(100/B97*C97-100,1))&lt;999,ROUND(100/B97*C97-100,1),IF(ROUND(100/B97*C97-100,1)&gt;999,999,-999)))</f>
        <v>13.2</v>
      </c>
      <c r="E97" s="22">
        <f>IFERROR(100/'Skjema total MA'!C98*C97,0)</f>
        <v>0.1018921151605203</v>
      </c>
      <c r="F97" s="178"/>
      <c r="G97" s="108"/>
      <c r="H97" s="121"/>
      <c r="I97" s="22"/>
      <c r="J97" s="226">
        <f t="shared" ref="J97" si="23">SUM(B97,F97)</f>
        <v>348814.23100000003</v>
      </c>
      <c r="K97" s="35">
        <f t="shared" ref="K97" si="24">SUM(C97,G97)</f>
        <v>394931.79700000002</v>
      </c>
      <c r="L97" s="198">
        <f t="shared" ref="L97" si="25">IF(J97=0, "    ---- ", IF(ABS(ROUND(100/J97*K97-100,1))&lt;999,ROUND(100/J97*K97-100,1),IF(ROUND(100/J97*K97-100,1)&gt;999,999,-999)))</f>
        <v>13.2</v>
      </c>
      <c r="M97" s="22">
        <f>IFERROR(100/'Skjema total MA'!I98*K97,0)</f>
        <v>3.4942310657126496E-2</v>
      </c>
    </row>
    <row r="98" spans="1:13" ht="15.75" x14ac:dyDescent="0.2">
      <c r="A98" s="17" t="s">
        <v>339</v>
      </c>
      <c r="B98" s="178">
        <v>49791633.995490193</v>
      </c>
      <c r="C98" s="178">
        <v>50708454.5783839</v>
      </c>
      <c r="D98" s="121">
        <f t="shared" si="13"/>
        <v>1.8</v>
      </c>
      <c r="E98" s="22">
        <f>IFERROR(100/'Skjema total MA'!C98*C98,0)</f>
        <v>13.082744242831135</v>
      </c>
      <c r="F98" s="229">
        <v>105848580.44554999</v>
      </c>
      <c r="G98" s="229">
        <v>129420487.71661501</v>
      </c>
      <c r="H98" s="121">
        <f t="shared" si="14"/>
        <v>22.3</v>
      </c>
      <c r="I98" s="22">
        <f>IFERROR(100/'Skjema total MA'!F98*G98,0)</f>
        <v>17.427047538286629</v>
      </c>
      <c r="J98" s="226">
        <f t="shared" si="21"/>
        <v>155640214.44104019</v>
      </c>
      <c r="K98" s="35">
        <f t="shared" si="21"/>
        <v>180128942.29499891</v>
      </c>
      <c r="L98" s="198">
        <f t="shared" si="16"/>
        <v>15.7</v>
      </c>
      <c r="M98" s="22">
        <f>IFERROR(100/'Skjema total MA'!I98*K98,0)</f>
        <v>15.937236524947279</v>
      </c>
    </row>
    <row r="99" spans="1:13" x14ac:dyDescent="0.2">
      <c r="A99" s="17" t="s">
        <v>9</v>
      </c>
      <c r="B99" s="229">
        <v>48177370.285338201</v>
      </c>
      <c r="C99" s="230">
        <v>49007313.786383897</v>
      </c>
      <c r="D99" s="121">
        <f t="shared" si="13"/>
        <v>1.7</v>
      </c>
      <c r="E99" s="22">
        <f>IFERROR(100/'Skjema total MA'!C99*C99,0)</f>
        <v>12.780137714799574</v>
      </c>
      <c r="F99" s="178"/>
      <c r="G99" s="108"/>
      <c r="H99" s="121"/>
      <c r="I99" s="22"/>
      <c r="J99" s="226">
        <f t="shared" si="21"/>
        <v>48177370.285338201</v>
      </c>
      <c r="K99" s="35">
        <f t="shared" si="21"/>
        <v>49007313.786383897</v>
      </c>
      <c r="L99" s="198">
        <f t="shared" si="16"/>
        <v>1.7</v>
      </c>
      <c r="M99" s="22">
        <f>IFERROR(100/'Skjema total MA'!I99*K99,0)</f>
        <v>12.780137714799574</v>
      </c>
    </row>
    <row r="100" spans="1:13" x14ac:dyDescent="0.2">
      <c r="A100" s="17" t="s">
        <v>366</v>
      </c>
      <c r="B100" s="229">
        <v>1614263.7101519899</v>
      </c>
      <c r="C100" s="230">
        <v>1701140.7919999999</v>
      </c>
      <c r="D100" s="121">
        <f t="shared" si="13"/>
        <v>5.4</v>
      </c>
      <c r="E100" s="22">
        <f>IFERROR(100/'Skjema total MA'!C100*C100,0)</f>
        <v>41.156767653342733</v>
      </c>
      <c r="F100" s="178">
        <v>105848580.44554999</v>
      </c>
      <c r="G100" s="178">
        <v>129420487.71661501</v>
      </c>
      <c r="H100" s="121">
        <f t="shared" si="14"/>
        <v>22.3</v>
      </c>
      <c r="I100" s="22">
        <f>IFERROR(100/'Skjema total MA'!F100*G100,0)</f>
        <v>17.427047538286629</v>
      </c>
      <c r="J100" s="226">
        <f t="shared" si="21"/>
        <v>107462844.15570198</v>
      </c>
      <c r="K100" s="35">
        <f t="shared" si="21"/>
        <v>131121628.508615</v>
      </c>
      <c r="L100" s="198">
        <f t="shared" si="16"/>
        <v>22</v>
      </c>
      <c r="M100" s="22">
        <f>IFERROR(100/'Skjema total MA'!I100*K100,0)</f>
        <v>17.558389031153943</v>
      </c>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v>25789.559000000001</v>
      </c>
      <c r="C107" s="108">
        <v>28648.651999999998</v>
      </c>
      <c r="D107" s="121">
        <f t="shared" si="13"/>
        <v>11.1</v>
      </c>
      <c r="E107" s="22">
        <f>IFERROR(100/'Skjema total MA'!C107*C107,0)</f>
        <v>0.6991839230343827</v>
      </c>
      <c r="F107" s="178">
        <v>16685.202000000001</v>
      </c>
      <c r="G107" s="108">
        <v>20828.633999999998</v>
      </c>
      <c r="H107" s="121">
        <f t="shared" si="14"/>
        <v>24.8</v>
      </c>
      <c r="I107" s="22">
        <f>IFERROR(100/'Skjema total MA'!F107*G107,0)</f>
        <v>5.0244271073043949</v>
      </c>
      <c r="J107" s="226">
        <f t="shared" si="21"/>
        <v>42474.760999999999</v>
      </c>
      <c r="K107" s="35">
        <f t="shared" si="21"/>
        <v>49477.285999999993</v>
      </c>
      <c r="L107" s="198">
        <f t="shared" si="16"/>
        <v>16.5</v>
      </c>
      <c r="M107" s="22">
        <f>IFERROR(100/'Skjema total MA'!I107*K107,0)</f>
        <v>1.0965737504567974</v>
      </c>
    </row>
    <row r="108" spans="1:13" ht="15.75" x14ac:dyDescent="0.2">
      <c r="A108" s="17" t="s">
        <v>341</v>
      </c>
      <c r="B108" s="178">
        <v>40119895.156928398</v>
      </c>
      <c r="C108" s="178">
        <v>40640114.997372396</v>
      </c>
      <c r="D108" s="121">
        <f t="shared" si="13"/>
        <v>1.3</v>
      </c>
      <c r="E108" s="22">
        <f>IFERROR(100/'Skjema total MA'!C108*C108,0)</f>
        <v>12.239771645878379</v>
      </c>
      <c r="F108" s="178"/>
      <c r="G108" s="178"/>
      <c r="H108" s="121"/>
      <c r="I108" s="22"/>
      <c r="J108" s="226">
        <f t="shared" si="21"/>
        <v>40119895.156928398</v>
      </c>
      <c r="K108" s="35">
        <f t="shared" si="21"/>
        <v>40640114.997372396</v>
      </c>
      <c r="L108" s="198">
        <f t="shared" si="16"/>
        <v>1.3</v>
      </c>
      <c r="M108" s="22">
        <f>IFERROR(100/'Skjema total MA'!I108*K108,0)</f>
        <v>11.369129184812277</v>
      </c>
    </row>
    <row r="109" spans="1:13" ht="15.75" x14ac:dyDescent="0.2">
      <c r="A109" s="17" t="s">
        <v>374</v>
      </c>
      <c r="B109" s="178">
        <v>1117218.58716789</v>
      </c>
      <c r="C109" s="178">
        <v>1272892.4263092999</v>
      </c>
      <c r="D109" s="121">
        <f t="shared" si="13"/>
        <v>13.9</v>
      </c>
      <c r="E109" s="22">
        <f>IFERROR(100/'Skjema total MA'!C109*C109,0)</f>
        <v>48.227263221973509</v>
      </c>
      <c r="F109" s="178">
        <v>45760638.192869999</v>
      </c>
      <c r="G109" s="178">
        <v>57595109.384669997</v>
      </c>
      <c r="H109" s="121">
        <f t="shared" si="14"/>
        <v>25.9</v>
      </c>
      <c r="I109" s="22">
        <f>IFERROR(100/'Skjema total MA'!F109*G109,0)</f>
        <v>19.884231738205209</v>
      </c>
      <c r="J109" s="226">
        <f t="shared" si="21"/>
        <v>46877856.780037887</v>
      </c>
      <c r="K109" s="35">
        <f t="shared" si="21"/>
        <v>58868001.810979299</v>
      </c>
      <c r="L109" s="198">
        <f t="shared" si="16"/>
        <v>25.6</v>
      </c>
      <c r="M109" s="22">
        <f>IFERROR(100/'Skjema total MA'!I109*K109,0)</f>
        <v>20.140166421900027</v>
      </c>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v>8555111.7379999999</v>
      </c>
      <c r="G111" s="116">
        <v>10604819.902000001</v>
      </c>
      <c r="H111" s="125">
        <f t="shared" si="14"/>
        <v>24</v>
      </c>
      <c r="I111" s="8">
        <f>IFERROR(100/'Skjema total MA'!F111*G111,0)</f>
        <v>20.335650051474595</v>
      </c>
      <c r="J111" s="243">
        <f t="shared" si="21"/>
        <v>8555111.7379999999</v>
      </c>
      <c r="K111" s="180">
        <f t="shared" si="21"/>
        <v>10604819.902000001</v>
      </c>
      <c r="L111" s="333">
        <f t="shared" si="16"/>
        <v>24</v>
      </c>
      <c r="M111" s="8">
        <f>IFERROR(100/'Skjema total MA'!I111*K111,0)</f>
        <v>19.606600023858334</v>
      </c>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v>8555111.7379999999</v>
      </c>
      <c r="G113" s="108">
        <v>10604819.902000001</v>
      </c>
      <c r="H113" s="121">
        <f t="shared" ref="H113:H125" si="26">IF(F113=0, "    ---- ", IF(ABS(ROUND(100/F113*G113-100,1))&lt;999,ROUND(100/F113*G113-100,1),IF(ROUND(100/F113*G113-100,1)&gt;999,999,-999)))</f>
        <v>24</v>
      </c>
      <c r="I113" s="22">
        <f>IFERROR(100/'Skjema total MA'!F113*G113,0)</f>
        <v>20.337567548219084</v>
      </c>
      <c r="J113" s="226">
        <f t="shared" ref="J113:K125" si="27">SUM(B113,F113)</f>
        <v>8555111.7379999999</v>
      </c>
      <c r="K113" s="35">
        <f t="shared" si="27"/>
        <v>10604819.902000001</v>
      </c>
      <c r="L113" s="198">
        <f t="shared" ref="L113:L125" si="28">IF(J113=0, "    ---- ", IF(ABS(ROUND(100/J113*K113-100,1))&lt;999,ROUND(100/J113*K113-100,1),IF(ROUND(100/J113*K113-100,1)&gt;999,999,-999)))</f>
        <v>24</v>
      </c>
      <c r="M113" s="22">
        <f>IFERROR(100/'Skjema total MA'!I113*K113,0)</f>
        <v>20.326126419225297</v>
      </c>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v>5227347.9859999996</v>
      </c>
      <c r="G117" s="178">
        <v>6360303.5860000001</v>
      </c>
      <c r="H117" s="121">
        <f t="shared" si="26"/>
        <v>21.7</v>
      </c>
      <c r="I117" s="22">
        <f>IFERROR(100/'Skjema total MA'!F117*G117,0)</f>
        <v>20.174269668674221</v>
      </c>
      <c r="J117" s="226">
        <f t="shared" si="27"/>
        <v>5227347.9859999996</v>
      </c>
      <c r="K117" s="35">
        <f t="shared" si="27"/>
        <v>6360303.5860000001</v>
      </c>
      <c r="L117" s="198">
        <f t="shared" si="28"/>
        <v>21.7</v>
      </c>
      <c r="M117" s="22">
        <f>IFERROR(100/'Skjema total MA'!I117*K117,0)</f>
        <v>20.174269668674221</v>
      </c>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v>8653.1796700004506</v>
      </c>
      <c r="C119" s="116">
        <v>8056.4708300009397</v>
      </c>
      <c r="D119" s="125">
        <f t="shared" ref="D119:D120" si="29">IF(B119=0, "    ---- ", IF(ABS(ROUND(100/B119*C119-100,1))&lt;999,ROUND(100/B119*C119-100,1),IF(ROUND(100/B119*C119-100,1)&gt;999,999,-999)))</f>
        <v>-6.9</v>
      </c>
      <c r="E119" s="8">
        <f>IFERROR(100/'Skjema total MA'!C119*C119,0)</f>
        <v>1.5174550021433253</v>
      </c>
      <c r="F119" s="242">
        <v>8754760.5580000002</v>
      </c>
      <c r="G119" s="116">
        <v>9299759.8169999998</v>
      </c>
      <c r="H119" s="125">
        <f t="shared" si="26"/>
        <v>6.2</v>
      </c>
      <c r="I119" s="8">
        <f>IFERROR(100/'Skjema total MA'!F119*G119,0)</f>
        <v>17.016558266541836</v>
      </c>
      <c r="J119" s="243">
        <f t="shared" si="27"/>
        <v>8763413.7376700006</v>
      </c>
      <c r="K119" s="180">
        <f t="shared" si="27"/>
        <v>9307816.2878300007</v>
      </c>
      <c r="L119" s="333">
        <f t="shared" si="28"/>
        <v>6.2</v>
      </c>
      <c r="M119" s="8">
        <f>IFERROR(100/'Skjema total MA'!I119*K119,0)</f>
        <v>16.867437919144411</v>
      </c>
    </row>
    <row r="120" spans="1:13" x14ac:dyDescent="0.2">
      <c r="A120" s="17" t="s">
        <v>9</v>
      </c>
      <c r="B120" s="178">
        <v>8653.1796700004506</v>
      </c>
      <c r="C120" s="108">
        <v>8056.4708300009397</v>
      </c>
      <c r="D120" s="121">
        <f t="shared" si="29"/>
        <v>-6.9</v>
      </c>
      <c r="E120" s="22">
        <f>IFERROR(100/'Skjema total MA'!C120*C120,0)</f>
        <v>4.7792088157898505</v>
      </c>
      <c r="F120" s="178"/>
      <c r="G120" s="108"/>
      <c r="H120" s="121"/>
      <c r="I120" s="22"/>
      <c r="J120" s="226">
        <f t="shared" si="27"/>
        <v>8653.1796700004506</v>
      </c>
      <c r="K120" s="35">
        <f t="shared" si="27"/>
        <v>8056.4708300009397</v>
      </c>
      <c r="L120" s="198">
        <f t="shared" si="28"/>
        <v>-6.9</v>
      </c>
      <c r="M120" s="22">
        <f>IFERROR(100/'Skjema total MA'!I120*K120,0)</f>
        <v>4.7792088157898505</v>
      </c>
    </row>
    <row r="121" spans="1:13" x14ac:dyDescent="0.2">
      <c r="A121" s="17" t="s">
        <v>10</v>
      </c>
      <c r="B121" s="178"/>
      <c r="C121" s="108"/>
      <c r="D121" s="121"/>
      <c r="E121" s="22"/>
      <c r="F121" s="178">
        <v>8754760.5580000002</v>
      </c>
      <c r="G121" s="108">
        <v>9299759.8169999998</v>
      </c>
      <c r="H121" s="121">
        <f t="shared" si="26"/>
        <v>6.2</v>
      </c>
      <c r="I121" s="22">
        <f>IFERROR(100/'Skjema total MA'!F121*G121,0)</f>
        <v>17.016558266541836</v>
      </c>
      <c r="J121" s="226">
        <f t="shared" si="27"/>
        <v>8754760.5580000002</v>
      </c>
      <c r="K121" s="35">
        <f t="shared" si="27"/>
        <v>9299759.8169999998</v>
      </c>
      <c r="L121" s="198">
        <f t="shared" si="28"/>
        <v>6.2</v>
      </c>
      <c r="M121" s="22">
        <f>IFERROR(100/'Skjema total MA'!I121*K121,0)</f>
        <v>17.003174841151036</v>
      </c>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v>4948286.3430000003</v>
      </c>
      <c r="G125" s="178">
        <v>5698995.4519999996</v>
      </c>
      <c r="H125" s="121">
        <f t="shared" si="26"/>
        <v>15.2</v>
      </c>
      <c r="I125" s="22">
        <f>IFERROR(100/'Skjema total MA'!F125*G125,0)</f>
        <v>19.290759012051026</v>
      </c>
      <c r="J125" s="226">
        <f t="shared" si="27"/>
        <v>4948286.3430000003</v>
      </c>
      <c r="K125" s="35">
        <f t="shared" si="27"/>
        <v>5698995.4519999996</v>
      </c>
      <c r="L125" s="198">
        <f t="shared" si="28"/>
        <v>15.2</v>
      </c>
      <c r="M125" s="22">
        <f>IFERROR(100/'Skjema total MA'!I125*K125,0)</f>
        <v>19.289560161835894</v>
      </c>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286" priority="12">
      <formula>kvartal &lt; 4</formula>
    </cfRule>
  </conditionalFormatting>
  <conditionalFormatting sqref="A69:A74">
    <cfRule type="expression" dxfId="285" priority="10">
      <formula>kvartal &lt; 4</formula>
    </cfRule>
  </conditionalFormatting>
  <conditionalFormatting sqref="A80:A85">
    <cfRule type="expression" dxfId="284" priority="9">
      <formula>kvartal &lt; 4</formula>
    </cfRule>
  </conditionalFormatting>
  <conditionalFormatting sqref="A90:A95">
    <cfRule type="expression" dxfId="283" priority="6">
      <formula>kvartal &lt; 4</formula>
    </cfRule>
  </conditionalFormatting>
  <conditionalFormatting sqref="A101:A106">
    <cfRule type="expression" dxfId="282" priority="5">
      <formula>kvartal &lt; 4</formula>
    </cfRule>
  </conditionalFormatting>
  <conditionalFormatting sqref="A115:C115">
    <cfRule type="expression" dxfId="281" priority="4">
      <formula>kvartal &lt; 4</formula>
    </cfRule>
  </conditionalFormatting>
  <conditionalFormatting sqref="A123:C123">
    <cfRule type="expression" dxfId="280" priority="3">
      <formula>kvartal &lt; 4</formula>
    </cfRule>
  </conditionalFormatting>
  <conditionalFormatting sqref="F115:G115">
    <cfRule type="expression" dxfId="279" priority="57">
      <formula>kvartal &lt; 4</formula>
    </cfRule>
  </conditionalFormatting>
  <conditionalFormatting sqref="F123:G123">
    <cfRule type="expression" dxfId="278" priority="56">
      <formula>kvartal &lt; 4</formula>
    </cfRule>
  </conditionalFormatting>
  <conditionalFormatting sqref="J115:K115">
    <cfRule type="expression" dxfId="277" priority="32">
      <formula>kvartal &lt; 4</formula>
    </cfRule>
  </conditionalFormatting>
  <conditionalFormatting sqref="J123:K123">
    <cfRule type="expression" dxfId="276" priority="31">
      <formula>kvartal &lt; 4</formula>
    </cfRule>
  </conditionalFormatting>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CAE9-D5F2-4A61-80DB-C3B7691ABF8D}">
  <dimension ref="A1:N144"/>
  <sheetViews>
    <sheetView showGridLines="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398</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25648</v>
      </c>
      <c r="C47" s="245">
        <v>27203</v>
      </c>
      <c r="D47" s="332">
        <f t="shared" ref="D47:D48" si="0">IF(B47=0, "    ---- ", IF(ABS(ROUND(100/B47*C47-100,1))&lt;999,ROUND(100/B47*C47-100,1),IF(ROUND(100/B47*C47-100,1)&gt;999,999,-999)))</f>
        <v>6.1</v>
      </c>
      <c r="E47" s="8">
        <f>IFERROR(100/'Skjema total MA'!C47*C47,0)</f>
        <v>0.42703743251527959</v>
      </c>
      <c r="F47" s="108"/>
      <c r="G47" s="26"/>
      <c r="H47" s="116"/>
      <c r="I47" s="116"/>
      <c r="J47" s="30"/>
      <c r="K47" s="30"/>
      <c r="L47" s="116"/>
      <c r="M47" s="116"/>
    </row>
    <row r="48" spans="1:13" ht="15.75" x14ac:dyDescent="0.2">
      <c r="A48" s="17" t="s">
        <v>333</v>
      </c>
      <c r="B48" s="220">
        <v>25648</v>
      </c>
      <c r="C48" s="221">
        <v>27203</v>
      </c>
      <c r="D48" s="198">
        <f t="shared" si="0"/>
        <v>6.1</v>
      </c>
      <c r="E48" s="22">
        <f>IFERROR(100/'Skjema total MA'!C48*C48,0)</f>
        <v>0.7439302280219573</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275" priority="7">
      <formula>kvartal &lt; 4</formula>
    </cfRule>
  </conditionalFormatting>
  <conditionalFormatting sqref="A69:A74">
    <cfRule type="expression" dxfId="274" priority="6">
      <formula>kvartal &lt; 4</formula>
    </cfRule>
  </conditionalFormatting>
  <conditionalFormatting sqref="A80:A85">
    <cfRule type="expression" dxfId="273" priority="5">
      <formula>kvartal &lt; 4</formula>
    </cfRule>
  </conditionalFormatting>
  <conditionalFormatting sqref="A90:A95">
    <cfRule type="expression" dxfId="272" priority="4">
      <formula>kvartal &lt; 4</formula>
    </cfRule>
  </conditionalFormatting>
  <conditionalFormatting sqref="A101:A106">
    <cfRule type="expression" dxfId="271" priority="3">
      <formula>kvartal &lt; 4</formula>
    </cfRule>
  </conditionalFormatting>
  <conditionalFormatting sqref="A115:C115">
    <cfRule type="expression" dxfId="270" priority="2">
      <formula>kvartal &lt; 4</formula>
    </cfRule>
  </conditionalFormatting>
  <conditionalFormatting sqref="A123:C123">
    <cfRule type="expression" dxfId="269" priority="1">
      <formula>kvartal &lt; 4</formula>
    </cfRule>
  </conditionalFormatting>
  <conditionalFormatting sqref="F115:G115">
    <cfRule type="expression" dxfId="268" priority="27">
      <formula>kvartal &lt; 4</formula>
    </cfRule>
  </conditionalFormatting>
  <conditionalFormatting sqref="F123:G123">
    <cfRule type="expression" dxfId="267" priority="26">
      <formula>kvartal &lt; 4</formula>
    </cfRule>
  </conditionalFormatting>
  <conditionalFormatting sqref="J115:K115">
    <cfRule type="expression" dxfId="266" priority="9">
      <formula>kvartal &lt; 4</formula>
    </cfRule>
  </conditionalFormatting>
  <conditionalFormatting sqref="J123:K123">
    <cfRule type="expression" dxfId="265" priority="8">
      <formula>kvartal &lt; 4</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6"/>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88</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21"/>
      <c r="M8" s="22"/>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c r="C47" s="245"/>
      <c r="D47" s="332"/>
      <c r="E47" s="8"/>
      <c r="F47" s="108"/>
      <c r="G47" s="26"/>
      <c r="H47" s="116"/>
      <c r="I47" s="116"/>
      <c r="J47" s="30"/>
      <c r="K47" s="30"/>
      <c r="L47" s="116"/>
      <c r="M47" s="116"/>
    </row>
    <row r="48" spans="1:13" ht="15.75" x14ac:dyDescent="0.2">
      <c r="A48" s="17" t="s">
        <v>333</v>
      </c>
      <c r="B48" s="220"/>
      <c r="C48" s="221"/>
      <c r="D48" s="198"/>
      <c r="E48" s="22"/>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v>7128000</v>
      </c>
      <c r="C134" s="243">
        <v>7353000</v>
      </c>
      <c r="D134" s="277">
        <f t="shared" ref="D134:D135" si="0">IF(B134=0, "    ---- ", IF(ABS(ROUND(100/B134*C134-100,1))&lt;999,ROUND(100/B134*C134-100,1),IF(ROUND(100/B134*C134-100,1)&gt;999,999,-999)))</f>
        <v>3.2</v>
      </c>
      <c r="E134" s="8">
        <f>IFERROR(100/'Skjema total MA'!C134*C134,0)</f>
        <v>11.706301244951252</v>
      </c>
      <c r="F134" s="250"/>
      <c r="G134" s="251"/>
      <c r="H134" s="336"/>
      <c r="I134" s="20"/>
      <c r="J134" s="252">
        <f t="shared" ref="J134:K135" si="1">SUM(B134,F134)</f>
        <v>7128000</v>
      </c>
      <c r="K134" s="252">
        <f t="shared" si="1"/>
        <v>7353000</v>
      </c>
      <c r="L134" s="332">
        <f t="shared" ref="L134:L135" si="2">IF(J134=0, "    ---- ", IF(ABS(ROUND(100/J134*K134-100,1))&lt;999,ROUND(100/J134*K134-100,1),IF(ROUND(100/J134*K134-100,1)&gt;999,999,-999)))</f>
        <v>3.2</v>
      </c>
      <c r="M134" s="8">
        <f>IFERROR(100/'Skjema total MA'!I134*K134,0)</f>
        <v>11.674691990425394</v>
      </c>
    </row>
    <row r="135" spans="1:14" ht="15.75" x14ac:dyDescent="0.2">
      <c r="A135" s="10" t="s">
        <v>349</v>
      </c>
      <c r="B135" s="180">
        <v>99384000</v>
      </c>
      <c r="C135" s="243">
        <v>105305000</v>
      </c>
      <c r="D135" s="125">
        <f t="shared" si="0"/>
        <v>6</v>
      </c>
      <c r="E135" s="8">
        <f>IFERROR(100/'Skjema total MA'!C135*C135,0)</f>
        <v>10.72662447541086</v>
      </c>
      <c r="F135" s="180"/>
      <c r="G135" s="243"/>
      <c r="H135" s="337"/>
      <c r="I135" s="20"/>
      <c r="J135" s="242">
        <f t="shared" si="1"/>
        <v>99384000</v>
      </c>
      <c r="K135" s="242">
        <f t="shared" si="1"/>
        <v>105305000</v>
      </c>
      <c r="L135" s="333">
        <f t="shared" si="2"/>
        <v>6</v>
      </c>
      <c r="M135" s="8">
        <f>IFERROR(100/'Skjema total MA'!I135*K135,0)</f>
        <v>10.693326171163212</v>
      </c>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264" priority="12">
      <formula>kvartal &lt; 4</formula>
    </cfRule>
  </conditionalFormatting>
  <conditionalFormatting sqref="A69:A74">
    <cfRule type="expression" dxfId="263" priority="10">
      <formula>kvartal &lt; 4</formula>
    </cfRule>
  </conditionalFormatting>
  <conditionalFormatting sqref="A80:A85">
    <cfRule type="expression" dxfId="262" priority="9">
      <formula>kvartal &lt; 4</formula>
    </cfRule>
  </conditionalFormatting>
  <conditionalFormatting sqref="A90:A95">
    <cfRule type="expression" dxfId="261" priority="6">
      <formula>kvartal &lt; 4</formula>
    </cfRule>
  </conditionalFormatting>
  <conditionalFormatting sqref="A101:A106">
    <cfRule type="expression" dxfId="260" priority="5">
      <formula>kvartal &lt; 4</formula>
    </cfRule>
  </conditionalFormatting>
  <conditionalFormatting sqref="A115:C115">
    <cfRule type="expression" dxfId="259" priority="4">
      <formula>kvartal &lt; 4</formula>
    </cfRule>
  </conditionalFormatting>
  <conditionalFormatting sqref="A123:C123">
    <cfRule type="expression" dxfId="258" priority="3">
      <formula>kvartal &lt; 4</formula>
    </cfRule>
  </conditionalFormatting>
  <conditionalFormatting sqref="F115:G115">
    <cfRule type="expression" dxfId="257" priority="57">
      <formula>kvartal &lt; 4</formula>
    </cfRule>
  </conditionalFormatting>
  <conditionalFormatting sqref="F123:G123">
    <cfRule type="expression" dxfId="256" priority="56">
      <formula>kvartal &lt; 4</formula>
    </cfRule>
  </conditionalFormatting>
  <conditionalFormatting sqref="J115:K115">
    <cfRule type="expression" dxfId="255" priority="32">
      <formula>kvartal &lt; 4</formula>
    </cfRule>
  </conditionalFormatting>
  <conditionalFormatting sqref="J123:K123">
    <cfRule type="expression" dxfId="254" priority="31">
      <formula>kvartal &lt; 4</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321</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5738</v>
      </c>
      <c r="C7" s="241">
        <v>3250.6588250743198</v>
      </c>
      <c r="D7" s="277">
        <f>IF(B7=0, "    ---- ", IF(ABS(ROUND(100/B7*C7-100,1))&lt;999,ROUND(100/B7*C7-100,1),IF(ROUND(100/B7*C7-100,1)&gt;999,999,-999)))</f>
        <v>-43.3</v>
      </c>
      <c r="E7" s="8">
        <f>IFERROR(100/'Skjema total MA'!C7*C7,0)</f>
        <v>7.1250853138590711E-2</v>
      </c>
      <c r="F7" s="240"/>
      <c r="G7" s="241"/>
      <c r="H7" s="277"/>
      <c r="I7" s="117"/>
      <c r="J7" s="242">
        <f t="shared" ref="J7:K9" si="0">SUM(B7,F7)</f>
        <v>5738</v>
      </c>
      <c r="K7" s="243">
        <f t="shared" si="0"/>
        <v>3250.6588250743198</v>
      </c>
      <c r="L7" s="332">
        <f>IF(J7=0, "    ---- ", IF(ABS(ROUND(100/J7*K7-100,1))&lt;999,ROUND(100/J7*K7-100,1),IF(ROUND(100/J7*K7-100,1)&gt;999,999,-999)))</f>
        <v>-43.3</v>
      </c>
      <c r="M7" s="8">
        <f>IFERROR(100/'Skjema total MA'!I7*K7,0)</f>
        <v>2.5535346525711877E-2</v>
      </c>
    </row>
    <row r="8" spans="1:14" ht="15.75" x14ac:dyDescent="0.2">
      <c r="A8" s="17" t="s">
        <v>25</v>
      </c>
      <c r="B8" s="220"/>
      <c r="C8" s="221">
        <v>2925.5929425668901</v>
      </c>
      <c r="D8" s="121" t="str">
        <f t="shared" ref="D8:D9" si="1">IF(B8=0, "    ---- ", IF(ABS(ROUND(100/B8*C8-100,1))&lt;999,ROUND(100/B8*C8-100,1),IF(ROUND(100/B8*C8-100,1)&gt;999,999,-999)))</f>
        <v xml:space="preserve">    ---- </v>
      </c>
      <c r="E8" s="22">
        <f>IFERROR(100/'Skjema total MA'!C8*C8,0)</f>
        <v>9.5228035468923805E-2</v>
      </c>
      <c r="F8" s="224"/>
      <c r="G8" s="225"/>
      <c r="H8" s="121"/>
      <c r="I8" s="129"/>
      <c r="J8" s="178"/>
      <c r="K8" s="226">
        <f t="shared" si="0"/>
        <v>2925.5929425668901</v>
      </c>
      <c r="L8" s="121" t="str">
        <f t="shared" ref="L8:L9" si="2">IF(J8=0, "    ---- ", IF(ABS(ROUND(100/J8*K8-100,1))&lt;999,ROUND(100/J8*K8-100,1),IF(ROUND(100/J8*K8-100,1)&gt;999,999,-999)))</f>
        <v xml:space="preserve">    ---- </v>
      </c>
      <c r="M8" s="22">
        <f>IFERROR(100/'Skjema total MA'!I8*K8,0)</f>
        <v>9.5228035468923805E-2</v>
      </c>
    </row>
    <row r="9" spans="1:14" ht="15.75" x14ac:dyDescent="0.2">
      <c r="A9" s="17" t="s">
        <v>24</v>
      </c>
      <c r="B9" s="220">
        <v>5738</v>
      </c>
      <c r="C9" s="221">
        <v>325.06588250743198</v>
      </c>
      <c r="D9" s="121">
        <f t="shared" si="1"/>
        <v>-94.3</v>
      </c>
      <c r="E9" s="22">
        <f>IFERROR(100/'Skjema total MA'!C9*C9,0)</f>
        <v>3.596083962172425E-2</v>
      </c>
      <c r="F9" s="224"/>
      <c r="G9" s="225"/>
      <c r="H9" s="121"/>
      <c r="I9" s="129"/>
      <c r="J9" s="178">
        <f t="shared" si="0"/>
        <v>5738</v>
      </c>
      <c r="K9" s="226">
        <f t="shared" si="0"/>
        <v>325.06588250743198</v>
      </c>
      <c r="L9" s="121">
        <f t="shared" si="2"/>
        <v>-94.3</v>
      </c>
      <c r="M9" s="22">
        <f>IFERROR(100/'Skjema total MA'!I9*K9,0)</f>
        <v>3.596083962172425E-2</v>
      </c>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388762</v>
      </c>
      <c r="C47" s="245">
        <v>403538.28856684902</v>
      </c>
      <c r="D47" s="332">
        <f t="shared" ref="D47:D48" si="3">IF(B47=0, "    ---- ", IF(ABS(ROUND(100/B47*C47-100,1))&lt;999,ROUND(100/B47*C47-100,1),IF(ROUND(100/B47*C47-100,1)&gt;999,999,-999)))</f>
        <v>3.8</v>
      </c>
      <c r="E47" s="8">
        <f>IFERROR(100/'Skjema total MA'!C47*C47,0)</f>
        <v>6.3348143466234319</v>
      </c>
      <c r="F47" s="108"/>
      <c r="G47" s="26"/>
      <c r="H47" s="116"/>
      <c r="I47" s="116"/>
      <c r="J47" s="30"/>
      <c r="K47" s="30"/>
      <c r="L47" s="116"/>
      <c r="M47" s="116"/>
    </row>
    <row r="48" spans="1:13" ht="15.75" x14ac:dyDescent="0.2">
      <c r="A48" s="17" t="s">
        <v>333</v>
      </c>
      <c r="B48" s="220">
        <v>388762</v>
      </c>
      <c r="C48" s="221">
        <v>403538.28856684902</v>
      </c>
      <c r="D48" s="198">
        <f t="shared" si="3"/>
        <v>3.8</v>
      </c>
      <c r="E48" s="22">
        <f>IFERROR(100/'Skjema total MA'!C48*C48,0)</f>
        <v>11.035706761354497</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253" priority="8">
      <formula>kvartal &lt; 4</formula>
    </cfRule>
  </conditionalFormatting>
  <conditionalFormatting sqref="A69:A74">
    <cfRule type="expression" dxfId="252" priority="7">
      <formula>kvartal &lt; 4</formula>
    </cfRule>
  </conditionalFormatting>
  <conditionalFormatting sqref="A80:A85">
    <cfRule type="expression" dxfId="251" priority="6">
      <formula>kvartal &lt; 4</formula>
    </cfRule>
  </conditionalFormatting>
  <conditionalFormatting sqref="A90:A95">
    <cfRule type="expression" dxfId="250" priority="5">
      <formula>kvartal &lt; 4</formula>
    </cfRule>
  </conditionalFormatting>
  <conditionalFormatting sqref="A101:A106">
    <cfRule type="expression" dxfId="249" priority="4">
      <formula>kvartal &lt; 4</formula>
    </cfRule>
  </conditionalFormatting>
  <conditionalFormatting sqref="A115:C115">
    <cfRule type="expression" dxfId="248" priority="3">
      <formula>kvartal &lt; 4</formula>
    </cfRule>
  </conditionalFormatting>
  <conditionalFormatting sqref="A123:C123">
    <cfRule type="expression" dxfId="247" priority="2">
      <formula>kvartal &lt; 4</formula>
    </cfRule>
  </conditionalFormatting>
  <conditionalFormatting sqref="F115:G115">
    <cfRule type="expression" dxfId="246" priority="30">
      <formula>kvartal &lt; 4</formula>
    </cfRule>
  </conditionalFormatting>
  <conditionalFormatting sqref="F123:G123">
    <cfRule type="expression" dxfId="245" priority="29">
      <formula>kvartal &lt; 4</formula>
    </cfRule>
  </conditionalFormatting>
  <conditionalFormatting sqref="J115:K115">
    <cfRule type="expression" dxfId="244" priority="12">
      <formula>kvartal &lt; 4</formula>
    </cfRule>
  </conditionalFormatting>
  <conditionalFormatting sqref="J123:K123">
    <cfRule type="expression" dxfId="243" priority="11">
      <formula>kvartal &lt; 4</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9"/>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122</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2574.4030499999999</v>
      </c>
      <c r="C7" s="241">
        <v>2030.6798799999999</v>
      </c>
      <c r="D7" s="277">
        <f>IF(B7=0, "    ---- ", IF(ABS(ROUND(100/B7*C7-100,1))&lt;999,ROUND(100/B7*C7-100,1),IF(ROUND(100/B7*C7-100,1)&gt;999,999,-999)))</f>
        <v>-21.1</v>
      </c>
      <c r="E7" s="8">
        <f>IFERROR(100/'Skjema total MA'!C7*C7,0)</f>
        <v>4.4510261361575834E-2</v>
      </c>
      <c r="F7" s="240">
        <v>572142.84684999997</v>
      </c>
      <c r="G7" s="241">
        <v>568077.20337</v>
      </c>
      <c r="H7" s="277">
        <f>IF(F7=0, "    ---- ", IF(ABS(ROUND(100/F7*G7-100,1))&lt;999,ROUND(100/F7*G7-100,1),IF(ROUND(100/F7*G7-100,1)&gt;999,999,-999)))</f>
        <v>-0.7</v>
      </c>
      <c r="I7" s="117">
        <f>IFERROR(100/'Skjema total MA'!F7*G7,0)</f>
        <v>6.9551141003977648</v>
      </c>
      <c r="J7" s="242">
        <f t="shared" ref="J7:K12" si="0">SUM(B7,F7)</f>
        <v>574717.24989999994</v>
      </c>
      <c r="K7" s="243">
        <f t="shared" si="0"/>
        <v>570107.88324999996</v>
      </c>
      <c r="L7" s="332">
        <f>IF(J7=0, "    ---- ", IF(ABS(ROUND(100/J7*K7-100,1))&lt;999,ROUND(100/J7*K7-100,1),IF(ROUND(100/J7*K7-100,1)&gt;999,999,-999)))</f>
        <v>-0.8</v>
      </c>
      <c r="M7" s="8">
        <f>IFERROR(100/'Skjema total MA'!I7*K7,0)</f>
        <v>4.4784467208723457</v>
      </c>
    </row>
    <row r="8" spans="1:14" ht="15.75" x14ac:dyDescent="0.2">
      <c r="A8" s="17" t="s">
        <v>25</v>
      </c>
      <c r="B8" s="220">
        <v>3138.2176300000001</v>
      </c>
      <c r="C8" s="221">
        <v>2854.7168799999999</v>
      </c>
      <c r="D8" s="121">
        <f t="shared" ref="D8:D10" si="1">IF(B8=0, "    ---- ", IF(ABS(ROUND(100/B8*C8-100,1))&lt;999,ROUND(100/B8*C8-100,1),IF(ROUND(100/B8*C8-100,1)&gt;999,999,-999)))</f>
        <v>-9</v>
      </c>
      <c r="E8" s="22">
        <f>IFERROR(100/'Skjema total MA'!C8*C8,0)</f>
        <v>9.2921019991201323E-2</v>
      </c>
      <c r="F8" s="224"/>
      <c r="G8" s="225"/>
      <c r="H8" s="121"/>
      <c r="I8" s="129"/>
      <c r="J8" s="178">
        <f t="shared" si="0"/>
        <v>3138.2176300000001</v>
      </c>
      <c r="K8" s="226">
        <f t="shared" si="0"/>
        <v>2854.7168799999999</v>
      </c>
      <c r="L8" s="121">
        <f t="shared" ref="L8:L9" si="2">IF(J8=0, "    ---- ", IF(ABS(ROUND(100/J8*K8-100,1))&lt;999,ROUND(100/J8*K8-100,1),IF(ROUND(100/J8*K8-100,1)&gt;999,999,-999)))</f>
        <v>-9</v>
      </c>
      <c r="M8" s="22">
        <f>IFERROR(100/'Skjema total MA'!I8*K8,0)</f>
        <v>9.2921019991201323E-2</v>
      </c>
    </row>
    <row r="9" spans="1:14" ht="15.75" x14ac:dyDescent="0.2">
      <c r="A9" s="17" t="s">
        <v>24</v>
      </c>
      <c r="B9" s="220">
        <v>1154.3927900000001</v>
      </c>
      <c r="C9" s="221">
        <v>959.84583999999995</v>
      </c>
      <c r="D9" s="121">
        <f t="shared" si="1"/>
        <v>-16.899999999999999</v>
      </c>
      <c r="E9" s="22">
        <f>IFERROR(100/'Skjema total MA'!C9*C9,0)</f>
        <v>0.10618420502197747</v>
      </c>
      <c r="F9" s="224"/>
      <c r="G9" s="225"/>
      <c r="H9" s="121"/>
      <c r="I9" s="129"/>
      <c r="J9" s="178">
        <f t="shared" si="0"/>
        <v>1154.3927900000001</v>
      </c>
      <c r="K9" s="226">
        <f t="shared" si="0"/>
        <v>959.84583999999995</v>
      </c>
      <c r="L9" s="121">
        <f t="shared" si="2"/>
        <v>-16.899999999999999</v>
      </c>
      <c r="M9" s="22">
        <f>IFERROR(100/'Skjema total MA'!I9*K9,0)</f>
        <v>0.10618420502197747</v>
      </c>
    </row>
    <row r="10" spans="1:14" ht="15.75" x14ac:dyDescent="0.2">
      <c r="A10" s="10" t="s">
        <v>322</v>
      </c>
      <c r="B10" s="244">
        <v>294927.27698000002</v>
      </c>
      <c r="C10" s="245">
        <v>260187.19214999999</v>
      </c>
      <c r="D10" s="125">
        <f t="shared" si="1"/>
        <v>-11.8</v>
      </c>
      <c r="E10" s="8">
        <f>IFERROR(100/'Skjema total MA'!C10*C10,0)</f>
        <v>2.0734836519156001</v>
      </c>
      <c r="F10" s="244">
        <v>6302729.2811700003</v>
      </c>
      <c r="G10" s="245">
        <v>6967148.11546</v>
      </c>
      <c r="H10" s="125">
        <f t="shared" ref="H10:H12" si="3">IF(F10=0, "    ---- ", IF(ABS(ROUND(100/F10*G10-100,1))&lt;999,ROUND(100/F10*G10-100,1),IF(ROUND(100/F10*G10-100,1)&gt;999,999,-999)))</f>
        <v>10.5</v>
      </c>
      <c r="I10" s="117">
        <f>IFERROR(100/'Skjema total MA'!F10*G10,0)</f>
        <v>6.7195755145900957</v>
      </c>
      <c r="J10" s="242">
        <f t="shared" si="0"/>
        <v>6597656.5581499999</v>
      </c>
      <c r="K10" s="243">
        <f t="shared" si="0"/>
        <v>7227335.3076099996</v>
      </c>
      <c r="L10" s="333">
        <f t="shared" ref="L10:L12" si="4">IF(J10=0, "    ---- ", IF(ABS(ROUND(100/J10*K10-100,1))&lt;999,ROUND(100/J10*K10-100,1),IF(ROUND(100/J10*K10-100,1)&gt;999,999,-999)))</f>
        <v>9.5</v>
      </c>
      <c r="M10" s="8">
        <f>IFERROR(100/'Skjema total MA'!I10*K10,0)</f>
        <v>6.2179900848758258</v>
      </c>
    </row>
    <row r="11" spans="1:14" s="34" customFormat="1" ht="15.75" x14ac:dyDescent="0.2">
      <c r="A11" s="10" t="s">
        <v>323</v>
      </c>
      <c r="B11" s="244"/>
      <c r="C11" s="245"/>
      <c r="D11" s="125"/>
      <c r="E11" s="8"/>
      <c r="F11" s="244">
        <v>43720.333960000004</v>
      </c>
      <c r="G11" s="245">
        <v>45568.111969999998</v>
      </c>
      <c r="H11" s="125">
        <f t="shared" si="3"/>
        <v>4.2</v>
      </c>
      <c r="I11" s="117">
        <f>IFERROR(100/'Skjema total MA'!F11*G11,0)</f>
        <v>9.2521502658525616</v>
      </c>
      <c r="J11" s="242">
        <f t="shared" si="0"/>
        <v>43720.333960000004</v>
      </c>
      <c r="K11" s="243">
        <f t="shared" si="0"/>
        <v>45568.111969999998</v>
      </c>
      <c r="L11" s="333">
        <f t="shared" si="4"/>
        <v>4.2</v>
      </c>
      <c r="M11" s="8">
        <f>IFERROR(100/'Skjema total MA'!I11*K11,0)</f>
        <v>9.2458980731058045</v>
      </c>
      <c r="N11" s="106"/>
    </row>
    <row r="12" spans="1:14" s="34" customFormat="1" ht="15.75" x14ac:dyDescent="0.2">
      <c r="A12" s="32" t="s">
        <v>324</v>
      </c>
      <c r="B12" s="246"/>
      <c r="C12" s="247"/>
      <c r="D12" s="123"/>
      <c r="E12" s="29"/>
      <c r="F12" s="246">
        <v>21298.94428</v>
      </c>
      <c r="G12" s="247">
        <v>12783.565280000001</v>
      </c>
      <c r="H12" s="123">
        <f t="shared" si="3"/>
        <v>-40</v>
      </c>
      <c r="I12" s="123">
        <f>IFERROR(100/'Skjema total MA'!F12*G12,0)</f>
        <v>2.6019802434480681</v>
      </c>
      <c r="J12" s="248">
        <f t="shared" si="0"/>
        <v>21298.94428</v>
      </c>
      <c r="K12" s="249">
        <f t="shared" si="0"/>
        <v>12783.565280000001</v>
      </c>
      <c r="L12" s="334">
        <f t="shared" si="4"/>
        <v>-40</v>
      </c>
      <c r="M12" s="29">
        <f>IFERROR(100/'Skjema total MA'!I12*K12,0)</f>
        <v>2.6001713059732836</v>
      </c>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6300.2996400000002</v>
      </c>
      <c r="C22" s="244">
        <v>23017.576649999999</v>
      </c>
      <c r="D22" s="277">
        <f t="shared" ref="D22:D35" si="5">IF(B22=0, "    ---- ", IF(ABS(ROUND(100/B22*C22-100,1))&lt;999,ROUND(100/B22*C22-100,1),IF(ROUND(100/B22*C22-100,1)&gt;999,999,-999)))</f>
        <v>265.3</v>
      </c>
      <c r="E22" s="8">
        <f>IFERROR(100/'Skjema total MA'!C22*C22,0)</f>
        <v>1.0903035688416336</v>
      </c>
      <c r="F22" s="252">
        <v>265813.73031000001</v>
      </c>
      <c r="G22" s="252">
        <v>322022.01348999998</v>
      </c>
      <c r="H22" s="277">
        <f t="shared" ref="H22:H35" si="6">IF(F22=0, "    ---- ", IF(ABS(ROUND(100/F22*G22-100,1))&lt;999,ROUND(100/F22*G22-100,1),IF(ROUND(100/F22*G22-100,1)&gt;999,999,-999)))</f>
        <v>21.1</v>
      </c>
      <c r="I22" s="8">
        <f>IFERROR(100/'Skjema total MA'!F22*G22,0)</f>
        <v>40.245741058760323</v>
      </c>
      <c r="J22" s="250">
        <f t="shared" ref="J22:K35" si="7">SUM(B22,F22)</f>
        <v>272114.02995</v>
      </c>
      <c r="K22" s="250">
        <f t="shared" si="7"/>
        <v>345039.59013999999</v>
      </c>
      <c r="L22" s="332">
        <f t="shared" ref="L22:L35" si="8">IF(J22=0, "    ---- ", IF(ABS(ROUND(100/J22*K22-100,1))&lt;999,ROUND(100/J22*K22-100,1),IF(ROUND(100/J22*K22-100,1)&gt;999,999,-999)))</f>
        <v>26.8</v>
      </c>
      <c r="M22" s="20">
        <f>IFERROR(100/'Skjema total MA'!I22*K22,0)</f>
        <v>11.851916414211564</v>
      </c>
    </row>
    <row r="23" spans="1:13" ht="15.75" x14ac:dyDescent="0.2">
      <c r="A23" s="372" t="s">
        <v>325</v>
      </c>
      <c r="B23" s="220">
        <v>6299.3518299999996</v>
      </c>
      <c r="C23" s="220">
        <v>23016.628840000001</v>
      </c>
      <c r="D23" s="121">
        <f t="shared" si="5"/>
        <v>265.39999999999998</v>
      </c>
      <c r="E23" s="8">
        <f>IFERROR(100/'Skjema total MA'!C23*C23,0)</f>
        <v>1.7454994394724963</v>
      </c>
      <c r="F23" s="228">
        <v>4374.4983899999997</v>
      </c>
      <c r="G23" s="228">
        <v>4833.8197600000003</v>
      </c>
      <c r="H23" s="121">
        <f t="shared" si="6"/>
        <v>10.5</v>
      </c>
      <c r="I23" s="325">
        <f>IFERROR(100/'Skjema total MA'!F23*G23,0)</f>
        <v>12.393989996414096</v>
      </c>
      <c r="J23" s="228">
        <f t="shared" ref="J23:J26" si="9">SUM(B23,F23)</f>
        <v>10673.85022</v>
      </c>
      <c r="K23" s="228">
        <f t="shared" ref="K23:K26" si="10">SUM(C23,G23)</f>
        <v>27850.448600000003</v>
      </c>
      <c r="L23" s="121">
        <f t="shared" si="8"/>
        <v>160.9</v>
      </c>
      <c r="M23" s="19">
        <f>IFERROR(100/'Skjema total MA'!I23*K23,0)</f>
        <v>2.0514043418445329</v>
      </c>
    </row>
    <row r="24" spans="1:13" ht="15.75" x14ac:dyDescent="0.2">
      <c r="A24" s="372" t="s">
        <v>326</v>
      </c>
      <c r="B24" s="220">
        <v>0.94781000000000004</v>
      </c>
      <c r="C24" s="220">
        <v>0.94781000000000004</v>
      </c>
      <c r="D24" s="121">
        <f t="shared" si="5"/>
        <v>0</v>
      </c>
      <c r="E24" s="8">
        <f>IFERROR(100/'Skjema total MA'!C24*C24,0)</f>
        <v>9.6096550074754785E-3</v>
      </c>
      <c r="F24" s="228">
        <v>-4.4999999999999796</v>
      </c>
      <c r="G24" s="228">
        <v>158.43469999999999</v>
      </c>
      <c r="H24" s="121">
        <f t="shared" si="6"/>
        <v>-999</v>
      </c>
      <c r="I24" s="325">
        <f>IFERROR(100/'Skjema total MA'!F24*G24,0)</f>
        <v>41.447319542212071</v>
      </c>
      <c r="J24" s="228">
        <f t="shared" si="9"/>
        <v>-3.5521899999999795</v>
      </c>
      <c r="K24" s="228">
        <f t="shared" si="10"/>
        <v>159.38251</v>
      </c>
      <c r="L24" s="121">
        <f t="shared" si="8"/>
        <v>-999</v>
      </c>
      <c r="M24" s="19">
        <f>IFERROR(100/'Skjema total MA'!I24*K24,0)</f>
        <v>1.5556560190682036</v>
      </c>
    </row>
    <row r="25" spans="1:13" ht="15.75" x14ac:dyDescent="0.2">
      <c r="A25" s="372" t="s">
        <v>327</v>
      </c>
      <c r="B25" s="220"/>
      <c r="C25" s="220"/>
      <c r="D25" s="121"/>
      <c r="E25" s="8"/>
      <c r="F25" s="228">
        <v>4414.6465099999996</v>
      </c>
      <c r="G25" s="228">
        <v>5193.7945600000003</v>
      </c>
      <c r="H25" s="121">
        <f t="shared" si="6"/>
        <v>17.600000000000001</v>
      </c>
      <c r="I25" s="325">
        <f>IFERROR(100/'Skjema total MA'!F25*G25,0)</f>
        <v>47.996908588497156</v>
      </c>
      <c r="J25" s="228">
        <f t="shared" si="9"/>
        <v>4414.6465099999996</v>
      </c>
      <c r="K25" s="228">
        <f t="shared" si="10"/>
        <v>5193.7945600000003</v>
      </c>
      <c r="L25" s="121">
        <f t="shared" si="8"/>
        <v>17.600000000000001</v>
      </c>
      <c r="M25" s="19">
        <f>IFERROR(100/'Skjema total MA'!I25*K25,0)</f>
        <v>19.866871046535667</v>
      </c>
    </row>
    <row r="26" spans="1:13" ht="15.75" x14ac:dyDescent="0.2">
      <c r="A26" s="372" t="s">
        <v>328</v>
      </c>
      <c r="B26" s="220"/>
      <c r="C26" s="220"/>
      <c r="D26" s="121"/>
      <c r="E26" s="8"/>
      <c r="F26" s="228">
        <v>257029.08541</v>
      </c>
      <c r="G26" s="228">
        <v>311835.96447000001</v>
      </c>
      <c r="H26" s="121">
        <f t="shared" si="6"/>
        <v>21.3</v>
      </c>
      <c r="I26" s="325">
        <f>IFERROR(100/'Skjema total MA'!F26*G26,0)</f>
        <v>41.581750196788597</v>
      </c>
      <c r="J26" s="228">
        <f t="shared" si="9"/>
        <v>257029.08541</v>
      </c>
      <c r="K26" s="228">
        <f t="shared" si="10"/>
        <v>311835.96447000001</v>
      </c>
      <c r="L26" s="121">
        <f t="shared" si="8"/>
        <v>21.3</v>
      </c>
      <c r="M26" s="19">
        <f>IFERROR(100/'Skjema total MA'!I26*K26,0)</f>
        <v>41.581750196788597</v>
      </c>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v>2491673.1839600001</v>
      </c>
      <c r="C29" s="180">
        <v>2413177.4364999998</v>
      </c>
      <c r="D29" s="125">
        <f t="shared" si="5"/>
        <v>-3.2</v>
      </c>
      <c r="E29" s="8">
        <f>IFERROR(100/'Skjema total MA'!C29*C29,0)</f>
        <v>5.4800730067306365</v>
      </c>
      <c r="F29" s="242">
        <v>5131249.5144400001</v>
      </c>
      <c r="G29" s="242">
        <v>5682804.4802099997</v>
      </c>
      <c r="H29" s="125">
        <f t="shared" si="6"/>
        <v>10.7</v>
      </c>
      <c r="I29" s="8">
        <f>IFERROR(100/'Skjema total MA'!F29*G29,0)</f>
        <v>18.389799309946561</v>
      </c>
      <c r="J29" s="180">
        <f t="shared" si="7"/>
        <v>7622922.6984000001</v>
      </c>
      <c r="K29" s="180">
        <f t="shared" si="7"/>
        <v>8095981.9167099996</v>
      </c>
      <c r="L29" s="333">
        <f t="shared" si="8"/>
        <v>6.2</v>
      </c>
      <c r="M29" s="20">
        <f>IFERROR(100/'Skjema total MA'!I29*K29,0)</f>
        <v>10.803654750011658</v>
      </c>
    </row>
    <row r="30" spans="1:13" ht="15.75" x14ac:dyDescent="0.2">
      <c r="A30" s="372" t="s">
        <v>325</v>
      </c>
      <c r="B30" s="220">
        <v>1429453.04289959</v>
      </c>
      <c r="C30" s="220">
        <v>1384420.6583221499</v>
      </c>
      <c r="D30" s="121">
        <f t="shared" si="5"/>
        <v>-3.2</v>
      </c>
      <c r="E30" s="8">
        <f>IFERROR(100/'Skjema total MA'!C30*C30,0)</f>
        <v>7.2835343998478157</v>
      </c>
      <c r="F30" s="228">
        <v>662338.30644999899</v>
      </c>
      <c r="G30" s="228">
        <v>619347.13887000002</v>
      </c>
      <c r="H30" s="121">
        <f t="shared" si="6"/>
        <v>-6.5</v>
      </c>
      <c r="I30" s="325">
        <f>IFERROR(100/'Skjema total MA'!F30*G30,0)</f>
        <v>16.797454635264657</v>
      </c>
      <c r="J30" s="228">
        <f t="shared" ref="J30:J33" si="11">SUM(B30,F30)</f>
        <v>2091791.3493495891</v>
      </c>
      <c r="K30" s="228">
        <f t="shared" ref="K30:K33" si="12">SUM(C30,G30)</f>
        <v>2003767.7971921498</v>
      </c>
      <c r="L30" s="121">
        <f t="shared" si="8"/>
        <v>-4.2</v>
      </c>
      <c r="M30" s="19">
        <f>IFERROR(100/'Skjema total MA'!I30*K30,0)</f>
        <v>8.8292370395070634</v>
      </c>
    </row>
    <row r="31" spans="1:13" ht="15.75" x14ac:dyDescent="0.2">
      <c r="A31" s="372" t="s">
        <v>326</v>
      </c>
      <c r="B31" s="220">
        <v>1062220.1410604101</v>
      </c>
      <c r="C31" s="220">
        <v>1028756.7781778499</v>
      </c>
      <c r="D31" s="121">
        <f t="shared" si="5"/>
        <v>-3.2</v>
      </c>
      <c r="E31" s="8">
        <f>IFERROR(100/'Skjema total MA'!C31*C31,0)</f>
        <v>4.616935959675966</v>
      </c>
      <c r="F31" s="228">
        <v>828900.37486999901</v>
      </c>
      <c r="G31" s="228">
        <v>836881.45849999995</v>
      </c>
      <c r="H31" s="121">
        <f t="shared" si="6"/>
        <v>1</v>
      </c>
      <c r="I31" s="325">
        <f>IFERROR(100/'Skjema total MA'!F31*G31,0)</f>
        <v>11.394848891212606</v>
      </c>
      <c r="J31" s="228">
        <f t="shared" si="11"/>
        <v>1891120.5159304091</v>
      </c>
      <c r="K31" s="228">
        <f t="shared" si="12"/>
        <v>1865638.2366778499</v>
      </c>
      <c r="L31" s="121">
        <f t="shared" si="8"/>
        <v>-1.3</v>
      </c>
      <c r="M31" s="19">
        <f>IFERROR(100/'Skjema total MA'!I31*K31,0)</f>
        <v>6.2971677097498109</v>
      </c>
    </row>
    <row r="32" spans="1:13" ht="15.75" x14ac:dyDescent="0.2">
      <c r="A32" s="372" t="s">
        <v>327</v>
      </c>
      <c r="B32" s="220"/>
      <c r="C32" s="220"/>
      <c r="D32" s="121"/>
      <c r="E32" s="8"/>
      <c r="F32" s="228">
        <v>701002.30611</v>
      </c>
      <c r="G32" s="228">
        <v>760301.51161000005</v>
      </c>
      <c r="H32" s="121">
        <f t="shared" si="6"/>
        <v>8.5</v>
      </c>
      <c r="I32" s="325">
        <f>IFERROR(100/'Skjema total MA'!F32*G32,0)</f>
        <v>10.522814076520676</v>
      </c>
      <c r="J32" s="228">
        <f t="shared" si="11"/>
        <v>701002.30611</v>
      </c>
      <c r="K32" s="228">
        <f t="shared" si="12"/>
        <v>760301.51161000005</v>
      </c>
      <c r="L32" s="121">
        <f t="shared" si="8"/>
        <v>8.5</v>
      </c>
      <c r="M32" s="19">
        <f>IFERROR(100/'Skjema total MA'!I32*K32,0)</f>
        <v>7.7576729085737881</v>
      </c>
    </row>
    <row r="33" spans="1:13" ht="15.75" x14ac:dyDescent="0.2">
      <c r="A33" s="372" t="s">
        <v>328</v>
      </c>
      <c r="B33" s="220"/>
      <c r="C33" s="220"/>
      <c r="D33" s="121"/>
      <c r="E33" s="8"/>
      <c r="F33" s="228">
        <v>2939008.5270099998</v>
      </c>
      <c r="G33" s="228">
        <v>3466274.3712300002</v>
      </c>
      <c r="H33" s="121">
        <f t="shared" si="6"/>
        <v>17.899999999999999</v>
      </c>
      <c r="I33" s="325">
        <f>IFERROR(100/'Skjema total MA'!F33*G33,0)</f>
        <v>27.411914458253833</v>
      </c>
      <c r="J33" s="228">
        <f t="shared" si="11"/>
        <v>2939008.5270099998</v>
      </c>
      <c r="K33" s="228">
        <f t="shared" si="12"/>
        <v>3466274.3712300002</v>
      </c>
      <c r="L33" s="121">
        <f t="shared" si="8"/>
        <v>17.899999999999999</v>
      </c>
      <c r="M33" s="19">
        <f>IFERROR(100/'Skjema total MA'!I33*K33,0)</f>
        <v>27.411914458253833</v>
      </c>
    </row>
    <row r="34" spans="1:13" ht="15.75" x14ac:dyDescent="0.2">
      <c r="A34" s="10" t="s">
        <v>323</v>
      </c>
      <c r="B34" s="180"/>
      <c r="C34" s="243">
        <v>139.09161</v>
      </c>
      <c r="D34" s="125" t="str">
        <f t="shared" si="5"/>
        <v xml:space="preserve">    ---- </v>
      </c>
      <c r="E34" s="8">
        <f>IFERROR(100/'Skjema total MA'!C34*C34,0)</f>
        <v>0.5729554629090875</v>
      </c>
      <c r="F34" s="242">
        <v>47142.874730000003</v>
      </c>
      <c r="G34" s="243">
        <v>55606.5461</v>
      </c>
      <c r="H34" s="125">
        <f t="shared" si="6"/>
        <v>18</v>
      </c>
      <c r="I34" s="8">
        <f>IFERROR(100/'Skjema total MA'!F34*G34,0)</f>
        <v>-28.440749232120499</v>
      </c>
      <c r="J34" s="180">
        <f t="shared" si="7"/>
        <v>47142.874730000003</v>
      </c>
      <c r="K34" s="180">
        <f t="shared" si="7"/>
        <v>55745.637710000003</v>
      </c>
      <c r="L34" s="333">
        <f t="shared" si="8"/>
        <v>18.2</v>
      </c>
      <c r="M34" s="20">
        <f>IFERROR(100/'Skjema total MA'!I34*K34,0)</f>
        <v>-32.553908283863066</v>
      </c>
    </row>
    <row r="35" spans="1:13" ht="15.75" x14ac:dyDescent="0.2">
      <c r="A35" s="10" t="s">
        <v>324</v>
      </c>
      <c r="B35" s="180">
        <v>692.71726000000001</v>
      </c>
      <c r="C35" s="243">
        <v>614.25190999999995</v>
      </c>
      <c r="D35" s="125">
        <f t="shared" si="5"/>
        <v>-11.3</v>
      </c>
      <c r="E35" s="8">
        <f>IFERROR(100/'Skjema total MA'!C35*C35,0)</f>
        <v>-0.17726746798375059</v>
      </c>
      <c r="F35" s="242">
        <v>23742.560529999999</v>
      </c>
      <c r="G35" s="243">
        <v>27587.714639999998</v>
      </c>
      <c r="H35" s="125">
        <f t="shared" si="6"/>
        <v>16.2</v>
      </c>
      <c r="I35" s="8">
        <f>IFERROR(100/'Skjema total MA'!F35*G35,0)</f>
        <v>15.139764060703483</v>
      </c>
      <c r="J35" s="180">
        <f t="shared" si="7"/>
        <v>24435.27779</v>
      </c>
      <c r="K35" s="180">
        <f t="shared" si="7"/>
        <v>28201.966549999997</v>
      </c>
      <c r="L35" s="333">
        <f t="shared" si="8"/>
        <v>15.4</v>
      </c>
      <c r="M35" s="20">
        <f>IFERROR(100/'Skjema total MA'!I35*K35,0)</f>
        <v>-17.165849996052728</v>
      </c>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c r="C47" s="245"/>
      <c r="D47" s="332"/>
      <c r="E47" s="8"/>
      <c r="F47" s="108"/>
      <c r="G47" s="26"/>
      <c r="H47" s="116"/>
      <c r="I47" s="116"/>
      <c r="J47" s="30"/>
      <c r="K47" s="30"/>
      <c r="L47" s="116"/>
      <c r="M47" s="116"/>
    </row>
    <row r="48" spans="1:13" ht="15.75" x14ac:dyDescent="0.2">
      <c r="A48" s="17" t="s">
        <v>333</v>
      </c>
      <c r="B48" s="220"/>
      <c r="C48" s="221"/>
      <c r="D48" s="198"/>
      <c r="E48" s="22"/>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v>690340.26588000008</v>
      </c>
      <c r="C66" s="280">
        <v>730311.84978000005</v>
      </c>
      <c r="D66" s="277">
        <f t="shared" ref="D66:D111" si="13">IF(B66=0, "    ---- ", IF(ABS(ROUND(100/B66*C66-100,1))&lt;999,ROUND(100/B66*C66-100,1),IF(ROUND(100/B66*C66-100,1)&gt;999,999,-999)))</f>
        <v>5.8</v>
      </c>
      <c r="E66" s="8">
        <f>IFERROR(100/'Skjema total MA'!C66*C66,0)</f>
        <v>9.7232431221457833</v>
      </c>
      <c r="F66" s="279">
        <v>4773288.3529499993</v>
      </c>
      <c r="G66" s="279">
        <v>5287637.9231799999</v>
      </c>
      <c r="H66" s="277">
        <f t="shared" ref="H66:H111" si="14">IF(F66=0, "    ---- ", IF(ABS(ROUND(100/F66*G66-100,1))&lt;999,ROUND(100/F66*G66-100,1),IF(ROUND(100/F66*G66-100,1)&gt;999,999,-999)))</f>
        <v>10.8</v>
      </c>
      <c r="I66" s="8">
        <f>IFERROR(100/'Skjema total MA'!F66*G66,0)</f>
        <v>12.099777066272294</v>
      </c>
      <c r="J66" s="243">
        <f t="shared" ref="J66:K86" si="15">SUM(B66,F66)</f>
        <v>5463628.6188299991</v>
      </c>
      <c r="K66" s="250">
        <f t="shared" si="15"/>
        <v>6017949.7729599997</v>
      </c>
      <c r="L66" s="333">
        <f t="shared" ref="L66:L111" si="16">IF(J66=0, "    ---- ", IF(ABS(ROUND(100/J66*K66-100,1))&lt;999,ROUND(100/J66*K66-100,1),IF(ROUND(100/J66*K66-100,1)&gt;999,999,-999)))</f>
        <v>10.1</v>
      </c>
      <c r="M66" s="8">
        <f>IFERROR(100/'Skjema total MA'!I66*K66,0)</f>
        <v>11.751218650964974</v>
      </c>
    </row>
    <row r="67" spans="1:13" x14ac:dyDescent="0.2">
      <c r="A67" s="38" t="s">
        <v>9</v>
      </c>
      <c r="B67" s="35">
        <v>144957.00988</v>
      </c>
      <c r="C67" s="108">
        <v>134699.15901</v>
      </c>
      <c r="D67" s="121">
        <f t="shared" si="13"/>
        <v>-7.1</v>
      </c>
      <c r="E67" s="22">
        <f>IFERROR(100/'Skjema total MA'!C67*C67,0)</f>
        <v>3.3393928091676344</v>
      </c>
      <c r="F67" s="178"/>
      <c r="G67" s="108"/>
      <c r="H67" s="121"/>
      <c r="I67" s="22"/>
      <c r="J67" s="226">
        <f t="shared" si="15"/>
        <v>144957.00988</v>
      </c>
      <c r="K67" s="35">
        <f t="shared" si="15"/>
        <v>134699.15901</v>
      </c>
      <c r="L67" s="198">
        <f t="shared" si="16"/>
        <v>-7.1</v>
      </c>
      <c r="M67" s="22">
        <f>IFERROR(100/'Skjema total MA'!I67*K67,0)</f>
        <v>3.3393928091676344</v>
      </c>
    </row>
    <row r="68" spans="1:13" x14ac:dyDescent="0.2">
      <c r="A68" s="17" t="s">
        <v>10</v>
      </c>
      <c r="B68" s="229">
        <v>22437.56684</v>
      </c>
      <c r="C68" s="230">
        <v>17197.147519999999</v>
      </c>
      <c r="D68" s="121">
        <f t="shared" si="13"/>
        <v>-23.4</v>
      </c>
      <c r="E68" s="22">
        <f>IFERROR(100/'Skjema total MA'!C68*C68,0)</f>
        <v>90.577340673691353</v>
      </c>
      <c r="F68" s="229">
        <v>4468840.5430199997</v>
      </c>
      <c r="G68" s="230">
        <v>4940386.6650700001</v>
      </c>
      <c r="H68" s="121">
        <f t="shared" si="14"/>
        <v>10.6</v>
      </c>
      <c r="I68" s="22">
        <f>IFERROR(100/'Skjema total MA'!F68*G68,0)</f>
        <v>11.746757393948954</v>
      </c>
      <c r="J68" s="226">
        <f t="shared" si="15"/>
        <v>4491278.1098600002</v>
      </c>
      <c r="K68" s="35">
        <f t="shared" si="15"/>
        <v>4957583.8125900002</v>
      </c>
      <c r="L68" s="198">
        <f t="shared" si="16"/>
        <v>10.4</v>
      </c>
      <c r="M68" s="22">
        <f>IFERROR(100/'Skjema total MA'!I68*K68,0)</f>
        <v>11.782328112524294</v>
      </c>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v>291170.87242000003</v>
      </c>
      <c r="C75" s="108">
        <v>319330.86723999999</v>
      </c>
      <c r="D75" s="121">
        <f t="shared" si="13"/>
        <v>9.6999999999999993</v>
      </c>
      <c r="E75" s="22">
        <f>IFERROR(100/'Skjema total MA'!C75*C75,0)</f>
        <v>42.484725175187293</v>
      </c>
      <c r="F75" s="178">
        <v>304447.80992999999</v>
      </c>
      <c r="G75" s="108">
        <v>347251.25811</v>
      </c>
      <c r="H75" s="121">
        <f t="shared" si="14"/>
        <v>14.1</v>
      </c>
      <c r="I75" s="22">
        <f>IFERROR(100/'Skjema total MA'!F75*G75,0)</f>
        <v>21.137231659032199</v>
      </c>
      <c r="J75" s="226">
        <f t="shared" si="15"/>
        <v>595618.68235000002</v>
      </c>
      <c r="K75" s="35">
        <f t="shared" si="15"/>
        <v>666582.12534999999</v>
      </c>
      <c r="L75" s="198">
        <f t="shared" si="16"/>
        <v>11.9</v>
      </c>
      <c r="M75" s="22">
        <f>IFERROR(100/'Skjema total MA'!I75*K75,0)</f>
        <v>27.838299541009654</v>
      </c>
    </row>
    <row r="76" spans="1:13" x14ac:dyDescent="0.2">
      <c r="A76" s="17" t="s">
        <v>308</v>
      </c>
      <c r="B76" s="178">
        <v>231774.81674000001</v>
      </c>
      <c r="C76" s="108">
        <v>259084.67601</v>
      </c>
      <c r="D76" s="121">
        <f t="shared" ref="D76" si="17">IF(B76=0, "    ---- ", IF(ABS(ROUND(100/B76*C76-100,1))&lt;999,ROUND(100/B76*C76-100,1),IF(ROUND(100/B76*C76-100,1)&gt;999,999,-999)))</f>
        <v>11.8</v>
      </c>
      <c r="E76" s="22">
        <f>IFERROR(100/'Skjema total MA'!C76*C76,0)</f>
        <v>9.5718875095496188</v>
      </c>
      <c r="F76" s="178"/>
      <c r="G76" s="108"/>
      <c r="H76" s="121"/>
      <c r="I76" s="22"/>
      <c r="J76" s="226">
        <f t="shared" ref="J76" si="18">SUM(B76,F76)</f>
        <v>231774.81674000001</v>
      </c>
      <c r="K76" s="35">
        <f t="shared" ref="K76" si="19">SUM(C76,G76)</f>
        <v>259084.67601</v>
      </c>
      <c r="L76" s="198">
        <f t="shared" ref="L76" si="20">IF(J76=0, "    ---- ", IF(ABS(ROUND(100/J76*K76-100,1))&lt;999,ROUND(100/J76*K76-100,1),IF(ROUND(100/J76*K76-100,1)&gt;999,999,-999)))</f>
        <v>11.8</v>
      </c>
      <c r="M76" s="22">
        <f>IFERROR(100/'Skjema total MA'!I76*K76,0)</f>
        <v>9.5718875095496188</v>
      </c>
    </row>
    <row r="77" spans="1:13" ht="15.75" x14ac:dyDescent="0.2">
      <c r="A77" s="17" t="s">
        <v>339</v>
      </c>
      <c r="B77" s="178">
        <v>167394.57672000001</v>
      </c>
      <c r="C77" s="178">
        <v>151896.30653</v>
      </c>
      <c r="D77" s="121">
        <f t="shared" si="13"/>
        <v>-9.3000000000000007</v>
      </c>
      <c r="E77" s="22">
        <f>IFERROR(100/'Skjema total MA'!C77*C77,0)</f>
        <v>3.8350342702587397</v>
      </c>
      <c r="F77" s="178">
        <v>4461518.2700199997</v>
      </c>
      <c r="G77" s="108">
        <v>4932054.5360700004</v>
      </c>
      <c r="H77" s="121">
        <f t="shared" si="14"/>
        <v>10.5</v>
      </c>
      <c r="I77" s="22">
        <f>IFERROR(100/'Skjema total MA'!F77*G77,0)</f>
        <v>11.72983121264858</v>
      </c>
      <c r="J77" s="226">
        <f t="shared" si="15"/>
        <v>4628912.8467399999</v>
      </c>
      <c r="K77" s="35">
        <f t="shared" si="15"/>
        <v>5083950.8426000001</v>
      </c>
      <c r="L77" s="198">
        <f t="shared" si="16"/>
        <v>9.8000000000000007</v>
      </c>
      <c r="M77" s="22">
        <f>IFERROR(100/'Skjema total MA'!I77*K77,0)</f>
        <v>11.050178757882968</v>
      </c>
    </row>
    <row r="78" spans="1:13" x14ac:dyDescent="0.2">
      <c r="A78" s="17" t="s">
        <v>9</v>
      </c>
      <c r="B78" s="178">
        <v>144957.00988</v>
      </c>
      <c r="C78" s="108">
        <v>134699.15901</v>
      </c>
      <c r="D78" s="121">
        <f t="shared" si="13"/>
        <v>-7.1</v>
      </c>
      <c r="E78" s="22">
        <f>IFERROR(100/'Skjema total MA'!C78*C78,0)</f>
        <v>3.4172263412323405</v>
      </c>
      <c r="F78" s="178"/>
      <c r="G78" s="108"/>
      <c r="H78" s="121"/>
      <c r="I78" s="22"/>
      <c r="J78" s="226">
        <f t="shared" si="15"/>
        <v>144957.00988</v>
      </c>
      <c r="K78" s="35">
        <f t="shared" si="15"/>
        <v>134699.15901</v>
      </c>
      <c r="L78" s="198">
        <f t="shared" si="16"/>
        <v>-7.1</v>
      </c>
      <c r="M78" s="22">
        <f>IFERROR(100/'Skjema total MA'!I78*K78,0)</f>
        <v>3.4172263412323405</v>
      </c>
    </row>
    <row r="79" spans="1:13" x14ac:dyDescent="0.2">
      <c r="A79" s="17" t="s">
        <v>366</v>
      </c>
      <c r="B79" s="229">
        <v>22437.56684</v>
      </c>
      <c r="C79" s="230">
        <v>17197.147519999999</v>
      </c>
      <c r="D79" s="121">
        <f t="shared" si="13"/>
        <v>-23.4</v>
      </c>
      <c r="E79" s="22">
        <f>IFERROR(100/'Skjema total MA'!C79*C79,0)</f>
        <v>90.577340673691353</v>
      </c>
      <c r="F79" s="229">
        <v>4461518.2700199997</v>
      </c>
      <c r="G79" s="230">
        <v>4932054.5360700004</v>
      </c>
      <c r="H79" s="121">
        <f t="shared" si="14"/>
        <v>10.5</v>
      </c>
      <c r="I79" s="22">
        <f>IFERROR(100/'Skjema total MA'!F79*G79,0)</f>
        <v>11.72983121264858</v>
      </c>
      <c r="J79" s="226">
        <f t="shared" si="15"/>
        <v>4483955.8368600002</v>
      </c>
      <c r="K79" s="35">
        <f t="shared" si="15"/>
        <v>4949251.6835900005</v>
      </c>
      <c r="L79" s="198">
        <f t="shared" si="16"/>
        <v>10.4</v>
      </c>
      <c r="M79" s="22">
        <f>IFERROR(100/'Skjema total MA'!I79*K79,0)</f>
        <v>11.765418318037774</v>
      </c>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v>7322.2730000000001</v>
      </c>
      <c r="G86" s="108">
        <v>8332.1290000000008</v>
      </c>
      <c r="H86" s="121">
        <f t="shared" si="14"/>
        <v>13.8</v>
      </c>
      <c r="I86" s="22">
        <f>IFERROR(100/'Skjema total MA'!F86*G86,0)</f>
        <v>80.545382008980681</v>
      </c>
      <c r="J86" s="226">
        <f t="shared" si="15"/>
        <v>7322.2730000000001</v>
      </c>
      <c r="K86" s="35">
        <f t="shared" si="15"/>
        <v>8332.1290000000008</v>
      </c>
      <c r="L86" s="198">
        <f t="shared" si="16"/>
        <v>13.8</v>
      </c>
      <c r="M86" s="22">
        <f>IFERROR(100/'Skjema total MA'!I86*K86,0)</f>
        <v>8.1513195277371562</v>
      </c>
    </row>
    <row r="87" spans="1:13" ht="15.75" x14ac:dyDescent="0.2">
      <c r="A87" s="10" t="s">
        <v>322</v>
      </c>
      <c r="B87" s="280">
        <v>19345600.598509997</v>
      </c>
      <c r="C87" s="280">
        <v>23427167.618539996</v>
      </c>
      <c r="D87" s="125">
        <f t="shared" si="13"/>
        <v>21.1</v>
      </c>
      <c r="E87" s="8">
        <f>IFERROR(100/'Skjema total MA'!C87*C87,0)</f>
        <v>5.6633678898825872</v>
      </c>
      <c r="F87" s="279">
        <v>71434988.121029913</v>
      </c>
      <c r="G87" s="279">
        <v>80453038.447410002</v>
      </c>
      <c r="H87" s="125">
        <f t="shared" si="14"/>
        <v>12.6</v>
      </c>
      <c r="I87" s="8">
        <f>IFERROR(100/'Skjema total MA'!F87*G87,0)</f>
        <v>10.65518342228693</v>
      </c>
      <c r="J87" s="243">
        <f t="shared" ref="J87:K111" si="21">SUM(B87,F87)</f>
        <v>90780588.719539911</v>
      </c>
      <c r="K87" s="180">
        <f t="shared" si="21"/>
        <v>103880206.06595001</v>
      </c>
      <c r="L87" s="333">
        <f t="shared" si="16"/>
        <v>14.4</v>
      </c>
      <c r="M87" s="8">
        <f>IFERROR(100/'Skjema total MA'!I87*K87,0)</f>
        <v>8.8883626312288584</v>
      </c>
    </row>
    <row r="88" spans="1:13" x14ac:dyDescent="0.2">
      <c r="A88" s="17" t="s">
        <v>9</v>
      </c>
      <c r="B88" s="178">
        <v>13621803.76654</v>
      </c>
      <c r="C88" s="108">
        <v>14746589.717639999</v>
      </c>
      <c r="D88" s="121">
        <f t="shared" si="13"/>
        <v>8.3000000000000007</v>
      </c>
      <c r="E88" s="22">
        <f>IFERROR(100/'Skjema total MA'!C88*C88,0)</f>
        <v>3.8049615845943583</v>
      </c>
      <c r="F88" s="178"/>
      <c r="G88" s="108"/>
      <c r="H88" s="121"/>
      <c r="I88" s="22"/>
      <c r="J88" s="226">
        <f t="shared" si="21"/>
        <v>13621803.76654</v>
      </c>
      <c r="K88" s="35">
        <f t="shared" si="21"/>
        <v>14746589.717639999</v>
      </c>
      <c r="L88" s="198">
        <f t="shared" si="16"/>
        <v>8.3000000000000007</v>
      </c>
      <c r="M88" s="22">
        <f>IFERROR(100/'Skjema total MA'!I88*K88,0)</f>
        <v>3.8049615845943583</v>
      </c>
    </row>
    <row r="89" spans="1:13" x14ac:dyDescent="0.2">
      <c r="A89" s="17" t="s">
        <v>10</v>
      </c>
      <c r="B89" s="178">
        <v>634770.91501999996</v>
      </c>
      <c r="C89" s="108">
        <v>2306013.6940100002</v>
      </c>
      <c r="D89" s="121">
        <f t="shared" si="13"/>
        <v>263.3</v>
      </c>
      <c r="E89" s="22">
        <f>IFERROR(100/'Skjema total MA'!C89*C89,0)</f>
        <v>55.790837687346553</v>
      </c>
      <c r="F89" s="178">
        <v>68658035.341859907</v>
      </c>
      <c r="G89" s="108">
        <v>77124392.997400001</v>
      </c>
      <c r="H89" s="121">
        <f t="shared" si="14"/>
        <v>12.3</v>
      </c>
      <c r="I89" s="22">
        <f>IFERROR(100/'Skjema total MA'!F89*G89,0)</f>
        <v>10.379350651715011</v>
      </c>
      <c r="J89" s="226">
        <f t="shared" si="21"/>
        <v>69292806.256879911</v>
      </c>
      <c r="K89" s="35">
        <f t="shared" si="21"/>
        <v>79430406.691410005</v>
      </c>
      <c r="L89" s="198">
        <f t="shared" si="16"/>
        <v>14.6</v>
      </c>
      <c r="M89" s="22">
        <f>IFERROR(100/'Skjema total MA'!I89*K89,0)</f>
        <v>10.630558982891968</v>
      </c>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v>3454949.0279199998</v>
      </c>
      <c r="C96" s="108">
        <v>4461940.9216499999</v>
      </c>
      <c r="D96" s="121">
        <f t="shared" si="13"/>
        <v>29.1</v>
      </c>
      <c r="E96" s="22">
        <f>IFERROR(100/'Skjema total MA'!C96*C96,0)</f>
        <v>53.562891166247482</v>
      </c>
      <c r="F96" s="178">
        <v>2776952.77917</v>
      </c>
      <c r="G96" s="108">
        <v>3328645.4500099998</v>
      </c>
      <c r="H96" s="121">
        <f t="shared" si="14"/>
        <v>19.899999999999999</v>
      </c>
      <c r="I96" s="22">
        <f>IFERROR(100/'Skjema total MA'!F96*G96,0)</f>
        <v>27.729357458694263</v>
      </c>
      <c r="J96" s="226">
        <f t="shared" si="21"/>
        <v>6231901.8070899993</v>
      </c>
      <c r="K96" s="35">
        <f t="shared" si="21"/>
        <v>7790586.3716599997</v>
      </c>
      <c r="L96" s="198">
        <f t="shared" si="16"/>
        <v>25</v>
      </c>
      <c r="M96" s="22">
        <f>IFERROR(100/'Skjema total MA'!I96*K96,0)</f>
        <v>38.312477126856045</v>
      </c>
    </row>
    <row r="97" spans="1:13" x14ac:dyDescent="0.2">
      <c r="A97" s="17" t="s">
        <v>306</v>
      </c>
      <c r="B97" s="178">
        <v>1634076.88903</v>
      </c>
      <c r="C97" s="108">
        <v>1912623.2852400001</v>
      </c>
      <c r="D97" s="121">
        <f t="shared" ref="D97" si="22">IF(B97=0, "    ---- ", IF(ABS(ROUND(100/B97*C97-100,1))&lt;999,ROUND(100/B97*C97-100,1),IF(ROUND(100/B97*C97-100,1)&gt;999,999,-999)))</f>
        <v>17</v>
      </c>
      <c r="E97" s="22">
        <f>IFERROR(100/'Skjema total MA'!C98*C97,0)</f>
        <v>0.49345541057654246</v>
      </c>
      <c r="F97" s="178"/>
      <c r="G97" s="108"/>
      <c r="H97" s="121"/>
      <c r="I97" s="22"/>
      <c r="J97" s="226">
        <f t="shared" ref="J97" si="23">SUM(B97,F97)</f>
        <v>1634076.88903</v>
      </c>
      <c r="K97" s="35">
        <f t="shared" ref="K97" si="24">SUM(C97,G97)</f>
        <v>1912623.2852400001</v>
      </c>
      <c r="L97" s="198">
        <f t="shared" ref="L97" si="25">IF(J97=0, "    ---- ", IF(ABS(ROUND(100/J97*K97-100,1))&lt;999,ROUND(100/J97*K97-100,1),IF(ROUND(100/J97*K97-100,1)&gt;999,999,-999)))</f>
        <v>17</v>
      </c>
      <c r="M97" s="22">
        <f>IFERROR(100/'Skjema total MA'!I98*K97,0)</f>
        <v>0.16922283166505822</v>
      </c>
    </row>
    <row r="98" spans="1:13" ht="15.75" x14ac:dyDescent="0.2">
      <c r="A98" s="17" t="s">
        <v>339</v>
      </c>
      <c r="B98" s="178">
        <v>14256574.68156</v>
      </c>
      <c r="C98" s="178">
        <v>17052603.411649998</v>
      </c>
      <c r="D98" s="121">
        <f t="shared" si="13"/>
        <v>19.600000000000001</v>
      </c>
      <c r="E98" s="22">
        <f>IFERROR(100/'Skjema total MA'!C98*C98,0)</f>
        <v>4.3995592246691722</v>
      </c>
      <c r="F98" s="229">
        <v>68562544.624699906</v>
      </c>
      <c r="G98" s="229">
        <v>77037496.174600005</v>
      </c>
      <c r="H98" s="121">
        <f t="shared" si="14"/>
        <v>12.4</v>
      </c>
      <c r="I98" s="22">
        <f>IFERROR(100/'Skjema total MA'!F98*G98,0)</f>
        <v>10.373443430417344</v>
      </c>
      <c r="J98" s="226">
        <f t="shared" si="21"/>
        <v>82819119.3062599</v>
      </c>
      <c r="K98" s="35">
        <f t="shared" si="21"/>
        <v>94090099.586250007</v>
      </c>
      <c r="L98" s="198">
        <f t="shared" si="16"/>
        <v>13.6</v>
      </c>
      <c r="M98" s="22">
        <f>IFERROR(100/'Skjema total MA'!I98*K98,0)</f>
        <v>8.324793076873263</v>
      </c>
    </row>
    <row r="99" spans="1:13" x14ac:dyDescent="0.2">
      <c r="A99" s="17" t="s">
        <v>9</v>
      </c>
      <c r="B99" s="229">
        <v>13621803.76654</v>
      </c>
      <c r="C99" s="230">
        <v>14746589.717639999</v>
      </c>
      <c r="D99" s="121">
        <f t="shared" si="13"/>
        <v>8.3000000000000007</v>
      </c>
      <c r="E99" s="22">
        <f>IFERROR(100/'Skjema total MA'!C99*C99,0)</f>
        <v>3.8456188036865817</v>
      </c>
      <c r="F99" s="178"/>
      <c r="G99" s="108"/>
      <c r="H99" s="121"/>
      <c r="I99" s="22"/>
      <c r="J99" s="226">
        <f t="shared" si="21"/>
        <v>13621803.76654</v>
      </c>
      <c r="K99" s="35">
        <f t="shared" si="21"/>
        <v>14746589.717639999</v>
      </c>
      <c r="L99" s="198">
        <f t="shared" si="16"/>
        <v>8.3000000000000007</v>
      </c>
      <c r="M99" s="22">
        <f>IFERROR(100/'Skjema total MA'!I99*K99,0)</f>
        <v>3.8456188036865817</v>
      </c>
    </row>
    <row r="100" spans="1:13" x14ac:dyDescent="0.2">
      <c r="A100" s="17" t="s">
        <v>366</v>
      </c>
      <c r="B100" s="229">
        <v>634770.91501999996</v>
      </c>
      <c r="C100" s="230">
        <v>2306013.6940100002</v>
      </c>
      <c r="D100" s="121">
        <f t="shared" si="13"/>
        <v>263.3</v>
      </c>
      <c r="E100" s="22">
        <f>IFERROR(100/'Skjema total MA'!C100*C100,0)</f>
        <v>55.790837687346553</v>
      </c>
      <c r="F100" s="178">
        <v>68562544.624699906</v>
      </c>
      <c r="G100" s="178">
        <v>77037496.174600005</v>
      </c>
      <c r="H100" s="121">
        <f t="shared" si="14"/>
        <v>12.4</v>
      </c>
      <c r="I100" s="22">
        <f>IFERROR(100/'Skjema total MA'!F100*G100,0)</f>
        <v>10.373443430417344</v>
      </c>
      <c r="J100" s="226">
        <f t="shared" si="21"/>
        <v>69197315.539719909</v>
      </c>
      <c r="K100" s="35">
        <f t="shared" si="21"/>
        <v>79343509.86861001</v>
      </c>
      <c r="L100" s="198">
        <f t="shared" si="16"/>
        <v>14.7</v>
      </c>
      <c r="M100" s="22">
        <f>IFERROR(100/'Skjema total MA'!I100*K100,0)</f>
        <v>10.624823907512129</v>
      </c>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v>95490.717159999898</v>
      </c>
      <c r="G107" s="108">
        <v>86896.822799999994</v>
      </c>
      <c r="H107" s="121">
        <f t="shared" si="14"/>
        <v>-9</v>
      </c>
      <c r="I107" s="22">
        <f>IFERROR(100/'Skjema total MA'!F107*G107,0)</f>
        <v>20.961852419844078</v>
      </c>
      <c r="J107" s="226">
        <f t="shared" si="21"/>
        <v>95490.717159999898</v>
      </c>
      <c r="K107" s="35">
        <f t="shared" si="21"/>
        <v>86896.822799999994</v>
      </c>
      <c r="L107" s="198">
        <f t="shared" si="16"/>
        <v>-9</v>
      </c>
      <c r="M107" s="22">
        <f>IFERROR(100/'Skjema total MA'!I107*K107,0)</f>
        <v>1.9259094947240183</v>
      </c>
    </row>
    <row r="108" spans="1:13" ht="15.75" x14ac:dyDescent="0.2">
      <c r="A108" s="17" t="s">
        <v>341</v>
      </c>
      <c r="B108" s="178">
        <v>10777117.36524</v>
      </c>
      <c r="C108" s="178">
        <v>12030396.942539999</v>
      </c>
      <c r="D108" s="121">
        <f t="shared" si="13"/>
        <v>11.6</v>
      </c>
      <c r="E108" s="22">
        <f>IFERROR(100/'Skjema total MA'!C108*C108,0)</f>
        <v>3.6232503622463543</v>
      </c>
      <c r="F108" s="178"/>
      <c r="G108" s="178"/>
      <c r="H108" s="121"/>
      <c r="I108" s="22"/>
      <c r="J108" s="226">
        <f t="shared" si="21"/>
        <v>10777117.36524</v>
      </c>
      <c r="K108" s="35">
        <f t="shared" si="21"/>
        <v>12030396.942539999</v>
      </c>
      <c r="L108" s="198">
        <f t="shared" si="16"/>
        <v>11.6</v>
      </c>
      <c r="M108" s="22">
        <f>IFERROR(100/'Skjema total MA'!I108*K108,0)</f>
        <v>3.3655204222023278</v>
      </c>
    </row>
    <row r="109" spans="1:13" ht="15.75" x14ac:dyDescent="0.2">
      <c r="A109" s="17" t="s">
        <v>374</v>
      </c>
      <c r="B109" s="178">
        <v>437039.35022999998</v>
      </c>
      <c r="C109" s="178">
        <v>466411.25060000003</v>
      </c>
      <c r="D109" s="121">
        <f t="shared" si="13"/>
        <v>6.7</v>
      </c>
      <c r="E109" s="22">
        <f>IFERROR(100/'Skjema total MA'!C109*C109,0)</f>
        <v>17.671358307626779</v>
      </c>
      <c r="F109" s="178">
        <v>28533087.010919999</v>
      </c>
      <c r="G109" s="178">
        <v>30736210.975359999</v>
      </c>
      <c r="H109" s="121">
        <f t="shared" si="14"/>
        <v>7.7</v>
      </c>
      <c r="I109" s="22">
        <f>IFERROR(100/'Skjema total MA'!F109*G109,0)</f>
        <v>10.611420801487316</v>
      </c>
      <c r="J109" s="226">
        <f t="shared" si="21"/>
        <v>28970126.36115</v>
      </c>
      <c r="K109" s="35">
        <f t="shared" si="21"/>
        <v>31202622.225959998</v>
      </c>
      <c r="L109" s="198">
        <f t="shared" si="16"/>
        <v>7.7</v>
      </c>
      <c r="M109" s="22">
        <f>IFERROR(100/'Skjema total MA'!I109*K109,0)</f>
        <v>10.675171317150179</v>
      </c>
    </row>
    <row r="110" spans="1:13" ht="15.75" x14ac:dyDescent="0.2">
      <c r="A110" s="17" t="s">
        <v>342</v>
      </c>
      <c r="B110" s="178">
        <v>1384380.1615800001</v>
      </c>
      <c r="C110" s="178">
        <v>1823229.6932999999</v>
      </c>
      <c r="D110" s="121">
        <f t="shared" si="13"/>
        <v>31.7</v>
      </c>
      <c r="E110" s="22">
        <f>IFERROR(100/'Skjema total MA'!C110*C110,0)</f>
        <v>41.484875774272965</v>
      </c>
      <c r="F110" s="178"/>
      <c r="G110" s="178"/>
      <c r="H110" s="121"/>
      <c r="I110" s="22"/>
      <c r="J110" s="226">
        <f t="shared" si="21"/>
        <v>1384380.1615800001</v>
      </c>
      <c r="K110" s="35">
        <f t="shared" si="21"/>
        <v>1823229.6932999999</v>
      </c>
      <c r="L110" s="198">
        <f t="shared" si="16"/>
        <v>31.7</v>
      </c>
      <c r="M110" s="22">
        <f>IFERROR(100/'Skjema total MA'!I110*K110,0)</f>
        <v>41.484875774272965</v>
      </c>
    </row>
    <row r="111" spans="1:13" ht="15.75" x14ac:dyDescent="0.2">
      <c r="A111" s="10" t="s">
        <v>323</v>
      </c>
      <c r="B111" s="242">
        <v>25480.295190000001</v>
      </c>
      <c r="C111" s="116">
        <v>942376.76511000004</v>
      </c>
      <c r="D111" s="125">
        <f t="shared" si="13"/>
        <v>999</v>
      </c>
      <c r="E111" s="8">
        <f>IFERROR(100/'Skjema total MA'!C111*C111,0)</f>
        <v>48.598659531223859</v>
      </c>
      <c r="F111" s="242">
        <v>4171011.30828</v>
      </c>
      <c r="G111" s="116">
        <v>5494916.8614499997</v>
      </c>
      <c r="H111" s="125">
        <f t="shared" si="14"/>
        <v>31.7</v>
      </c>
      <c r="I111" s="8">
        <f>IFERROR(100/'Skjema total MA'!F111*G111,0)</f>
        <v>10.536973507237057</v>
      </c>
      <c r="J111" s="243">
        <f t="shared" si="21"/>
        <v>4196491.6034700004</v>
      </c>
      <c r="K111" s="180">
        <f t="shared" si="21"/>
        <v>6437293.6265599998</v>
      </c>
      <c r="L111" s="333">
        <f t="shared" si="16"/>
        <v>53.4</v>
      </c>
      <c r="M111" s="8">
        <f>IFERROR(100/'Skjema total MA'!I111*K111,0)</f>
        <v>11.901516719608916</v>
      </c>
    </row>
    <row r="112" spans="1:13" x14ac:dyDescent="0.2">
      <c r="A112" s="17" t="s">
        <v>9</v>
      </c>
      <c r="B112" s="178">
        <v>2445.81086</v>
      </c>
      <c r="C112" s="108">
        <v>900067.01199000003</v>
      </c>
      <c r="D112" s="121">
        <f t="shared" ref="D112:D125" si="26">IF(B112=0, "    ---- ", IF(ABS(ROUND(100/B112*C112-100,1))&lt;999,ROUND(100/B112*C112-100,1),IF(ROUND(100/B112*C112-100,1)&gt;999,999,-999)))</f>
        <v>999</v>
      </c>
      <c r="E112" s="22">
        <f>IFERROR(100/'Skjema total MA'!C112*C112,0)</f>
        <v>50.403267933292923</v>
      </c>
      <c r="F112" s="178"/>
      <c r="G112" s="108"/>
      <c r="H112" s="121"/>
      <c r="I112" s="22"/>
      <c r="J112" s="226">
        <f t="shared" ref="J112:K125" si="27">SUM(B112,F112)</f>
        <v>2445.81086</v>
      </c>
      <c r="K112" s="35">
        <f t="shared" si="27"/>
        <v>900067.01199000003</v>
      </c>
      <c r="L112" s="198">
        <f t="shared" ref="L112:L125" si="28">IF(J112=0, "    ---- ", IF(ABS(ROUND(100/J112*K112-100,1))&lt;999,ROUND(100/J112*K112-100,1),IF(ROUND(100/J112*K112-100,1)&gt;999,999,-999)))</f>
        <v>999</v>
      </c>
      <c r="M112" s="22">
        <f>IFERROR(100/'Skjema total MA'!I112*K112,0)</f>
        <v>50.264870103647958</v>
      </c>
    </row>
    <row r="113" spans="1:13" x14ac:dyDescent="0.2">
      <c r="A113" s="17" t="s">
        <v>10</v>
      </c>
      <c r="B113" s="178">
        <v>0</v>
      </c>
      <c r="C113" s="108">
        <v>29350.70577</v>
      </c>
      <c r="D113" s="121" t="str">
        <f t="shared" si="26"/>
        <v xml:space="preserve">    ---- </v>
      </c>
      <c r="E113" s="22">
        <f>IFERROR(100/'Skjema total MA'!C113*C113,0)</f>
        <v>100</v>
      </c>
      <c r="F113" s="178">
        <v>4171011.30828</v>
      </c>
      <c r="G113" s="108">
        <v>5494916.8614499997</v>
      </c>
      <c r="H113" s="121">
        <f t="shared" ref="H113:H125" si="29">IF(F113=0, "    ---- ", IF(ABS(ROUND(100/F113*G113-100,1))&lt;999,ROUND(100/F113*G113-100,1),IF(ROUND(100/F113*G113-100,1)&gt;999,999,-999)))</f>
        <v>31.7</v>
      </c>
      <c r="I113" s="22">
        <f>IFERROR(100/'Skjema total MA'!F113*G113,0)</f>
        <v>10.537967063496422</v>
      </c>
      <c r="J113" s="226">
        <f t="shared" si="27"/>
        <v>4171011.30828</v>
      </c>
      <c r="K113" s="35">
        <f t="shared" si="27"/>
        <v>5524267.5672199996</v>
      </c>
      <c r="L113" s="198">
        <f t="shared" si="28"/>
        <v>32.4</v>
      </c>
      <c r="M113" s="22">
        <f>IFERROR(100/'Skjema total MA'!I113*K113,0)</f>
        <v>10.588294943487281</v>
      </c>
    </row>
    <row r="114" spans="1:13" x14ac:dyDescent="0.2">
      <c r="A114" s="17" t="s">
        <v>26</v>
      </c>
      <c r="B114" s="178">
        <v>23034.484329999999</v>
      </c>
      <c r="C114" s="108">
        <v>12959.047350000001</v>
      </c>
      <c r="D114" s="121">
        <f t="shared" si="26"/>
        <v>-43.7</v>
      </c>
      <c r="E114" s="22">
        <f>IFERROR(100/'Skjema total MA'!C114*C114,0)</f>
        <v>10.449314288671435</v>
      </c>
      <c r="F114" s="178"/>
      <c r="G114" s="108"/>
      <c r="H114" s="121"/>
      <c r="I114" s="22"/>
      <c r="J114" s="226">
        <f t="shared" si="27"/>
        <v>23034.484329999999</v>
      </c>
      <c r="K114" s="35">
        <f t="shared" si="27"/>
        <v>12959.047350000001</v>
      </c>
      <c r="L114" s="198">
        <f t="shared" si="28"/>
        <v>-43.7</v>
      </c>
      <c r="M114" s="22">
        <f>IFERROR(100/'Skjema total MA'!I114*K114,0)</f>
        <v>10.449314288671435</v>
      </c>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v>2343.69029</v>
      </c>
      <c r="C116" s="178">
        <v>895687.11184000003</v>
      </c>
      <c r="D116" s="121">
        <f t="shared" si="26"/>
        <v>999</v>
      </c>
      <c r="E116" s="22">
        <f>IFERROR(100/'Skjema total MA'!C116*C116,0)</f>
        <v>96.691488973760698</v>
      </c>
      <c r="F116" s="178"/>
      <c r="G116" s="178"/>
      <c r="H116" s="121"/>
      <c r="I116" s="22"/>
      <c r="J116" s="226">
        <f t="shared" si="27"/>
        <v>2343.69029</v>
      </c>
      <c r="K116" s="35">
        <f t="shared" si="27"/>
        <v>895687.11184000003</v>
      </c>
      <c r="L116" s="198">
        <f t="shared" si="28"/>
        <v>999</v>
      </c>
      <c r="M116" s="22">
        <f>IFERROR(100/'Skjema total MA'!I116*K116,0)</f>
        <v>96.18098163126588</v>
      </c>
    </row>
    <row r="117" spans="1:13" ht="15.75" x14ac:dyDescent="0.2">
      <c r="A117" s="17" t="s">
        <v>374</v>
      </c>
      <c r="B117" s="178"/>
      <c r="C117" s="178"/>
      <c r="D117" s="121"/>
      <c r="E117" s="22"/>
      <c r="F117" s="178">
        <v>2786434.7867000001</v>
      </c>
      <c r="G117" s="178">
        <v>3472283.1545899999</v>
      </c>
      <c r="H117" s="121">
        <f t="shared" si="29"/>
        <v>24.6</v>
      </c>
      <c r="I117" s="22">
        <f>IFERROR(100/'Skjema total MA'!F117*G117,0)</f>
        <v>11.013747343898164</v>
      </c>
      <c r="J117" s="226">
        <f t="shared" si="27"/>
        <v>2786434.7867000001</v>
      </c>
      <c r="K117" s="35">
        <f t="shared" si="27"/>
        <v>3472283.1545899999</v>
      </c>
      <c r="L117" s="198">
        <f t="shared" si="28"/>
        <v>24.6</v>
      </c>
      <c r="M117" s="22">
        <f>IFERROR(100/'Skjema total MA'!I117*K117,0)</f>
        <v>11.013747343898164</v>
      </c>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v>21814.327539999998</v>
      </c>
      <c r="C119" s="116">
        <v>80298.884209999989</v>
      </c>
      <c r="D119" s="125">
        <f t="shared" si="26"/>
        <v>268.10000000000002</v>
      </c>
      <c r="E119" s="8">
        <f>IFERROR(100/'Skjema total MA'!C119*C119,0)</f>
        <v>15.124481436368331</v>
      </c>
      <c r="F119" s="242">
        <v>4241396.0203099996</v>
      </c>
      <c r="G119" s="116">
        <v>5812092.8795999996</v>
      </c>
      <c r="H119" s="125">
        <f t="shared" si="29"/>
        <v>37</v>
      </c>
      <c r="I119" s="8">
        <f>IFERROR(100/'Skjema total MA'!F119*G119,0)</f>
        <v>10.634878650895198</v>
      </c>
      <c r="J119" s="243">
        <f t="shared" si="27"/>
        <v>4263210.3478499996</v>
      </c>
      <c r="K119" s="180">
        <f t="shared" si="27"/>
        <v>5892391.7638099995</v>
      </c>
      <c r="L119" s="333">
        <f t="shared" si="28"/>
        <v>38.200000000000003</v>
      </c>
      <c r="M119" s="8">
        <f>IFERROR(100/'Skjema total MA'!I119*K119,0)</f>
        <v>10.678074125860775</v>
      </c>
    </row>
    <row r="120" spans="1:13" x14ac:dyDescent="0.2">
      <c r="A120" s="17" t="s">
        <v>9</v>
      </c>
      <c r="B120" s="178">
        <v>144.23607000000001</v>
      </c>
      <c r="C120" s="108">
        <v>297.24479000000002</v>
      </c>
      <c r="D120" s="121">
        <f t="shared" si="26"/>
        <v>106.1</v>
      </c>
      <c r="E120" s="22">
        <f>IFERROR(100/'Skjema total MA'!C120*C120,0)</f>
        <v>0.17632967968127519</v>
      </c>
      <c r="F120" s="178"/>
      <c r="G120" s="108"/>
      <c r="H120" s="121"/>
      <c r="I120" s="22"/>
      <c r="J120" s="226">
        <f t="shared" si="27"/>
        <v>144.23607000000001</v>
      </c>
      <c r="K120" s="35">
        <f t="shared" si="27"/>
        <v>297.24479000000002</v>
      </c>
      <c r="L120" s="198">
        <f t="shared" si="28"/>
        <v>106.1</v>
      </c>
      <c r="M120" s="22">
        <f>IFERROR(100/'Skjema total MA'!I120*K120,0)</f>
        <v>0.17632967968127519</v>
      </c>
    </row>
    <row r="121" spans="1:13" x14ac:dyDescent="0.2">
      <c r="A121" s="17" t="s">
        <v>10</v>
      </c>
      <c r="B121" s="178">
        <v>11408.852629999999</v>
      </c>
      <c r="C121" s="108">
        <v>43016.717629999999</v>
      </c>
      <c r="D121" s="121">
        <f t="shared" si="26"/>
        <v>277</v>
      </c>
      <c r="E121" s="22">
        <f>IFERROR(100/'Skjema total MA'!C121*C121,0)</f>
        <v>100</v>
      </c>
      <c r="F121" s="178">
        <v>4241396.0203099996</v>
      </c>
      <c r="G121" s="108">
        <v>5812092.8795999996</v>
      </c>
      <c r="H121" s="121">
        <f t="shared" si="29"/>
        <v>37</v>
      </c>
      <c r="I121" s="22">
        <f>IFERROR(100/'Skjema total MA'!F121*G121,0)</f>
        <v>10.634878650895198</v>
      </c>
      <c r="J121" s="226">
        <f t="shared" si="27"/>
        <v>4252804.8729399992</v>
      </c>
      <c r="K121" s="35">
        <f t="shared" si="27"/>
        <v>5855109.5972299995</v>
      </c>
      <c r="L121" s="198">
        <f t="shared" si="28"/>
        <v>37.700000000000003</v>
      </c>
      <c r="M121" s="22">
        <f>IFERROR(100/'Skjema total MA'!I121*K121,0)</f>
        <v>10.705163805823815</v>
      </c>
    </row>
    <row r="122" spans="1:13" x14ac:dyDescent="0.2">
      <c r="A122" s="17" t="s">
        <v>26</v>
      </c>
      <c r="B122" s="178">
        <v>10261.23884</v>
      </c>
      <c r="C122" s="108">
        <v>36984.92179</v>
      </c>
      <c r="D122" s="121">
        <f t="shared" si="26"/>
        <v>260.39999999999998</v>
      </c>
      <c r="E122" s="22">
        <f>IFERROR(100/'Skjema total MA'!C122*C122,0)</f>
        <v>11.58204223879126</v>
      </c>
      <c r="F122" s="178"/>
      <c r="G122" s="108"/>
      <c r="H122" s="121"/>
      <c r="I122" s="22"/>
      <c r="J122" s="226">
        <f t="shared" si="27"/>
        <v>10261.23884</v>
      </c>
      <c r="K122" s="35">
        <f t="shared" si="27"/>
        <v>36984.92179</v>
      </c>
      <c r="L122" s="198">
        <f t="shared" si="28"/>
        <v>260.39999999999998</v>
      </c>
      <c r="M122" s="22">
        <f>IFERROR(100/'Skjema total MA'!I122*K122,0)</f>
        <v>11.58204223879126</v>
      </c>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v>2962.7356199999999</v>
      </c>
      <c r="C125" s="178">
        <v>1677.0379800000001</v>
      </c>
      <c r="D125" s="121">
        <f t="shared" si="26"/>
        <v>-43.4</v>
      </c>
      <c r="E125" s="22">
        <f>IFERROR(100/'Skjema total MA'!C125*C125,0)</f>
        <v>91.337959035967486</v>
      </c>
      <c r="F125" s="178">
        <v>2277295.8273700001</v>
      </c>
      <c r="G125" s="178">
        <v>2574547.0500699999</v>
      </c>
      <c r="H125" s="121">
        <f t="shared" si="29"/>
        <v>13.1</v>
      </c>
      <c r="I125" s="22">
        <f>IFERROR(100/'Skjema total MA'!F125*G125,0)</f>
        <v>8.7146879000680482</v>
      </c>
      <c r="J125" s="226">
        <f t="shared" si="27"/>
        <v>2280258.56299</v>
      </c>
      <c r="K125" s="35">
        <f t="shared" si="27"/>
        <v>2576224.0880499999</v>
      </c>
      <c r="L125" s="198">
        <f t="shared" si="28"/>
        <v>13</v>
      </c>
      <c r="M125" s="22">
        <f>IFERROR(100/'Skjema total MA'!I125*K125,0)</f>
        <v>8.7198226345963548</v>
      </c>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242" priority="12">
      <formula>kvartal &lt; 4</formula>
    </cfRule>
  </conditionalFormatting>
  <conditionalFormatting sqref="A69:A74">
    <cfRule type="expression" dxfId="241" priority="10">
      <formula>kvartal &lt; 4</formula>
    </cfRule>
  </conditionalFormatting>
  <conditionalFormatting sqref="A80:A85">
    <cfRule type="expression" dxfId="240" priority="9">
      <formula>kvartal &lt; 4</formula>
    </cfRule>
  </conditionalFormatting>
  <conditionalFormatting sqref="A90:A95">
    <cfRule type="expression" dxfId="239" priority="6">
      <formula>kvartal &lt; 4</formula>
    </cfRule>
  </conditionalFormatting>
  <conditionalFormatting sqref="A101:A106">
    <cfRule type="expression" dxfId="238" priority="5">
      <formula>kvartal &lt; 4</formula>
    </cfRule>
  </conditionalFormatting>
  <conditionalFormatting sqref="A115:C115">
    <cfRule type="expression" dxfId="237" priority="4">
      <formula>kvartal &lt; 4</formula>
    </cfRule>
  </conditionalFormatting>
  <conditionalFormatting sqref="A123:C123">
    <cfRule type="expression" dxfId="236" priority="3">
      <formula>kvartal &lt; 4</formula>
    </cfRule>
  </conditionalFormatting>
  <conditionalFormatting sqref="F115:G115">
    <cfRule type="expression" dxfId="235" priority="57">
      <formula>kvartal &lt; 4</formula>
    </cfRule>
  </conditionalFormatting>
  <conditionalFormatting sqref="F123:G123">
    <cfRule type="expression" dxfId="234" priority="56">
      <formula>kvartal &lt; 4</formula>
    </cfRule>
  </conditionalFormatting>
  <conditionalFormatting sqref="J115:K115">
    <cfRule type="expression" dxfId="233" priority="32">
      <formula>kvartal &lt; 4</formula>
    </cfRule>
  </conditionalFormatting>
  <conditionalFormatting sqref="J123:K123">
    <cfRule type="expression" dxfId="232" priority="31">
      <formula>kvartal &lt; 4</formula>
    </cfRule>
  </conditionalFormatting>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30"/>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411</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863307.36083999998</v>
      </c>
      <c r="C7" s="241">
        <v>948489.97019999998</v>
      </c>
      <c r="D7" s="277">
        <f>IF(B7=0, "    ---- ", IF(ABS(ROUND(100/B7*C7-100,1))&lt;999,ROUND(100/B7*C7-100,1),IF(ROUND(100/B7*C7-100,1)&gt;999,999,-999)))</f>
        <v>9.9</v>
      </c>
      <c r="E7" s="8">
        <f>IFERROR(100/'Skjema total MA'!C7*C7,0)</f>
        <v>20.789853136494994</v>
      </c>
      <c r="F7" s="240">
        <v>935812.98294000002</v>
      </c>
      <c r="G7" s="241">
        <v>723100.29186</v>
      </c>
      <c r="H7" s="277">
        <f>IF(F7=0, "    ---- ", IF(ABS(ROUND(100/F7*G7-100,1))&lt;999,ROUND(100/F7*G7-100,1),IF(ROUND(100/F7*G7-100,1)&gt;999,999,-999)))</f>
        <v>-22.7</v>
      </c>
      <c r="I7" s="117">
        <f>IFERROR(100/'Skjema total MA'!F7*G7,0)</f>
        <v>8.853101314543645</v>
      </c>
      <c r="J7" s="242">
        <f t="shared" ref="J7:K12" si="0">SUM(B7,F7)</f>
        <v>1799120.34378</v>
      </c>
      <c r="K7" s="243">
        <f t="shared" si="0"/>
        <v>1671590.2620600001</v>
      </c>
      <c r="L7" s="332">
        <f>IF(J7=0, "    ---- ", IF(ABS(ROUND(100/J7*K7-100,1))&lt;999,ROUND(100/J7*K7-100,1),IF(ROUND(100/J7*K7-100,1)&gt;999,999,-999)))</f>
        <v>-7.1</v>
      </c>
      <c r="M7" s="8">
        <f>IFERROR(100/'Skjema total MA'!I7*K7,0)</f>
        <v>13.131072464896937</v>
      </c>
    </row>
    <row r="8" spans="1:14" ht="15.75" x14ac:dyDescent="0.2">
      <c r="A8" s="17" t="s">
        <v>25</v>
      </c>
      <c r="B8" s="220">
        <v>261904.69423435599</v>
      </c>
      <c r="C8" s="221">
        <v>299877.24243070802</v>
      </c>
      <c r="D8" s="121">
        <f t="shared" ref="D8:D10" si="1">IF(B8=0, "    ---- ", IF(ABS(ROUND(100/B8*C8-100,1))&lt;999,ROUND(100/B8*C8-100,1),IF(ROUND(100/B8*C8-100,1)&gt;999,999,-999)))</f>
        <v>14.5</v>
      </c>
      <c r="E8" s="22">
        <f>IFERROR(100/'Skjema total MA'!C8*C8,0)</f>
        <v>9.7610027229075502</v>
      </c>
      <c r="F8" s="224"/>
      <c r="G8" s="225"/>
      <c r="H8" s="121"/>
      <c r="I8" s="129"/>
      <c r="J8" s="178">
        <f t="shared" si="0"/>
        <v>261904.69423435599</v>
      </c>
      <c r="K8" s="226">
        <f t="shared" si="0"/>
        <v>299877.24243070802</v>
      </c>
      <c r="L8" s="121">
        <f t="shared" ref="L8:L9" si="2">IF(J8=0, "    ---- ", IF(ABS(ROUND(100/J8*K8-100,1))&lt;999,ROUND(100/J8*K8-100,1),IF(ROUND(100/J8*K8-100,1)&gt;999,999,-999)))</f>
        <v>14.5</v>
      </c>
      <c r="M8" s="22">
        <f>IFERROR(100/'Skjema total MA'!I8*K8,0)</f>
        <v>9.7610027229075502</v>
      </c>
    </row>
    <row r="9" spans="1:14" ht="15.75" x14ac:dyDescent="0.2">
      <c r="A9" s="17" t="s">
        <v>24</v>
      </c>
      <c r="B9" s="220">
        <v>107167.909442244</v>
      </c>
      <c r="C9" s="221">
        <v>123699.918175707</v>
      </c>
      <c r="D9" s="121">
        <f t="shared" si="1"/>
        <v>15.4</v>
      </c>
      <c r="E9" s="22">
        <f>IFERROR(100/'Skjema total MA'!C9*C9,0)</f>
        <v>13.684465697919896</v>
      </c>
      <c r="F9" s="224"/>
      <c r="G9" s="225"/>
      <c r="H9" s="121"/>
      <c r="I9" s="129"/>
      <c r="J9" s="178">
        <f t="shared" si="0"/>
        <v>107167.909442244</v>
      </c>
      <c r="K9" s="226">
        <f t="shared" si="0"/>
        <v>123699.918175707</v>
      </c>
      <c r="L9" s="121">
        <f t="shared" si="2"/>
        <v>15.4</v>
      </c>
      <c r="M9" s="22">
        <f>IFERROR(100/'Skjema total MA'!I9*K9,0)</f>
        <v>13.684465697919896</v>
      </c>
    </row>
    <row r="10" spans="1:14" ht="15.75" x14ac:dyDescent="0.2">
      <c r="A10" s="10" t="s">
        <v>322</v>
      </c>
      <c r="B10" s="244">
        <v>5114434.5375399999</v>
      </c>
      <c r="C10" s="245">
        <v>5636160.5617500003</v>
      </c>
      <c r="D10" s="125">
        <f t="shared" si="1"/>
        <v>10.199999999999999</v>
      </c>
      <c r="E10" s="8">
        <f>IFERROR(100/'Skjema total MA'!C10*C10,0)</f>
        <v>44.91568815432975</v>
      </c>
      <c r="F10" s="244">
        <v>16178332.163419999</v>
      </c>
      <c r="G10" s="245">
        <v>17064083.699280001</v>
      </c>
      <c r="H10" s="125">
        <f t="shared" ref="H10:H12" si="3">IF(F10=0, "    ---- ", IF(ABS(ROUND(100/F10*G10-100,1))&lt;999,ROUND(100/F10*G10-100,1),IF(ROUND(100/F10*G10-100,1)&gt;999,999,-999)))</f>
        <v>5.5</v>
      </c>
      <c r="I10" s="117">
        <f>IFERROR(100/'Skjema total MA'!F10*G10,0)</f>
        <v>16.457723749285805</v>
      </c>
      <c r="J10" s="242">
        <f t="shared" si="0"/>
        <v>21292766.700959999</v>
      </c>
      <c r="K10" s="243">
        <f t="shared" si="0"/>
        <v>22700244.261030003</v>
      </c>
      <c r="L10" s="333">
        <f t="shared" ref="L10:L12" si="4">IF(J10=0, "    ---- ", IF(ABS(ROUND(100/J10*K10-100,1))&lt;999,ROUND(100/J10*K10-100,1),IF(ROUND(100/J10*K10-100,1)&gt;999,999,-999)))</f>
        <v>6.6</v>
      </c>
      <c r="M10" s="8">
        <f>IFERROR(100/'Skjema total MA'!I10*K10,0)</f>
        <v>19.530004867868882</v>
      </c>
    </row>
    <row r="11" spans="1:14" s="34" customFormat="1" ht="15.75" x14ac:dyDescent="0.2">
      <c r="A11" s="10" t="s">
        <v>323</v>
      </c>
      <c r="B11" s="244"/>
      <c r="C11" s="245"/>
      <c r="D11" s="125"/>
      <c r="E11" s="8"/>
      <c r="F11" s="244">
        <v>25737.340110000001</v>
      </c>
      <c r="G11" s="245">
        <v>5099.5498600000001</v>
      </c>
      <c r="H11" s="125">
        <f t="shared" si="3"/>
        <v>-80.2</v>
      </c>
      <c r="I11" s="117">
        <f>IFERROR(100/'Skjema total MA'!F11*G11,0)</f>
        <v>1.0354126943857094</v>
      </c>
      <c r="J11" s="242">
        <f t="shared" si="0"/>
        <v>25737.340110000001</v>
      </c>
      <c r="K11" s="243">
        <f t="shared" si="0"/>
        <v>5099.5498600000001</v>
      </c>
      <c r="L11" s="333">
        <f t="shared" si="4"/>
        <v>-80.2</v>
      </c>
      <c r="M11" s="8">
        <f>IFERROR(100/'Skjema total MA'!I11*K11,0)</f>
        <v>1.0347130084152349</v>
      </c>
      <c r="N11" s="106"/>
    </row>
    <row r="12" spans="1:14" s="34" customFormat="1" ht="15.75" x14ac:dyDescent="0.2">
      <c r="A12" s="32" t="s">
        <v>324</v>
      </c>
      <c r="B12" s="246"/>
      <c r="C12" s="247"/>
      <c r="D12" s="123"/>
      <c r="E12" s="29"/>
      <c r="F12" s="246">
        <v>154007.82307000001</v>
      </c>
      <c r="G12" s="247">
        <v>374009.96503999998</v>
      </c>
      <c r="H12" s="123">
        <f t="shared" si="3"/>
        <v>142.9</v>
      </c>
      <c r="I12" s="123">
        <f>IFERROR(100/'Skjema total MA'!F12*G12,0)</f>
        <v>76.126379344994632</v>
      </c>
      <c r="J12" s="248">
        <f t="shared" si="0"/>
        <v>154007.82307000001</v>
      </c>
      <c r="K12" s="249">
        <f t="shared" si="0"/>
        <v>374009.96503999998</v>
      </c>
      <c r="L12" s="334">
        <f t="shared" si="4"/>
        <v>142.9</v>
      </c>
      <c r="M12" s="29">
        <f>IFERROR(100/'Skjema total MA'!I12*K12,0)</f>
        <v>76.073455092105476</v>
      </c>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3870.2934399999999</v>
      </c>
      <c r="C22" s="244">
        <v>2805.34465</v>
      </c>
      <c r="D22" s="277">
        <f t="shared" ref="D22:D37" si="5">IF(B22=0, "    ---- ", IF(ABS(ROUND(100/B22*C22-100,1))&lt;999,ROUND(100/B22*C22-100,1),IF(ROUND(100/B22*C22-100,1)&gt;999,999,-999)))</f>
        <v>-27.5</v>
      </c>
      <c r="E22" s="8">
        <f>IFERROR(100/'Skjema total MA'!C22*C22,0)</f>
        <v>0.13288441829630157</v>
      </c>
      <c r="F22" s="252">
        <v>197668.17017999999</v>
      </c>
      <c r="G22" s="252">
        <v>196847.60883000001</v>
      </c>
      <c r="H22" s="277">
        <f t="shared" ref="H22:H35" si="6">IF(F22=0, "    ---- ", IF(ABS(ROUND(100/F22*G22-100,1))&lt;999,ROUND(100/F22*G22-100,1),IF(ROUND(100/F22*G22-100,1)&gt;999,999,-999)))</f>
        <v>-0.4</v>
      </c>
      <c r="I22" s="8">
        <f>IFERROR(100/'Skjema total MA'!F22*G22,0)</f>
        <v>24.601665604001756</v>
      </c>
      <c r="J22" s="250">
        <f t="shared" ref="J22:K35" si="7">SUM(B22,F22)</f>
        <v>201538.46361999999</v>
      </c>
      <c r="K22" s="250">
        <f t="shared" si="7"/>
        <v>199652.95348000003</v>
      </c>
      <c r="L22" s="332">
        <f t="shared" ref="L22:L37" si="8">IF(J22=0, "    ---- ", IF(ABS(ROUND(100/J22*K22-100,1))&lt;999,ROUND(100/J22*K22-100,1),IF(ROUND(100/J22*K22-100,1)&gt;999,999,-999)))</f>
        <v>-0.9</v>
      </c>
      <c r="M22" s="20">
        <f>IFERROR(100/'Skjema total MA'!I22*K22,0)</f>
        <v>6.8579669815145419</v>
      </c>
    </row>
    <row r="23" spans="1:13" ht="15.75" x14ac:dyDescent="0.2">
      <c r="A23" s="372" t="s">
        <v>325</v>
      </c>
      <c r="B23" s="220">
        <v>619.75380535454303</v>
      </c>
      <c r="C23" s="220">
        <v>487.60924291482598</v>
      </c>
      <c r="D23" s="121">
        <f t="shared" si="5"/>
        <v>-21.3</v>
      </c>
      <c r="E23" s="8">
        <f>IFERROR(100/'Skjema total MA'!C23*C23,0)</f>
        <v>3.6978554335911039E-2</v>
      </c>
      <c r="F23" s="228">
        <v>25469.446110000001</v>
      </c>
      <c r="G23" s="228">
        <v>23630.34273</v>
      </c>
      <c r="H23" s="121">
        <f t="shared" si="6"/>
        <v>-7.2</v>
      </c>
      <c r="I23" s="325">
        <f>IFERROR(100/'Skjema total MA'!F23*G23,0)</f>
        <v>60.588570933281247</v>
      </c>
      <c r="J23" s="228">
        <f t="shared" ref="J23:J26" si="9">SUM(B23,F23)</f>
        <v>26089.199915354544</v>
      </c>
      <c r="K23" s="228">
        <f t="shared" ref="K23:K26" si="10">SUM(C23,G23)</f>
        <v>24117.951972914827</v>
      </c>
      <c r="L23" s="121">
        <f t="shared" si="8"/>
        <v>-7.6</v>
      </c>
      <c r="M23" s="19">
        <f>IFERROR(100/'Skjema total MA'!I23*K23,0)</f>
        <v>1.7764766415157633</v>
      </c>
    </row>
    <row r="24" spans="1:13" ht="15.75" x14ac:dyDescent="0.2">
      <c r="A24" s="372" t="s">
        <v>326</v>
      </c>
      <c r="B24" s="220">
        <v>3250.53963464546</v>
      </c>
      <c r="C24" s="220">
        <v>2317.7354070851702</v>
      </c>
      <c r="D24" s="121">
        <f t="shared" si="5"/>
        <v>-28.7</v>
      </c>
      <c r="E24" s="8">
        <f>IFERROR(100/'Skjema total MA'!C24*C24,0)</f>
        <v>23.499053249806632</v>
      </c>
      <c r="F24" s="228">
        <v>820.28484000000003</v>
      </c>
      <c r="G24" s="228">
        <v>187.2209</v>
      </c>
      <c r="H24" s="121">
        <f t="shared" si="6"/>
        <v>-77.2</v>
      </c>
      <c r="I24" s="325">
        <f>IFERROR(100/'Skjema total MA'!F24*G24,0)</f>
        <v>48.977935182636962</v>
      </c>
      <c r="J24" s="228">
        <f t="shared" si="9"/>
        <v>4070.8244746454602</v>
      </c>
      <c r="K24" s="228">
        <f t="shared" si="10"/>
        <v>2504.95630708517</v>
      </c>
      <c r="L24" s="121">
        <f t="shared" si="8"/>
        <v>-38.5</v>
      </c>
      <c r="M24" s="19">
        <f>IFERROR(100/'Skjema total MA'!I24*K24,0)</f>
        <v>24.449673660051559</v>
      </c>
    </row>
    <row r="25" spans="1:13" ht="15.75" x14ac:dyDescent="0.2">
      <c r="A25" s="372" t="s">
        <v>327</v>
      </c>
      <c r="B25" s="220"/>
      <c r="C25" s="220"/>
      <c r="D25" s="121"/>
      <c r="E25" s="8"/>
      <c r="F25" s="228">
        <v>656.15723000000003</v>
      </c>
      <c r="G25" s="228">
        <v>561.89970000000005</v>
      </c>
      <c r="H25" s="121">
        <f t="shared" si="6"/>
        <v>-14.4</v>
      </c>
      <c r="I25" s="325">
        <f>IFERROR(100/'Skjema total MA'!F25*G25,0)</f>
        <v>5.1926290547780116</v>
      </c>
      <c r="J25" s="228">
        <f t="shared" si="9"/>
        <v>656.15723000000003</v>
      </c>
      <c r="K25" s="228">
        <f t="shared" si="10"/>
        <v>561.89970000000005</v>
      </c>
      <c r="L25" s="121">
        <f t="shared" si="8"/>
        <v>-14.4</v>
      </c>
      <c r="M25" s="19">
        <f>IFERROR(100/'Skjema total MA'!I25*K25,0)</f>
        <v>2.149332006113672</v>
      </c>
    </row>
    <row r="26" spans="1:13" ht="15.75" x14ac:dyDescent="0.2">
      <c r="A26" s="372" t="s">
        <v>328</v>
      </c>
      <c r="B26" s="220"/>
      <c r="C26" s="220"/>
      <c r="D26" s="121"/>
      <c r="E26" s="8"/>
      <c r="F26" s="228">
        <v>170722.28200000001</v>
      </c>
      <c r="G26" s="228">
        <v>172468.14550000001</v>
      </c>
      <c r="H26" s="121">
        <f t="shared" si="6"/>
        <v>1</v>
      </c>
      <c r="I26" s="325">
        <f>IFERROR(100/'Skjema total MA'!F26*G26,0)</f>
        <v>22.997755744027796</v>
      </c>
      <c r="J26" s="228">
        <f t="shared" si="9"/>
        <v>170722.28200000001</v>
      </c>
      <c r="K26" s="228">
        <f t="shared" si="10"/>
        <v>172468.14550000001</v>
      </c>
      <c r="L26" s="121">
        <f t="shared" si="8"/>
        <v>1</v>
      </c>
      <c r="M26" s="19">
        <f>IFERROR(100/'Skjema total MA'!I26*K26,0)</f>
        <v>22.997755744027796</v>
      </c>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264441.26150385302</v>
      </c>
      <c r="C28" s="226">
        <v>332168.34707538801</v>
      </c>
      <c r="D28" s="121">
        <f t="shared" si="5"/>
        <v>25.6</v>
      </c>
      <c r="E28" s="8">
        <f>IFERROR(100/'Skjema total MA'!C28*C28,0)</f>
        <v>12.673190552424831</v>
      </c>
      <c r="F28" s="137"/>
      <c r="G28" s="137"/>
      <c r="H28" s="121"/>
      <c r="I28" s="22"/>
      <c r="J28" s="35">
        <f t="shared" si="7"/>
        <v>264441.26150385302</v>
      </c>
      <c r="K28" s="35">
        <f t="shared" si="7"/>
        <v>332168.34707538801</v>
      </c>
      <c r="L28" s="198">
        <f t="shared" si="8"/>
        <v>25.6</v>
      </c>
      <c r="M28" s="19">
        <f>IFERROR(100/'Skjema total MA'!I28*K28,0)</f>
        <v>12.673190552424831</v>
      </c>
    </row>
    <row r="29" spans="1:13" ht="15.75" x14ac:dyDescent="0.2">
      <c r="A29" s="10" t="s">
        <v>322</v>
      </c>
      <c r="B29" s="180">
        <v>6535129.55002</v>
      </c>
      <c r="C29" s="180">
        <v>5988013.4855399998</v>
      </c>
      <c r="D29" s="125">
        <f t="shared" si="5"/>
        <v>-8.4</v>
      </c>
      <c r="E29" s="8">
        <f>IFERROR(100/'Skjema total MA'!C29*C29,0)</f>
        <v>13.598150956375722</v>
      </c>
      <c r="F29" s="242">
        <v>9769612.9691100009</v>
      </c>
      <c r="G29" s="242">
        <v>10348254.530689999</v>
      </c>
      <c r="H29" s="125">
        <f t="shared" si="6"/>
        <v>5.9</v>
      </c>
      <c r="I29" s="8">
        <f>IFERROR(100/'Skjema total MA'!F29*G29,0)</f>
        <v>33.487396001454897</v>
      </c>
      <c r="J29" s="180">
        <f t="shared" si="7"/>
        <v>16304742.519130001</v>
      </c>
      <c r="K29" s="180">
        <f t="shared" si="7"/>
        <v>16336268.016229998</v>
      </c>
      <c r="L29" s="333">
        <f t="shared" si="8"/>
        <v>0.2</v>
      </c>
      <c r="M29" s="20">
        <f>IFERROR(100/'Skjema total MA'!I29*K29,0)</f>
        <v>21.799875712015961</v>
      </c>
    </row>
    <row r="30" spans="1:13" ht="15.75" x14ac:dyDescent="0.2">
      <c r="A30" s="372" t="s">
        <v>325</v>
      </c>
      <c r="B30" s="220">
        <v>1046476.57080746</v>
      </c>
      <c r="C30" s="220">
        <v>1040802.85545233</v>
      </c>
      <c r="D30" s="121">
        <f t="shared" si="5"/>
        <v>-0.5</v>
      </c>
      <c r="E30" s="8">
        <f>IFERROR(100/'Skjema total MA'!C30*C30,0)</f>
        <v>5.4757369846924604</v>
      </c>
      <c r="F30" s="228">
        <v>1100017.2447299999</v>
      </c>
      <c r="G30" s="228">
        <v>1079766.1159900001</v>
      </c>
      <c r="H30" s="121">
        <f t="shared" si="6"/>
        <v>-1.8</v>
      </c>
      <c r="I30" s="325">
        <f>IFERROR(100/'Skjema total MA'!F30*G30,0)</f>
        <v>29.28458244455528</v>
      </c>
      <c r="J30" s="228">
        <f t="shared" ref="J30:J33" si="11">SUM(B30,F30)</f>
        <v>2146493.8155374601</v>
      </c>
      <c r="K30" s="228">
        <f t="shared" ref="K30:K33" si="12">SUM(C30,G30)</f>
        <v>2120568.9714423302</v>
      </c>
      <c r="L30" s="121">
        <f t="shared" si="8"/>
        <v>-1.2</v>
      </c>
      <c r="M30" s="19">
        <f>IFERROR(100/'Skjema total MA'!I30*K30,0)</f>
        <v>9.3439000934760461</v>
      </c>
    </row>
    <row r="31" spans="1:13" ht="15.75" x14ac:dyDescent="0.2">
      <c r="A31" s="372" t="s">
        <v>326</v>
      </c>
      <c r="B31" s="220">
        <v>5488652.9792125402</v>
      </c>
      <c r="C31" s="220">
        <v>4947210.6300876699</v>
      </c>
      <c r="D31" s="121">
        <f t="shared" si="5"/>
        <v>-9.9</v>
      </c>
      <c r="E31" s="8">
        <f>IFERROR(100/'Skjema total MA'!C31*C31,0)</f>
        <v>22.202482785677695</v>
      </c>
      <c r="F31" s="228">
        <v>2291592.22407</v>
      </c>
      <c r="G31" s="228">
        <v>2149220.8201000001</v>
      </c>
      <c r="H31" s="121">
        <f t="shared" si="6"/>
        <v>-6.2</v>
      </c>
      <c r="I31" s="325">
        <f>IFERROR(100/'Skjema total MA'!F31*G31,0)</f>
        <v>29.263459275083861</v>
      </c>
      <c r="J31" s="228">
        <f t="shared" si="11"/>
        <v>7780245.2032825407</v>
      </c>
      <c r="K31" s="228">
        <f t="shared" si="12"/>
        <v>7096431.4501876701</v>
      </c>
      <c r="L31" s="121">
        <f t="shared" si="8"/>
        <v>-8.8000000000000007</v>
      </c>
      <c r="M31" s="19">
        <f>IFERROR(100/'Skjema total MA'!I31*K31,0)</f>
        <v>23.952885454443678</v>
      </c>
    </row>
    <row r="32" spans="1:13" ht="15.75" x14ac:dyDescent="0.2">
      <c r="A32" s="372" t="s">
        <v>327</v>
      </c>
      <c r="B32" s="220"/>
      <c r="C32" s="220"/>
      <c r="D32" s="121"/>
      <c r="E32" s="8"/>
      <c r="F32" s="228">
        <v>2575243.2985800002</v>
      </c>
      <c r="G32" s="228">
        <v>2852798.5170999998</v>
      </c>
      <c r="H32" s="121">
        <f t="shared" si="6"/>
        <v>10.8</v>
      </c>
      <c r="I32" s="325">
        <f>IFERROR(100/'Skjema total MA'!F32*G32,0)</f>
        <v>39.483636340073211</v>
      </c>
      <c r="J32" s="228">
        <f t="shared" si="11"/>
        <v>2575243.2985800002</v>
      </c>
      <c r="K32" s="228">
        <f t="shared" si="12"/>
        <v>2852798.5170999998</v>
      </c>
      <c r="L32" s="121">
        <f t="shared" si="8"/>
        <v>10.8</v>
      </c>
      <c r="M32" s="19">
        <f>IFERROR(100/'Skjema total MA'!I32*K32,0)</f>
        <v>29.108291160518405</v>
      </c>
    </row>
    <row r="33" spans="1:13" ht="15.75" x14ac:dyDescent="0.2">
      <c r="A33" s="372" t="s">
        <v>328</v>
      </c>
      <c r="B33" s="220"/>
      <c r="C33" s="220"/>
      <c r="D33" s="121"/>
      <c r="E33" s="8"/>
      <c r="F33" s="228">
        <v>3802760.2017299999</v>
      </c>
      <c r="G33" s="228">
        <v>4266469.0774999997</v>
      </c>
      <c r="H33" s="121">
        <f t="shared" si="6"/>
        <v>12.2</v>
      </c>
      <c r="I33" s="325">
        <f>IFERROR(100/'Skjema total MA'!F33*G33,0)</f>
        <v>33.739996568625621</v>
      </c>
      <c r="J33" s="228">
        <f t="shared" si="11"/>
        <v>3802760.2017299999</v>
      </c>
      <c r="K33" s="228">
        <f t="shared" si="12"/>
        <v>4266469.0774999997</v>
      </c>
      <c r="L33" s="121">
        <f t="shared" si="8"/>
        <v>12.2</v>
      </c>
      <c r="M33" s="19">
        <f>IFERROR(100/'Skjema total MA'!I33*K33,0)</f>
        <v>33.739996568625621</v>
      </c>
    </row>
    <row r="34" spans="1:13" ht="15.75" x14ac:dyDescent="0.2">
      <c r="A34" s="10" t="s">
        <v>323</v>
      </c>
      <c r="B34" s="180">
        <v>6335.4430000000002</v>
      </c>
      <c r="C34" s="243">
        <v>11214.648999999999</v>
      </c>
      <c r="D34" s="125">
        <f t="shared" si="5"/>
        <v>77</v>
      </c>
      <c r="E34" s="8">
        <f>IFERROR(100/'Skjema total MA'!C34*C34,0)</f>
        <v>46.196132240887394</v>
      </c>
      <c r="F34" s="242">
        <v>18050.855970000001</v>
      </c>
      <c r="G34" s="243">
        <v>7130.8971499999998</v>
      </c>
      <c r="H34" s="125">
        <f t="shared" si="6"/>
        <v>-60.5</v>
      </c>
      <c r="I34" s="8">
        <f>IFERROR(100/'Skjema total MA'!F34*G34,0)</f>
        <v>-3.6471975309970337</v>
      </c>
      <c r="J34" s="180">
        <f t="shared" si="7"/>
        <v>24386.29897</v>
      </c>
      <c r="K34" s="180">
        <f t="shared" si="7"/>
        <v>18345.546149999998</v>
      </c>
      <c r="L34" s="333">
        <f t="shared" si="8"/>
        <v>-24.8</v>
      </c>
      <c r="M34" s="20">
        <f>IFERROR(100/'Skjema total MA'!I34*K34,0)</f>
        <v>-10.713290785035619</v>
      </c>
    </row>
    <row r="35" spans="1:13" ht="15.75" x14ac:dyDescent="0.2">
      <c r="A35" s="10" t="s">
        <v>324</v>
      </c>
      <c r="B35" s="180">
        <v>709.68096000000003</v>
      </c>
      <c r="C35" s="243">
        <v>708.13818000000003</v>
      </c>
      <c r="D35" s="125">
        <f t="shared" si="5"/>
        <v>-0.2</v>
      </c>
      <c r="E35" s="8">
        <f>IFERROR(100/'Skjema total MA'!C35*C35,0)</f>
        <v>-0.20436218448424756</v>
      </c>
      <c r="F35" s="242">
        <v>62811.805319999999</v>
      </c>
      <c r="G35" s="243">
        <v>90471.314629999993</v>
      </c>
      <c r="H35" s="125">
        <f t="shared" si="6"/>
        <v>44</v>
      </c>
      <c r="I35" s="8">
        <f>IFERROR(100/'Skjema total MA'!F35*G35,0)</f>
        <v>49.649431844343276</v>
      </c>
      <c r="J35" s="180">
        <f t="shared" si="7"/>
        <v>63521.486279999997</v>
      </c>
      <c r="K35" s="180">
        <f t="shared" si="7"/>
        <v>91179.452809999988</v>
      </c>
      <c r="L35" s="333">
        <f t="shared" si="8"/>
        <v>43.5</v>
      </c>
      <c r="M35" s="20">
        <f>IFERROR(100/'Skjema total MA'!I35*K35,0)</f>
        <v>-55.498711654866078</v>
      </c>
    </row>
    <row r="36" spans="1:13" ht="15.75" x14ac:dyDescent="0.2">
      <c r="A36" s="9" t="s">
        <v>254</v>
      </c>
      <c r="B36" s="180">
        <v>29.727</v>
      </c>
      <c r="C36" s="243">
        <v>0</v>
      </c>
      <c r="D36" s="125">
        <f t="shared" si="5"/>
        <v>-100</v>
      </c>
      <c r="E36" s="8">
        <f>IFERROR(100/'Skjema total MA'!C36*C36,0)</f>
        <v>0</v>
      </c>
      <c r="F36" s="253"/>
      <c r="G36" s="254"/>
      <c r="H36" s="125"/>
      <c r="I36" s="339"/>
      <c r="J36" s="180">
        <f t="shared" ref="J36:J37" si="13">SUM(B36,F36)</f>
        <v>29.727</v>
      </c>
      <c r="K36" s="180">
        <f t="shared" ref="K36:K37" si="14">SUM(C36,G36)</f>
        <v>0</v>
      </c>
      <c r="L36" s="333">
        <f t="shared" si="8"/>
        <v>-100</v>
      </c>
      <c r="M36" s="20">
        <f>IFERROR(100/'Skjema total MA'!I36*K36,0)</f>
        <v>0</v>
      </c>
    </row>
    <row r="37" spans="1:13" ht="15.75" x14ac:dyDescent="0.2">
      <c r="A37" s="9" t="s">
        <v>330</v>
      </c>
      <c r="B37" s="180">
        <v>392395.85853000003</v>
      </c>
      <c r="C37" s="243">
        <v>374889.17943999998</v>
      </c>
      <c r="D37" s="125">
        <f t="shared" si="5"/>
        <v>-4.5</v>
      </c>
      <c r="E37" s="8">
        <f>IFERROR(100/'Skjema total MA'!C37*C37,0)</f>
        <v>15.819750107605293</v>
      </c>
      <c r="F37" s="253"/>
      <c r="G37" s="255"/>
      <c r="H37" s="125"/>
      <c r="I37" s="339"/>
      <c r="J37" s="180">
        <f t="shared" si="13"/>
        <v>392395.85853000003</v>
      </c>
      <c r="K37" s="180">
        <f t="shared" si="14"/>
        <v>374889.17943999998</v>
      </c>
      <c r="L37" s="333">
        <f t="shared" si="8"/>
        <v>-4.5</v>
      </c>
      <c r="M37" s="20">
        <f>IFERROR(100/'Skjema total MA'!I37*K37,0)</f>
        <v>15.819750107605293</v>
      </c>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991519.61780000001</v>
      </c>
      <c r="C47" s="245">
        <v>1052541.1153199999</v>
      </c>
      <c r="D47" s="332">
        <f t="shared" ref="D47:D57" si="15">IF(B47=0, "    ---- ", IF(ABS(ROUND(100/B47*C47-100,1))&lt;999,ROUND(100/B47*C47-100,1),IF(ROUND(100/B47*C47-100,1)&gt;999,999,-999)))</f>
        <v>6.2</v>
      </c>
      <c r="E47" s="8">
        <f>IFERROR(100/'Skjema total MA'!C47*C47,0)</f>
        <v>16.522973771386301</v>
      </c>
      <c r="F47" s="108"/>
      <c r="G47" s="26"/>
      <c r="H47" s="116"/>
      <c r="I47" s="116"/>
      <c r="J47" s="30"/>
      <c r="K47" s="30"/>
      <c r="L47" s="116"/>
      <c r="M47" s="116"/>
    </row>
    <row r="48" spans="1:13" ht="15.75" x14ac:dyDescent="0.2">
      <c r="A48" s="17" t="s">
        <v>333</v>
      </c>
      <c r="B48" s="220">
        <v>423394.1</v>
      </c>
      <c r="C48" s="221">
        <v>467932.52399999998</v>
      </c>
      <c r="D48" s="198">
        <f t="shared" si="15"/>
        <v>10.5</v>
      </c>
      <c r="E48" s="22">
        <f>IFERROR(100/'Skjema total MA'!C48*C48,0)</f>
        <v>12.79671908532919</v>
      </c>
      <c r="F48" s="108"/>
      <c r="G48" s="26"/>
      <c r="H48" s="108"/>
      <c r="I48" s="108"/>
      <c r="J48" s="26"/>
      <c r="K48" s="26"/>
      <c r="L48" s="116"/>
      <c r="M48" s="116"/>
    </row>
    <row r="49" spans="1:13" ht="15.75" x14ac:dyDescent="0.2">
      <c r="A49" s="17" t="s">
        <v>334</v>
      </c>
      <c r="B49" s="35">
        <v>568125.51780000003</v>
      </c>
      <c r="C49" s="226">
        <v>584608.59132000001</v>
      </c>
      <c r="D49" s="198">
        <f>IF(B49=0, "    ---- ", IF(ABS(ROUND(100/B49*C49-100,1))&lt;999,ROUND(100/B49*C49-100,1),IF(ROUND(100/B49*C49-100,1)&gt;999,999,-999)))</f>
        <v>2.9</v>
      </c>
      <c r="E49" s="22">
        <f>IFERROR(100/'Skjema total MA'!C49*C49,0)</f>
        <v>21.544388762811455</v>
      </c>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v>46354.417999999998</v>
      </c>
      <c r="C53" s="245">
        <v>56784.37</v>
      </c>
      <c r="D53" s="333">
        <f t="shared" si="15"/>
        <v>22.5</v>
      </c>
      <c r="E53" s="8">
        <f>IFERROR(100/'Skjema total MA'!C53*C53,0)</f>
        <v>18.836874203170687</v>
      </c>
      <c r="F53" s="108"/>
      <c r="G53" s="26"/>
      <c r="H53" s="108"/>
      <c r="I53" s="108"/>
      <c r="J53" s="26"/>
      <c r="K53" s="26"/>
      <c r="L53" s="116"/>
      <c r="M53" s="116"/>
    </row>
    <row r="54" spans="1:13" ht="15.75" x14ac:dyDescent="0.2">
      <c r="A54" s="17" t="s">
        <v>333</v>
      </c>
      <c r="B54" s="220">
        <v>46354.417999999998</v>
      </c>
      <c r="C54" s="221">
        <v>50895.305</v>
      </c>
      <c r="D54" s="198">
        <f t="shared" si="15"/>
        <v>9.8000000000000007</v>
      </c>
      <c r="E54" s="22">
        <f>IFERROR(100/'Skjema total MA'!C54*C54,0)</f>
        <v>17.283569423180055</v>
      </c>
      <c r="F54" s="108"/>
      <c r="G54" s="26"/>
      <c r="H54" s="108"/>
      <c r="I54" s="108"/>
      <c r="J54" s="26"/>
      <c r="K54" s="26"/>
      <c r="L54" s="116"/>
      <c r="M54" s="116"/>
    </row>
    <row r="55" spans="1:13" ht="15.75" x14ac:dyDescent="0.2">
      <c r="A55" s="17" t="s">
        <v>334</v>
      </c>
      <c r="B55" s="220">
        <v>0</v>
      </c>
      <c r="C55" s="221">
        <v>5889.0649999999996</v>
      </c>
      <c r="D55" s="198" t="str">
        <f t="shared" si="15"/>
        <v xml:space="preserve">    ---- </v>
      </c>
      <c r="E55" s="22">
        <f>IFERROR(100/'Skjema total MA'!C55*C55,0)</f>
        <v>84.357687544808698</v>
      </c>
      <c r="F55" s="108"/>
      <c r="G55" s="26"/>
      <c r="H55" s="108"/>
      <c r="I55" s="108"/>
      <c r="J55" s="26"/>
      <c r="K55" s="26"/>
      <c r="L55" s="116"/>
      <c r="M55" s="116"/>
    </row>
    <row r="56" spans="1:13" ht="15.75" x14ac:dyDescent="0.2">
      <c r="A56" s="10" t="s">
        <v>336</v>
      </c>
      <c r="B56" s="244">
        <v>817.06899999999996</v>
      </c>
      <c r="C56" s="245">
        <v>14018.569</v>
      </c>
      <c r="D56" s="333">
        <f t="shared" si="15"/>
        <v>999</v>
      </c>
      <c r="E56" s="8">
        <f>IFERROR(100/'Skjema total MA'!C56*C56,0)</f>
        <v>14.924087883064031</v>
      </c>
      <c r="F56" s="108"/>
      <c r="G56" s="26"/>
      <c r="H56" s="108"/>
      <c r="I56" s="108"/>
      <c r="J56" s="26"/>
      <c r="K56" s="26"/>
      <c r="L56" s="116"/>
      <c r="M56" s="116"/>
    </row>
    <row r="57" spans="1:13" ht="15.75" x14ac:dyDescent="0.2">
      <c r="A57" s="17" t="s">
        <v>333</v>
      </c>
      <c r="B57" s="220">
        <v>817.06899999999996</v>
      </c>
      <c r="C57" s="221">
        <v>14018.569</v>
      </c>
      <c r="D57" s="198">
        <f t="shared" si="15"/>
        <v>999</v>
      </c>
      <c r="E57" s="22">
        <f>IFERROR(100/'Skjema total MA'!C57*C57,0)</f>
        <v>14.924087883064031</v>
      </c>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v>3129416.2178400001</v>
      </c>
      <c r="C66" s="280">
        <v>3330443.4710999997</v>
      </c>
      <c r="D66" s="277">
        <f t="shared" ref="D66:D111" si="16">IF(B66=0, "    ---- ", IF(ABS(ROUND(100/B66*C66-100,1))&lt;999,ROUND(100/B66*C66-100,1),IF(ROUND(100/B66*C66-100,1)&gt;999,999,-999)))</f>
        <v>6.4</v>
      </c>
      <c r="E66" s="8">
        <f>IFERROR(100/'Skjema total MA'!C66*C66,0)</f>
        <v>44.340936798195735</v>
      </c>
      <c r="F66" s="279">
        <v>12442560.82488</v>
      </c>
      <c r="G66" s="279">
        <v>13293525.893449999</v>
      </c>
      <c r="H66" s="277">
        <f t="shared" ref="H66:H111" si="17">IF(F66=0, "    ---- ", IF(ABS(ROUND(100/F66*G66-100,1))&lt;999,ROUND(100/F66*G66-100,1),IF(ROUND(100/F66*G66-100,1)&gt;999,999,-999)))</f>
        <v>6.8</v>
      </c>
      <c r="I66" s="8">
        <f>IFERROR(100/'Skjema total MA'!F66*G66,0)</f>
        <v>30.419764377271949</v>
      </c>
      <c r="J66" s="243">
        <f t="shared" ref="J66:K86" si="18">SUM(B66,F66)</f>
        <v>15571977.042720001</v>
      </c>
      <c r="K66" s="250">
        <f t="shared" si="18"/>
        <v>16623969.364549998</v>
      </c>
      <c r="L66" s="333">
        <f t="shared" ref="L66:L111" si="19">IF(J66=0, "    ---- ", IF(ABS(ROUND(100/J66*K66-100,1))&lt;999,ROUND(100/J66*K66-100,1),IF(ROUND(100/J66*K66-100,1)&gt;999,999,-999)))</f>
        <v>6.8</v>
      </c>
      <c r="M66" s="8">
        <f>IFERROR(100/'Skjema total MA'!I66*K66,0)</f>
        <v>32.461536938631532</v>
      </c>
    </row>
    <row r="67" spans="1:13" x14ac:dyDescent="0.2">
      <c r="A67" s="38" t="s">
        <v>9</v>
      </c>
      <c r="B67" s="35">
        <v>1424682.49183</v>
      </c>
      <c r="C67" s="108">
        <v>1330044.4415</v>
      </c>
      <c r="D67" s="121">
        <f t="shared" si="16"/>
        <v>-6.6</v>
      </c>
      <c r="E67" s="22">
        <f>IFERROR(100/'Skjema total MA'!C67*C67,0)</f>
        <v>32.973783032221789</v>
      </c>
      <c r="F67" s="178"/>
      <c r="G67" s="108"/>
      <c r="H67" s="121"/>
      <c r="I67" s="22"/>
      <c r="J67" s="226">
        <f t="shared" si="18"/>
        <v>1424682.49183</v>
      </c>
      <c r="K67" s="35">
        <f t="shared" si="18"/>
        <v>1330044.4415</v>
      </c>
      <c r="L67" s="198">
        <f t="shared" si="19"/>
        <v>-6.6</v>
      </c>
      <c r="M67" s="22">
        <f>IFERROR(100/'Skjema total MA'!I67*K67,0)</f>
        <v>32.973783032221789</v>
      </c>
    </row>
    <row r="68" spans="1:13" x14ac:dyDescent="0.2">
      <c r="A68" s="17" t="s">
        <v>10</v>
      </c>
      <c r="B68" s="229"/>
      <c r="C68" s="230"/>
      <c r="D68" s="121"/>
      <c r="E68" s="22"/>
      <c r="F68" s="229">
        <v>11194732.97663</v>
      </c>
      <c r="G68" s="230">
        <v>11997935.441199999</v>
      </c>
      <c r="H68" s="121">
        <f t="shared" si="17"/>
        <v>7.2</v>
      </c>
      <c r="I68" s="22">
        <f>IFERROR(100/'Skjema total MA'!F68*G68,0)</f>
        <v>28.52749114811267</v>
      </c>
      <c r="J68" s="226">
        <f t="shared" si="18"/>
        <v>11194732.97663</v>
      </c>
      <c r="K68" s="35">
        <f t="shared" si="18"/>
        <v>11997935.441199999</v>
      </c>
      <c r="L68" s="198">
        <f t="shared" si="19"/>
        <v>7.2</v>
      </c>
      <c r="M68" s="22">
        <f>IFERROR(100/'Skjema total MA'!I68*K68,0)</f>
        <v>28.51461869027877</v>
      </c>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v>307490.10975</v>
      </c>
      <c r="C75" s="108">
        <v>432306.02325000003</v>
      </c>
      <c r="D75" s="121">
        <f t="shared" si="16"/>
        <v>40.6</v>
      </c>
      <c r="E75" s="22">
        <f>IFERROR(100/'Skjema total MA'!C75*C75,0)</f>
        <v>57.515274824812707</v>
      </c>
      <c r="F75" s="178">
        <v>1247827.84825</v>
      </c>
      <c r="G75" s="108">
        <v>1295590.4522500001</v>
      </c>
      <c r="H75" s="121">
        <f t="shared" si="17"/>
        <v>3.8</v>
      </c>
      <c r="I75" s="22">
        <f>IFERROR(100/'Skjema total MA'!F75*G75,0)</f>
        <v>78.862768340967804</v>
      </c>
      <c r="J75" s="226">
        <f t="shared" si="18"/>
        <v>1555317.9580000001</v>
      </c>
      <c r="K75" s="35">
        <f t="shared" si="18"/>
        <v>1727896.4755000002</v>
      </c>
      <c r="L75" s="198">
        <f t="shared" si="19"/>
        <v>11.1</v>
      </c>
      <c r="M75" s="22">
        <f>IFERROR(100/'Skjema total MA'!I75*K75,0)</f>
        <v>72.161700458990339</v>
      </c>
    </row>
    <row r="76" spans="1:13" x14ac:dyDescent="0.2">
      <c r="A76" s="17" t="s">
        <v>308</v>
      </c>
      <c r="B76" s="178">
        <v>1397243.61626</v>
      </c>
      <c r="C76" s="108">
        <v>1568093.0063499999</v>
      </c>
      <c r="D76" s="121">
        <f t="shared" ref="D76" si="20">IF(B76=0, "    ---- ", IF(ABS(ROUND(100/B76*C76-100,1))&lt;999,ROUND(100/B76*C76-100,1),IF(ROUND(100/B76*C76-100,1)&gt;999,999,-999)))</f>
        <v>12.2</v>
      </c>
      <c r="E76" s="22">
        <f>IFERROR(100/'Skjema total MA'!C76*C76,0)</f>
        <v>57.933221263593154</v>
      </c>
      <c r="F76" s="178"/>
      <c r="G76" s="108"/>
      <c r="H76" s="121"/>
      <c r="I76" s="22"/>
      <c r="J76" s="226">
        <f t="shared" ref="J76" si="21">SUM(B76,F76)</f>
        <v>1397243.61626</v>
      </c>
      <c r="K76" s="35">
        <f t="shared" ref="K76" si="22">SUM(C76,G76)</f>
        <v>1568093.0063499999</v>
      </c>
      <c r="L76" s="198">
        <f t="shared" ref="L76" si="23">IF(J76=0, "    ---- ", IF(ABS(ROUND(100/J76*K76-100,1))&lt;999,ROUND(100/J76*K76-100,1),IF(ROUND(100/J76*K76-100,1)&gt;999,999,-999)))</f>
        <v>12.2</v>
      </c>
      <c r="M76" s="22">
        <f>IFERROR(100/'Skjema total MA'!I76*K76,0)</f>
        <v>57.933221263593154</v>
      </c>
    </row>
    <row r="77" spans="1:13" ht="15.75" x14ac:dyDescent="0.2">
      <c r="A77" s="17" t="s">
        <v>339</v>
      </c>
      <c r="B77" s="178">
        <v>1371754.6548299999</v>
      </c>
      <c r="C77" s="178">
        <v>1267836.2464999999</v>
      </c>
      <c r="D77" s="121">
        <f t="shared" si="16"/>
        <v>-7.6</v>
      </c>
      <c r="E77" s="22">
        <f>IFERROR(100/'Skjema total MA'!C77*C77,0)</f>
        <v>32.00996499176501</v>
      </c>
      <c r="F77" s="178">
        <v>11194732.97663</v>
      </c>
      <c r="G77" s="108">
        <v>11997935.441199999</v>
      </c>
      <c r="H77" s="121">
        <f t="shared" si="17"/>
        <v>7.2</v>
      </c>
      <c r="I77" s="22">
        <f>IFERROR(100/'Skjema total MA'!F77*G77,0)</f>
        <v>28.534509623989475</v>
      </c>
      <c r="J77" s="226">
        <f t="shared" si="18"/>
        <v>12566487.63146</v>
      </c>
      <c r="K77" s="35">
        <f t="shared" si="18"/>
        <v>13265771.6877</v>
      </c>
      <c r="L77" s="198">
        <f t="shared" si="19"/>
        <v>5.6</v>
      </c>
      <c r="M77" s="22">
        <f>IFERROR(100/'Skjema total MA'!I77*K77,0)</f>
        <v>28.833706904093543</v>
      </c>
    </row>
    <row r="78" spans="1:13" x14ac:dyDescent="0.2">
      <c r="A78" s="17" t="s">
        <v>9</v>
      </c>
      <c r="B78" s="178">
        <v>1371754.6548299999</v>
      </c>
      <c r="C78" s="108">
        <v>1267836.2464999999</v>
      </c>
      <c r="D78" s="121">
        <f t="shared" si="16"/>
        <v>-7.6</v>
      </c>
      <c r="E78" s="22">
        <f>IFERROR(100/'Skjema total MA'!C78*C78,0)</f>
        <v>32.164146010646562</v>
      </c>
      <c r="F78" s="178"/>
      <c r="G78" s="108"/>
      <c r="H78" s="121"/>
      <c r="I78" s="22"/>
      <c r="J78" s="226">
        <f t="shared" si="18"/>
        <v>1371754.6548299999</v>
      </c>
      <c r="K78" s="35">
        <f t="shared" si="18"/>
        <v>1267836.2464999999</v>
      </c>
      <c r="L78" s="198">
        <f t="shared" si="19"/>
        <v>-7.6</v>
      </c>
      <c r="M78" s="22">
        <f>IFERROR(100/'Skjema total MA'!I78*K78,0)</f>
        <v>32.164146010646562</v>
      </c>
    </row>
    <row r="79" spans="1:13" x14ac:dyDescent="0.2">
      <c r="A79" s="17" t="s">
        <v>366</v>
      </c>
      <c r="B79" s="229"/>
      <c r="C79" s="230"/>
      <c r="D79" s="121"/>
      <c r="E79" s="22"/>
      <c r="F79" s="229">
        <v>11194732.97663</v>
      </c>
      <c r="G79" s="230">
        <v>11997935.441199999</v>
      </c>
      <c r="H79" s="121">
        <f t="shared" si="17"/>
        <v>7.2</v>
      </c>
      <c r="I79" s="22">
        <f>IFERROR(100/'Skjema total MA'!F79*G79,0)</f>
        <v>28.534509623989475</v>
      </c>
      <c r="J79" s="226">
        <f t="shared" si="18"/>
        <v>11194732.97663</v>
      </c>
      <c r="K79" s="35">
        <f t="shared" si="18"/>
        <v>11997935.441199999</v>
      </c>
      <c r="L79" s="198">
        <f t="shared" si="19"/>
        <v>7.2</v>
      </c>
      <c r="M79" s="22">
        <f>IFERROR(100/'Skjema total MA'!I79*K79,0)</f>
        <v>28.521630832913399</v>
      </c>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v>52927.837</v>
      </c>
      <c r="C86" s="108">
        <v>62208.195</v>
      </c>
      <c r="D86" s="121">
        <f t="shared" si="16"/>
        <v>17.5</v>
      </c>
      <c r="E86" s="22">
        <f>IFERROR(100/'Skjema total MA'!C86*C86,0)</f>
        <v>67.710688529926074</v>
      </c>
      <c r="F86" s="178"/>
      <c r="G86" s="108"/>
      <c r="H86" s="121"/>
      <c r="I86" s="22"/>
      <c r="J86" s="226">
        <f t="shared" si="18"/>
        <v>52927.837</v>
      </c>
      <c r="K86" s="35">
        <f t="shared" si="18"/>
        <v>62208.195</v>
      </c>
      <c r="L86" s="198">
        <f t="shared" si="19"/>
        <v>17.5</v>
      </c>
      <c r="M86" s="22">
        <f>IFERROR(100/'Skjema total MA'!I86*K86,0)</f>
        <v>60.858260198417575</v>
      </c>
    </row>
    <row r="87" spans="1:13" ht="15.75" x14ac:dyDescent="0.2">
      <c r="A87" s="10" t="s">
        <v>322</v>
      </c>
      <c r="B87" s="280">
        <v>175875345.19602001</v>
      </c>
      <c r="C87" s="280">
        <v>178523127.68873999</v>
      </c>
      <c r="D87" s="125">
        <f t="shared" si="16"/>
        <v>1.5</v>
      </c>
      <c r="E87" s="8">
        <f>IFERROR(100/'Skjema total MA'!C87*C87,0)</f>
        <v>43.156823966790235</v>
      </c>
      <c r="F87" s="279">
        <v>216668180.99777001</v>
      </c>
      <c r="G87" s="279">
        <v>245147682.625</v>
      </c>
      <c r="H87" s="125">
        <f t="shared" si="17"/>
        <v>13.1</v>
      </c>
      <c r="I87" s="8">
        <f>IFERROR(100/'Skjema total MA'!F87*G87,0)</f>
        <v>32.467307317739319</v>
      </c>
      <c r="J87" s="243">
        <f t="shared" ref="J87:K111" si="24">SUM(B87,F87)</f>
        <v>392543526.19379002</v>
      </c>
      <c r="K87" s="180">
        <f t="shared" si="24"/>
        <v>423670810.31374002</v>
      </c>
      <c r="L87" s="333">
        <f t="shared" si="19"/>
        <v>7.9</v>
      </c>
      <c r="M87" s="8">
        <f>IFERROR(100/'Skjema total MA'!I87*K87,0)</f>
        <v>36.250792532548083</v>
      </c>
    </row>
    <row r="88" spans="1:13" x14ac:dyDescent="0.2">
      <c r="A88" s="17" t="s">
        <v>9</v>
      </c>
      <c r="B88" s="178">
        <v>163226372.72009</v>
      </c>
      <c r="C88" s="108">
        <v>163384248.55695</v>
      </c>
      <c r="D88" s="121">
        <f t="shared" si="16"/>
        <v>0.1</v>
      </c>
      <c r="E88" s="22">
        <f>IFERROR(100/'Skjema total MA'!C88*C88,0)</f>
        <v>42.156919070133412</v>
      </c>
      <c r="F88" s="178"/>
      <c r="G88" s="108"/>
      <c r="H88" s="121"/>
      <c r="I88" s="22"/>
      <c r="J88" s="226">
        <f t="shared" si="24"/>
        <v>163226372.72009</v>
      </c>
      <c r="K88" s="35">
        <f t="shared" si="24"/>
        <v>163384248.55695</v>
      </c>
      <c r="L88" s="198">
        <f t="shared" si="19"/>
        <v>0.1</v>
      </c>
      <c r="M88" s="22">
        <f>IFERROR(100/'Skjema total MA'!I88*K88,0)</f>
        <v>42.156919070133412</v>
      </c>
    </row>
    <row r="89" spans="1:13" x14ac:dyDescent="0.2">
      <c r="A89" s="17" t="s">
        <v>10</v>
      </c>
      <c r="B89" s="178">
        <v>47186.18593</v>
      </c>
      <c r="C89" s="108">
        <v>46320.157809999997</v>
      </c>
      <c r="D89" s="121">
        <f t="shared" si="16"/>
        <v>-1.8</v>
      </c>
      <c r="E89" s="22">
        <f>IFERROR(100/'Skjema total MA'!C89*C89,0)</f>
        <v>1.1206526712060283</v>
      </c>
      <c r="F89" s="178">
        <v>209561336.70458001</v>
      </c>
      <c r="G89" s="108">
        <v>236472279.82049</v>
      </c>
      <c r="H89" s="121">
        <f t="shared" si="17"/>
        <v>12.8</v>
      </c>
      <c r="I89" s="22">
        <f>IFERROR(100/'Skjema total MA'!F89*G89,0)</f>
        <v>31.824285628414351</v>
      </c>
      <c r="J89" s="226">
        <f t="shared" si="24"/>
        <v>209608522.89051002</v>
      </c>
      <c r="K89" s="35">
        <f t="shared" si="24"/>
        <v>236518599.97830001</v>
      </c>
      <c r="L89" s="198">
        <f t="shared" si="19"/>
        <v>12.8</v>
      </c>
      <c r="M89" s="22">
        <f>IFERROR(100/'Skjema total MA'!I89*K89,0)</f>
        <v>31.654438550070534</v>
      </c>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v>2908304.642</v>
      </c>
      <c r="C96" s="108">
        <v>3868343.0202700002</v>
      </c>
      <c r="D96" s="121">
        <f t="shared" si="16"/>
        <v>33</v>
      </c>
      <c r="E96" s="22">
        <f>IFERROR(100/'Skjema total MA'!C96*C96,0)</f>
        <v>46.437108833752525</v>
      </c>
      <c r="F96" s="178">
        <v>7106844.2931899996</v>
      </c>
      <c r="G96" s="108">
        <v>8675402.8045099992</v>
      </c>
      <c r="H96" s="121">
        <f t="shared" si="17"/>
        <v>22.1</v>
      </c>
      <c r="I96" s="22">
        <f>IFERROR(100/'Skjema total MA'!F96*G96,0)</f>
        <v>72.270642541305733</v>
      </c>
      <c r="J96" s="226">
        <f t="shared" si="24"/>
        <v>10015148.93519</v>
      </c>
      <c r="K96" s="35">
        <f t="shared" si="24"/>
        <v>12543745.824779999</v>
      </c>
      <c r="L96" s="198">
        <f t="shared" si="19"/>
        <v>25.2</v>
      </c>
      <c r="M96" s="22">
        <f>IFERROR(100/'Skjema total MA'!I96*K96,0)</f>
        <v>61.687522873143941</v>
      </c>
    </row>
    <row r="97" spans="1:13" x14ac:dyDescent="0.2">
      <c r="A97" s="17" t="s">
        <v>306</v>
      </c>
      <c r="B97" s="178">
        <v>9693481.648</v>
      </c>
      <c r="C97" s="108">
        <v>11224215.953709999</v>
      </c>
      <c r="D97" s="121">
        <f t="shared" ref="D97" si="25">IF(B97=0, "    ---- ", IF(ABS(ROUND(100/B97*C97-100,1))&lt;999,ROUND(100/B97*C97-100,1),IF(ROUND(100/B97*C97-100,1)&gt;999,999,-999)))</f>
        <v>15.8</v>
      </c>
      <c r="E97" s="22">
        <f>IFERROR(100/'Skjema total MA'!C98*C97,0)</f>
        <v>2.8958395176825134</v>
      </c>
      <c r="F97" s="178"/>
      <c r="G97" s="108"/>
      <c r="H97" s="121"/>
      <c r="I97" s="22"/>
      <c r="J97" s="226">
        <f t="shared" ref="J97" si="26">SUM(B97,F97)</f>
        <v>9693481.648</v>
      </c>
      <c r="K97" s="35">
        <f t="shared" ref="K97" si="27">SUM(C97,G97)</f>
        <v>11224215.953709999</v>
      </c>
      <c r="L97" s="198">
        <f t="shared" ref="L97" si="28">IF(J97=0, "    ---- ", IF(ABS(ROUND(100/J97*K97-100,1))&lt;999,ROUND(100/J97*K97-100,1),IF(ROUND(100/J97*K97-100,1)&gt;999,999,-999)))</f>
        <v>15.8</v>
      </c>
      <c r="M97" s="22">
        <f>IFERROR(100/'Skjema total MA'!I98*K97,0)</f>
        <v>0.99308296702483578</v>
      </c>
    </row>
    <row r="98" spans="1:13" ht="15.75" x14ac:dyDescent="0.2">
      <c r="A98" s="17" t="s">
        <v>339</v>
      </c>
      <c r="B98" s="178">
        <v>160154175.11102</v>
      </c>
      <c r="C98" s="178">
        <v>160469350.30976</v>
      </c>
      <c r="D98" s="121">
        <f t="shared" si="16"/>
        <v>0.2</v>
      </c>
      <c r="E98" s="22">
        <f>IFERROR(100/'Skjema total MA'!C98*C98,0)</f>
        <v>41.40097517014042</v>
      </c>
      <c r="F98" s="229">
        <v>209561336.70458001</v>
      </c>
      <c r="G98" s="229">
        <v>236472279.82049</v>
      </c>
      <c r="H98" s="121">
        <f t="shared" si="17"/>
        <v>12.8</v>
      </c>
      <c r="I98" s="22">
        <f>IFERROR(100/'Skjema total MA'!F98*G98,0)</f>
        <v>31.842050162430667</v>
      </c>
      <c r="J98" s="226">
        <f t="shared" si="24"/>
        <v>369715511.81560004</v>
      </c>
      <c r="K98" s="35">
        <f t="shared" si="24"/>
        <v>396941630.13024998</v>
      </c>
      <c r="L98" s="198">
        <f t="shared" si="19"/>
        <v>7.4</v>
      </c>
      <c r="M98" s="22">
        <f>IFERROR(100/'Skjema total MA'!I98*K98,0)</f>
        <v>35.120134307031748</v>
      </c>
    </row>
    <row r="99" spans="1:13" x14ac:dyDescent="0.2">
      <c r="A99" s="17" t="s">
        <v>9</v>
      </c>
      <c r="B99" s="229">
        <v>160106988.92508999</v>
      </c>
      <c r="C99" s="230">
        <v>160423030.15195</v>
      </c>
      <c r="D99" s="121">
        <f t="shared" si="16"/>
        <v>0.2</v>
      </c>
      <c r="E99" s="22">
        <f>IFERROR(100/'Skjema total MA'!C99*C99,0)</f>
        <v>41.835151930669525</v>
      </c>
      <c r="F99" s="178"/>
      <c r="G99" s="108"/>
      <c r="H99" s="121"/>
      <c r="I99" s="22"/>
      <c r="J99" s="226">
        <f t="shared" si="24"/>
        <v>160106988.92508999</v>
      </c>
      <c r="K99" s="35">
        <f t="shared" si="24"/>
        <v>160423030.15195</v>
      </c>
      <c r="L99" s="198">
        <f t="shared" si="19"/>
        <v>0.2</v>
      </c>
      <c r="M99" s="22">
        <f>IFERROR(100/'Skjema total MA'!I99*K99,0)</f>
        <v>41.835151930669525</v>
      </c>
    </row>
    <row r="100" spans="1:13" x14ac:dyDescent="0.2">
      <c r="A100" s="17" t="s">
        <v>366</v>
      </c>
      <c r="B100" s="229">
        <v>47186.18593</v>
      </c>
      <c r="C100" s="230">
        <v>46320.157809999997</v>
      </c>
      <c r="D100" s="121">
        <f t="shared" si="16"/>
        <v>-1.8</v>
      </c>
      <c r="E100" s="22">
        <f>IFERROR(100/'Skjema total MA'!C100*C100,0)</f>
        <v>1.1206526712060283</v>
      </c>
      <c r="F100" s="178">
        <v>209561336.70458001</v>
      </c>
      <c r="G100" s="178">
        <v>236472279.82049</v>
      </c>
      <c r="H100" s="121">
        <f t="shared" si="17"/>
        <v>12.8</v>
      </c>
      <c r="I100" s="22">
        <f>IFERROR(100/'Skjema total MA'!F100*G100,0)</f>
        <v>31.842050162430667</v>
      </c>
      <c r="J100" s="226">
        <f t="shared" si="24"/>
        <v>209608522.89051002</v>
      </c>
      <c r="K100" s="35">
        <f t="shared" si="24"/>
        <v>236518599.97830001</v>
      </c>
      <c r="L100" s="198">
        <f t="shared" si="19"/>
        <v>12.8</v>
      </c>
      <c r="M100" s="22">
        <f>IFERROR(100/'Skjema total MA'!I100*K100,0)</f>
        <v>31.672010474229396</v>
      </c>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v>3119383.7949999999</v>
      </c>
      <c r="C107" s="108">
        <v>2961218.4049999998</v>
      </c>
      <c r="D107" s="121">
        <f t="shared" si="16"/>
        <v>-5.0999999999999996</v>
      </c>
      <c r="E107" s="22">
        <f>IFERROR(100/'Skjema total MA'!C107*C107,0)</f>
        <v>72.269937914339479</v>
      </c>
      <c r="F107" s="178"/>
      <c r="G107" s="108"/>
      <c r="H107" s="121"/>
      <c r="I107" s="22"/>
      <c r="J107" s="226">
        <f t="shared" si="24"/>
        <v>3119383.7949999999</v>
      </c>
      <c r="K107" s="35">
        <f t="shared" si="24"/>
        <v>2961218.4049999998</v>
      </c>
      <c r="L107" s="198">
        <f t="shared" si="19"/>
        <v>-5.0999999999999996</v>
      </c>
      <c r="M107" s="22">
        <f>IFERROR(100/'Skjema total MA'!I107*K107,0)</f>
        <v>65.630001861713794</v>
      </c>
    </row>
    <row r="108" spans="1:13" ht="15.75" x14ac:dyDescent="0.2">
      <c r="A108" s="17" t="s">
        <v>341</v>
      </c>
      <c r="B108" s="178">
        <v>143180556.01392001</v>
      </c>
      <c r="C108" s="178">
        <v>142894209.20936</v>
      </c>
      <c r="D108" s="121">
        <f t="shared" si="16"/>
        <v>-0.2</v>
      </c>
      <c r="E108" s="22">
        <f>IFERROR(100/'Skjema total MA'!C108*C108,0)</f>
        <v>43.036110757905575</v>
      </c>
      <c r="F108" s="178">
        <v>21384240.856210001</v>
      </c>
      <c r="G108" s="178">
        <v>22744589.26058</v>
      </c>
      <c r="H108" s="121">
        <f t="shared" si="17"/>
        <v>6.4</v>
      </c>
      <c r="I108" s="22">
        <f>IFERROR(100/'Skjema total MA'!F108*G108,0)</f>
        <v>89.450720514219412</v>
      </c>
      <c r="J108" s="226">
        <f t="shared" si="24"/>
        <v>164564796.87013</v>
      </c>
      <c r="K108" s="35">
        <f t="shared" si="24"/>
        <v>165638798.46994001</v>
      </c>
      <c r="L108" s="198">
        <f t="shared" si="19"/>
        <v>0.7</v>
      </c>
      <c r="M108" s="22">
        <f>IFERROR(100/'Skjema total MA'!I108*K108,0)</f>
        <v>46.337686247777377</v>
      </c>
    </row>
    <row r="109" spans="1:13" ht="15.75" x14ac:dyDescent="0.2">
      <c r="A109" s="17" t="s">
        <v>374</v>
      </c>
      <c r="B109" s="178">
        <v>663744.93700000003</v>
      </c>
      <c r="C109" s="178">
        <v>820214.01199999999</v>
      </c>
      <c r="D109" s="121">
        <f t="shared" si="16"/>
        <v>23.6</v>
      </c>
      <c r="E109" s="22">
        <f>IFERROR(100/'Skjema total MA'!C109*C109,0)</f>
        <v>31.076213698409635</v>
      </c>
      <c r="F109" s="178">
        <v>69511049.410999998</v>
      </c>
      <c r="G109" s="178">
        <v>81436722.995039999</v>
      </c>
      <c r="H109" s="121">
        <f t="shared" si="17"/>
        <v>17.2</v>
      </c>
      <c r="I109" s="22">
        <f>IFERROR(100/'Skjema total MA'!F109*G109,0)</f>
        <v>28.115350232573892</v>
      </c>
      <c r="J109" s="226">
        <f t="shared" si="24"/>
        <v>70174794.348000005</v>
      </c>
      <c r="K109" s="35">
        <f t="shared" si="24"/>
        <v>82256937.007039994</v>
      </c>
      <c r="L109" s="198">
        <f t="shared" si="19"/>
        <v>17.2</v>
      </c>
      <c r="M109" s="22">
        <f>IFERROR(100/'Skjema total MA'!I109*K109,0)</f>
        <v>28.142086527702595</v>
      </c>
    </row>
    <row r="110" spans="1:13" ht="15.75" x14ac:dyDescent="0.2">
      <c r="A110" s="17" t="s">
        <v>342</v>
      </c>
      <c r="B110" s="178">
        <v>1724105.9026599999</v>
      </c>
      <c r="C110" s="178">
        <v>2571696.55216</v>
      </c>
      <c r="D110" s="121">
        <f t="shared" si="16"/>
        <v>49.2</v>
      </c>
      <c r="E110" s="22">
        <f>IFERROR(100/'Skjema total MA'!C110*C110,0)</f>
        <v>58.515124225727028</v>
      </c>
      <c r="F110" s="178"/>
      <c r="G110" s="178"/>
      <c r="H110" s="121"/>
      <c r="I110" s="22"/>
      <c r="J110" s="226">
        <f t="shared" si="24"/>
        <v>1724105.9026599999</v>
      </c>
      <c r="K110" s="35">
        <f t="shared" si="24"/>
        <v>2571696.55216</v>
      </c>
      <c r="L110" s="198">
        <f t="shared" si="19"/>
        <v>49.2</v>
      </c>
      <c r="M110" s="22">
        <f>IFERROR(100/'Skjema total MA'!I110*K110,0)</f>
        <v>58.515124225727028</v>
      </c>
    </row>
    <row r="111" spans="1:13" ht="15.75" x14ac:dyDescent="0.2">
      <c r="A111" s="10" t="s">
        <v>323</v>
      </c>
      <c r="B111" s="242">
        <v>183219.26699999999</v>
      </c>
      <c r="C111" s="116">
        <v>629752.049</v>
      </c>
      <c r="D111" s="125">
        <f t="shared" si="16"/>
        <v>243.7</v>
      </c>
      <c r="E111" s="8">
        <f>IFERROR(100/'Skjema total MA'!C111*C111,0)</f>
        <v>32.476506798073686</v>
      </c>
      <c r="F111" s="242">
        <v>7193704.0949999997</v>
      </c>
      <c r="G111" s="116">
        <v>9109986.8099999987</v>
      </c>
      <c r="H111" s="125">
        <f t="shared" si="17"/>
        <v>26.6</v>
      </c>
      <c r="I111" s="8">
        <f>IFERROR(100/'Skjema total MA'!F111*G111,0)</f>
        <v>17.469179623387188</v>
      </c>
      <c r="J111" s="243">
        <f t="shared" si="24"/>
        <v>7376923.3619999997</v>
      </c>
      <c r="K111" s="180">
        <f t="shared" si="24"/>
        <v>9739738.8589999992</v>
      </c>
      <c r="L111" s="333">
        <f t="shared" si="19"/>
        <v>32</v>
      </c>
      <c r="M111" s="8">
        <f>IFERROR(100/'Skjema total MA'!I111*K111,0)</f>
        <v>18.007204828554315</v>
      </c>
    </row>
    <row r="112" spans="1:13" x14ac:dyDescent="0.2">
      <c r="A112" s="17" t="s">
        <v>9</v>
      </c>
      <c r="B112" s="178">
        <v>64965.731</v>
      </c>
      <c r="C112" s="108">
        <v>521188.93599999999</v>
      </c>
      <c r="D112" s="121">
        <f t="shared" ref="D112:D125" si="29">IF(B112=0, "    ---- ", IF(ABS(ROUND(100/B112*C112-100,1))&lt;999,ROUND(100/B112*C112-100,1),IF(ROUND(100/B112*C112-100,1)&gt;999,999,-999)))</f>
        <v>702.3</v>
      </c>
      <c r="E112" s="22">
        <f>IFERROR(100/'Skjema total MA'!C112*C112,0)</f>
        <v>29.186299725611676</v>
      </c>
      <c r="F112" s="178">
        <v>983.60799999999995</v>
      </c>
      <c r="G112" s="108">
        <v>4916.7809999999999</v>
      </c>
      <c r="H112" s="121">
        <f t="shared" ref="H112:H125" si="30">IF(F112=0, "    ---- ", IF(ABS(ROUND(100/F112*G112-100,1))&lt;999,ROUND(100/F112*G112-100,1),IF(ROUND(100/F112*G112-100,1)&gt;999,999,-999)))</f>
        <v>399.9</v>
      </c>
      <c r="I112" s="22">
        <f>IFERROR(100/'Skjema total MA'!F112*G112,0)</f>
        <v>100</v>
      </c>
      <c r="J112" s="226">
        <f t="shared" ref="J112:K125" si="31">SUM(B112,F112)</f>
        <v>65949.338999999993</v>
      </c>
      <c r="K112" s="35">
        <f t="shared" si="31"/>
        <v>526105.71699999995</v>
      </c>
      <c r="L112" s="198">
        <f t="shared" ref="L112:L125" si="32">IF(J112=0, "    ---- ", IF(ABS(ROUND(100/J112*K112-100,1))&lt;999,ROUND(100/J112*K112-100,1),IF(ROUND(100/J112*K112-100,1)&gt;999,999,-999)))</f>
        <v>697.7</v>
      </c>
      <c r="M112" s="22">
        <f>IFERROR(100/'Skjema total MA'!I112*K112,0)</f>
        <v>29.380740737652296</v>
      </c>
    </row>
    <row r="113" spans="1:13" x14ac:dyDescent="0.2">
      <c r="A113" s="17" t="s">
        <v>10</v>
      </c>
      <c r="B113" s="178"/>
      <c r="C113" s="108"/>
      <c r="D113" s="121"/>
      <c r="E113" s="22"/>
      <c r="F113" s="178">
        <v>7192720.4869999997</v>
      </c>
      <c r="G113" s="108">
        <v>9105070.0289999992</v>
      </c>
      <c r="H113" s="121">
        <f t="shared" si="30"/>
        <v>26.6</v>
      </c>
      <c r="I113" s="22">
        <f>IFERROR(100/'Skjema total MA'!F113*G113,0)</f>
        <v>17.461397596307105</v>
      </c>
      <c r="J113" s="226">
        <f t="shared" si="31"/>
        <v>7192720.4869999997</v>
      </c>
      <c r="K113" s="35">
        <f t="shared" si="31"/>
        <v>9105070.0289999992</v>
      </c>
      <c r="L113" s="198">
        <f t="shared" si="32"/>
        <v>26.6</v>
      </c>
      <c r="M113" s="22">
        <f>IFERROR(100/'Skjema total MA'!I113*K113,0)</f>
        <v>17.451574489298981</v>
      </c>
    </row>
    <row r="114" spans="1:13" x14ac:dyDescent="0.2">
      <c r="A114" s="17" t="s">
        <v>26</v>
      </c>
      <c r="B114" s="178">
        <v>118253.53599999999</v>
      </c>
      <c r="C114" s="108">
        <v>108563.113</v>
      </c>
      <c r="D114" s="121">
        <f t="shared" si="29"/>
        <v>-8.1999999999999993</v>
      </c>
      <c r="E114" s="22">
        <f>IFERROR(100/'Skjema total MA'!C114*C114,0)</f>
        <v>87.538077240959495</v>
      </c>
      <c r="F114" s="178"/>
      <c r="G114" s="108"/>
      <c r="H114" s="121"/>
      <c r="I114" s="22"/>
      <c r="J114" s="226">
        <f t="shared" si="31"/>
        <v>118253.53599999999</v>
      </c>
      <c r="K114" s="35">
        <f t="shared" si="31"/>
        <v>108563.113</v>
      </c>
      <c r="L114" s="198">
        <f t="shared" si="32"/>
        <v>-8.1999999999999993</v>
      </c>
      <c r="M114" s="22">
        <f>IFERROR(100/'Skjema total MA'!I114*K114,0)</f>
        <v>87.538077240959495</v>
      </c>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v>5352.1440000000002</v>
      </c>
      <c r="C116" s="178">
        <v>441.42399999999998</v>
      </c>
      <c r="D116" s="121">
        <f t="shared" si="29"/>
        <v>-91.8</v>
      </c>
      <c r="E116" s="22">
        <f>IFERROR(100/'Skjema total MA'!C116*C116,0)</f>
        <v>4.7652738623281406E-2</v>
      </c>
      <c r="F116" s="178">
        <v>983.60799999999995</v>
      </c>
      <c r="G116" s="178">
        <v>4916.7809999999999</v>
      </c>
      <c r="H116" s="121">
        <f t="shared" si="30"/>
        <v>399.9</v>
      </c>
      <c r="I116" s="22">
        <f>IFERROR(100/'Skjema total MA'!F116*G116,0)</f>
        <v>100</v>
      </c>
      <c r="J116" s="226">
        <f t="shared" si="31"/>
        <v>6335.7520000000004</v>
      </c>
      <c r="K116" s="35">
        <f t="shared" si="31"/>
        <v>5358.2049999999999</v>
      </c>
      <c r="L116" s="198">
        <f t="shared" si="32"/>
        <v>-15.4</v>
      </c>
      <c r="M116" s="22">
        <f>IFERROR(100/'Skjema total MA'!I116*K116,0)</f>
        <v>0.57537661295903209</v>
      </c>
    </row>
    <row r="117" spans="1:13" ht="15.75" x14ac:dyDescent="0.2">
      <c r="A117" s="17" t="s">
        <v>374</v>
      </c>
      <c r="B117" s="178"/>
      <c r="C117" s="178"/>
      <c r="D117" s="121"/>
      <c r="E117" s="22"/>
      <c r="F117" s="178">
        <v>5045641</v>
      </c>
      <c r="G117" s="178">
        <v>5813518.4199999999</v>
      </c>
      <c r="H117" s="121">
        <f t="shared" si="30"/>
        <v>15.2</v>
      </c>
      <c r="I117" s="22">
        <f>IFERROR(100/'Skjema total MA'!F117*G117,0)</f>
        <v>18.439919847072041</v>
      </c>
      <c r="J117" s="226">
        <f t="shared" si="31"/>
        <v>5045641</v>
      </c>
      <c r="K117" s="35">
        <f t="shared" si="31"/>
        <v>5813518.4199999999</v>
      </c>
      <c r="L117" s="198">
        <f t="shared" si="32"/>
        <v>15.2</v>
      </c>
      <c r="M117" s="22">
        <f>IFERROR(100/'Skjema total MA'!I117*K117,0)</f>
        <v>18.439919847072041</v>
      </c>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v>90455.26400000001</v>
      </c>
      <c r="C119" s="116">
        <v>284077.37600000005</v>
      </c>
      <c r="D119" s="125">
        <f t="shared" si="29"/>
        <v>214.1</v>
      </c>
      <c r="E119" s="8">
        <f>IFERROR(100/'Skjema total MA'!C119*C119,0)</f>
        <v>53.506633897525084</v>
      </c>
      <c r="F119" s="242">
        <v>10070394.999020001</v>
      </c>
      <c r="G119" s="116">
        <v>14969919.026000001</v>
      </c>
      <c r="H119" s="125">
        <f t="shared" si="30"/>
        <v>48.7</v>
      </c>
      <c r="I119" s="8">
        <f>IFERROR(100/'Skjema total MA'!F119*G119,0)</f>
        <v>27.391728857952099</v>
      </c>
      <c r="J119" s="243">
        <f t="shared" si="31"/>
        <v>10160850.263020001</v>
      </c>
      <c r="K119" s="180">
        <f t="shared" si="31"/>
        <v>15253996.402000001</v>
      </c>
      <c r="L119" s="333">
        <f t="shared" si="32"/>
        <v>50.1</v>
      </c>
      <c r="M119" s="8">
        <f>IFERROR(100/'Skjema total MA'!I119*K119,0)</f>
        <v>27.642986214285553</v>
      </c>
    </row>
    <row r="120" spans="1:13" x14ac:dyDescent="0.2">
      <c r="A120" s="17" t="s">
        <v>9</v>
      </c>
      <c r="B120" s="178">
        <v>6195.0159999999996</v>
      </c>
      <c r="C120" s="108">
        <v>5008.4160000000002</v>
      </c>
      <c r="D120" s="121">
        <f t="shared" si="29"/>
        <v>-19.2</v>
      </c>
      <c r="E120" s="22">
        <f>IFERROR(100/'Skjema total MA'!C120*C120,0)</f>
        <v>2.971060952794407</v>
      </c>
      <c r="F120" s="178"/>
      <c r="G120" s="108"/>
      <c r="H120" s="121"/>
      <c r="I120" s="22"/>
      <c r="J120" s="226">
        <f t="shared" si="31"/>
        <v>6195.0159999999996</v>
      </c>
      <c r="K120" s="35">
        <f t="shared" si="31"/>
        <v>5008.4160000000002</v>
      </c>
      <c r="L120" s="198">
        <f t="shared" si="32"/>
        <v>-19.2</v>
      </c>
      <c r="M120" s="22">
        <f>IFERROR(100/'Skjema total MA'!I120*K120,0)</f>
        <v>2.971060952794407</v>
      </c>
    </row>
    <row r="121" spans="1:13" x14ac:dyDescent="0.2">
      <c r="A121" s="17" t="s">
        <v>10</v>
      </c>
      <c r="B121" s="178"/>
      <c r="C121" s="108"/>
      <c r="D121" s="121"/>
      <c r="E121" s="22"/>
      <c r="F121" s="178">
        <v>10070394.999020001</v>
      </c>
      <c r="G121" s="108">
        <v>14969919.026000001</v>
      </c>
      <c r="H121" s="121">
        <f t="shared" si="30"/>
        <v>48.7</v>
      </c>
      <c r="I121" s="22">
        <f>IFERROR(100/'Skjema total MA'!F121*G121,0)</f>
        <v>27.391728857952099</v>
      </c>
      <c r="J121" s="226">
        <f t="shared" si="31"/>
        <v>10070394.999020001</v>
      </c>
      <c r="K121" s="35">
        <f t="shared" si="31"/>
        <v>14969919.026000001</v>
      </c>
      <c r="L121" s="198">
        <f t="shared" si="32"/>
        <v>48.7</v>
      </c>
      <c r="M121" s="22">
        <f>IFERROR(100/'Skjema total MA'!I121*K121,0)</f>
        <v>27.370185420451211</v>
      </c>
    </row>
    <row r="122" spans="1:13" x14ac:dyDescent="0.2">
      <c r="A122" s="17" t="s">
        <v>26</v>
      </c>
      <c r="B122" s="178">
        <v>84260.248000000007</v>
      </c>
      <c r="C122" s="108">
        <v>279068.96000000002</v>
      </c>
      <c r="D122" s="121">
        <f t="shared" si="29"/>
        <v>231.2</v>
      </c>
      <c r="E122" s="22">
        <f>IFERROR(100/'Skjema total MA'!C122*C122,0)</f>
        <v>87.392059407557525</v>
      </c>
      <c r="F122" s="178"/>
      <c r="G122" s="108"/>
      <c r="H122" s="121"/>
      <c r="I122" s="22"/>
      <c r="J122" s="226">
        <f t="shared" si="31"/>
        <v>84260.248000000007</v>
      </c>
      <c r="K122" s="35">
        <f t="shared" si="31"/>
        <v>279068.96000000002</v>
      </c>
      <c r="L122" s="198">
        <f t="shared" si="32"/>
        <v>231.2</v>
      </c>
      <c r="M122" s="22">
        <f>IFERROR(100/'Skjema total MA'!I122*K122,0)</f>
        <v>87.392059407557525</v>
      </c>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v>2624.2910000000002</v>
      </c>
      <c r="C124" s="178">
        <v>4587.2420000000002</v>
      </c>
      <c r="D124" s="121">
        <f t="shared" si="29"/>
        <v>74.8</v>
      </c>
      <c r="E124" s="22">
        <f>IFERROR(100/'Skjema total MA'!C124*C124,0)</f>
        <v>19.32560442621044</v>
      </c>
      <c r="F124" s="178">
        <v>19052.526000000002</v>
      </c>
      <c r="G124" s="178">
        <v>42870.733</v>
      </c>
      <c r="H124" s="121">
        <f t="shared" si="30"/>
        <v>125</v>
      </c>
      <c r="I124" s="22">
        <f>IFERROR(100/'Skjema total MA'!F124*G124,0)</f>
        <v>100</v>
      </c>
      <c r="J124" s="226">
        <f t="shared" si="31"/>
        <v>21676.817000000003</v>
      </c>
      <c r="K124" s="35">
        <f t="shared" si="31"/>
        <v>47457.974999999999</v>
      </c>
      <c r="L124" s="198">
        <f t="shared" si="32"/>
        <v>118.9</v>
      </c>
      <c r="M124" s="22">
        <f>IFERROR(100/'Skjema total MA'!I124*K124,0)</f>
        <v>71.250372481493613</v>
      </c>
    </row>
    <row r="125" spans="1:13" ht="15.75" x14ac:dyDescent="0.2">
      <c r="A125" s="17" t="s">
        <v>374</v>
      </c>
      <c r="B125" s="178">
        <v>31.271000000000001</v>
      </c>
      <c r="C125" s="178">
        <v>159.042</v>
      </c>
      <c r="D125" s="121">
        <f t="shared" si="29"/>
        <v>408.6</v>
      </c>
      <c r="E125" s="22">
        <f>IFERROR(100/'Skjema total MA'!C125*C125,0)</f>
        <v>8.6620409640325136</v>
      </c>
      <c r="F125" s="178">
        <v>6798670</v>
      </c>
      <c r="G125" s="178">
        <v>7483560.0700000003</v>
      </c>
      <c r="H125" s="121">
        <f t="shared" si="30"/>
        <v>10.1</v>
      </c>
      <c r="I125" s="22">
        <f>IFERROR(100/'Skjema total MA'!F125*G125,0)</f>
        <v>25.331403591823349</v>
      </c>
      <c r="J125" s="226">
        <f t="shared" si="31"/>
        <v>6798701.2709999997</v>
      </c>
      <c r="K125" s="35">
        <f t="shared" si="31"/>
        <v>7483719.1120000007</v>
      </c>
      <c r="L125" s="198">
        <f t="shared" si="32"/>
        <v>10.1</v>
      </c>
      <c r="M125" s="22">
        <f>IFERROR(100/'Skjema total MA'!I125*K125,0)</f>
        <v>25.330367651819124</v>
      </c>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v>1453503.0525</v>
      </c>
      <c r="C134" s="243">
        <v>2047607.72325</v>
      </c>
      <c r="D134" s="277">
        <f t="shared" ref="D134:D137" si="33">IF(B134=0, "    ---- ", IF(ABS(ROUND(100/B134*C134-100,1))&lt;999,ROUND(100/B134*C134-100,1),IF(ROUND(100/B134*C134-100,1)&gt;999,999,-999)))</f>
        <v>40.9</v>
      </c>
      <c r="E134" s="8">
        <f>IFERROR(100/'Skjema total MA'!C134*C134,0)</f>
        <v>3.2598820671635078</v>
      </c>
      <c r="F134" s="250"/>
      <c r="G134" s="251"/>
      <c r="H134" s="336"/>
      <c r="I134" s="20"/>
      <c r="J134" s="252">
        <f t="shared" ref="J134:K137" si="34">SUM(B134,F134)</f>
        <v>1453503.0525</v>
      </c>
      <c r="K134" s="252">
        <f t="shared" si="34"/>
        <v>2047607.72325</v>
      </c>
      <c r="L134" s="332">
        <f t="shared" ref="L134:L137" si="35">IF(J134=0, "    ---- ", IF(ABS(ROUND(100/J134*K134-100,1))&lt;999,ROUND(100/J134*K134-100,1),IF(ROUND(100/J134*K134-100,1)&gt;999,999,-999)))</f>
        <v>40.9</v>
      </c>
      <c r="M134" s="8">
        <f>IFERROR(100/'Skjema total MA'!I134*K134,0)</f>
        <v>3.2510797614796614</v>
      </c>
    </row>
    <row r="135" spans="1:14" ht="15.75" x14ac:dyDescent="0.2">
      <c r="A135" s="10" t="s">
        <v>349</v>
      </c>
      <c r="B135" s="180">
        <v>23317098.008239999</v>
      </c>
      <c r="C135" s="243">
        <v>29760725.55277</v>
      </c>
      <c r="D135" s="125">
        <f t="shared" si="33"/>
        <v>27.6</v>
      </c>
      <c r="E135" s="8">
        <f>IFERROR(100/'Skjema total MA'!C135*C135,0)</f>
        <v>3.0315001863190547</v>
      </c>
      <c r="F135" s="180"/>
      <c r="G135" s="243"/>
      <c r="H135" s="337"/>
      <c r="I135" s="20"/>
      <c r="J135" s="242">
        <f t="shared" si="34"/>
        <v>23317098.008239999</v>
      </c>
      <c r="K135" s="242">
        <f t="shared" si="34"/>
        <v>29760725.55277</v>
      </c>
      <c r="L135" s="333">
        <f t="shared" si="35"/>
        <v>27.6</v>
      </c>
      <c r="M135" s="8">
        <f>IFERROR(100/'Skjema total MA'!I135*K135,0)</f>
        <v>3.0220896009329206</v>
      </c>
    </row>
    <row r="136" spans="1:14" ht="15.75" x14ac:dyDescent="0.2">
      <c r="A136" s="10" t="s">
        <v>346</v>
      </c>
      <c r="B136" s="180">
        <v>2152753.6140000001</v>
      </c>
      <c r="C136" s="243">
        <v>3254275.9180000001</v>
      </c>
      <c r="D136" s="125">
        <f t="shared" si="33"/>
        <v>51.2</v>
      </c>
      <c r="E136" s="8">
        <f>IFERROR(100/'Skjema total MA'!C136*C136,0)</f>
        <v>98.774946250588314</v>
      </c>
      <c r="F136" s="180"/>
      <c r="G136" s="243"/>
      <c r="H136" s="337"/>
      <c r="I136" s="20"/>
      <c r="J136" s="242">
        <f t="shared" si="34"/>
        <v>2152753.6140000001</v>
      </c>
      <c r="K136" s="242">
        <f t="shared" si="34"/>
        <v>3254275.9180000001</v>
      </c>
      <c r="L136" s="333">
        <f t="shared" si="35"/>
        <v>51.2</v>
      </c>
      <c r="M136" s="8">
        <f>IFERROR(100/'Skjema total MA'!I136*K136,0)</f>
        <v>98.773516949748199</v>
      </c>
    </row>
    <row r="137" spans="1:14" ht="15.75" x14ac:dyDescent="0.2">
      <c r="A137" s="32" t="s">
        <v>347</v>
      </c>
      <c r="B137" s="215">
        <v>353.28100000000001</v>
      </c>
      <c r="C137" s="249">
        <v>0</v>
      </c>
      <c r="D137" s="123">
        <f t="shared" si="33"/>
        <v>-100</v>
      </c>
      <c r="E137" s="6">
        <f>IFERROR(100/'Skjema total MA'!C137*C137,0)</f>
        <v>0</v>
      </c>
      <c r="F137" s="215"/>
      <c r="G137" s="249"/>
      <c r="H137" s="338"/>
      <c r="I137" s="29"/>
      <c r="J137" s="248">
        <f t="shared" si="34"/>
        <v>353.28100000000001</v>
      </c>
      <c r="K137" s="248">
        <f t="shared" si="34"/>
        <v>0</v>
      </c>
      <c r="L137" s="334">
        <f t="shared" si="35"/>
        <v>-100</v>
      </c>
      <c r="M137" s="29">
        <f>IFERROR(100/'Skjema total MA'!I137*K137,0)</f>
        <v>0</v>
      </c>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231" priority="12">
      <formula>kvartal &lt; 4</formula>
    </cfRule>
  </conditionalFormatting>
  <conditionalFormatting sqref="A69:A74">
    <cfRule type="expression" dxfId="230" priority="10">
      <formula>kvartal &lt; 4</formula>
    </cfRule>
  </conditionalFormatting>
  <conditionalFormatting sqref="A80:A85">
    <cfRule type="expression" dxfId="229" priority="9">
      <formula>kvartal &lt; 4</formula>
    </cfRule>
  </conditionalFormatting>
  <conditionalFormatting sqref="A90:A95">
    <cfRule type="expression" dxfId="228" priority="6">
      <formula>kvartal &lt; 4</formula>
    </cfRule>
  </conditionalFormatting>
  <conditionalFormatting sqref="A101:A106">
    <cfRule type="expression" dxfId="227" priority="5">
      <formula>kvartal &lt; 4</formula>
    </cfRule>
  </conditionalFormatting>
  <conditionalFormatting sqref="A115:C115">
    <cfRule type="expression" dxfId="226" priority="4">
      <formula>kvartal &lt; 4</formula>
    </cfRule>
  </conditionalFormatting>
  <conditionalFormatting sqref="A123:C123">
    <cfRule type="expression" dxfId="225" priority="3">
      <formula>kvartal &lt; 4</formula>
    </cfRule>
  </conditionalFormatting>
  <conditionalFormatting sqref="F115:G115">
    <cfRule type="expression" dxfId="224" priority="57">
      <formula>kvartal &lt; 4</formula>
    </cfRule>
  </conditionalFormatting>
  <conditionalFormatting sqref="F123:G123">
    <cfRule type="expression" dxfId="223" priority="56">
      <formula>kvartal &lt; 4</formula>
    </cfRule>
  </conditionalFormatting>
  <conditionalFormatting sqref="J115:K115">
    <cfRule type="expression" dxfId="222" priority="32">
      <formula>kvartal &lt; 4</formula>
    </cfRule>
  </conditionalFormatting>
  <conditionalFormatting sqref="J123:K123">
    <cfRule type="expression" dxfId="221" priority="31">
      <formula>kvartal &lt; 4</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31"/>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121</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333"/>
      <c r="M8" s="22"/>
    </row>
    <row r="9" spans="1:14" ht="15.75" x14ac:dyDescent="0.2">
      <c r="A9" s="17" t="s">
        <v>24</v>
      </c>
      <c r="B9" s="220"/>
      <c r="C9" s="221"/>
      <c r="D9" s="121"/>
      <c r="E9" s="22"/>
      <c r="F9" s="224"/>
      <c r="G9" s="225"/>
      <c r="H9" s="121"/>
      <c r="I9" s="129"/>
      <c r="J9" s="178"/>
      <c r="K9" s="226"/>
      <c r="L9" s="333"/>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7051</v>
      </c>
      <c r="C47" s="245">
        <v>5952</v>
      </c>
      <c r="D47" s="332">
        <f t="shared" ref="D47:D48" si="0">IF(B47=0, "    ---- ", IF(ABS(ROUND(100/B47*C47-100,1))&lt;999,ROUND(100/B47*C47-100,1),IF(ROUND(100/B47*C47-100,1)&gt;999,999,-999)))</f>
        <v>-15.6</v>
      </c>
      <c r="E47" s="8">
        <f>IFERROR(100/'Skjema total MA'!C47*C47,0)</f>
        <v>9.3435532784286443E-2</v>
      </c>
      <c r="F47" s="108"/>
      <c r="G47" s="26"/>
      <c r="H47" s="116"/>
      <c r="I47" s="116"/>
      <c r="J47" s="30"/>
      <c r="K47" s="30"/>
      <c r="L47" s="116"/>
      <c r="M47" s="116"/>
    </row>
    <row r="48" spans="1:13" ht="15.75" x14ac:dyDescent="0.2">
      <c r="A48" s="17" t="s">
        <v>333</v>
      </c>
      <c r="B48" s="220">
        <v>6480</v>
      </c>
      <c r="C48" s="221">
        <v>5952</v>
      </c>
      <c r="D48" s="198">
        <f t="shared" si="0"/>
        <v>-8.1</v>
      </c>
      <c r="E48" s="22">
        <f>IFERROR(100/'Skjema total MA'!C48*C48,0)</f>
        <v>0.1627714853945039</v>
      </c>
      <c r="F48" s="108"/>
      <c r="G48" s="26"/>
      <c r="H48" s="108"/>
      <c r="I48" s="108"/>
      <c r="J48" s="26"/>
      <c r="K48" s="26"/>
      <c r="L48" s="116"/>
      <c r="M48" s="116"/>
    </row>
    <row r="49" spans="1:13" ht="15.75" x14ac:dyDescent="0.2">
      <c r="A49" s="17" t="s">
        <v>334</v>
      </c>
      <c r="B49" s="35">
        <v>571</v>
      </c>
      <c r="C49" s="226"/>
      <c r="D49" s="198">
        <f>IF(B49=0, "    ---- ", IF(ABS(ROUND(100/B49*C49-100,1))&lt;999,ROUND(100/B49*C49-100,1),IF(ROUND(100/B49*C49-100,1)&gt;999,999,-999)))</f>
        <v>-100</v>
      </c>
      <c r="E49" s="22">
        <f>IFERROR(100/'Skjema total MA'!C49*C49,0)</f>
        <v>0</v>
      </c>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220" priority="12">
      <formula>kvartal &lt; 4</formula>
    </cfRule>
  </conditionalFormatting>
  <conditionalFormatting sqref="A69:A74">
    <cfRule type="expression" dxfId="219" priority="10">
      <formula>kvartal &lt; 4</formula>
    </cfRule>
  </conditionalFormatting>
  <conditionalFormatting sqref="A80:A85">
    <cfRule type="expression" dxfId="218" priority="9">
      <formula>kvartal &lt; 4</formula>
    </cfRule>
  </conditionalFormatting>
  <conditionalFormatting sqref="A90:A95">
    <cfRule type="expression" dxfId="217" priority="6">
      <formula>kvartal &lt; 4</formula>
    </cfRule>
  </conditionalFormatting>
  <conditionalFormatting sqref="A101:A106">
    <cfRule type="expression" dxfId="216" priority="5">
      <formula>kvartal &lt; 4</formula>
    </cfRule>
  </conditionalFormatting>
  <conditionalFormatting sqref="A115:C115">
    <cfRule type="expression" dxfId="215" priority="4">
      <formula>kvartal &lt; 4</formula>
    </cfRule>
  </conditionalFormatting>
  <conditionalFormatting sqref="A123:C123">
    <cfRule type="expression" dxfId="214" priority="3">
      <formula>kvartal &lt; 4</formula>
    </cfRule>
  </conditionalFormatting>
  <conditionalFormatting sqref="F115:G115">
    <cfRule type="expression" dxfId="213" priority="57">
      <formula>kvartal &lt; 4</formula>
    </cfRule>
  </conditionalFormatting>
  <conditionalFormatting sqref="F123:G123">
    <cfRule type="expression" dxfId="212" priority="56">
      <formula>kvartal &lt; 4</formula>
    </cfRule>
  </conditionalFormatting>
  <conditionalFormatting sqref="J115:K115">
    <cfRule type="expression" dxfId="211" priority="32">
      <formula>kvartal &lt; 4</formula>
    </cfRule>
  </conditionalFormatting>
  <conditionalFormatting sqref="J123:K123">
    <cfRule type="expression" dxfId="210" priority="31">
      <formula>kvartal &lt; 4</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2"/>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91</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c r="C7" s="241"/>
      <c r="D7" s="277"/>
      <c r="E7" s="8"/>
      <c r="F7" s="240"/>
      <c r="G7" s="241"/>
      <c r="H7" s="277"/>
      <c r="I7" s="117"/>
      <c r="J7" s="242"/>
      <c r="K7" s="243"/>
      <c r="L7" s="332"/>
      <c r="M7" s="8"/>
    </row>
    <row r="8" spans="1:14" ht="15.75" x14ac:dyDescent="0.2">
      <c r="A8" s="17" t="s">
        <v>25</v>
      </c>
      <c r="B8" s="220"/>
      <c r="C8" s="221"/>
      <c r="D8" s="121"/>
      <c r="E8" s="22"/>
      <c r="F8" s="224"/>
      <c r="G8" s="225"/>
      <c r="H8" s="121"/>
      <c r="I8" s="129"/>
      <c r="J8" s="178"/>
      <c r="K8" s="226"/>
      <c r="L8" s="198"/>
      <c r="M8" s="22"/>
    </row>
    <row r="9" spans="1:14" ht="15.75" x14ac:dyDescent="0.2">
      <c r="A9" s="17" t="s">
        <v>24</v>
      </c>
      <c r="B9" s="220"/>
      <c r="C9" s="221"/>
      <c r="D9" s="121"/>
      <c r="E9" s="22"/>
      <c r="F9" s="224"/>
      <c r="G9" s="225"/>
      <c r="H9" s="121"/>
      <c r="I9" s="129"/>
      <c r="J9" s="178"/>
      <c r="K9" s="226"/>
      <c r="L9" s="198"/>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337"/>
      <c r="E38" s="20"/>
      <c r="F38" s="253"/>
      <c r="G38" s="254"/>
      <c r="H38" s="125"/>
      <c r="I38" s="339"/>
      <c r="J38" s="180"/>
      <c r="K38" s="180"/>
      <c r="L38" s="333"/>
      <c r="M38" s="20"/>
    </row>
    <row r="39" spans="1:13" ht="15.75" x14ac:dyDescent="0.2">
      <c r="A39" s="15" t="s">
        <v>332</v>
      </c>
      <c r="B39" s="215"/>
      <c r="C39" s="249"/>
      <c r="D39" s="338"/>
      <c r="E39" s="29"/>
      <c r="F39" s="256"/>
      <c r="G39" s="257"/>
      <c r="H39" s="123"/>
      <c r="I39" s="29"/>
      <c r="J39" s="180"/>
      <c r="K39" s="180"/>
      <c r="L39" s="334"/>
      <c r="M39" s="29"/>
    </row>
    <row r="40" spans="1:13" ht="15.75" x14ac:dyDescent="0.25">
      <c r="A40" s="34"/>
      <c r="B40" s="197"/>
      <c r="C40" s="197"/>
      <c r="D40" s="573"/>
      <c r="E40" s="572"/>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858841.02</v>
      </c>
      <c r="C47" s="245">
        <v>861588.31699999992</v>
      </c>
      <c r="D47" s="332">
        <f t="shared" ref="D47:D57" si="0">IF(B47=0, "    ---- ", IF(ABS(ROUND(100/B47*C47-100,1))&lt;999,ROUND(100/B47*C47-100,1),IF(ROUND(100/B47*C47-100,1)&gt;999,999,-999)))</f>
        <v>0.3</v>
      </c>
      <c r="E47" s="8">
        <f>IFERROR(100/'Skjema total MA'!C47*C47,0)</f>
        <v>13.525363481117553</v>
      </c>
      <c r="F47" s="108"/>
      <c r="G47" s="26"/>
      <c r="H47" s="116"/>
      <c r="I47" s="116"/>
      <c r="J47" s="30"/>
      <c r="K47" s="30"/>
      <c r="L47" s="116"/>
      <c r="M47" s="116"/>
    </row>
    <row r="48" spans="1:13" ht="15.75" x14ac:dyDescent="0.2">
      <c r="A48" s="17" t="s">
        <v>333</v>
      </c>
      <c r="B48" s="220">
        <v>238584.22700000001</v>
      </c>
      <c r="C48" s="221">
        <v>256622.36199999999</v>
      </c>
      <c r="D48" s="198">
        <f t="shared" si="0"/>
        <v>7.6</v>
      </c>
      <c r="E48" s="22">
        <f>IFERROR(100/'Skjema total MA'!C48*C48,0)</f>
        <v>7.0179440605151369</v>
      </c>
      <c r="F48" s="108"/>
      <c r="G48" s="26"/>
      <c r="H48" s="108"/>
      <c r="I48" s="108"/>
      <c r="J48" s="26"/>
      <c r="K48" s="26"/>
      <c r="L48" s="116"/>
      <c r="M48" s="116"/>
    </row>
    <row r="49" spans="1:13" ht="15.75" x14ac:dyDescent="0.2">
      <c r="A49" s="17" t="s">
        <v>334</v>
      </c>
      <c r="B49" s="35">
        <v>620256.79299999995</v>
      </c>
      <c r="C49" s="226">
        <v>604965.95499999996</v>
      </c>
      <c r="D49" s="198">
        <f>IF(B49=0, "    ---- ", IF(ABS(ROUND(100/B49*C49-100,1))&lt;999,ROUND(100/B49*C49-100,1),IF(ROUND(100/B49*C49-100,1)&gt;999,999,-999)))</f>
        <v>-2.5</v>
      </c>
      <c r="E49" s="22">
        <f>IFERROR(100/'Skjema total MA'!C49*C49,0)</f>
        <v>22.294612012725661</v>
      </c>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v>20667</v>
      </c>
      <c r="C53" s="245">
        <v>23510</v>
      </c>
      <c r="D53" s="333">
        <f t="shared" si="0"/>
        <v>13.8</v>
      </c>
      <c r="E53" s="8">
        <f>IFERROR(100/'Skjema total MA'!C53*C53,0)</f>
        <v>7.7988874846466176</v>
      </c>
      <c r="F53" s="108"/>
      <c r="G53" s="26"/>
      <c r="H53" s="108"/>
      <c r="I53" s="108"/>
      <c r="J53" s="26"/>
      <c r="K53" s="26"/>
      <c r="L53" s="116"/>
      <c r="M53" s="116"/>
    </row>
    <row r="54" spans="1:13" ht="15.75" x14ac:dyDescent="0.2">
      <c r="A54" s="17" t="s">
        <v>333</v>
      </c>
      <c r="B54" s="220">
        <v>20667</v>
      </c>
      <c r="C54" s="221">
        <v>23510</v>
      </c>
      <c r="D54" s="198">
        <f t="shared" si="0"/>
        <v>13.8</v>
      </c>
      <c r="E54" s="22">
        <f>IFERROR(100/'Skjema total MA'!C54*C54,0)</f>
        <v>7.9837760504424349</v>
      </c>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v>20271</v>
      </c>
      <c r="C56" s="245">
        <v>23643</v>
      </c>
      <c r="D56" s="333">
        <f t="shared" si="0"/>
        <v>16.600000000000001</v>
      </c>
      <c r="E56" s="8">
        <f>IFERROR(100/'Skjema total MA'!C56*C56,0)</f>
        <v>25.170201738799651</v>
      </c>
      <c r="F56" s="108"/>
      <c r="G56" s="26"/>
      <c r="H56" s="108"/>
      <c r="I56" s="108"/>
      <c r="J56" s="26"/>
      <c r="K56" s="26"/>
      <c r="L56" s="116"/>
      <c r="M56" s="116"/>
    </row>
    <row r="57" spans="1:13" ht="15.75" x14ac:dyDescent="0.2">
      <c r="A57" s="17" t="s">
        <v>333</v>
      </c>
      <c r="B57" s="220">
        <v>20271</v>
      </c>
      <c r="C57" s="221">
        <v>23643</v>
      </c>
      <c r="D57" s="198">
        <f t="shared" si="0"/>
        <v>16.600000000000001</v>
      </c>
      <c r="E57" s="22">
        <f>IFERROR(100/'Skjema total MA'!C57*C57,0)</f>
        <v>25.170201738799651</v>
      </c>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209" priority="12">
      <formula>kvartal &lt; 4</formula>
    </cfRule>
  </conditionalFormatting>
  <conditionalFormatting sqref="A69:A74">
    <cfRule type="expression" dxfId="208" priority="10">
      <formula>kvartal &lt; 4</formula>
    </cfRule>
  </conditionalFormatting>
  <conditionalFormatting sqref="A80:A85">
    <cfRule type="expression" dxfId="207" priority="9">
      <formula>kvartal &lt; 4</formula>
    </cfRule>
  </conditionalFormatting>
  <conditionalFormatting sqref="A90:A95">
    <cfRule type="expression" dxfId="206" priority="6">
      <formula>kvartal &lt; 4</formula>
    </cfRule>
  </conditionalFormatting>
  <conditionalFormatting sqref="A101:A106">
    <cfRule type="expression" dxfId="205" priority="5">
      <formula>kvartal &lt; 4</formula>
    </cfRule>
  </conditionalFormatting>
  <conditionalFormatting sqref="A115:C115">
    <cfRule type="expression" dxfId="204" priority="4">
      <formula>kvartal &lt; 4</formula>
    </cfRule>
  </conditionalFormatting>
  <conditionalFormatting sqref="A123:C123">
    <cfRule type="expression" dxfId="203" priority="3">
      <formula>kvartal &lt; 4</formula>
    </cfRule>
  </conditionalFormatting>
  <conditionalFormatting sqref="F115:G115">
    <cfRule type="expression" dxfId="202" priority="42">
      <formula>kvartal &lt; 4</formula>
    </cfRule>
  </conditionalFormatting>
  <conditionalFormatting sqref="F123:G123">
    <cfRule type="expression" dxfId="201" priority="41">
      <formula>kvartal &lt; 4</formula>
    </cfRule>
  </conditionalFormatting>
  <conditionalFormatting sqref="J115:K115">
    <cfRule type="expression" dxfId="200" priority="17">
      <formula>kvartal &lt; 4</formula>
    </cfRule>
  </conditionalFormatting>
  <conditionalFormatting sqref="J123:K123">
    <cfRule type="expression" dxfId="199" priority="16">
      <formula>kvartal &lt; 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176"/>
  <sheetViews>
    <sheetView showGridLines="0" showZeros="0" zoomScale="90" zoomScaleNormal="90" workbookViewId="0">
      <selection activeCell="A2" sqref="A2"/>
    </sheetView>
  </sheetViews>
  <sheetFormatPr baseColWidth="10" defaultColWidth="11.42578125" defaultRowHeight="18.75" x14ac:dyDescent="0.3"/>
  <cols>
    <col min="10" max="11" width="16.7109375" customWidth="1"/>
    <col min="12" max="12" width="24.42578125" style="47" customWidth="1"/>
    <col min="13" max="14" width="15.7109375" style="47" bestFit="1" customWidth="1"/>
    <col min="15" max="15" width="22.7109375" customWidth="1"/>
    <col min="16" max="16" width="13.42578125" customWidth="1"/>
    <col min="17" max="17" width="13.7109375" customWidth="1"/>
  </cols>
  <sheetData>
    <row r="1" spans="1:15" x14ac:dyDescent="0.3">
      <c r="A1" s="46" t="s">
        <v>52</v>
      </c>
    </row>
    <row r="2" spans="1:15" x14ac:dyDescent="0.3">
      <c r="A2" s="48"/>
      <c r="B2" s="47"/>
      <c r="C2" s="47"/>
      <c r="D2" s="47"/>
      <c r="E2" s="47"/>
      <c r="F2" s="47"/>
      <c r="G2" s="47"/>
      <c r="H2" s="47"/>
      <c r="I2" s="47"/>
      <c r="J2" s="47"/>
      <c r="K2" s="47"/>
      <c r="O2" s="47"/>
    </row>
    <row r="3" spans="1:15" x14ac:dyDescent="0.3">
      <c r="A3" s="48" t="s">
        <v>32</v>
      </c>
      <c r="B3" s="47"/>
      <c r="C3" s="47"/>
      <c r="D3" s="47"/>
      <c r="E3" s="47"/>
      <c r="F3" s="47"/>
      <c r="G3" s="47"/>
      <c r="H3" s="47"/>
      <c r="I3" s="47"/>
      <c r="J3" s="47"/>
      <c r="K3" s="47"/>
      <c r="O3" s="47"/>
    </row>
    <row r="4" spans="1:15" x14ac:dyDescent="0.3">
      <c r="A4" s="47"/>
      <c r="B4" s="47"/>
      <c r="C4" s="47"/>
      <c r="D4" s="47"/>
      <c r="E4" s="47"/>
      <c r="F4" s="47"/>
      <c r="G4" s="47"/>
      <c r="H4" s="47"/>
      <c r="I4" s="47"/>
      <c r="J4" s="47"/>
      <c r="K4" s="47"/>
      <c r="L4" s="49"/>
      <c r="O4" s="47"/>
    </row>
    <row r="5" spans="1:15" x14ac:dyDescent="0.3">
      <c r="A5" s="48" t="s">
        <v>414</v>
      </c>
      <c r="B5" s="47"/>
      <c r="C5" s="47"/>
      <c r="D5" s="47"/>
      <c r="E5" s="47"/>
      <c r="F5" s="47"/>
      <c r="G5" s="47"/>
      <c r="H5" s="47"/>
      <c r="I5" s="47"/>
      <c r="J5" s="47"/>
      <c r="K5" s="47"/>
      <c r="L5" s="47" t="s">
        <v>53</v>
      </c>
      <c r="O5" s="47"/>
    </row>
    <row r="6" spans="1:15" x14ac:dyDescent="0.3">
      <c r="A6" s="47"/>
      <c r="B6" s="47"/>
      <c r="C6" s="47"/>
      <c r="D6" s="47"/>
      <c r="E6" s="47"/>
      <c r="F6" s="47"/>
      <c r="G6" s="47"/>
      <c r="H6" s="47"/>
      <c r="I6" s="47"/>
      <c r="J6" s="47"/>
      <c r="K6" s="47"/>
      <c r="L6" s="47" t="s">
        <v>0</v>
      </c>
      <c r="O6" s="47"/>
    </row>
    <row r="7" spans="1:15" x14ac:dyDescent="0.3">
      <c r="A7" s="47"/>
      <c r="B7" s="47"/>
      <c r="C7" s="47"/>
      <c r="D7" s="47"/>
      <c r="E7" s="47"/>
      <c r="F7" s="47"/>
      <c r="G7" s="47"/>
      <c r="H7" s="47"/>
      <c r="I7" s="47"/>
      <c r="J7" s="47"/>
      <c r="K7" s="47"/>
      <c r="M7" s="47">
        <v>2024</v>
      </c>
      <c r="N7" s="47">
        <v>2025</v>
      </c>
      <c r="O7" s="47"/>
    </row>
    <row r="8" spans="1:15" x14ac:dyDescent="0.3">
      <c r="A8" s="47"/>
      <c r="B8" s="47"/>
      <c r="C8" s="47"/>
      <c r="D8" s="47"/>
      <c r="E8" s="47"/>
      <c r="F8" s="47"/>
      <c r="G8" s="47"/>
      <c r="H8" s="47"/>
      <c r="I8" s="47"/>
      <c r="J8" s="47"/>
      <c r="K8" s="47"/>
      <c r="L8" s="47" t="s">
        <v>54</v>
      </c>
      <c r="M8" s="50">
        <f>'Tabel 1.1'!B9</f>
        <v>2786261.05822</v>
      </c>
      <c r="N8" s="50">
        <f>'Tabel 1.1'!C9</f>
        <v>2965819.5959999999</v>
      </c>
      <c r="O8" s="47"/>
    </row>
    <row r="9" spans="1:15" x14ac:dyDescent="0.3">
      <c r="A9" s="47"/>
      <c r="B9" s="47"/>
      <c r="C9" s="47"/>
      <c r="D9" s="47"/>
      <c r="E9" s="47"/>
      <c r="F9" s="47"/>
      <c r="G9" s="47"/>
      <c r="H9" s="47"/>
      <c r="I9" s="47"/>
      <c r="J9" s="47"/>
      <c r="K9" s="47"/>
      <c r="L9" s="47" t="s">
        <v>55</v>
      </c>
      <c r="M9" s="50">
        <f>'Tabel 1.1'!B10</f>
        <v>452553</v>
      </c>
      <c r="N9" s="50">
        <f>'Tabel 1.1'!C10</f>
        <v>0</v>
      </c>
      <c r="O9" s="47"/>
    </row>
    <row r="10" spans="1:15" x14ac:dyDescent="0.3">
      <c r="A10" s="47"/>
      <c r="B10" s="47"/>
      <c r="C10" s="47"/>
      <c r="D10" s="47"/>
      <c r="E10" s="47"/>
      <c r="F10" s="47"/>
      <c r="G10" s="47"/>
      <c r="H10" s="47"/>
      <c r="I10" s="47"/>
      <c r="J10" s="47"/>
      <c r="K10" s="47"/>
      <c r="L10" s="47" t="s">
        <v>365</v>
      </c>
      <c r="M10" s="50">
        <f>'Tabel 1.1'!B11</f>
        <v>71355</v>
      </c>
      <c r="N10" s="50">
        <f>'Tabel 1.1'!C11</f>
        <v>99295</v>
      </c>
      <c r="O10" s="47"/>
    </row>
    <row r="11" spans="1:15" x14ac:dyDescent="0.3">
      <c r="A11" s="47"/>
      <c r="B11" s="47"/>
      <c r="C11" s="47"/>
      <c r="D11" s="47"/>
      <c r="E11" s="47"/>
      <c r="F11" s="47"/>
      <c r="G11" s="47"/>
      <c r="H11" s="47"/>
      <c r="I11" s="47"/>
      <c r="J11" s="47"/>
      <c r="K11" s="47"/>
      <c r="L11" s="47" t="s">
        <v>354</v>
      </c>
      <c r="M11" s="50">
        <f>'Tabel 1.1'!B12</f>
        <v>2813938.0383600001</v>
      </c>
      <c r="N11" s="50">
        <f>'Tabel 1.1'!C12</f>
        <v>3462010.0061499998</v>
      </c>
      <c r="O11" s="47"/>
    </row>
    <row r="12" spans="1:15" x14ac:dyDescent="0.3">
      <c r="A12" s="47"/>
      <c r="B12" s="47"/>
      <c r="C12" s="47"/>
      <c r="D12" s="47"/>
      <c r="E12" s="47"/>
      <c r="F12" s="47"/>
      <c r="G12" s="47"/>
      <c r="H12" s="47"/>
      <c r="I12" s="47"/>
      <c r="J12" s="47"/>
      <c r="K12" s="47"/>
      <c r="L12" s="47" t="s">
        <v>56</v>
      </c>
      <c r="M12" s="50">
        <f>'Tabel 1.1'!B13</f>
        <v>633438.71653000009</v>
      </c>
      <c r="N12" s="50">
        <f>'Tabel 1.1'!C13</f>
        <v>711774</v>
      </c>
      <c r="O12" s="47"/>
    </row>
    <row r="13" spans="1:15" x14ac:dyDescent="0.3">
      <c r="A13" s="47"/>
      <c r="B13" s="47"/>
      <c r="C13" s="47"/>
      <c r="D13" s="47"/>
      <c r="E13" s="47"/>
      <c r="F13" s="47"/>
      <c r="G13" s="47"/>
      <c r="H13" s="47"/>
      <c r="I13" s="47"/>
      <c r="J13" s="47"/>
      <c r="K13" s="47"/>
      <c r="L13" s="47" t="s">
        <v>57</v>
      </c>
      <c r="M13" s="50">
        <f>'Tabel 1.1'!B14</f>
        <v>2550.4560000000001</v>
      </c>
      <c r="N13" s="50">
        <f>'Tabel 1.1'!C14</f>
        <v>294.02600000000001</v>
      </c>
      <c r="O13" s="47"/>
    </row>
    <row r="14" spans="1:15" x14ac:dyDescent="0.3">
      <c r="A14" s="47"/>
      <c r="B14" s="47"/>
      <c r="C14" s="47"/>
      <c r="D14" s="47"/>
      <c r="E14" s="47"/>
      <c r="F14" s="47"/>
      <c r="G14" s="47"/>
      <c r="H14" s="47"/>
      <c r="I14" s="47"/>
      <c r="J14" s="47"/>
      <c r="K14" s="47"/>
      <c r="L14" s="47" t="s">
        <v>58</v>
      </c>
      <c r="M14" s="50">
        <f>'Tabel 1.1'!B15</f>
        <v>1979927.014771</v>
      </c>
      <c r="N14" s="50">
        <f>'Tabel 1.1'!C15</f>
        <v>2112841.6972000003</v>
      </c>
      <c r="O14" s="47"/>
    </row>
    <row r="15" spans="1:15" x14ac:dyDescent="0.3">
      <c r="A15" s="47"/>
      <c r="B15" s="47"/>
      <c r="C15" s="47"/>
      <c r="D15" s="47"/>
      <c r="E15" s="47"/>
      <c r="F15" s="47"/>
      <c r="G15" s="47"/>
      <c r="H15" s="47"/>
      <c r="I15" s="47"/>
      <c r="J15" s="47"/>
      <c r="K15" s="47"/>
      <c r="L15" s="47" t="s">
        <v>59</v>
      </c>
      <c r="M15" s="50">
        <f>'Tabel 1.1'!B16</f>
        <v>804951</v>
      </c>
      <c r="N15" s="50">
        <f>'Tabel 1.1'!C16</f>
        <v>922743</v>
      </c>
      <c r="O15" s="47"/>
    </row>
    <row r="16" spans="1:15" x14ac:dyDescent="0.3">
      <c r="A16" s="47"/>
      <c r="B16" s="47"/>
      <c r="C16" s="47"/>
      <c r="D16" s="47"/>
      <c r="E16" s="47"/>
      <c r="F16" s="47"/>
      <c r="G16" s="47"/>
      <c r="H16" s="47"/>
      <c r="I16" s="47"/>
      <c r="J16" s="47"/>
      <c r="K16" s="47"/>
      <c r="L16" s="47" t="s">
        <v>60</v>
      </c>
      <c r="M16" s="50">
        <f>'Tabel 1.1'!B17</f>
        <v>569992.80272692</v>
      </c>
      <c r="N16" s="50">
        <f>'Tabel 1.1'!C17</f>
        <v>641858.92080210301</v>
      </c>
      <c r="O16" s="47"/>
    </row>
    <row r="17" spans="1:15" x14ac:dyDescent="0.3">
      <c r="A17" s="47"/>
      <c r="B17" s="47"/>
      <c r="C17" s="47"/>
      <c r="D17" s="47"/>
      <c r="E17" s="47"/>
      <c r="F17" s="47"/>
      <c r="G17" s="47"/>
      <c r="H17" s="47"/>
      <c r="I17" s="47"/>
      <c r="J17" s="47"/>
      <c r="K17" s="47"/>
      <c r="L17" s="47" t="s">
        <v>61</v>
      </c>
      <c r="M17" s="50">
        <f>'Tabel 1.1'!B18</f>
        <v>51622820.619410001</v>
      </c>
      <c r="N17" s="50">
        <f>'Tabel 1.1'!C18</f>
        <v>53411640.652769998</v>
      </c>
      <c r="O17" s="47"/>
    </row>
    <row r="18" spans="1:15" x14ac:dyDescent="0.3">
      <c r="A18" s="47"/>
      <c r="B18" s="47"/>
      <c r="C18" s="47"/>
      <c r="D18" s="47"/>
      <c r="E18" s="47"/>
      <c r="F18" s="47"/>
      <c r="G18" s="47"/>
      <c r="H18" s="47"/>
      <c r="I18" s="47"/>
      <c r="J18" s="47"/>
      <c r="K18" s="47"/>
      <c r="L18" s="47" t="s">
        <v>62</v>
      </c>
      <c r="M18" s="50">
        <f>'Tabel 1.1'!B19</f>
        <v>351084.87199999997</v>
      </c>
      <c r="N18" s="50">
        <f>'Tabel 1.1'!C19</f>
        <v>390250.82899999997</v>
      </c>
      <c r="O18" s="47"/>
    </row>
    <row r="19" spans="1:15" x14ac:dyDescent="0.3">
      <c r="A19" s="47"/>
      <c r="B19" s="47"/>
      <c r="C19" s="47"/>
      <c r="D19" s="47"/>
      <c r="E19" s="47"/>
      <c r="F19" s="47"/>
      <c r="G19" s="47"/>
      <c r="H19" s="47"/>
      <c r="I19" s="47"/>
      <c r="J19" s="47"/>
      <c r="K19" s="47"/>
      <c r="L19" s="47" t="s">
        <v>409</v>
      </c>
      <c r="M19" s="50">
        <f>'Tabel 1.1'!B20</f>
        <v>45112</v>
      </c>
      <c r="N19" s="50">
        <f>'Tabel 1.1'!C20</f>
        <v>47931</v>
      </c>
      <c r="O19" s="47"/>
    </row>
    <row r="20" spans="1:15" x14ac:dyDescent="0.3">
      <c r="A20" s="47"/>
      <c r="B20" s="47"/>
      <c r="C20" s="47"/>
      <c r="D20" s="47"/>
      <c r="E20" s="47"/>
      <c r="F20" s="47"/>
      <c r="G20" s="47"/>
      <c r="H20" s="47"/>
      <c r="I20" s="47"/>
      <c r="J20" s="47"/>
      <c r="K20" s="47"/>
      <c r="L20" s="47" t="s">
        <v>355</v>
      </c>
      <c r="M20" s="50">
        <f>'Tabel 1.1'!B21</f>
        <v>33530</v>
      </c>
      <c r="N20" s="50">
        <f>'Tabel 1.1'!C21</f>
        <v>95312</v>
      </c>
      <c r="O20" s="47"/>
    </row>
    <row r="21" spans="1:15" x14ac:dyDescent="0.3">
      <c r="A21" s="47"/>
      <c r="B21" s="47"/>
      <c r="C21" s="47"/>
      <c r="D21" s="47"/>
      <c r="E21" s="47"/>
      <c r="F21" s="47"/>
      <c r="G21" s="47"/>
      <c r="H21" s="47"/>
      <c r="I21" s="47"/>
      <c r="J21" s="47"/>
      <c r="K21" s="47"/>
      <c r="L21" s="47" t="s">
        <v>369</v>
      </c>
      <c r="M21" s="50">
        <f>'Tabel 1.1'!B22</f>
        <v>26022</v>
      </c>
      <c r="N21" s="50">
        <f>'Tabel 1.1'!C22</f>
        <v>28003.901999999998</v>
      </c>
      <c r="O21" s="47"/>
    </row>
    <row r="22" spans="1:15" x14ac:dyDescent="0.3">
      <c r="A22" s="47"/>
      <c r="B22" s="47"/>
      <c r="C22" s="47"/>
      <c r="D22" s="47"/>
      <c r="E22" s="47"/>
      <c r="F22" s="47"/>
      <c r="G22" s="47"/>
      <c r="H22" s="47"/>
      <c r="I22" s="47"/>
      <c r="J22" s="47"/>
      <c r="K22" s="47"/>
      <c r="L22" s="47" t="s">
        <v>63</v>
      </c>
      <c r="M22" s="50">
        <f>'Tabel 1.1'!B23</f>
        <v>1459976.8272531251</v>
      </c>
      <c r="N22" s="50">
        <f>'Tabel 1.1'!C23</f>
        <v>1620085.9491118481</v>
      </c>
      <c r="O22" s="47"/>
    </row>
    <row r="23" spans="1:15" x14ac:dyDescent="0.3">
      <c r="A23" s="47"/>
      <c r="B23" s="47"/>
      <c r="C23" s="47"/>
      <c r="D23" s="47"/>
      <c r="E23" s="47"/>
      <c r="F23" s="47"/>
      <c r="G23" s="47"/>
      <c r="H23" s="47"/>
      <c r="I23" s="47"/>
      <c r="J23" s="47"/>
      <c r="K23" s="47"/>
      <c r="L23" s="47" t="s">
        <v>398</v>
      </c>
      <c r="M23" s="50">
        <f>'Tabel 1.1'!B24</f>
        <v>25648</v>
      </c>
      <c r="N23" s="50">
        <f>'Tabel 1.1'!C24</f>
        <v>27203</v>
      </c>
      <c r="O23" s="47"/>
    </row>
    <row r="24" spans="1:15" x14ac:dyDescent="0.3">
      <c r="A24" s="47"/>
      <c r="B24" s="47"/>
      <c r="C24" s="47"/>
      <c r="D24" s="47"/>
      <c r="E24" s="47"/>
      <c r="F24" s="47"/>
      <c r="G24" s="47"/>
      <c r="H24" s="47"/>
      <c r="I24" s="47"/>
      <c r="J24" s="47"/>
      <c r="K24" s="47"/>
      <c r="L24" s="47" t="s">
        <v>64</v>
      </c>
      <c r="M24" s="50">
        <f>'Tabel 1.1'!B25</f>
        <v>7128000</v>
      </c>
      <c r="N24" s="50">
        <f>'Tabel 1.1'!C25</f>
        <v>7353000</v>
      </c>
      <c r="O24" s="47"/>
    </row>
    <row r="25" spans="1:15" x14ac:dyDescent="0.3">
      <c r="A25" s="47"/>
      <c r="B25" s="47"/>
      <c r="C25" s="47"/>
      <c r="D25" s="47"/>
      <c r="E25" s="47"/>
      <c r="F25" s="47"/>
      <c r="G25" s="47"/>
      <c r="H25" s="47"/>
      <c r="I25" s="47"/>
      <c r="J25" s="47"/>
      <c r="K25" s="47"/>
      <c r="L25" s="47" t="s">
        <v>351</v>
      </c>
      <c r="M25" s="50">
        <f>'Tabel 1.1'!B26</f>
        <v>394500</v>
      </c>
      <c r="N25" s="50">
        <f>'Tabel 1.1'!C26</f>
        <v>406788.94739192334</v>
      </c>
      <c r="O25" s="47"/>
    </row>
    <row r="26" spans="1:15" x14ac:dyDescent="0.3">
      <c r="A26" s="47"/>
      <c r="B26" s="47"/>
      <c r="C26" s="47"/>
      <c r="D26" s="47"/>
      <c r="E26" s="47"/>
      <c r="F26" s="47"/>
      <c r="G26" s="47"/>
      <c r="H26" s="47"/>
      <c r="I26" s="47"/>
      <c r="J26" s="47"/>
      <c r="K26" s="47"/>
      <c r="L26" s="47" t="s">
        <v>368</v>
      </c>
      <c r="M26" s="50">
        <f>'Tabel 1.1'!B27</f>
        <v>699214.96857000003</v>
      </c>
      <c r="N26" s="50">
        <f>'Tabel 1.1'!C27</f>
        <v>755360.10631000006</v>
      </c>
      <c r="O26" s="47"/>
    </row>
    <row r="27" spans="1:15" x14ac:dyDescent="0.3">
      <c r="A27" s="47"/>
      <c r="B27" s="47"/>
      <c r="C27" s="47"/>
      <c r="D27" s="47"/>
      <c r="E27" s="47"/>
      <c r="F27" s="47"/>
      <c r="G27" s="47"/>
      <c r="H27" s="47"/>
      <c r="I27" s="47"/>
      <c r="J27" s="47"/>
      <c r="K27" s="47"/>
      <c r="L27" s="47" t="s">
        <v>379</v>
      </c>
      <c r="M27" s="50">
        <f>'Tabel 1.1'!B28</f>
        <v>6441646.2694199998</v>
      </c>
      <c r="N27" s="50">
        <f>'Tabel 1.1'!C28</f>
        <v>7381887.6245199991</v>
      </c>
      <c r="O27" s="47"/>
    </row>
    <row r="28" spans="1:15" x14ac:dyDescent="0.3">
      <c r="A28" s="47"/>
      <c r="B28" s="47"/>
      <c r="C28" s="47"/>
      <c r="D28" s="47"/>
      <c r="E28" s="47"/>
      <c r="F28" s="47"/>
      <c r="G28" s="47"/>
      <c r="H28" s="47"/>
      <c r="I28" s="47"/>
      <c r="J28" s="47"/>
      <c r="K28" s="47"/>
      <c r="L28" s="47" t="s">
        <v>66</v>
      </c>
      <c r="M28" s="50">
        <f>'Tabel 1.1'!B29</f>
        <v>7051</v>
      </c>
      <c r="N28" s="50">
        <f>'Tabel 1.1'!C29</f>
        <v>5952</v>
      </c>
    </row>
    <row r="29" spans="1:15" x14ac:dyDescent="0.3">
      <c r="A29" s="47"/>
      <c r="B29" s="47"/>
      <c r="C29" s="47"/>
      <c r="D29" s="47"/>
      <c r="E29" s="47"/>
      <c r="F29" s="47"/>
      <c r="G29" s="47"/>
      <c r="H29" s="47"/>
      <c r="I29" s="47"/>
      <c r="J29" s="47"/>
      <c r="K29" s="47"/>
      <c r="L29" s="47" t="s">
        <v>67</v>
      </c>
      <c r="M29" s="50">
        <f>'Tabel 1.1'!B30</f>
        <v>858841.02</v>
      </c>
      <c r="N29" s="50">
        <f>'Tabel 1.1'!C30</f>
        <v>861588.31699999992</v>
      </c>
    </row>
    <row r="30" spans="1:15" x14ac:dyDescent="0.3">
      <c r="A30" s="47"/>
      <c r="B30" s="47"/>
      <c r="C30" s="47"/>
      <c r="D30" s="47"/>
      <c r="E30" s="47"/>
      <c r="F30" s="47"/>
      <c r="G30" s="47"/>
      <c r="H30" s="47"/>
      <c r="I30" s="47"/>
      <c r="J30" s="47"/>
      <c r="K30" s="47"/>
      <c r="L30" s="47" t="s">
        <v>361</v>
      </c>
      <c r="M30" s="50">
        <f>'Tabel 1.1'!B31</f>
        <v>1799.9657</v>
      </c>
      <c r="N30" s="50">
        <f>'Tabel 1.1'!C31</f>
        <v>1617.8920000000001</v>
      </c>
    </row>
    <row r="31" spans="1:15" x14ac:dyDescent="0.3">
      <c r="A31" s="48" t="s">
        <v>415</v>
      </c>
      <c r="B31" s="47"/>
      <c r="C31" s="47"/>
      <c r="D31" s="47"/>
      <c r="E31" s="47"/>
      <c r="F31" s="47"/>
      <c r="G31" s="47"/>
      <c r="H31" s="47"/>
      <c r="I31" s="47"/>
      <c r="J31" s="47"/>
      <c r="K31" s="47"/>
      <c r="L31" s="47" t="s">
        <v>372</v>
      </c>
      <c r="M31" s="50">
        <f>'Tabel 1.1'!B32</f>
        <v>58439</v>
      </c>
      <c r="N31" s="50">
        <f>'Tabel 1.1'!C32</f>
        <v>83478</v>
      </c>
    </row>
    <row r="32" spans="1:15" x14ac:dyDescent="0.3">
      <c r="B32" s="47"/>
      <c r="C32" s="47"/>
      <c r="D32" s="47"/>
      <c r="E32" s="47"/>
      <c r="F32" s="47"/>
      <c r="G32" s="47"/>
      <c r="H32" s="47"/>
      <c r="I32" s="47"/>
      <c r="J32" s="47"/>
      <c r="K32" s="47"/>
    </row>
    <row r="33" spans="1:15" x14ac:dyDescent="0.3">
      <c r="B33" s="47"/>
      <c r="C33" s="47"/>
      <c r="D33" s="47"/>
      <c r="E33" s="47"/>
      <c r="F33" s="47"/>
      <c r="G33" s="47"/>
      <c r="H33" s="47"/>
      <c r="I33" s="47"/>
      <c r="J33" s="47"/>
      <c r="K33" s="47"/>
      <c r="L33" s="47" t="s">
        <v>53</v>
      </c>
    </row>
    <row r="34" spans="1:15" x14ac:dyDescent="0.3">
      <c r="A34" s="47"/>
      <c r="B34" s="47"/>
      <c r="C34" s="47"/>
      <c r="D34" s="47"/>
      <c r="E34" s="47"/>
      <c r="F34" s="47"/>
      <c r="G34" s="47"/>
      <c r="H34" s="47"/>
      <c r="I34" s="47"/>
      <c r="J34" s="47"/>
      <c r="K34" s="47"/>
      <c r="L34" s="47" t="s">
        <v>1</v>
      </c>
    </row>
    <row r="35" spans="1:15" x14ac:dyDescent="0.3">
      <c r="A35" s="47"/>
      <c r="B35" s="47"/>
      <c r="C35" s="47"/>
      <c r="D35" s="47"/>
      <c r="E35" s="47"/>
      <c r="F35" s="47"/>
      <c r="G35" s="47"/>
      <c r="H35" s="47"/>
      <c r="I35" s="47"/>
      <c r="J35" s="47"/>
      <c r="K35" s="47"/>
      <c r="M35" s="47">
        <f>M7</f>
        <v>2024</v>
      </c>
      <c r="N35" s="47">
        <f>N7</f>
        <v>2025</v>
      </c>
    </row>
    <row r="36" spans="1:15" x14ac:dyDescent="0.3">
      <c r="A36" s="47"/>
      <c r="B36" s="47"/>
      <c r="C36" s="47"/>
      <c r="D36" s="47"/>
      <c r="E36" s="47"/>
      <c r="F36" s="47"/>
      <c r="G36" s="47"/>
      <c r="H36" s="47"/>
      <c r="I36" s="47"/>
      <c r="J36" s="47"/>
      <c r="K36" s="47"/>
      <c r="L36" s="47" t="s">
        <v>54</v>
      </c>
      <c r="M36" s="50">
        <f>'Tabel 1.1'!B36</f>
        <v>12094571</v>
      </c>
      <c r="N36" s="50">
        <f>'Tabel 1.1'!C36</f>
        <v>13229791.858069999</v>
      </c>
    </row>
    <row r="37" spans="1:15" x14ac:dyDescent="0.3">
      <c r="A37" s="47"/>
      <c r="B37" s="47"/>
      <c r="C37" s="47"/>
      <c r="D37" s="47"/>
      <c r="E37" s="47"/>
      <c r="F37" s="47"/>
      <c r="G37" s="47"/>
      <c r="H37" s="47"/>
      <c r="I37" s="47"/>
      <c r="J37" s="47"/>
      <c r="K37" s="47"/>
      <c r="L37" s="47" t="s">
        <v>59</v>
      </c>
      <c r="M37" s="50">
        <f>'Tabel 1.1'!B37</f>
        <v>4843361</v>
      </c>
      <c r="N37" s="50">
        <f>'Tabel 1.1'!C37</f>
        <v>5338467</v>
      </c>
    </row>
    <row r="38" spans="1:15" x14ac:dyDescent="0.3">
      <c r="A38" s="47"/>
      <c r="B38" s="47"/>
      <c r="C38" s="47"/>
      <c r="D38" s="47"/>
      <c r="E38" s="47"/>
      <c r="F38" s="47"/>
      <c r="G38" s="47"/>
      <c r="H38" s="47"/>
      <c r="I38" s="47"/>
      <c r="J38" s="47"/>
      <c r="K38" s="47"/>
      <c r="L38" s="47" t="s">
        <v>61</v>
      </c>
      <c r="M38" s="50">
        <f>'Tabel 1.1'!B38</f>
        <v>170993.152</v>
      </c>
      <c r="N38" s="50">
        <f>'Tabel 1.1'!C38</f>
        <v>170064.51</v>
      </c>
    </row>
    <row r="39" spans="1:15" x14ac:dyDescent="0.3">
      <c r="A39" s="47"/>
      <c r="B39" s="47"/>
      <c r="C39" s="47"/>
      <c r="D39" s="47"/>
      <c r="E39" s="47"/>
      <c r="F39" s="47"/>
      <c r="G39" s="47"/>
      <c r="H39" s="47"/>
      <c r="I39" s="47"/>
      <c r="J39" s="47"/>
      <c r="K39" s="47"/>
      <c r="L39" s="47" t="s">
        <v>63</v>
      </c>
      <c r="M39" s="50">
        <f>'Tabel 1.1'!B39</f>
        <v>15106038.54532</v>
      </c>
      <c r="N39" s="50">
        <f>'Tabel 1.1'!C39</f>
        <v>13708724.2082</v>
      </c>
    </row>
    <row r="40" spans="1:15" x14ac:dyDescent="0.3">
      <c r="A40" s="47"/>
      <c r="B40" s="47"/>
      <c r="C40" s="47"/>
      <c r="D40" s="47"/>
      <c r="E40" s="47"/>
      <c r="F40" s="47"/>
      <c r="G40" s="47"/>
      <c r="H40" s="47"/>
      <c r="I40" s="47"/>
      <c r="J40" s="47"/>
      <c r="K40" s="47"/>
      <c r="L40" s="47" t="s">
        <v>368</v>
      </c>
      <c r="M40" s="50">
        <f>'Tabel 1.1'!B40</f>
        <v>5611244.9301099991</v>
      </c>
      <c r="N40" s="50">
        <f>'Tabel 1.1'!C40</f>
        <v>6177737.14004</v>
      </c>
    </row>
    <row r="41" spans="1:15" x14ac:dyDescent="0.3">
      <c r="A41" s="47"/>
      <c r="B41" s="47"/>
      <c r="C41" s="47"/>
      <c r="D41" s="47"/>
      <c r="E41" s="47"/>
      <c r="F41" s="47"/>
      <c r="G41" s="47"/>
      <c r="H41" s="47"/>
      <c r="I41" s="47"/>
      <c r="J41" s="47"/>
      <c r="K41" s="47"/>
      <c r="L41" s="47" t="s">
        <v>379</v>
      </c>
      <c r="M41" s="50">
        <f>'Tabel 1.1'!B41</f>
        <v>13576041.978</v>
      </c>
      <c r="N41" s="50">
        <f>'Tabel 1.1'!C41</f>
        <v>14213473.79414</v>
      </c>
      <c r="O41" s="47"/>
    </row>
    <row r="42" spans="1:15" x14ac:dyDescent="0.3">
      <c r="A42" s="47"/>
      <c r="B42" s="47"/>
      <c r="C42" s="47"/>
      <c r="D42" s="47"/>
      <c r="E42" s="47"/>
      <c r="F42" s="47"/>
      <c r="G42" s="47"/>
      <c r="H42" s="47"/>
      <c r="I42" s="47"/>
      <c r="J42" s="47"/>
      <c r="K42" s="47"/>
      <c r="O42" s="47"/>
    </row>
    <row r="43" spans="1:15" x14ac:dyDescent="0.3">
      <c r="A43" s="47"/>
      <c r="B43" s="47"/>
      <c r="C43" s="47"/>
      <c r="D43" s="47"/>
      <c r="E43" s="47"/>
      <c r="F43" s="47"/>
      <c r="G43" s="47"/>
      <c r="H43" s="47"/>
      <c r="I43" s="47"/>
      <c r="J43" s="47"/>
      <c r="K43" s="47"/>
      <c r="M43" s="50"/>
      <c r="N43" s="50"/>
      <c r="O43" s="47"/>
    </row>
    <row r="44" spans="1:15" x14ac:dyDescent="0.3">
      <c r="A44" s="47"/>
      <c r="B44" s="47"/>
      <c r="C44" s="47"/>
      <c r="D44" s="47"/>
      <c r="E44" s="47"/>
      <c r="F44" s="47"/>
      <c r="G44" s="47"/>
      <c r="H44" s="47"/>
      <c r="I44" s="47"/>
      <c r="J44" s="47"/>
      <c r="K44" s="47"/>
      <c r="M44" s="50"/>
      <c r="N44" s="50"/>
      <c r="O44" s="47"/>
    </row>
    <row r="45" spans="1:15" x14ac:dyDescent="0.3">
      <c r="A45" s="47"/>
      <c r="B45" s="47"/>
      <c r="C45" s="47"/>
      <c r="D45" s="47"/>
      <c r="E45" s="47"/>
      <c r="F45" s="47"/>
      <c r="G45" s="47"/>
      <c r="H45" s="47"/>
      <c r="I45" s="47"/>
      <c r="J45" s="47"/>
      <c r="K45" s="47"/>
      <c r="M45" s="50"/>
      <c r="N45" s="50"/>
      <c r="O45" s="47"/>
    </row>
    <row r="46" spans="1:15" x14ac:dyDescent="0.3">
      <c r="A46" s="47"/>
      <c r="B46" s="47"/>
      <c r="C46" s="47"/>
      <c r="D46" s="47"/>
      <c r="E46" s="47"/>
      <c r="F46" s="47"/>
      <c r="G46" s="47"/>
      <c r="H46" s="47"/>
      <c r="I46" s="47"/>
      <c r="J46" s="47"/>
      <c r="K46" s="47"/>
      <c r="M46" s="50"/>
      <c r="N46" s="50"/>
      <c r="O46" s="47"/>
    </row>
    <row r="47" spans="1:15" x14ac:dyDescent="0.3">
      <c r="A47" s="47"/>
      <c r="B47" s="47"/>
      <c r="C47" s="47"/>
      <c r="D47" s="47"/>
      <c r="E47" s="47"/>
      <c r="F47" s="47"/>
      <c r="G47" s="47"/>
      <c r="H47" s="47"/>
      <c r="I47" s="47"/>
      <c r="J47" s="47"/>
      <c r="K47" s="47"/>
      <c r="M47" s="50"/>
      <c r="N47" s="50"/>
      <c r="O47" s="47"/>
    </row>
    <row r="48" spans="1:15" x14ac:dyDescent="0.3">
      <c r="A48" s="47"/>
      <c r="B48" s="47"/>
      <c r="C48" s="47"/>
      <c r="D48" s="47"/>
      <c r="E48" s="47"/>
      <c r="F48" s="47"/>
      <c r="G48" s="47"/>
      <c r="H48" s="47"/>
      <c r="I48" s="47"/>
      <c r="J48" s="47"/>
      <c r="K48" s="47"/>
      <c r="O48" s="47"/>
    </row>
    <row r="49" spans="1:15" x14ac:dyDescent="0.3">
      <c r="A49" s="47"/>
      <c r="B49" s="47"/>
      <c r="C49" s="47"/>
      <c r="D49" s="47"/>
      <c r="E49" s="47"/>
      <c r="F49" s="47"/>
      <c r="G49" s="47"/>
      <c r="H49" s="47"/>
      <c r="I49" s="47"/>
      <c r="J49" s="47"/>
      <c r="K49" s="47"/>
      <c r="O49" s="47"/>
    </row>
    <row r="50" spans="1:15" x14ac:dyDescent="0.3">
      <c r="A50" s="47"/>
      <c r="B50" s="47"/>
      <c r="C50" s="47"/>
      <c r="D50" s="47"/>
      <c r="E50" s="47"/>
      <c r="F50" s="47"/>
      <c r="G50" s="47"/>
      <c r="H50" s="47"/>
      <c r="I50" s="47"/>
      <c r="J50" s="47"/>
      <c r="K50" s="47"/>
      <c r="O50" s="47"/>
    </row>
    <row r="51" spans="1:15" x14ac:dyDescent="0.3">
      <c r="A51" s="47"/>
      <c r="B51" s="47"/>
      <c r="C51" s="47"/>
      <c r="D51" s="47"/>
      <c r="E51" s="47"/>
      <c r="F51" s="47"/>
      <c r="G51" s="47"/>
      <c r="H51" s="47"/>
      <c r="I51" s="47"/>
      <c r="J51" s="47"/>
      <c r="K51" s="47"/>
      <c r="L51" s="47" t="s">
        <v>69</v>
      </c>
      <c r="O51" s="47"/>
    </row>
    <row r="52" spans="1:15" x14ac:dyDescent="0.3">
      <c r="A52" s="47"/>
      <c r="B52" s="47"/>
      <c r="C52" s="47"/>
      <c r="D52" s="47"/>
      <c r="E52" s="47"/>
      <c r="F52" s="47"/>
      <c r="G52" s="47"/>
      <c r="H52" s="47"/>
      <c r="I52" s="47"/>
      <c r="J52" s="47"/>
      <c r="K52" s="47"/>
      <c r="L52" s="47" t="s">
        <v>0</v>
      </c>
      <c r="O52" s="47"/>
    </row>
    <row r="53" spans="1:15" x14ac:dyDescent="0.3">
      <c r="A53" s="47"/>
      <c r="B53" s="47"/>
      <c r="C53" s="47"/>
      <c r="D53" s="47"/>
      <c r="E53" s="47"/>
      <c r="F53" s="47"/>
      <c r="G53" s="47"/>
      <c r="H53" s="47"/>
      <c r="I53" s="47"/>
      <c r="J53" s="47"/>
      <c r="K53" s="47"/>
      <c r="M53" s="47">
        <f>M7</f>
        <v>2024</v>
      </c>
      <c r="N53" s="47">
        <f>N7</f>
        <v>2025</v>
      </c>
      <c r="O53" s="47"/>
    </row>
    <row r="54" spans="1:15" x14ac:dyDescent="0.3">
      <c r="A54" s="47"/>
      <c r="B54" s="47"/>
      <c r="C54" s="47"/>
      <c r="D54" s="47"/>
      <c r="E54" s="47"/>
      <c r="F54" s="47"/>
      <c r="G54" s="47"/>
      <c r="H54" s="47"/>
      <c r="I54" s="47"/>
      <c r="J54" s="47"/>
      <c r="K54" s="47"/>
      <c r="L54" s="47" t="s">
        <v>54</v>
      </c>
      <c r="M54" s="50">
        <f>'Tabel 1.1'!G9</f>
        <v>181650880.99984998</v>
      </c>
      <c r="N54" s="50">
        <f>'Tabel 1.1'!H9</f>
        <v>179486854.61621866</v>
      </c>
      <c r="O54" s="47"/>
    </row>
    <row r="55" spans="1:15" x14ac:dyDescent="0.3">
      <c r="A55" s="47"/>
      <c r="B55" s="47"/>
      <c r="C55" s="47"/>
      <c r="D55" s="47"/>
      <c r="E55" s="47"/>
      <c r="F55" s="47"/>
      <c r="G55" s="47"/>
      <c r="H55" s="47"/>
      <c r="I55" s="47"/>
      <c r="J55" s="47"/>
      <c r="K55" s="47"/>
      <c r="L55" s="47" t="s">
        <v>55</v>
      </c>
      <c r="M55" s="50">
        <f>'Tabel 1.1'!G10</f>
        <v>0</v>
      </c>
      <c r="N55" s="50">
        <f>'Tabel 1.1'!H10</f>
        <v>0</v>
      </c>
      <c r="O55" s="47"/>
    </row>
    <row r="56" spans="1:15" x14ac:dyDescent="0.3">
      <c r="A56" s="48" t="s">
        <v>416</v>
      </c>
      <c r="B56" s="47"/>
      <c r="C56" s="47"/>
      <c r="D56" s="47"/>
      <c r="E56" s="47"/>
      <c r="F56" s="47"/>
      <c r="G56" s="47"/>
      <c r="H56" s="47"/>
      <c r="I56" s="47"/>
      <c r="J56" s="47"/>
      <c r="K56" s="47"/>
      <c r="L56" s="47" t="s">
        <v>365</v>
      </c>
      <c r="M56" s="50">
        <f>'Tabel 1.1'!G11</f>
        <v>0</v>
      </c>
      <c r="N56" s="50">
        <f>'Tabel 1.1'!H11</f>
        <v>0</v>
      </c>
      <c r="O56" s="47"/>
    </row>
    <row r="57" spans="1:15" x14ac:dyDescent="0.3">
      <c r="A57" s="47"/>
      <c r="B57" s="47"/>
      <c r="C57" s="47"/>
      <c r="D57" s="47"/>
      <c r="E57" s="47"/>
      <c r="F57" s="47"/>
      <c r="G57" s="47"/>
      <c r="H57" s="47"/>
      <c r="I57" s="47"/>
      <c r="J57" s="47"/>
      <c r="K57" s="47"/>
      <c r="L57" s="47" t="s">
        <v>354</v>
      </c>
      <c r="M57" s="50">
        <f>'Tabel 1.1'!G12</f>
        <v>5738350.5694500003</v>
      </c>
      <c r="N57" s="50">
        <f>'Tabel 1.1'!H12</f>
        <v>6270147.1001199996</v>
      </c>
      <c r="O57" s="47"/>
    </row>
    <row r="58" spans="1:15" x14ac:dyDescent="0.3">
      <c r="A58" s="47"/>
      <c r="B58" s="47"/>
      <c r="C58" s="47"/>
      <c r="D58" s="47"/>
      <c r="E58" s="47"/>
      <c r="F58" s="47"/>
      <c r="G58" s="47"/>
      <c r="H58" s="47"/>
      <c r="I58" s="47"/>
      <c r="J58" s="47"/>
      <c r="K58" s="47"/>
      <c r="L58" s="47" t="s">
        <v>56</v>
      </c>
      <c r="M58" s="50">
        <f>'Tabel 1.1'!G13</f>
        <v>1889136.3959733311</v>
      </c>
      <c r="N58" s="50">
        <f>'Tabel 1.1'!H13</f>
        <v>2334043</v>
      </c>
      <c r="O58" s="47"/>
    </row>
    <row r="59" spans="1:15" x14ac:dyDescent="0.3">
      <c r="A59" s="47"/>
      <c r="B59" s="47"/>
      <c r="C59" s="47"/>
      <c r="D59" s="47"/>
      <c r="E59" s="47"/>
      <c r="F59" s="47"/>
      <c r="G59" s="47"/>
      <c r="H59" s="47"/>
      <c r="I59" s="47"/>
      <c r="J59" s="47"/>
      <c r="K59" s="47"/>
      <c r="L59" s="47" t="s">
        <v>58</v>
      </c>
      <c r="M59" s="50">
        <f>'Tabel 1.1'!G14</f>
        <v>0</v>
      </c>
      <c r="N59" s="50">
        <f>'Tabel 1.1'!H14</f>
        <v>0</v>
      </c>
      <c r="O59" s="47"/>
    </row>
    <row r="60" spans="1:15" x14ac:dyDescent="0.3">
      <c r="A60" s="47"/>
      <c r="B60" s="47"/>
      <c r="C60" s="47"/>
      <c r="D60" s="47"/>
      <c r="E60" s="47"/>
      <c r="F60" s="47"/>
      <c r="G60" s="47"/>
      <c r="H60" s="47"/>
      <c r="I60" s="47"/>
      <c r="J60" s="47"/>
      <c r="K60" s="47"/>
      <c r="L60" s="47" t="s">
        <v>59</v>
      </c>
      <c r="M60" s="50">
        <f>'Tabel 1.1'!G16</f>
        <v>10565598</v>
      </c>
      <c r="N60" s="50">
        <f>'Tabel 1.1'!H16</f>
        <v>11690672</v>
      </c>
      <c r="O60" s="47"/>
    </row>
    <row r="61" spans="1:15" x14ac:dyDescent="0.3">
      <c r="A61" s="47"/>
      <c r="B61" s="47"/>
      <c r="C61" s="47"/>
      <c r="D61" s="47"/>
      <c r="E61" s="47"/>
      <c r="F61" s="47"/>
      <c r="G61" s="47"/>
      <c r="H61" s="47"/>
      <c r="I61" s="47"/>
      <c r="J61" s="47"/>
      <c r="K61" s="47"/>
      <c r="L61" s="47" t="s">
        <v>60</v>
      </c>
      <c r="M61" s="50">
        <f>'Tabel 1.1'!G17</f>
        <v>0</v>
      </c>
      <c r="N61" s="50">
        <f>'Tabel 1.1'!H17</f>
        <v>0</v>
      </c>
      <c r="O61" s="47"/>
    </row>
    <row r="62" spans="1:15" x14ac:dyDescent="0.3">
      <c r="A62" s="47"/>
      <c r="B62" s="47"/>
      <c r="C62" s="47"/>
      <c r="D62" s="47"/>
      <c r="E62" s="47"/>
      <c r="F62" s="47"/>
      <c r="G62" s="47"/>
      <c r="H62" s="47"/>
      <c r="I62" s="47"/>
      <c r="J62" s="47"/>
      <c r="K62" s="47"/>
      <c r="L62" s="47" t="s">
        <v>61</v>
      </c>
      <c r="M62" s="50">
        <f>'Tabel 1.1'!G18</f>
        <v>785558231.49354005</v>
      </c>
      <c r="N62" s="50">
        <f>'Tabel 1.1'!H18</f>
        <v>846650379.46606004</v>
      </c>
      <c r="O62" s="47"/>
    </row>
    <row r="63" spans="1:15" x14ac:dyDescent="0.3">
      <c r="A63" s="47"/>
      <c r="B63" s="47"/>
      <c r="C63" s="47"/>
      <c r="D63" s="47"/>
      <c r="E63" s="47"/>
      <c r="F63" s="47"/>
      <c r="G63" s="47"/>
      <c r="H63" s="47"/>
      <c r="I63" s="47"/>
      <c r="J63" s="47"/>
      <c r="K63" s="47"/>
      <c r="L63" s="47" t="s">
        <v>62</v>
      </c>
      <c r="M63" s="50">
        <f>'Tabel 1.1'!G19</f>
        <v>163752.0116</v>
      </c>
      <c r="N63" s="50">
        <f>'Tabel 1.1'!H19</f>
        <v>198920.58899999998</v>
      </c>
      <c r="O63" s="47"/>
    </row>
    <row r="64" spans="1:15" x14ac:dyDescent="0.3">
      <c r="A64" s="47"/>
      <c r="B64" s="47"/>
      <c r="C64" s="47"/>
      <c r="D64" s="47"/>
      <c r="E64" s="47"/>
      <c r="F64" s="47"/>
      <c r="G64" s="47"/>
      <c r="H64" s="47"/>
      <c r="I64" s="47"/>
      <c r="J64" s="47"/>
      <c r="K64" s="47"/>
      <c r="L64" s="47" t="s">
        <v>409</v>
      </c>
      <c r="M64" s="50">
        <f>'Tabel 1.1'!G20</f>
        <v>0</v>
      </c>
      <c r="N64" s="50">
        <f>'Tabel 1.1'!H20</f>
        <v>0</v>
      </c>
      <c r="O64" s="47"/>
    </row>
    <row r="65" spans="1:15" x14ac:dyDescent="0.3">
      <c r="A65" s="47"/>
      <c r="B65" s="47"/>
      <c r="C65" s="47"/>
      <c r="D65" s="47"/>
      <c r="E65" s="47"/>
      <c r="F65" s="47"/>
      <c r="G65" s="47"/>
      <c r="H65" s="47"/>
      <c r="I65" s="47"/>
      <c r="J65" s="47"/>
      <c r="K65" s="47"/>
      <c r="L65" s="47" t="s">
        <v>364</v>
      </c>
      <c r="M65" s="50">
        <f>'Tabel 1.1'!G21</f>
        <v>0</v>
      </c>
      <c r="N65" s="50">
        <f>'Tabel 1.1'!H21</f>
        <v>0</v>
      </c>
      <c r="O65" s="47"/>
    </row>
    <row r="66" spans="1:15" x14ac:dyDescent="0.3">
      <c r="A66" s="47"/>
      <c r="B66" s="47"/>
      <c r="C66" s="47"/>
      <c r="D66" s="47"/>
      <c r="E66" s="47"/>
      <c r="F66" s="47"/>
      <c r="G66" s="47"/>
      <c r="H66" s="47"/>
      <c r="I66" s="47"/>
      <c r="J66" s="47"/>
      <c r="K66" s="47"/>
      <c r="L66" s="47" t="s">
        <v>369</v>
      </c>
      <c r="M66" s="50">
        <f>'Tabel 1.1'!G22</f>
        <v>0</v>
      </c>
      <c r="N66" s="50">
        <f>'Tabel 1.1'!H22</f>
        <v>0</v>
      </c>
      <c r="O66" s="47"/>
    </row>
    <row r="67" spans="1:15" x14ac:dyDescent="0.3">
      <c r="A67" s="47"/>
      <c r="B67" s="47"/>
      <c r="C67" s="47"/>
      <c r="D67" s="47"/>
      <c r="E67" s="47"/>
      <c r="F67" s="47"/>
      <c r="G67" s="47"/>
      <c r="H67" s="47"/>
      <c r="I67" s="47"/>
      <c r="J67" s="47"/>
      <c r="K67" s="47"/>
      <c r="L67" s="47" t="s">
        <v>63</v>
      </c>
      <c r="M67" s="50">
        <f>'Tabel 1.1'!G23</f>
        <v>54775070.000001468</v>
      </c>
      <c r="N67" s="50">
        <f>'Tabel 1.1'!H23</f>
        <v>55928890.000000685</v>
      </c>
      <c r="O67" s="47"/>
    </row>
    <row r="68" spans="1:15" x14ac:dyDescent="0.3">
      <c r="A68" s="47"/>
      <c r="B68" s="47"/>
      <c r="C68" s="47"/>
      <c r="D68" s="47"/>
      <c r="E68" s="47"/>
      <c r="F68" s="47"/>
      <c r="G68" s="47"/>
      <c r="H68" s="47"/>
      <c r="I68" s="47"/>
      <c r="J68" s="47"/>
      <c r="K68" s="47"/>
      <c r="L68" s="47" t="s">
        <v>398</v>
      </c>
      <c r="M68" s="50">
        <f>'Tabel 1.1'!G24</f>
        <v>0</v>
      </c>
      <c r="N68" s="50">
        <f>'Tabel 1.1'!H24</f>
        <v>0</v>
      </c>
      <c r="O68" s="47"/>
    </row>
    <row r="69" spans="1:15" x14ac:dyDescent="0.3">
      <c r="A69" s="47"/>
      <c r="B69" s="47"/>
      <c r="C69" s="47"/>
      <c r="D69" s="47"/>
      <c r="E69" s="47"/>
      <c r="F69" s="47"/>
      <c r="G69" s="47"/>
      <c r="H69" s="47"/>
      <c r="I69" s="47"/>
      <c r="J69" s="47"/>
      <c r="K69" s="47"/>
      <c r="L69" s="47" t="s">
        <v>64</v>
      </c>
      <c r="M69" s="50">
        <f>'Tabel 1.1'!G25</f>
        <v>99384000</v>
      </c>
      <c r="N69" s="50">
        <f>'Tabel 1.1'!H25</f>
        <v>105305000</v>
      </c>
      <c r="O69" s="47"/>
    </row>
    <row r="70" spans="1:15" x14ac:dyDescent="0.3">
      <c r="A70" s="47"/>
      <c r="B70" s="47"/>
      <c r="C70" s="47"/>
      <c r="D70" s="47"/>
      <c r="E70" s="47"/>
      <c r="F70" s="47"/>
      <c r="G70" s="47"/>
      <c r="H70" s="47"/>
      <c r="I70" s="47"/>
      <c r="J70" s="47"/>
      <c r="K70" s="47"/>
      <c r="L70" s="47" t="s">
        <v>368</v>
      </c>
      <c r="M70" s="50">
        <f>'Tabel 1.1'!G27</f>
        <v>22132201.059449997</v>
      </c>
      <c r="N70" s="50">
        <f>'Tabel 1.1'!H27</f>
        <v>26100532.247189995</v>
      </c>
      <c r="O70" s="47"/>
    </row>
    <row r="71" spans="1:15" x14ac:dyDescent="0.3">
      <c r="A71" s="47"/>
      <c r="B71" s="47"/>
      <c r="C71" s="47"/>
      <c r="D71" s="47"/>
      <c r="E71" s="47"/>
      <c r="F71" s="47"/>
      <c r="G71" s="47"/>
      <c r="H71" s="47"/>
      <c r="I71" s="47"/>
      <c r="J71" s="47"/>
      <c r="K71" s="47"/>
      <c r="L71" s="47" t="s">
        <v>379</v>
      </c>
      <c r="M71" s="50">
        <f>'Tabel 1.1'!G28</f>
        <v>211234403.15035003</v>
      </c>
      <c r="N71" s="50">
        <f>'Tabel 1.1'!H28</f>
        <v>220282916.46823996</v>
      </c>
      <c r="O71" s="47"/>
    </row>
    <row r="72" spans="1:15" x14ac:dyDescent="0.3">
      <c r="A72" s="47"/>
      <c r="B72" s="47"/>
      <c r="C72" s="47"/>
      <c r="D72" s="47"/>
      <c r="E72" s="47"/>
      <c r="F72" s="47"/>
      <c r="G72" s="47"/>
      <c r="H72" s="47"/>
      <c r="I72" s="47"/>
      <c r="J72" s="47"/>
      <c r="K72" s="47"/>
      <c r="L72" s="47" t="s">
        <v>90</v>
      </c>
      <c r="M72" s="50">
        <f>'Tabel 1.1'!G29</f>
        <v>0</v>
      </c>
      <c r="N72" s="50">
        <f>'Tabel 1.1'!H29</f>
        <v>0</v>
      </c>
      <c r="O72" s="47"/>
    </row>
    <row r="73" spans="1:15" x14ac:dyDescent="0.3">
      <c r="A73" s="47"/>
      <c r="B73" s="47"/>
      <c r="C73" s="47"/>
      <c r="D73" s="47"/>
      <c r="E73" s="47"/>
      <c r="F73" s="47"/>
      <c r="G73" s="47"/>
      <c r="H73" s="47"/>
      <c r="I73" s="47"/>
      <c r="J73" s="47"/>
      <c r="K73" s="47"/>
      <c r="L73" s="47" t="s">
        <v>91</v>
      </c>
      <c r="M73" s="50">
        <f>'Tabel 1.1'!G30</f>
        <v>0</v>
      </c>
      <c r="N73" s="50">
        <f>'Tabel 1.1'!H30</f>
        <v>0</v>
      </c>
      <c r="O73" s="47"/>
    </row>
    <row r="74" spans="1:15" x14ac:dyDescent="0.3">
      <c r="A74" s="47"/>
      <c r="B74" s="47"/>
      <c r="C74" s="47"/>
      <c r="D74" s="47"/>
      <c r="E74" s="47"/>
      <c r="F74" s="47"/>
      <c r="G74" s="47"/>
      <c r="H74" s="47"/>
      <c r="I74" s="47"/>
      <c r="J74" s="47"/>
      <c r="K74" s="47"/>
      <c r="L74" s="47" t="s">
        <v>362</v>
      </c>
      <c r="M74" s="50">
        <f>'Tabel 1.1'!G31</f>
        <v>0</v>
      </c>
      <c r="N74" s="50">
        <f>'Tabel 1.1'!H31</f>
        <v>0</v>
      </c>
      <c r="O74" s="47"/>
    </row>
    <row r="75" spans="1:15" x14ac:dyDescent="0.3">
      <c r="A75" s="47"/>
      <c r="B75" s="47"/>
      <c r="C75" s="47"/>
      <c r="D75" s="47"/>
      <c r="E75" s="47"/>
      <c r="F75" s="47"/>
      <c r="G75" s="47"/>
      <c r="H75" s="47"/>
      <c r="I75" s="47"/>
      <c r="J75" s="47"/>
      <c r="K75" s="47"/>
      <c r="L75" s="47" t="s">
        <v>372</v>
      </c>
      <c r="M75" s="50">
        <f>'Tabel 1.1'!G32</f>
        <v>62677</v>
      </c>
      <c r="N75" s="50">
        <f>'Tabel 1.1'!H32</f>
        <v>82726</v>
      </c>
      <c r="O75" s="47"/>
    </row>
    <row r="76" spans="1:15" x14ac:dyDescent="0.3">
      <c r="A76" s="47"/>
      <c r="B76" s="47"/>
      <c r="C76" s="47"/>
      <c r="D76" s="47"/>
      <c r="E76" s="47"/>
      <c r="F76" s="47"/>
      <c r="G76" s="47"/>
      <c r="H76" s="47"/>
      <c r="I76" s="47"/>
      <c r="J76" s="47"/>
      <c r="K76" s="47"/>
      <c r="O76" s="47"/>
    </row>
    <row r="77" spans="1:15" x14ac:dyDescent="0.3">
      <c r="A77" s="47"/>
      <c r="B77" s="47"/>
      <c r="C77" s="47"/>
      <c r="D77" s="47"/>
      <c r="E77" s="47"/>
      <c r="F77" s="47"/>
      <c r="G77" s="47"/>
      <c r="H77" s="47"/>
      <c r="I77" s="47"/>
      <c r="J77" s="47"/>
      <c r="K77" s="47"/>
      <c r="O77" s="47"/>
    </row>
    <row r="78" spans="1:15" x14ac:dyDescent="0.3">
      <c r="A78" s="47"/>
      <c r="B78" s="47"/>
      <c r="C78" s="47"/>
      <c r="D78" s="47"/>
      <c r="E78" s="47"/>
      <c r="F78" s="47"/>
      <c r="G78" s="47"/>
      <c r="H78" s="47"/>
      <c r="I78" s="47"/>
      <c r="J78" s="47"/>
      <c r="K78" s="47"/>
      <c r="O78" s="47"/>
    </row>
    <row r="79" spans="1:15" x14ac:dyDescent="0.3">
      <c r="A79" s="47"/>
      <c r="B79" s="47"/>
      <c r="C79" s="47"/>
      <c r="D79" s="47"/>
      <c r="E79" s="47"/>
      <c r="F79" s="47"/>
      <c r="G79" s="47"/>
      <c r="H79" s="47"/>
      <c r="I79" s="47"/>
      <c r="J79" s="47"/>
      <c r="K79" s="47"/>
      <c r="O79" s="47"/>
    </row>
    <row r="80" spans="1:15" x14ac:dyDescent="0.3">
      <c r="A80" s="48" t="s">
        <v>417</v>
      </c>
      <c r="B80" s="47"/>
      <c r="C80" s="47"/>
      <c r="D80" s="47"/>
      <c r="E80" s="47"/>
      <c r="F80" s="47"/>
      <c r="G80" s="47"/>
      <c r="H80" s="47"/>
      <c r="I80" s="47"/>
      <c r="J80" s="47"/>
      <c r="K80" s="47"/>
      <c r="O80" s="47"/>
    </row>
    <row r="81" spans="1:15" x14ac:dyDescent="0.3">
      <c r="B81" s="47"/>
      <c r="C81" s="47"/>
      <c r="D81" s="47"/>
      <c r="E81" s="47"/>
      <c r="F81" s="47"/>
      <c r="G81" s="47"/>
      <c r="H81" s="47"/>
      <c r="I81" s="47"/>
      <c r="J81" s="47"/>
      <c r="K81" s="47"/>
      <c r="O81" s="47"/>
    </row>
    <row r="82" spans="1:15" x14ac:dyDescent="0.3">
      <c r="A82" s="47"/>
      <c r="B82" s="47"/>
      <c r="C82" s="47"/>
      <c r="D82" s="47"/>
      <c r="E82" s="47"/>
      <c r="F82" s="47"/>
      <c r="G82" s="47"/>
      <c r="H82" s="47"/>
      <c r="I82" s="47"/>
      <c r="J82" s="47"/>
      <c r="K82" s="47"/>
      <c r="O82" s="47"/>
    </row>
    <row r="83" spans="1:15" x14ac:dyDescent="0.3">
      <c r="A83" s="47"/>
      <c r="B83" s="47"/>
      <c r="C83" s="47"/>
      <c r="D83" s="47"/>
      <c r="E83" s="47"/>
      <c r="F83" s="47"/>
      <c r="G83" s="47"/>
      <c r="H83" s="47"/>
      <c r="I83" s="47"/>
      <c r="J83" s="47"/>
      <c r="K83" s="47"/>
      <c r="O83" s="47"/>
    </row>
    <row r="84" spans="1:15" x14ac:dyDescent="0.3">
      <c r="A84" s="47"/>
      <c r="B84" s="47"/>
      <c r="C84" s="47"/>
      <c r="D84" s="47"/>
      <c r="E84" s="47"/>
      <c r="F84" s="47"/>
      <c r="G84" s="47"/>
      <c r="H84" s="47"/>
      <c r="I84" s="47"/>
      <c r="J84" s="47"/>
      <c r="K84" s="47"/>
      <c r="L84" s="47" t="s">
        <v>69</v>
      </c>
      <c r="O84" s="47"/>
    </row>
    <row r="85" spans="1:15" x14ac:dyDescent="0.3">
      <c r="B85" s="47"/>
      <c r="C85" s="47"/>
      <c r="D85" s="47"/>
      <c r="E85" s="47"/>
      <c r="F85" s="47"/>
      <c r="G85" s="47"/>
      <c r="H85" s="47"/>
      <c r="I85" s="47"/>
      <c r="J85" s="47"/>
      <c r="K85" s="47"/>
      <c r="L85" s="47" t="s">
        <v>1</v>
      </c>
      <c r="O85" s="47"/>
    </row>
    <row r="86" spans="1:15" x14ac:dyDescent="0.3">
      <c r="B86" s="47"/>
      <c r="C86" s="47"/>
      <c r="D86" s="47"/>
      <c r="E86" s="47"/>
      <c r="F86" s="47"/>
      <c r="G86" s="47"/>
      <c r="H86" s="47"/>
      <c r="I86" s="47"/>
      <c r="J86" s="47"/>
      <c r="K86" s="47"/>
      <c r="M86" s="47">
        <f>M7</f>
        <v>2024</v>
      </c>
      <c r="N86" s="47">
        <f>N7</f>
        <v>2025</v>
      </c>
      <c r="O86" s="47"/>
    </row>
    <row r="87" spans="1:15" x14ac:dyDescent="0.3">
      <c r="B87" s="47"/>
      <c r="C87" s="47"/>
      <c r="D87" s="47"/>
      <c r="E87" s="47"/>
      <c r="F87" s="47"/>
      <c r="G87" s="47"/>
      <c r="H87" s="47"/>
      <c r="I87" s="47"/>
      <c r="J87" s="47"/>
      <c r="K87" s="47"/>
      <c r="L87" s="47" t="s">
        <v>54</v>
      </c>
      <c r="M87" s="50">
        <f>'Tabel 1.1'!G36</f>
        <v>196648401.42379001</v>
      </c>
      <c r="N87" s="50">
        <f>'Tabel 1.1'!H36</f>
        <v>232627888.99139962</v>
      </c>
      <c r="O87" s="47"/>
    </row>
    <row r="88" spans="1:15" x14ac:dyDescent="0.3">
      <c r="B88" s="47"/>
      <c r="C88" s="47"/>
      <c r="D88" s="47"/>
      <c r="E88" s="47"/>
      <c r="F88" s="47"/>
      <c r="G88" s="47"/>
      <c r="H88" s="47"/>
      <c r="I88" s="47"/>
      <c r="J88" s="47"/>
      <c r="K88" s="47"/>
      <c r="L88" s="47" t="s">
        <v>59</v>
      </c>
      <c r="M88" s="50">
        <f>'Tabel 1.1'!G37</f>
        <v>73405051</v>
      </c>
      <c r="N88" s="50">
        <f>'Tabel 1.1'!H37</f>
        <v>87818915</v>
      </c>
      <c r="O88" s="47"/>
    </row>
    <row r="89" spans="1:15" x14ac:dyDescent="0.3">
      <c r="B89" s="47"/>
      <c r="C89" s="47"/>
      <c r="D89" s="47"/>
      <c r="E89" s="47"/>
      <c r="F89" s="47"/>
      <c r="G89" s="47"/>
      <c r="H89" s="47"/>
      <c r="I89" s="47"/>
      <c r="J89" s="47"/>
      <c r="K89" s="47"/>
      <c r="L89" s="47" t="s">
        <v>61</v>
      </c>
      <c r="M89" s="50">
        <f>'Tabel 1.1'!G38</f>
        <v>2924765.91579</v>
      </c>
      <c r="N89" s="50">
        <f>'Tabel 1.1'!H38</f>
        <v>3056998.4517899998</v>
      </c>
      <c r="O89" s="47"/>
    </row>
    <row r="90" spans="1:15" x14ac:dyDescent="0.3">
      <c r="B90" s="47"/>
      <c r="C90" s="47"/>
      <c r="D90" s="47"/>
      <c r="E90" s="47"/>
      <c r="F90" s="47"/>
      <c r="G90" s="47"/>
      <c r="H90" s="47"/>
      <c r="I90" s="47"/>
      <c r="J90" s="47"/>
      <c r="K90" s="47"/>
      <c r="L90" s="47" t="s">
        <v>63</v>
      </c>
      <c r="M90" s="50">
        <f>'Tabel 1.1'!G39</f>
        <v>176350130</v>
      </c>
      <c r="N90" s="50">
        <f>'Tabel 1.1'!H39</f>
        <v>203536570</v>
      </c>
      <c r="O90" s="47"/>
    </row>
    <row r="91" spans="1:15" x14ac:dyDescent="0.3">
      <c r="A91" s="47"/>
      <c r="B91" s="47"/>
      <c r="C91" s="47"/>
      <c r="D91" s="47"/>
      <c r="E91" s="47"/>
      <c r="F91" s="47"/>
      <c r="G91" s="47"/>
      <c r="H91" s="47"/>
      <c r="I91" s="47"/>
      <c r="J91" s="47"/>
      <c r="K91" s="47"/>
      <c r="L91" s="47" t="s">
        <v>368</v>
      </c>
      <c r="M91" s="50">
        <f>'Tabel 1.1'!G40</f>
        <v>82868966.916639909</v>
      </c>
      <c r="N91" s="50">
        <f>'Tabel 1.1'!H40</f>
        <v>93102991.043080002</v>
      </c>
      <c r="O91" s="47"/>
    </row>
    <row r="92" spans="1:15" ht="18.75" customHeight="1" x14ac:dyDescent="0.3">
      <c r="A92" s="47"/>
      <c r="B92" s="47"/>
      <c r="C92" s="47"/>
      <c r="D92" s="47"/>
      <c r="E92" s="47"/>
      <c r="F92" s="47"/>
      <c r="G92" s="47"/>
      <c r="H92" s="47"/>
      <c r="I92" s="47"/>
      <c r="J92" s="47"/>
      <c r="K92" s="47"/>
      <c r="L92" s="47" t="s">
        <v>379</v>
      </c>
      <c r="M92" s="50">
        <f>'Tabel 1.1'!G41</f>
        <v>242616126.13030002</v>
      </c>
      <c r="N92" s="50">
        <f>'Tabel 1.1'!H41</f>
        <v>272560020.85496998</v>
      </c>
      <c r="O92" s="47"/>
    </row>
    <row r="93" spans="1:15" ht="18.75" customHeight="1" x14ac:dyDescent="0.3">
      <c r="A93" s="47"/>
      <c r="B93" s="47"/>
      <c r="C93" s="47"/>
      <c r="D93" s="47"/>
      <c r="E93" s="47"/>
      <c r="F93" s="47"/>
      <c r="G93" s="47"/>
      <c r="H93" s="47"/>
      <c r="I93" s="47"/>
      <c r="J93" s="47"/>
      <c r="K93" s="47"/>
      <c r="O93" s="47"/>
    </row>
    <row r="94" spans="1:15" ht="18.75" customHeight="1" x14ac:dyDescent="0.3">
      <c r="A94" s="47"/>
      <c r="B94" s="47"/>
      <c r="C94" s="47"/>
      <c r="D94" s="47"/>
      <c r="E94" s="47"/>
      <c r="F94" s="47"/>
      <c r="G94" s="47"/>
      <c r="H94" s="47"/>
      <c r="I94" s="47"/>
      <c r="J94" s="47"/>
      <c r="K94" s="47"/>
      <c r="O94" s="47"/>
    </row>
    <row r="95" spans="1:15" ht="18.75" customHeight="1" x14ac:dyDescent="0.3">
      <c r="A95" s="47"/>
      <c r="B95" s="47"/>
      <c r="C95" s="47"/>
      <c r="D95" s="47"/>
      <c r="E95" s="47"/>
      <c r="F95" s="47"/>
      <c r="G95" s="47"/>
      <c r="H95" s="47"/>
      <c r="I95" s="47"/>
      <c r="J95" s="47"/>
      <c r="K95" s="47"/>
      <c r="O95" s="47"/>
    </row>
    <row r="96" spans="1:15" ht="18.75" customHeight="1" x14ac:dyDescent="0.3">
      <c r="A96" s="47"/>
      <c r="B96" s="47"/>
      <c r="C96" s="47"/>
      <c r="D96" s="47"/>
      <c r="E96" s="47"/>
      <c r="F96" s="47"/>
      <c r="G96" s="47"/>
      <c r="H96" s="47"/>
      <c r="I96" s="47"/>
      <c r="J96" s="47"/>
      <c r="K96" s="47"/>
      <c r="O96" s="47"/>
    </row>
    <row r="97" spans="1:17" ht="18.75" customHeight="1" x14ac:dyDescent="0.3">
      <c r="A97" s="47"/>
      <c r="B97" s="47"/>
      <c r="C97" s="47"/>
      <c r="D97" s="47"/>
      <c r="E97" s="47"/>
      <c r="F97" s="47"/>
      <c r="G97" s="47"/>
      <c r="H97" s="47"/>
      <c r="I97" s="47"/>
      <c r="J97" s="47"/>
      <c r="K97" s="47"/>
      <c r="O97" s="47"/>
      <c r="Q97" s="47"/>
    </row>
    <row r="98" spans="1:17" ht="18.75" customHeight="1" x14ac:dyDescent="0.3">
      <c r="A98" s="47"/>
      <c r="B98" s="47"/>
      <c r="C98" s="47"/>
      <c r="D98" s="47"/>
      <c r="E98" s="47"/>
      <c r="F98" s="47"/>
      <c r="G98" s="47"/>
      <c r="H98" s="47"/>
      <c r="I98" s="47"/>
      <c r="J98" s="47"/>
      <c r="K98" s="47"/>
      <c r="O98" s="47"/>
      <c r="Q98" s="47"/>
    </row>
    <row r="99" spans="1:17" ht="18.75" customHeight="1" x14ac:dyDescent="0.3">
      <c r="A99" s="47"/>
      <c r="B99" s="47"/>
      <c r="C99" s="47"/>
      <c r="D99" s="47"/>
      <c r="E99" s="47"/>
      <c r="F99" s="47"/>
      <c r="G99" s="47"/>
      <c r="H99" s="47"/>
      <c r="I99" s="47"/>
      <c r="J99" s="47"/>
      <c r="K99" s="47"/>
      <c r="L99" s="47" t="s">
        <v>70</v>
      </c>
      <c r="O99" s="47"/>
      <c r="Q99" s="47"/>
    </row>
    <row r="100" spans="1:17" ht="18.75" customHeight="1" x14ac:dyDescent="0.3">
      <c r="A100" s="47"/>
      <c r="B100" s="47"/>
      <c r="C100" s="47"/>
      <c r="D100" s="47"/>
      <c r="E100" s="47"/>
      <c r="F100" s="47"/>
      <c r="G100" s="47"/>
      <c r="H100" s="47"/>
      <c r="I100" s="47"/>
      <c r="J100" s="47"/>
      <c r="K100" s="47"/>
      <c r="L100" s="47" t="s">
        <v>0</v>
      </c>
      <c r="O100" s="47"/>
      <c r="Q100" s="47"/>
    </row>
    <row r="101" spans="1:17" ht="18.75" customHeight="1" x14ac:dyDescent="0.3">
      <c r="A101" s="47"/>
      <c r="B101" s="47"/>
      <c r="C101" s="47"/>
      <c r="D101" s="47"/>
      <c r="E101" s="47"/>
      <c r="F101" s="47"/>
      <c r="G101" s="47"/>
      <c r="H101" s="47"/>
      <c r="I101" s="47"/>
      <c r="J101" s="47"/>
      <c r="K101" s="47"/>
      <c r="M101" s="47">
        <f>M7</f>
        <v>2024</v>
      </c>
      <c r="N101" s="47">
        <f>N7</f>
        <v>2025</v>
      </c>
      <c r="O101" s="47"/>
      <c r="Q101" s="47"/>
    </row>
    <row r="102" spans="1:17" ht="18.75" customHeight="1" x14ac:dyDescent="0.3">
      <c r="A102" s="47"/>
      <c r="B102" s="47"/>
      <c r="C102" s="47"/>
      <c r="D102" s="47"/>
      <c r="E102" s="47"/>
      <c r="F102" s="47"/>
      <c r="G102" s="47"/>
      <c r="H102" s="47"/>
      <c r="I102" s="47"/>
      <c r="J102" s="47"/>
      <c r="K102" s="47"/>
      <c r="L102" s="47" t="s">
        <v>54</v>
      </c>
      <c r="M102" s="50">
        <f>'DNB Livsforsikring'!B11-'DNB Livsforsikring'!B12+'DNB Livsforsikring'!B34-'DNB Livsforsikring'!B35+'DNB Livsforsikring'!B38-'DNB Livsforsikring'!B39+'DNB Livsforsikring'!B111-'DNB Livsforsikring'!B119+'DNB Livsforsikring'!B136-'DNB Livsforsikring'!B137</f>
        <v>523963</v>
      </c>
      <c r="N102" s="50">
        <f>'DNB Livsforsikring'!C11-'DNB Livsforsikring'!C12+'DNB Livsforsikring'!C34-'DNB Livsforsikring'!C35+'DNB Livsforsikring'!C38-'DNB Livsforsikring'!C39+'DNB Livsforsikring'!C111-'DNB Livsforsikring'!C119+'DNB Livsforsikring'!C136-'DNB Livsforsikring'!C137</f>
        <v>452948.8976599999</v>
      </c>
      <c r="O102" s="47"/>
      <c r="Q102" s="47"/>
    </row>
    <row r="103" spans="1:17" ht="18.75" customHeight="1" x14ac:dyDescent="0.3">
      <c r="A103" s="47"/>
      <c r="B103" s="47"/>
      <c r="C103" s="47"/>
      <c r="D103" s="47"/>
      <c r="E103" s="47"/>
      <c r="F103" s="47"/>
      <c r="G103" s="47"/>
      <c r="H103" s="47"/>
      <c r="I103" s="47"/>
      <c r="J103" s="47"/>
      <c r="K103" s="47"/>
      <c r="L103" s="47" t="s">
        <v>59</v>
      </c>
      <c r="M103" s="50">
        <f>'Gjensidige Pensjon'!B11-'Gjensidige Pensjon'!B12+'Gjensidige Pensjon'!B34-'Gjensidige Pensjon'!B35+'Gjensidige Pensjon'!B38-'Gjensidige Pensjon'!B39+'Gjensidige Pensjon'!B111-'Gjensidige Pensjon'!B119+'Gjensidige Pensjon'!B136-'Gjensidige Pensjon'!B137</f>
        <v>68320</v>
      </c>
      <c r="N103" s="50">
        <f>'Gjensidige Pensjon'!C11-'Gjensidige Pensjon'!C12+'Gjensidige Pensjon'!C34-'Gjensidige Pensjon'!C35+'Gjensidige Pensjon'!C38-'Gjensidige Pensjon'!C39+'Gjensidige Pensjon'!C111-'Gjensidige Pensjon'!C119+'Gjensidige Pensjon'!C136-'Gjensidige Pensjon'!C137</f>
        <v>112797</v>
      </c>
      <c r="O103" s="47"/>
      <c r="Q103" s="47"/>
    </row>
    <row r="104" spans="1:17" ht="18.75" customHeight="1" x14ac:dyDescent="0.3">
      <c r="A104" s="47"/>
      <c r="B104" s="47"/>
      <c r="C104" s="47"/>
      <c r="D104" s="47"/>
      <c r="E104" s="47"/>
      <c r="F104" s="47"/>
      <c r="G104" s="47"/>
      <c r="H104" s="47"/>
      <c r="I104" s="47"/>
      <c r="J104" s="47"/>
      <c r="K104" s="47"/>
      <c r="L104" s="47" t="s">
        <v>61</v>
      </c>
      <c r="M104" s="50">
        <f>KLP!B11-KLP!B12+KLP!B34-KLP!B35+KLP!B38-KLP!B39+KLP!B111-KLP!B119+KLP!B136-KLP!B137</f>
        <v>-2421066.602</v>
      </c>
      <c r="N104" s="50">
        <f>KLP!C11-KLP!C12+KLP!C34-KLP!C35+KLP!C38-KLP!C39+KLP!C111-KLP!C119+KLP!C136-KLP!C137</f>
        <v>-4116139.2710000002</v>
      </c>
      <c r="O104" s="47"/>
      <c r="Q104" s="47"/>
    </row>
    <row r="105" spans="1:17" ht="18.75" customHeight="1" x14ac:dyDescent="0.3">
      <c r="A105" s="47"/>
      <c r="B105" s="47"/>
      <c r="C105" s="47"/>
      <c r="D105" s="47"/>
      <c r="E105" s="47"/>
      <c r="F105" s="47"/>
      <c r="G105" s="47"/>
      <c r="H105" s="47"/>
      <c r="I105" s="47"/>
      <c r="J105" s="47"/>
      <c r="K105" s="47"/>
      <c r="L105" s="47" t="s">
        <v>63</v>
      </c>
      <c r="M105" s="50">
        <f>'Nordea Liv '!B11-'Nordea Liv '!B12+'Nordea Liv '!B34-'Nordea Liv '!B35+'Nordea Liv '!B38-'Nordea Liv '!B39+'Nordea Liv '!B111-'Nordea Liv '!B119+'Nordea Liv '!B136-'Nordea Liv '!B137</f>
        <v>-8653.1796700004506</v>
      </c>
      <c r="N105" s="50">
        <f>'Nordea Liv '!C11-'Nordea Liv '!C12+'Nordea Liv '!C34-'Nordea Liv '!C35+'Nordea Liv '!C38-'Nordea Liv '!C39+'Nordea Liv '!C111-'Nordea Liv '!C119+'Nordea Liv '!C136-'Nordea Liv '!C137</f>
        <v>-3792.4341800009397</v>
      </c>
      <c r="O105" s="47"/>
      <c r="Q105" s="47"/>
    </row>
    <row r="106" spans="1:17" ht="18.75" customHeight="1" x14ac:dyDescent="0.3">
      <c r="A106" s="48" t="s">
        <v>418</v>
      </c>
      <c r="B106" s="47"/>
      <c r="C106" s="47"/>
      <c r="D106" s="47"/>
      <c r="E106" s="47"/>
      <c r="F106" s="47"/>
      <c r="G106" s="47"/>
      <c r="H106" s="47"/>
      <c r="I106" s="47"/>
      <c r="J106" s="47"/>
      <c r="K106" s="47"/>
      <c r="L106" s="47" t="s">
        <v>368</v>
      </c>
      <c r="M106" s="50">
        <f>'Sparebank 1 Fors.'!B11-'Sparebank 1 Fors.'!B12+'Sparebank 1 Fors.'!B34-'Sparebank 1 Fors.'!B35+'Sparebank 1 Fors.'!B38-'Sparebank 1 Fors.'!B39+'Sparebank 1 Fors.'!B111-'Sparebank 1 Fors.'!B119+'Sparebank 1 Fors.'!B136-'Sparebank 1 Fors.'!B137</f>
        <v>2973.2503900000011</v>
      </c>
      <c r="N106" s="50">
        <f>'Sparebank 1 Fors.'!C11-'Sparebank 1 Fors.'!C12+'Sparebank 1 Fors.'!C34-'Sparebank 1 Fors.'!C35+'Sparebank 1 Fors.'!C38-'Sparebank 1 Fors.'!C39+'Sparebank 1 Fors.'!C111-'Sparebank 1 Fors.'!C119+'Sparebank 1 Fors.'!C136-'Sparebank 1 Fors.'!C137</f>
        <v>861602.72060000012</v>
      </c>
      <c r="O106" s="47"/>
      <c r="Q106" s="47"/>
    </row>
    <row r="107" spans="1:17" ht="18.75" customHeight="1" x14ac:dyDescent="0.3">
      <c r="A107" s="47"/>
      <c r="B107" s="47"/>
      <c r="C107" s="47"/>
      <c r="D107" s="47"/>
      <c r="E107" s="47"/>
      <c r="F107" s="47"/>
      <c r="G107" s="47"/>
      <c r="H107" s="47"/>
      <c r="I107" s="47"/>
      <c r="J107" s="47"/>
      <c r="K107" s="47"/>
      <c r="L107" s="47" t="s">
        <v>379</v>
      </c>
      <c r="M107" s="50">
        <f>'Storebrand Livsforsikring'!B11-'Storebrand Livsforsikring'!B12+'Storebrand Livsforsikring'!B34-'Storebrand Livsforsikring'!B35+'Storebrand Livsforsikring'!B38-'Storebrand Livsforsikring'!B39+'Storebrand Livsforsikring'!B111-'Storebrand Livsforsikring'!B119+'Storebrand Livsforsikring'!B136-'Storebrand Livsforsikring'!B137</f>
        <v>2250790.0980400001</v>
      </c>
      <c r="N107" s="50">
        <f>'Storebrand Livsforsikring'!C11-'Storebrand Livsforsikring'!C12+'Storebrand Livsforsikring'!C34-'Storebrand Livsforsikring'!C35+'Storebrand Livsforsikring'!C38-'Storebrand Livsforsikring'!C39+'Storebrand Livsforsikring'!C111-'Storebrand Livsforsikring'!C119+'Storebrand Livsforsikring'!C136-'Storebrand Livsforsikring'!C137</f>
        <v>3610457.10182</v>
      </c>
      <c r="O107" s="47"/>
      <c r="Q107" s="47"/>
    </row>
    <row r="108" spans="1:17" ht="18.75" customHeight="1" x14ac:dyDescent="0.3">
      <c r="A108" s="47"/>
      <c r="B108" s="47"/>
      <c r="C108" s="47"/>
      <c r="D108" s="47"/>
      <c r="E108" s="47"/>
      <c r="F108" s="47"/>
      <c r="G108" s="47"/>
      <c r="H108" s="47"/>
      <c r="I108" s="47"/>
      <c r="J108" s="47"/>
      <c r="K108" s="47"/>
      <c r="M108" s="50"/>
      <c r="N108" s="50"/>
      <c r="O108" s="47"/>
      <c r="Q108" s="47"/>
    </row>
    <row r="109" spans="1:17" ht="18.75" customHeight="1" x14ac:dyDescent="0.3">
      <c r="A109" s="47"/>
      <c r="B109" s="47"/>
      <c r="C109" s="47"/>
      <c r="D109" s="47"/>
      <c r="E109" s="47"/>
      <c r="F109" s="47"/>
      <c r="G109" s="47"/>
      <c r="H109" s="47"/>
      <c r="I109" s="47"/>
      <c r="J109" s="47"/>
      <c r="K109" s="47"/>
      <c r="M109" s="50"/>
      <c r="N109" s="50"/>
      <c r="O109" s="47"/>
      <c r="Q109" s="47"/>
    </row>
    <row r="110" spans="1:17" ht="18.75" customHeight="1" x14ac:dyDescent="0.3">
      <c r="A110" s="47"/>
      <c r="B110" s="47"/>
      <c r="C110" s="47"/>
      <c r="D110" s="47"/>
      <c r="E110" s="47"/>
      <c r="F110" s="47"/>
      <c r="G110" s="47"/>
      <c r="H110" s="47"/>
      <c r="I110" s="47"/>
      <c r="J110" s="47"/>
      <c r="K110" s="47"/>
      <c r="M110" s="50"/>
      <c r="N110" s="50"/>
      <c r="O110" s="47"/>
      <c r="Q110" s="47"/>
    </row>
    <row r="111" spans="1:17" ht="18.75" customHeight="1" x14ac:dyDescent="0.3">
      <c r="A111" s="47"/>
      <c r="B111" s="47"/>
      <c r="C111" s="47"/>
      <c r="D111" s="47"/>
      <c r="E111" s="47"/>
      <c r="F111" s="47"/>
      <c r="G111" s="47"/>
      <c r="H111" s="47"/>
      <c r="I111" s="47"/>
      <c r="J111" s="47"/>
      <c r="K111" s="47"/>
      <c r="M111" s="50"/>
      <c r="N111" s="50"/>
      <c r="O111" s="47"/>
      <c r="Q111" s="47"/>
    </row>
    <row r="112" spans="1:17" ht="18.75" customHeight="1" x14ac:dyDescent="0.3">
      <c r="A112" s="47"/>
      <c r="B112" s="47"/>
      <c r="C112" s="47"/>
      <c r="D112" s="47"/>
      <c r="E112" s="47"/>
      <c r="F112" s="47"/>
      <c r="G112" s="47"/>
      <c r="H112" s="47"/>
      <c r="I112" s="47"/>
      <c r="J112" s="47"/>
      <c r="K112" s="47"/>
      <c r="M112" s="50"/>
      <c r="N112" s="50"/>
      <c r="O112" s="47"/>
      <c r="Q112" s="47"/>
    </row>
    <row r="113" spans="1:17" ht="18.75" customHeight="1" x14ac:dyDescent="0.3">
      <c r="A113" s="47"/>
      <c r="B113" s="47"/>
      <c r="C113" s="47"/>
      <c r="D113" s="47"/>
      <c r="E113" s="47"/>
      <c r="F113" s="47"/>
      <c r="G113" s="47"/>
      <c r="H113" s="47"/>
      <c r="I113" s="47"/>
      <c r="J113" s="47"/>
      <c r="K113" s="47"/>
      <c r="M113" s="50"/>
      <c r="N113" s="50"/>
      <c r="O113" s="47"/>
      <c r="Q113" s="47"/>
    </row>
    <row r="114" spans="1:17" ht="18.75" customHeight="1" x14ac:dyDescent="0.3">
      <c r="A114" s="47"/>
      <c r="B114" s="47"/>
      <c r="C114" s="47"/>
      <c r="D114" s="47"/>
      <c r="E114" s="47"/>
      <c r="F114" s="47"/>
      <c r="G114" s="47"/>
      <c r="H114" s="47"/>
      <c r="I114" s="47"/>
      <c r="J114" s="47"/>
      <c r="K114" s="47"/>
      <c r="M114" s="50"/>
      <c r="N114" s="50"/>
      <c r="O114" s="47"/>
      <c r="Q114" s="47"/>
    </row>
    <row r="115" spans="1:17" ht="18.75" customHeight="1" x14ac:dyDescent="0.3">
      <c r="A115" s="47"/>
      <c r="B115" s="47"/>
      <c r="C115" s="47"/>
      <c r="D115" s="47"/>
      <c r="E115" s="47"/>
      <c r="F115" s="47"/>
      <c r="G115" s="47"/>
      <c r="H115" s="47"/>
      <c r="I115" s="47"/>
      <c r="J115" s="47"/>
      <c r="K115" s="47"/>
      <c r="O115" s="47"/>
      <c r="Q115" s="47"/>
    </row>
    <row r="116" spans="1:17" ht="18.75" customHeight="1" x14ac:dyDescent="0.3">
      <c r="A116" s="47"/>
      <c r="B116" s="47"/>
      <c r="C116" s="47"/>
      <c r="D116" s="47"/>
      <c r="E116" s="47"/>
      <c r="F116" s="47"/>
      <c r="G116" s="47"/>
      <c r="H116" s="47"/>
      <c r="I116" s="47"/>
      <c r="J116" s="47"/>
      <c r="K116" s="47"/>
      <c r="O116" s="47"/>
      <c r="Q116" s="47"/>
    </row>
    <row r="117" spans="1:17" ht="18.75" customHeight="1" x14ac:dyDescent="0.3">
      <c r="A117" s="47"/>
      <c r="B117" s="47"/>
      <c r="C117" s="47"/>
      <c r="D117" s="47"/>
      <c r="E117" s="47"/>
      <c r="F117" s="47"/>
      <c r="G117" s="47"/>
      <c r="H117" s="47"/>
      <c r="I117" s="47"/>
      <c r="J117" s="47"/>
      <c r="K117" s="47"/>
      <c r="O117" s="47"/>
    </row>
    <row r="118" spans="1:17" ht="18.75" customHeight="1" x14ac:dyDescent="0.3">
      <c r="A118" s="47"/>
      <c r="B118" s="47"/>
      <c r="C118" s="47"/>
      <c r="D118" s="47"/>
      <c r="E118" s="47"/>
      <c r="F118" s="47"/>
      <c r="G118" s="47"/>
      <c r="H118" s="47"/>
      <c r="I118" s="47"/>
      <c r="J118" s="47"/>
      <c r="K118" s="47"/>
      <c r="O118" s="47"/>
    </row>
    <row r="119" spans="1:17" ht="18.75" customHeight="1" x14ac:dyDescent="0.3">
      <c r="A119" s="47"/>
      <c r="B119" s="47"/>
      <c r="C119" s="47"/>
      <c r="D119" s="47"/>
      <c r="E119" s="47"/>
      <c r="F119" s="47"/>
      <c r="G119" s="47"/>
      <c r="H119" s="47"/>
      <c r="I119" s="47"/>
      <c r="J119" s="47"/>
      <c r="K119" s="47"/>
      <c r="O119" s="47"/>
    </row>
    <row r="120" spans="1:17" ht="18.75" customHeight="1" x14ac:dyDescent="0.3">
      <c r="A120" s="47"/>
      <c r="B120" s="47"/>
      <c r="C120" s="47"/>
      <c r="D120" s="47"/>
      <c r="E120" s="47"/>
      <c r="F120" s="47"/>
      <c r="G120" s="47"/>
      <c r="H120" s="47"/>
      <c r="I120" s="47"/>
      <c r="J120" s="47"/>
      <c r="K120" s="47"/>
      <c r="O120" s="47"/>
    </row>
    <row r="121" spans="1:17" ht="18.75" customHeight="1" x14ac:dyDescent="0.3">
      <c r="A121" s="47"/>
      <c r="B121" s="47"/>
      <c r="C121" s="47"/>
      <c r="D121" s="47"/>
      <c r="E121" s="47"/>
      <c r="F121" s="47"/>
      <c r="G121" s="47"/>
      <c r="H121" s="47"/>
      <c r="I121" s="47"/>
      <c r="J121" s="47"/>
      <c r="K121" s="47"/>
      <c r="L121" s="47" t="s">
        <v>71</v>
      </c>
      <c r="O121" s="47"/>
    </row>
    <row r="122" spans="1:17" ht="18.75" customHeight="1" x14ac:dyDescent="0.3">
      <c r="A122" s="47"/>
      <c r="B122" s="47"/>
      <c r="C122" s="47"/>
      <c r="D122" s="47"/>
      <c r="E122" s="47"/>
      <c r="F122" s="47"/>
      <c r="G122" s="47"/>
      <c r="H122" s="47"/>
      <c r="I122" s="47"/>
      <c r="J122" s="47"/>
      <c r="K122" s="47"/>
      <c r="L122" s="47" t="s">
        <v>1</v>
      </c>
      <c r="O122" s="47"/>
    </row>
    <row r="123" spans="1:17" x14ac:dyDescent="0.3">
      <c r="A123" s="47"/>
      <c r="B123" s="47"/>
      <c r="C123" s="47"/>
      <c r="D123" s="47"/>
      <c r="E123" s="47"/>
      <c r="F123" s="47"/>
      <c r="G123" s="47"/>
      <c r="H123" s="47"/>
      <c r="I123" s="47"/>
      <c r="J123" s="47"/>
      <c r="K123" s="47"/>
      <c r="M123" s="47">
        <f>M7</f>
        <v>2024</v>
      </c>
      <c r="N123" s="47">
        <f>N7</f>
        <v>2025</v>
      </c>
      <c r="O123" s="47"/>
    </row>
    <row r="124" spans="1:17" x14ac:dyDescent="0.3">
      <c r="A124" s="47"/>
      <c r="B124" s="47"/>
      <c r="C124" s="47"/>
      <c r="D124" s="47"/>
      <c r="E124" s="47"/>
      <c r="F124" s="47"/>
      <c r="G124" s="47"/>
      <c r="H124" s="47"/>
      <c r="I124" s="47"/>
      <c r="J124" s="47"/>
      <c r="K124" s="47"/>
      <c r="L124" s="47" t="s">
        <v>54</v>
      </c>
      <c r="M124" s="50">
        <f>'DNB Livsforsikring'!F11-'DNB Livsforsikring'!F12+'DNB Livsforsikring'!F34-'DNB Livsforsikring'!F35+'DNB Livsforsikring'!F38-'DNB Livsforsikring'!F39+'DNB Livsforsikring'!F111-'DNB Livsforsikring'!F119+'DNB Livsforsikring'!F136-'DNB Livsforsikring'!F137</f>
        <v>-1872847</v>
      </c>
      <c r="N124" s="50">
        <f>'DNB Livsforsikring'!G11-'DNB Livsforsikring'!G12+'DNB Livsforsikring'!G34-'DNB Livsforsikring'!G35+'DNB Livsforsikring'!G38-'DNB Livsforsikring'!G39+'DNB Livsforsikring'!G111-'DNB Livsforsikring'!G119+'DNB Livsforsikring'!G136-'DNB Livsforsikring'!G137</f>
        <v>841011.41547000222</v>
      </c>
      <c r="O124" s="47"/>
    </row>
    <row r="125" spans="1:17" x14ac:dyDescent="0.3">
      <c r="A125" s="47"/>
      <c r="B125" s="47"/>
      <c r="C125" s="47"/>
      <c r="D125" s="47"/>
      <c r="E125" s="47"/>
      <c r="F125" s="47"/>
      <c r="G125" s="47"/>
      <c r="H125" s="47"/>
      <c r="I125" s="47"/>
      <c r="J125" s="47"/>
      <c r="K125" s="47"/>
      <c r="L125" s="47" t="s">
        <v>59</v>
      </c>
      <c r="M125" s="50">
        <f>'Gjensidige Pensjon'!F11-'Gjensidige Pensjon'!F12+'Gjensidige Pensjon'!F34-'Gjensidige Pensjon'!F35+'Gjensidige Pensjon'!F38-'Gjensidige Pensjon'!F39+'Gjensidige Pensjon'!F111-'Gjensidige Pensjon'!F119+'Gjensidige Pensjon'!F136-'Gjensidige Pensjon'!F137</f>
        <v>1367917</v>
      </c>
      <c r="N125" s="50">
        <f>'Gjensidige Pensjon'!G11-'Gjensidige Pensjon'!G12+'Gjensidige Pensjon'!G34-'Gjensidige Pensjon'!G35+'Gjensidige Pensjon'!G38-'Gjensidige Pensjon'!G39+'Gjensidige Pensjon'!G111-'Gjensidige Pensjon'!G119+'Gjensidige Pensjon'!G136-'Gjensidige Pensjon'!G137</f>
        <v>1223653</v>
      </c>
      <c r="O125" s="47"/>
    </row>
    <row r="126" spans="1:17" x14ac:dyDescent="0.3">
      <c r="A126" s="47"/>
      <c r="B126" s="47"/>
      <c r="C126" s="47"/>
      <c r="D126" s="47"/>
      <c r="E126" s="47"/>
      <c r="F126" s="47"/>
      <c r="G126" s="47"/>
      <c r="H126" s="47"/>
      <c r="I126" s="47"/>
      <c r="J126" s="47"/>
      <c r="K126" s="47"/>
      <c r="L126" s="47" t="s">
        <v>61</v>
      </c>
      <c r="M126" s="50">
        <f>KLP!F11-KLP!F12+KLP!F34-KLP!F35+KLP!F38-KLP!F39+KLP!F111-KLP!F119+KLP!F136-KLP!F137</f>
        <v>-373.47899999999998</v>
      </c>
      <c r="N126" s="50">
        <f>KLP!G11-KLP!G12+KLP!G34-KLP!G35+KLP!G38-KLP!G39+KLP!G111-KLP!G119+KLP!G136-KLP!G137</f>
        <v>47.674999999999997</v>
      </c>
      <c r="O126" s="47"/>
    </row>
    <row r="127" spans="1:17" x14ac:dyDescent="0.3">
      <c r="A127" s="47"/>
      <c r="B127" s="47"/>
      <c r="C127" s="47"/>
      <c r="D127" s="47"/>
      <c r="E127" s="47"/>
      <c r="F127" s="47"/>
      <c r="G127" s="47"/>
      <c r="H127" s="47"/>
      <c r="I127" s="47"/>
      <c r="J127" s="47"/>
      <c r="K127" s="47"/>
      <c r="L127" s="47" t="s">
        <v>63</v>
      </c>
      <c r="M127" s="50">
        <f>'Nordea Liv '!F11-'Nordea Liv '!F12+'Nordea Liv '!F34-'Nordea Liv '!F35+'Nordea Liv '!F38-'Nordea Liv '!F39+'Nordea Liv '!F111-'Nordea Liv '!F119+'Nordea Liv '!F136-'Nordea Liv '!F137</f>
        <v>-169981.7189199999</v>
      </c>
      <c r="N127" s="50">
        <f>'Nordea Liv '!G11-'Nordea Liv '!G12+'Nordea Liv '!G34-'Nordea Liv '!G35+'Nordea Liv '!G38-'Nordea Liv '!G39+'Nordea Liv '!G111-'Nordea Liv '!G119+'Nordea Liv '!G136-'Nordea Liv '!G137</f>
        <v>1625038.158950001</v>
      </c>
      <c r="O127" s="47"/>
    </row>
    <row r="128" spans="1:17" x14ac:dyDescent="0.3">
      <c r="A128" s="47"/>
      <c r="B128" s="47"/>
      <c r="C128" s="47"/>
      <c r="D128" s="47"/>
      <c r="E128" s="47"/>
      <c r="F128" s="47"/>
      <c r="G128" s="47"/>
      <c r="H128" s="47"/>
      <c r="I128" s="47"/>
      <c r="J128" s="47"/>
      <c r="K128" s="47"/>
      <c r="L128" s="47" t="s">
        <v>368</v>
      </c>
      <c r="M128" s="50">
        <f>'Sparebank 1 Fors.'!F11-'Sparebank 1 Fors.'!F12+'Sparebank 1 Fors.'!F34-'Sparebank 1 Fors.'!F35+'Sparebank 1 Fors.'!F38-'Sparebank 1 Fors.'!F39+'Sparebank 1 Fors.'!F111-'Sparebank 1 Fors.'!F119+'Sparebank 1 Fors.'!F136-'Sparebank 1 Fors.'!F137</f>
        <v>-24563.008149999194</v>
      </c>
      <c r="N128" s="50">
        <f>'Sparebank 1 Fors.'!G11-'Sparebank 1 Fors.'!G12+'Sparebank 1 Fors.'!G34-'Sparebank 1 Fors.'!G35+'Sparebank 1 Fors.'!G38-'Sparebank 1 Fors.'!G39+'Sparebank 1 Fors.'!G111-'Sparebank 1 Fors.'!G119+'Sparebank 1 Fors.'!G136-'Sparebank 1 Fors.'!G137</f>
        <v>-256372.63999999966</v>
      </c>
      <c r="O128" s="47"/>
    </row>
    <row r="129" spans="1:15" x14ac:dyDescent="0.3">
      <c r="A129" s="47"/>
      <c r="B129" s="47"/>
      <c r="C129" s="47"/>
      <c r="D129" s="47"/>
      <c r="E129" s="47"/>
      <c r="F129" s="47"/>
      <c r="G129" s="47"/>
      <c r="H129" s="47"/>
      <c r="I129" s="47"/>
      <c r="J129" s="47"/>
      <c r="K129" s="47"/>
      <c r="L129" s="47" t="s">
        <v>379</v>
      </c>
      <c r="M129" s="50">
        <f>'Storebrand Livsforsikring'!F11-'Storebrand Livsforsikring'!F12+'Storebrand Livsforsikring'!F34-'Storebrand Livsforsikring'!F35+'Storebrand Livsforsikring'!F38-'Storebrand Livsforsikring'!F39+'Storebrand Livsforsikring'!F111-'Storebrand Livsforsikring'!F119+'Storebrand Livsforsikring'!F136-'Storebrand Livsforsikring'!F137</f>
        <v>-3049722.3363300012</v>
      </c>
      <c r="N129" s="50">
        <f>'Storebrand Livsforsikring'!G11-'Storebrand Livsforsikring'!G12+'Storebrand Livsforsikring'!G34-'Storebrand Livsforsikring'!G35+'Storebrand Livsforsikring'!G38-'Storebrand Livsforsikring'!G39+'Storebrand Livsforsikring'!G111-'Storebrand Livsforsikring'!G119+'Storebrand Livsforsikring'!G136-'Storebrand Livsforsikring'!G137</f>
        <v>-6312183.0486600026</v>
      </c>
      <c r="O129" s="47"/>
    </row>
    <row r="130" spans="1:15" x14ac:dyDescent="0.3">
      <c r="A130" s="48" t="s">
        <v>419</v>
      </c>
      <c r="B130" s="47"/>
      <c r="C130" s="47"/>
      <c r="D130" s="47"/>
      <c r="E130" s="47"/>
      <c r="F130" s="47"/>
      <c r="G130" s="47"/>
      <c r="H130" s="47"/>
      <c r="I130" s="47"/>
      <c r="J130" s="47"/>
      <c r="K130" s="47"/>
      <c r="O130" s="47"/>
    </row>
    <row r="131" spans="1:15" x14ac:dyDescent="0.3">
      <c r="B131" s="47"/>
      <c r="C131" s="47"/>
      <c r="D131" s="47"/>
      <c r="E131" s="47"/>
      <c r="F131" s="47"/>
      <c r="G131" s="47"/>
      <c r="H131" s="47"/>
      <c r="I131" s="47"/>
      <c r="J131" s="47"/>
      <c r="K131" s="47"/>
      <c r="O131" s="47"/>
    </row>
    <row r="132" spans="1:15" x14ac:dyDescent="0.3">
      <c r="A132" s="47"/>
      <c r="B132" s="47"/>
      <c r="C132" s="47"/>
      <c r="D132" s="47"/>
      <c r="E132" s="47"/>
      <c r="F132" s="47"/>
      <c r="G132" s="47"/>
      <c r="H132" s="47"/>
      <c r="I132" s="47"/>
      <c r="J132" s="47"/>
      <c r="K132" s="47"/>
      <c r="O132" s="47"/>
    </row>
    <row r="133" spans="1:15" x14ac:dyDescent="0.3">
      <c r="A133" s="47"/>
      <c r="B133" s="47"/>
      <c r="C133" s="47"/>
      <c r="D133" s="47"/>
      <c r="E133" s="47"/>
      <c r="F133" s="47"/>
      <c r="G133" s="47"/>
      <c r="H133" s="47"/>
      <c r="I133" s="47"/>
      <c r="J133" s="47"/>
      <c r="K133" s="47"/>
      <c r="O133" s="47"/>
    </row>
    <row r="134" spans="1:15" x14ac:dyDescent="0.3">
      <c r="A134" s="47"/>
      <c r="B134" s="47"/>
      <c r="C134" s="47"/>
      <c r="D134" s="47"/>
      <c r="E134" s="47"/>
      <c r="F134" s="47"/>
      <c r="G134" s="47"/>
      <c r="H134" s="47"/>
      <c r="I134" s="47"/>
      <c r="J134" s="47"/>
      <c r="K134" s="47"/>
      <c r="O134" s="47"/>
    </row>
    <row r="135" spans="1:15" x14ac:dyDescent="0.3">
      <c r="A135" s="47"/>
      <c r="B135" s="47"/>
      <c r="C135" s="47"/>
      <c r="D135" s="47"/>
      <c r="E135" s="47"/>
      <c r="F135" s="47"/>
      <c r="G135" s="47"/>
      <c r="H135" s="47"/>
      <c r="I135" s="47"/>
      <c r="J135" s="47"/>
      <c r="K135" s="47"/>
      <c r="O135" s="47"/>
    </row>
    <row r="136" spans="1:15" x14ac:dyDescent="0.3">
      <c r="A136" s="47"/>
      <c r="B136" s="47"/>
      <c r="C136" s="47"/>
      <c r="D136" s="47"/>
      <c r="E136" s="47"/>
      <c r="F136" s="47"/>
      <c r="G136" s="47"/>
      <c r="H136" s="47"/>
      <c r="I136" s="47"/>
      <c r="J136" s="47"/>
      <c r="K136" s="47"/>
      <c r="O136" s="47"/>
    </row>
    <row r="137" spans="1:15" x14ac:dyDescent="0.3">
      <c r="A137" s="47"/>
      <c r="B137" s="47"/>
      <c r="C137" s="47"/>
      <c r="D137" s="47"/>
      <c r="E137" s="47"/>
      <c r="F137" s="47"/>
      <c r="G137" s="47"/>
      <c r="H137" s="47"/>
      <c r="I137" s="47"/>
      <c r="J137" s="47"/>
      <c r="K137" s="47"/>
      <c r="O137" s="47"/>
    </row>
    <row r="138" spans="1:15" x14ac:dyDescent="0.3">
      <c r="A138" s="47"/>
      <c r="B138" s="47"/>
      <c r="C138" s="47"/>
      <c r="D138" s="47"/>
      <c r="E138" s="47"/>
      <c r="F138" s="47"/>
      <c r="G138" s="47"/>
      <c r="H138" s="47"/>
      <c r="I138" s="47"/>
      <c r="J138" s="47"/>
      <c r="K138" s="47"/>
      <c r="O138" s="47"/>
    </row>
    <row r="139" spans="1:15" x14ac:dyDescent="0.3">
      <c r="A139" s="47"/>
      <c r="B139" s="47"/>
      <c r="C139" s="47"/>
      <c r="D139" s="47"/>
      <c r="E139" s="47"/>
      <c r="F139" s="47"/>
      <c r="G139" s="47"/>
      <c r="H139" s="47"/>
      <c r="I139" s="47"/>
      <c r="J139" s="47"/>
      <c r="K139" s="47"/>
      <c r="O139" s="47"/>
    </row>
    <row r="140" spans="1:15" x14ac:dyDescent="0.3">
      <c r="A140" s="47"/>
      <c r="B140" s="47"/>
      <c r="C140" s="47"/>
      <c r="D140" s="47"/>
      <c r="E140" s="47"/>
      <c r="F140" s="47"/>
      <c r="G140" s="47"/>
      <c r="H140" s="47"/>
      <c r="I140" s="47"/>
      <c r="J140" s="47"/>
      <c r="K140" s="47"/>
      <c r="O140" s="47"/>
    </row>
    <row r="141" spans="1:15" x14ac:dyDescent="0.3">
      <c r="A141" s="47"/>
      <c r="B141" s="47"/>
      <c r="C141" s="47"/>
      <c r="D141" s="47"/>
      <c r="E141" s="47"/>
      <c r="F141" s="47"/>
      <c r="G141" s="47"/>
      <c r="H141" s="47"/>
      <c r="I141" s="47"/>
      <c r="J141" s="47"/>
      <c r="K141" s="47"/>
      <c r="O141" s="47"/>
    </row>
    <row r="142" spans="1:15" x14ac:dyDescent="0.3">
      <c r="A142" s="47"/>
      <c r="B142" s="47"/>
      <c r="C142" s="47"/>
      <c r="D142" s="47"/>
      <c r="E142" s="47"/>
      <c r="F142" s="47"/>
      <c r="G142" s="47"/>
      <c r="H142" s="47"/>
      <c r="I142" s="47"/>
      <c r="J142" s="47"/>
      <c r="K142" s="47"/>
      <c r="O142" s="47"/>
    </row>
    <row r="143" spans="1:15" x14ac:dyDescent="0.3">
      <c r="A143" s="47"/>
      <c r="B143" s="47"/>
      <c r="C143" s="47"/>
      <c r="D143" s="47"/>
      <c r="E143" s="47"/>
      <c r="F143" s="47"/>
      <c r="G143" s="47"/>
      <c r="H143" s="47"/>
      <c r="I143" s="47"/>
      <c r="J143" s="47"/>
      <c r="K143" s="47"/>
      <c r="O143" s="47"/>
    </row>
    <row r="144" spans="1:15" x14ac:dyDescent="0.3">
      <c r="A144" s="47"/>
      <c r="B144" s="47"/>
      <c r="C144" s="47"/>
      <c r="D144" s="47"/>
      <c r="E144" s="47"/>
      <c r="F144" s="47"/>
      <c r="G144" s="47"/>
      <c r="H144" s="47"/>
      <c r="I144" s="47"/>
      <c r="J144" s="47"/>
      <c r="K144" s="47"/>
      <c r="O144" s="47"/>
    </row>
    <row r="145" spans="1:15" x14ac:dyDescent="0.3">
      <c r="A145" s="47"/>
      <c r="B145" s="47"/>
      <c r="C145" s="47"/>
      <c r="D145" s="47"/>
      <c r="E145" s="47"/>
      <c r="F145" s="47"/>
      <c r="G145" s="47"/>
      <c r="H145" s="47"/>
      <c r="I145" s="47"/>
      <c r="J145" s="47"/>
      <c r="K145" s="47"/>
      <c r="O145" s="47"/>
    </row>
    <row r="146" spans="1:15" x14ac:dyDescent="0.3">
      <c r="A146" s="47"/>
      <c r="B146" s="47"/>
      <c r="C146" s="47"/>
      <c r="D146" s="47"/>
      <c r="E146" s="47"/>
      <c r="F146" s="47"/>
      <c r="G146" s="47"/>
      <c r="H146" s="47"/>
      <c r="I146" s="47"/>
      <c r="J146" s="47"/>
      <c r="K146" s="47"/>
      <c r="O146" s="47"/>
    </row>
    <row r="147" spans="1:15" x14ac:dyDescent="0.3">
      <c r="A147" s="47"/>
      <c r="B147" s="47"/>
      <c r="C147" s="47"/>
      <c r="D147" s="47"/>
      <c r="E147" s="47"/>
      <c r="F147" s="47"/>
      <c r="G147" s="47"/>
      <c r="H147" s="47"/>
      <c r="I147" s="47"/>
      <c r="J147" s="47"/>
      <c r="K147" s="47"/>
      <c r="O147" s="47"/>
    </row>
    <row r="148" spans="1:15" x14ac:dyDescent="0.3">
      <c r="A148" s="47"/>
      <c r="B148" s="47"/>
      <c r="C148" s="47"/>
      <c r="D148" s="47"/>
      <c r="E148" s="47"/>
      <c r="F148" s="47"/>
      <c r="G148" s="47"/>
      <c r="H148" s="47"/>
      <c r="I148" s="47"/>
      <c r="J148" s="47"/>
      <c r="K148" s="47"/>
      <c r="O148" s="47"/>
    </row>
    <row r="149" spans="1:15" x14ac:dyDescent="0.3">
      <c r="A149" s="47"/>
      <c r="B149" s="47"/>
      <c r="C149" s="47"/>
      <c r="D149" s="47"/>
      <c r="E149" s="47"/>
      <c r="F149" s="47"/>
      <c r="G149" s="47"/>
      <c r="H149" s="47"/>
      <c r="I149" s="47"/>
      <c r="J149" s="47"/>
      <c r="K149" s="47"/>
      <c r="O149" s="47"/>
    </row>
    <row r="150" spans="1:15" x14ac:dyDescent="0.3">
      <c r="A150" s="47"/>
      <c r="B150" s="47"/>
      <c r="C150" s="47"/>
      <c r="D150" s="47"/>
      <c r="E150" s="47"/>
      <c r="F150" s="47"/>
      <c r="G150" s="47"/>
      <c r="H150" s="47"/>
      <c r="I150" s="47"/>
      <c r="J150" s="47"/>
      <c r="K150" s="47"/>
      <c r="O150" s="47"/>
    </row>
    <row r="151" spans="1:15" x14ac:dyDescent="0.3">
      <c r="A151" s="47"/>
      <c r="B151" s="47"/>
      <c r="C151" s="47"/>
      <c r="D151" s="47"/>
      <c r="E151" s="47"/>
      <c r="F151" s="47"/>
      <c r="G151" s="47"/>
      <c r="H151" s="47"/>
      <c r="I151" s="47"/>
      <c r="J151" s="47"/>
      <c r="K151" s="47"/>
      <c r="O151" s="47"/>
    </row>
    <row r="152" spans="1:15" x14ac:dyDescent="0.3">
      <c r="A152" s="47"/>
      <c r="B152" s="47"/>
      <c r="C152" s="47"/>
      <c r="D152" s="47"/>
      <c r="E152" s="47"/>
      <c r="F152" s="47"/>
      <c r="G152" s="47"/>
      <c r="H152" s="47"/>
      <c r="I152" s="47"/>
      <c r="J152" s="47"/>
      <c r="K152" s="47"/>
      <c r="O152" s="47"/>
    </row>
    <row r="153" spans="1:15" x14ac:dyDescent="0.3">
      <c r="A153" s="47"/>
      <c r="B153" s="47"/>
      <c r="C153" s="47"/>
      <c r="D153" s="47"/>
      <c r="E153" s="47"/>
      <c r="F153" s="47"/>
      <c r="G153" s="47"/>
      <c r="H153" s="47"/>
      <c r="I153" s="47"/>
      <c r="J153" s="47"/>
      <c r="K153" s="47"/>
      <c r="O153" s="47"/>
    </row>
    <row r="154" spans="1:15" x14ac:dyDescent="0.3">
      <c r="O154" s="47"/>
    </row>
    <row r="155" spans="1:15" x14ac:dyDescent="0.3">
      <c r="O155" s="47"/>
    </row>
    <row r="156" spans="1:15" x14ac:dyDescent="0.3">
      <c r="O156" s="47"/>
    </row>
    <row r="157" spans="1:15" x14ac:dyDescent="0.3">
      <c r="O157" s="47"/>
    </row>
    <row r="158" spans="1:15" x14ac:dyDescent="0.3">
      <c r="O158" s="47"/>
    </row>
    <row r="159" spans="1:15" x14ac:dyDescent="0.3">
      <c r="O159" s="47"/>
    </row>
    <row r="160" spans="1:15" x14ac:dyDescent="0.3">
      <c r="O160" s="47"/>
    </row>
    <row r="161" spans="1:15" x14ac:dyDescent="0.3">
      <c r="O161" s="47"/>
    </row>
    <row r="162" spans="1:15" x14ac:dyDescent="0.3">
      <c r="O162" s="47"/>
    </row>
    <row r="163" spans="1:15" x14ac:dyDescent="0.3">
      <c r="O163" s="47"/>
    </row>
    <row r="164" spans="1:15" x14ac:dyDescent="0.3">
      <c r="O164" s="47"/>
    </row>
    <row r="165" spans="1:15" x14ac:dyDescent="0.3">
      <c r="O165" s="47"/>
    </row>
    <row r="166" spans="1:15" x14ac:dyDescent="0.3">
      <c r="O166" s="47"/>
    </row>
    <row r="167" spans="1:15" x14ac:dyDescent="0.3">
      <c r="O167" s="47"/>
    </row>
    <row r="168" spans="1:15" x14ac:dyDescent="0.3">
      <c r="O168" s="47"/>
    </row>
    <row r="169" spans="1:15" x14ac:dyDescent="0.3">
      <c r="O169" s="47"/>
    </row>
    <row r="170" spans="1:15" x14ac:dyDescent="0.3">
      <c r="A170" s="47"/>
      <c r="B170" s="47"/>
      <c r="C170" s="47"/>
      <c r="D170" s="47"/>
      <c r="E170" s="47"/>
      <c r="F170" s="47"/>
      <c r="G170" s="47"/>
      <c r="H170" s="47"/>
      <c r="I170" s="47"/>
      <c r="J170" s="47"/>
      <c r="K170" s="47"/>
      <c r="O170" s="47"/>
    </row>
    <row r="171" spans="1:15" x14ac:dyDescent="0.3">
      <c r="A171" s="47"/>
      <c r="B171" s="47"/>
      <c r="C171" s="47"/>
      <c r="D171" s="47"/>
      <c r="E171" s="47"/>
      <c r="F171" s="47"/>
      <c r="G171" s="47"/>
      <c r="H171" s="47"/>
      <c r="I171" s="47"/>
      <c r="J171" s="47"/>
      <c r="K171" s="47"/>
      <c r="O171" s="47"/>
    </row>
    <row r="172" spans="1:15" x14ac:dyDescent="0.3">
      <c r="A172" s="47"/>
      <c r="B172" s="47"/>
      <c r="C172" s="47"/>
      <c r="D172" s="47"/>
      <c r="E172" s="47"/>
      <c r="F172" s="47"/>
      <c r="G172" s="47"/>
      <c r="H172" s="47"/>
      <c r="I172" s="47"/>
      <c r="J172" s="47"/>
      <c r="K172" s="47"/>
      <c r="O172" s="47"/>
    </row>
    <row r="173" spans="1:15" x14ac:dyDescent="0.3">
      <c r="A173" s="47"/>
      <c r="B173" s="47"/>
      <c r="C173" s="47"/>
      <c r="D173" s="47"/>
      <c r="E173" s="47"/>
      <c r="F173" s="47"/>
      <c r="G173" s="47"/>
      <c r="H173" s="47"/>
      <c r="I173" s="47"/>
      <c r="J173" s="47"/>
      <c r="K173" s="47"/>
      <c r="O173" s="47"/>
    </row>
    <row r="174" spans="1:15" x14ac:dyDescent="0.3">
      <c r="A174" s="47"/>
      <c r="B174" s="47"/>
      <c r="C174" s="47"/>
      <c r="D174" s="47"/>
      <c r="E174" s="47"/>
      <c r="F174" s="47"/>
      <c r="G174" s="47"/>
      <c r="H174" s="47"/>
      <c r="I174" s="47"/>
      <c r="J174" s="47"/>
      <c r="K174" s="47"/>
      <c r="O174" s="47"/>
    </row>
    <row r="175" spans="1:15" x14ac:dyDescent="0.3">
      <c r="A175" s="47"/>
      <c r="B175" s="47"/>
      <c r="C175" s="47"/>
      <c r="D175" s="47"/>
      <c r="E175" s="47"/>
      <c r="F175" s="47"/>
      <c r="G175" s="47"/>
      <c r="H175" s="47"/>
      <c r="I175" s="47"/>
      <c r="J175" s="47"/>
      <c r="K175" s="47"/>
      <c r="O175" s="47"/>
    </row>
    <row r="176" spans="1:15" x14ac:dyDescent="0.3">
      <c r="A176" s="47"/>
      <c r="B176" s="47"/>
      <c r="C176" s="47"/>
      <c r="D176" s="47"/>
      <c r="E176" s="47"/>
      <c r="F176" s="47"/>
      <c r="G176" s="47"/>
      <c r="H176" s="47"/>
      <c r="I176" s="47"/>
      <c r="J176" s="47"/>
      <c r="K176" s="47"/>
      <c r="O176" s="47"/>
    </row>
  </sheetData>
  <hyperlinks>
    <hyperlink ref="A1" location="Innhold!A1" display="Tilbake" xr:uid="{00000000-0004-0000-0200-000000000000}"/>
  </hyperlinks>
  <pageMargins left="0.7" right="0.7" top="0.78740157499999996" bottom="0.78740157499999996"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CFD3-E4B4-485B-89B7-DA0A477AA596}">
  <dimension ref="A1:N144"/>
  <sheetViews>
    <sheetView showGridLines="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363</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1142.1487</v>
      </c>
      <c r="C7" s="241">
        <v>973.09500000000003</v>
      </c>
      <c r="D7" s="277">
        <f>IF(B7=0, "    ---- ", IF(ABS(ROUND(100/B7*C7-100,1))&lt;999,ROUND(100/B7*C7-100,1),IF(ROUND(100/B7*C7-100,1)&gt;999,999,-999)))</f>
        <v>-14.8</v>
      </c>
      <c r="E7" s="8">
        <f>IFERROR(100/'Skjema total MA'!C7*C7,0)</f>
        <v>2.1329168228939481E-2</v>
      </c>
      <c r="F7" s="240"/>
      <c r="G7" s="241"/>
      <c r="H7" s="277"/>
      <c r="I7" s="117"/>
      <c r="J7" s="242">
        <f t="shared" ref="J7:K8" si="0">SUM(B7,F7)</f>
        <v>1142.1487</v>
      </c>
      <c r="K7" s="243">
        <f t="shared" si="0"/>
        <v>973.09500000000003</v>
      </c>
      <c r="L7" s="332">
        <f>IF(J7=0, "    ---- ", IF(ABS(ROUND(100/J7*K7-100,1))&lt;999,ROUND(100/J7*K7-100,1),IF(ROUND(100/J7*K7-100,1)&gt;999,999,-999)))</f>
        <v>-14.8</v>
      </c>
      <c r="M7" s="8">
        <f>IFERROR(100/'Skjema total MA'!I7*K7,0)</f>
        <v>7.6440867419759109E-3</v>
      </c>
    </row>
    <row r="8" spans="1:14" ht="15.75" x14ac:dyDescent="0.2">
      <c r="A8" s="17" t="s">
        <v>25</v>
      </c>
      <c r="B8" s="220">
        <v>1142.1487</v>
      </c>
      <c r="C8" s="221">
        <v>973.09500000000003</v>
      </c>
      <c r="D8" s="121">
        <f t="shared" ref="D8" si="1">IF(B8=0, "    ---- ", IF(ABS(ROUND(100/B8*C8-100,1))&lt;999,ROUND(100/B8*C8-100,1),IF(ROUND(100/B8*C8-100,1)&gt;999,999,-999)))</f>
        <v>-14.8</v>
      </c>
      <c r="E8" s="22">
        <f>IFERROR(100/'Skjema total MA'!C8*C8,0)</f>
        <v>3.1674237323435751E-2</v>
      </c>
      <c r="F8" s="224"/>
      <c r="G8" s="225"/>
      <c r="H8" s="121"/>
      <c r="I8" s="129"/>
      <c r="J8" s="178">
        <f t="shared" si="0"/>
        <v>1142.1487</v>
      </c>
      <c r="K8" s="226">
        <f t="shared" si="0"/>
        <v>973.09500000000003</v>
      </c>
      <c r="L8" s="121">
        <f t="shared" ref="L8" si="2">IF(J8=0, "    ---- ", IF(ABS(ROUND(100/J8*K8-100,1))&lt;999,ROUND(100/J8*K8-100,1),IF(ROUND(100/J8*K8-100,1)&gt;999,999,-999)))</f>
        <v>-14.8</v>
      </c>
      <c r="M8" s="22">
        <f>IFERROR(100/'Skjema total MA'!I8*K8,0)</f>
        <v>3.1674237323435751E-2</v>
      </c>
    </row>
    <row r="9" spans="1:14" ht="15.75" x14ac:dyDescent="0.2">
      <c r="A9" s="17" t="s">
        <v>24</v>
      </c>
      <c r="B9" s="220"/>
      <c r="C9" s="221"/>
      <c r="D9" s="121"/>
      <c r="E9" s="22"/>
      <c r="F9" s="224"/>
      <c r="G9" s="225"/>
      <c r="H9" s="121"/>
      <c r="I9" s="129"/>
      <c r="J9" s="178"/>
      <c r="K9" s="226"/>
      <c r="L9" s="121"/>
      <c r="M9" s="22"/>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337"/>
      <c r="E38" s="20"/>
      <c r="F38" s="253"/>
      <c r="G38" s="254"/>
      <c r="H38" s="125"/>
      <c r="I38" s="339"/>
      <c r="J38" s="180"/>
      <c r="K38" s="180"/>
      <c r="L38" s="333"/>
      <c r="M38" s="20"/>
    </row>
    <row r="39" spans="1:13" ht="15.75" x14ac:dyDescent="0.2">
      <c r="A39" s="15" t="s">
        <v>332</v>
      </c>
      <c r="B39" s="215"/>
      <c r="C39" s="249"/>
      <c r="D39" s="338"/>
      <c r="E39" s="29"/>
      <c r="F39" s="256"/>
      <c r="G39" s="257"/>
      <c r="H39" s="123"/>
      <c r="I39" s="29"/>
      <c r="J39" s="180"/>
      <c r="K39" s="180"/>
      <c r="L39" s="334"/>
      <c r="M39" s="29"/>
    </row>
    <row r="40" spans="1:13" ht="15.75" x14ac:dyDescent="0.25">
      <c r="A40" s="34"/>
      <c r="B40" s="197"/>
      <c r="C40" s="197"/>
      <c r="D40" s="573"/>
      <c r="E40" s="572"/>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657.81700000000001</v>
      </c>
      <c r="C47" s="245">
        <v>644.79700000000003</v>
      </c>
      <c r="D47" s="332">
        <f t="shared" ref="D47:D48" si="3">IF(B47=0, "    ---- ", IF(ABS(ROUND(100/B47*C47-100,1))&lt;999,ROUND(100/B47*C47-100,1),IF(ROUND(100/B47*C47-100,1)&gt;999,999,-999)))</f>
        <v>-2</v>
      </c>
      <c r="E47" s="8">
        <f>IFERROR(100/'Skjema total MA'!C47*C47,0)</f>
        <v>1.0122135623775126E-2</v>
      </c>
      <c r="F47" s="108"/>
      <c r="G47" s="26"/>
      <c r="H47" s="116"/>
      <c r="I47" s="116"/>
      <c r="J47" s="30"/>
      <c r="K47" s="30"/>
      <c r="L47" s="116"/>
      <c r="M47" s="116"/>
    </row>
    <row r="48" spans="1:13" ht="15.75" x14ac:dyDescent="0.2">
      <c r="A48" s="17" t="s">
        <v>333</v>
      </c>
      <c r="B48" s="220">
        <v>657.81700000000001</v>
      </c>
      <c r="C48" s="221">
        <v>644.79700000000003</v>
      </c>
      <c r="D48" s="198">
        <f t="shared" si="3"/>
        <v>-2</v>
      </c>
      <c r="E48" s="22">
        <f>IFERROR(100/'Skjema total MA'!C48*C48,0)</f>
        <v>1.7633495542325257E-2</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198" priority="7">
      <formula>kvartal &lt; 4</formula>
    </cfRule>
  </conditionalFormatting>
  <conditionalFormatting sqref="A69:A74">
    <cfRule type="expression" dxfId="197" priority="6">
      <formula>kvartal &lt; 4</formula>
    </cfRule>
  </conditionalFormatting>
  <conditionalFormatting sqref="A80:A85">
    <cfRule type="expression" dxfId="196" priority="5">
      <formula>kvartal &lt; 4</formula>
    </cfRule>
  </conditionalFormatting>
  <conditionalFormatting sqref="A90:A95">
    <cfRule type="expression" dxfId="195" priority="4">
      <formula>kvartal &lt; 4</formula>
    </cfRule>
  </conditionalFormatting>
  <conditionalFormatting sqref="A101:A106">
    <cfRule type="expression" dxfId="194" priority="3">
      <formula>kvartal &lt; 4</formula>
    </cfRule>
  </conditionalFormatting>
  <conditionalFormatting sqref="A115:C115">
    <cfRule type="expression" dxfId="193" priority="2">
      <formula>kvartal &lt; 4</formula>
    </cfRule>
  </conditionalFormatting>
  <conditionalFormatting sqref="A123:C123">
    <cfRule type="expression" dxfId="192" priority="1">
      <formula>kvartal &lt; 4</formula>
    </cfRule>
  </conditionalFormatting>
  <conditionalFormatting sqref="F115:G115">
    <cfRule type="expression" dxfId="191" priority="27">
      <formula>kvartal &lt; 4</formula>
    </cfRule>
  </conditionalFormatting>
  <conditionalFormatting sqref="F123:G123">
    <cfRule type="expression" dxfId="190" priority="26">
      <formula>kvartal &lt; 4</formula>
    </cfRule>
  </conditionalFormatting>
  <conditionalFormatting sqref="J115:K115">
    <cfRule type="expression" dxfId="189" priority="9">
      <formula>kvartal &lt; 4</formula>
    </cfRule>
  </conditionalFormatting>
  <conditionalFormatting sqref="J123:K123">
    <cfRule type="expression" dxfId="188" priority="8">
      <formula>kvartal &lt; 4</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37C7-9E35-491E-AA5D-FD2A7954B218}">
  <dimension ref="A1:N144"/>
  <sheetViews>
    <sheetView showGridLines="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370</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9009</v>
      </c>
      <c r="C7" s="241">
        <v>12692</v>
      </c>
      <c r="D7" s="277">
        <f>IF(B7=0, "    ---- ", IF(ABS(ROUND(100/B7*C7-100,1))&lt;999,ROUND(100/B7*C7-100,1),IF(ROUND(100/B7*C7-100,1)&gt;999,999,-999)))</f>
        <v>40.9</v>
      </c>
      <c r="E7" s="8">
        <f>IFERROR(100/'Skjema total MA'!C7*C7,0)</f>
        <v>0.27819462967305342</v>
      </c>
      <c r="F7" s="240"/>
      <c r="G7" s="241"/>
      <c r="H7" s="277"/>
      <c r="I7" s="117"/>
      <c r="J7" s="242">
        <f t="shared" ref="J7:K10" si="0">SUM(B7,F7)</f>
        <v>9009</v>
      </c>
      <c r="K7" s="243">
        <f t="shared" si="0"/>
        <v>12692</v>
      </c>
      <c r="L7" s="332">
        <f>IF(J7=0, "    ---- ", IF(ABS(ROUND(100/J7*K7-100,1))&lt;999,ROUND(100/J7*K7-100,1),IF(ROUND(100/J7*K7-100,1)&gt;999,999,-999)))</f>
        <v>40.9</v>
      </c>
      <c r="M7" s="8">
        <f>IFERROR(100/'Skjema total MA'!I7*K7,0)</f>
        <v>9.9701209983771633E-2</v>
      </c>
    </row>
    <row r="8" spans="1:14" ht="15.75" x14ac:dyDescent="0.2">
      <c r="A8" s="17" t="s">
        <v>25</v>
      </c>
      <c r="B8" s="220">
        <v>4861</v>
      </c>
      <c r="C8" s="221">
        <v>6893</v>
      </c>
      <c r="D8" s="121">
        <f t="shared" ref="D8:D10" si="1">IF(B8=0, "    ---- ", IF(ABS(ROUND(100/B8*C8-100,1))&lt;999,ROUND(100/B8*C8-100,1),IF(ROUND(100/B8*C8-100,1)&gt;999,999,-999)))</f>
        <v>41.8</v>
      </c>
      <c r="E8" s="22">
        <f>IFERROR(100/'Skjema total MA'!C8*C8,0)</f>
        <v>0.22436711510226917</v>
      </c>
      <c r="F8" s="224"/>
      <c r="G8" s="225"/>
      <c r="H8" s="121"/>
      <c r="I8" s="129"/>
      <c r="J8" s="178">
        <f t="shared" si="0"/>
        <v>4861</v>
      </c>
      <c r="K8" s="226">
        <f t="shared" si="0"/>
        <v>6893</v>
      </c>
      <c r="L8" s="121">
        <f t="shared" ref="L8:L10" si="2">IF(J8=0, "    ---- ", IF(ABS(ROUND(100/J8*K8-100,1))&lt;999,ROUND(100/J8*K8-100,1),IF(ROUND(100/J8*K8-100,1)&gt;999,999,-999)))</f>
        <v>41.8</v>
      </c>
      <c r="M8" s="22">
        <f>IFERROR(100/'Skjema total MA'!I8*K8,0)</f>
        <v>0.22436711510226917</v>
      </c>
    </row>
    <row r="9" spans="1:14" ht="15.75" x14ac:dyDescent="0.2">
      <c r="A9" s="17" t="s">
        <v>24</v>
      </c>
      <c r="B9" s="220">
        <v>1857</v>
      </c>
      <c r="C9" s="221">
        <v>2615</v>
      </c>
      <c r="D9" s="121">
        <f t="shared" si="1"/>
        <v>40.799999999999997</v>
      </c>
      <c r="E9" s="22">
        <f>IFERROR(100/'Skjema total MA'!C9*C9,0)</f>
        <v>0.28928780493800033</v>
      </c>
      <c r="F9" s="224"/>
      <c r="G9" s="225"/>
      <c r="H9" s="121"/>
      <c r="I9" s="129"/>
      <c r="J9" s="178">
        <f t="shared" si="0"/>
        <v>1857</v>
      </c>
      <c r="K9" s="226">
        <f t="shared" si="0"/>
        <v>2615</v>
      </c>
      <c r="L9" s="121">
        <f t="shared" si="2"/>
        <v>40.799999999999997</v>
      </c>
      <c r="M9" s="22">
        <f>IFERROR(100/'Skjema total MA'!I9*K9,0)</f>
        <v>0.28928780493800033</v>
      </c>
    </row>
    <row r="10" spans="1:14" ht="15.75" x14ac:dyDescent="0.2">
      <c r="A10" s="10" t="s">
        <v>322</v>
      </c>
      <c r="B10" s="244">
        <v>4840</v>
      </c>
      <c r="C10" s="245">
        <v>6357</v>
      </c>
      <c r="D10" s="125">
        <f t="shared" si="1"/>
        <v>31.3</v>
      </c>
      <c r="E10" s="8">
        <f>IFERROR(100/'Skjema total MA'!C10*C10,0)</f>
        <v>5.066020147382367E-2</v>
      </c>
      <c r="F10" s="244"/>
      <c r="G10" s="245"/>
      <c r="H10" s="125"/>
      <c r="I10" s="117"/>
      <c r="J10" s="242">
        <f t="shared" si="0"/>
        <v>4840</v>
      </c>
      <c r="K10" s="243">
        <f t="shared" si="0"/>
        <v>6357</v>
      </c>
      <c r="L10" s="333">
        <f t="shared" si="2"/>
        <v>31.3</v>
      </c>
      <c r="M10" s="8">
        <f>IFERROR(100/'Skjema total MA'!I10*K10,0)</f>
        <v>5.4692028648421764E-3</v>
      </c>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6947</v>
      </c>
      <c r="C22" s="244">
        <v>4123</v>
      </c>
      <c r="D22" s="277">
        <f t="shared" ref="D22:D37" si="3">IF(B22=0, "    ---- ", IF(ABS(ROUND(100/B22*C22-100,1))&lt;999,ROUND(100/B22*C22-100,1),IF(ROUND(100/B22*C22-100,1)&gt;999,999,-999)))</f>
        <v>-40.700000000000003</v>
      </c>
      <c r="E22" s="8">
        <f>IFERROR(100/'Skjema total MA'!C22*C22,0)</f>
        <v>0.19529951752475455</v>
      </c>
      <c r="F22" s="252"/>
      <c r="G22" s="252"/>
      <c r="H22" s="277"/>
      <c r="I22" s="8"/>
      <c r="J22" s="250">
        <f t="shared" ref="J22:K37" si="4">SUM(B22,F22)</f>
        <v>6947</v>
      </c>
      <c r="K22" s="250">
        <f t="shared" si="4"/>
        <v>4123</v>
      </c>
      <c r="L22" s="332">
        <f t="shared" ref="L22:L30" si="5">IF(J22=0, "    ---- ", IF(ABS(ROUND(100/J22*K22-100,1))&lt;999,ROUND(100/J22*K22-100,1),IF(ROUND(100/J22*K22-100,1)&gt;999,999,-999)))</f>
        <v>-40.700000000000003</v>
      </c>
      <c r="M22" s="20">
        <f>IFERROR(100/'Skjema total MA'!I22*K22,0)</f>
        <v>0.14162273771530712</v>
      </c>
    </row>
    <row r="23" spans="1:13" ht="15.75" x14ac:dyDescent="0.2">
      <c r="A23" s="372" t="s">
        <v>325</v>
      </c>
      <c r="B23" s="220">
        <v>6947</v>
      </c>
      <c r="C23" s="220">
        <v>4123</v>
      </c>
      <c r="D23" s="121">
        <f t="shared" si="3"/>
        <v>-40.700000000000003</v>
      </c>
      <c r="E23" s="8">
        <f>IFERROR(100/'Skjema total MA'!C23*C23,0)</f>
        <v>0.31267368644526061</v>
      </c>
      <c r="F23" s="228"/>
      <c r="G23" s="228"/>
      <c r="H23" s="121"/>
      <c r="I23" s="325"/>
      <c r="J23" s="228">
        <f t="shared" si="4"/>
        <v>6947</v>
      </c>
      <c r="K23" s="228">
        <f t="shared" si="4"/>
        <v>4123</v>
      </c>
      <c r="L23" s="121">
        <f t="shared" si="5"/>
        <v>-40.700000000000003</v>
      </c>
      <c r="M23" s="19">
        <f>IFERROR(100/'Skjema total MA'!I23*K23,0)</f>
        <v>0.30369134166926881</v>
      </c>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2083</v>
      </c>
      <c r="C28" s="226">
        <v>3107</v>
      </c>
      <c r="D28" s="121">
        <f t="shared" si="3"/>
        <v>49.2</v>
      </c>
      <c r="E28" s="8">
        <f>IFERROR(100/'Skjema total MA'!C28*C28,0)</f>
        <v>0.11854110541558427</v>
      </c>
      <c r="F28" s="137"/>
      <c r="G28" s="137"/>
      <c r="H28" s="121"/>
      <c r="I28" s="22"/>
      <c r="J28" s="35">
        <f t="shared" si="4"/>
        <v>2083</v>
      </c>
      <c r="K28" s="35">
        <f t="shared" si="4"/>
        <v>3107</v>
      </c>
      <c r="L28" s="198">
        <f t="shared" si="5"/>
        <v>49.2</v>
      </c>
      <c r="M28" s="19">
        <f>IFERROR(100/'Skjema total MA'!I28*K28,0)</f>
        <v>0.11854110541558427</v>
      </c>
    </row>
    <row r="29" spans="1:13" ht="15.75" x14ac:dyDescent="0.2">
      <c r="A29" s="10" t="s">
        <v>322</v>
      </c>
      <c r="B29" s="180">
        <v>11542</v>
      </c>
      <c r="C29" s="180">
        <v>14616</v>
      </c>
      <c r="D29" s="125">
        <f t="shared" si="3"/>
        <v>26.6</v>
      </c>
      <c r="E29" s="8">
        <f>IFERROR(100/'Skjema total MA'!C29*C29,0)</f>
        <v>3.3191403936937564E-2</v>
      </c>
      <c r="F29" s="242"/>
      <c r="G29" s="242"/>
      <c r="H29" s="125"/>
      <c r="I29" s="8"/>
      <c r="J29" s="180">
        <f t="shared" si="4"/>
        <v>11542</v>
      </c>
      <c r="K29" s="180">
        <f t="shared" si="4"/>
        <v>14616</v>
      </c>
      <c r="L29" s="333">
        <f t="shared" si="5"/>
        <v>26.6</v>
      </c>
      <c r="M29" s="20">
        <f>IFERROR(100/'Skjema total MA'!I29*K29,0)</f>
        <v>1.9504270075042292E-2</v>
      </c>
    </row>
    <row r="30" spans="1:13" ht="15.75" x14ac:dyDescent="0.2">
      <c r="A30" s="372" t="s">
        <v>325</v>
      </c>
      <c r="B30" s="220">
        <v>11542</v>
      </c>
      <c r="C30" s="220">
        <v>14616</v>
      </c>
      <c r="D30" s="121">
        <f t="shared" si="3"/>
        <v>26.6</v>
      </c>
      <c r="E30" s="8">
        <f>IFERROR(100/'Skjema total MA'!C30*C30,0)</f>
        <v>7.6895803416567987E-2</v>
      </c>
      <c r="F30" s="228"/>
      <c r="G30" s="228"/>
      <c r="H30" s="121"/>
      <c r="I30" s="325"/>
      <c r="J30" s="228">
        <f t="shared" si="4"/>
        <v>11542</v>
      </c>
      <c r="K30" s="228">
        <f t="shared" si="4"/>
        <v>14616</v>
      </c>
      <c r="L30" s="121">
        <f t="shared" si="5"/>
        <v>26.6</v>
      </c>
      <c r="M30" s="19">
        <f>IFERROR(100/'Skjema total MA'!I30*K30,0)</f>
        <v>6.4402736060669541E-2</v>
      </c>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v>6442</v>
      </c>
      <c r="C36" s="243">
        <v>18659</v>
      </c>
      <c r="D36" s="125">
        <f t="shared" si="3"/>
        <v>189.6</v>
      </c>
      <c r="E36" s="8">
        <f>IFERROR(100/'Skjema total MA'!C36*C36,0)</f>
        <v>93.935787672396643</v>
      </c>
      <c r="F36" s="253"/>
      <c r="G36" s="254"/>
      <c r="H36" s="125"/>
      <c r="I36" s="339"/>
      <c r="J36" s="180">
        <f t="shared" si="4"/>
        <v>6442</v>
      </c>
      <c r="K36" s="180">
        <f t="shared" si="4"/>
        <v>18659</v>
      </c>
      <c r="L36" s="333"/>
      <c r="M36" s="20">
        <f>IFERROR(100/'Skjema total MA'!I36*K36,0)</f>
        <v>93.935787672396643</v>
      </c>
    </row>
    <row r="37" spans="1:13" ht="15.75" x14ac:dyDescent="0.2">
      <c r="A37" s="9" t="s">
        <v>330</v>
      </c>
      <c r="B37" s="180">
        <v>5718</v>
      </c>
      <c r="C37" s="243">
        <v>14612</v>
      </c>
      <c r="D37" s="125">
        <f t="shared" si="3"/>
        <v>155.5</v>
      </c>
      <c r="E37" s="8">
        <f>IFERROR(100/'Skjema total MA'!C37*C37,0)</f>
        <v>0.61660405594428425</v>
      </c>
      <c r="F37" s="253"/>
      <c r="G37" s="255"/>
      <c r="H37" s="125"/>
      <c r="I37" s="339"/>
      <c r="J37" s="180">
        <f t="shared" si="4"/>
        <v>5718</v>
      </c>
      <c r="K37" s="180">
        <f t="shared" si="4"/>
        <v>14612</v>
      </c>
      <c r="L37" s="333"/>
      <c r="M37" s="20">
        <f>IFERROR(100/'Skjema total MA'!I37*K37,0)</f>
        <v>0.61660405594428425</v>
      </c>
    </row>
    <row r="38" spans="1:13" ht="15.75" x14ac:dyDescent="0.2">
      <c r="A38" s="9" t="s">
        <v>331</v>
      </c>
      <c r="B38" s="180"/>
      <c r="C38" s="243"/>
      <c r="D38" s="337"/>
      <c r="E38" s="20"/>
      <c r="F38" s="253"/>
      <c r="G38" s="254"/>
      <c r="H38" s="125"/>
      <c r="I38" s="339"/>
      <c r="J38" s="180"/>
      <c r="K38" s="180"/>
      <c r="L38" s="333"/>
      <c r="M38" s="20"/>
    </row>
    <row r="39" spans="1:13" ht="15.75" x14ac:dyDescent="0.2">
      <c r="A39" s="15" t="s">
        <v>332</v>
      </c>
      <c r="B39" s="215"/>
      <c r="C39" s="249"/>
      <c r="D39" s="338"/>
      <c r="E39" s="29"/>
      <c r="F39" s="256"/>
      <c r="G39" s="257"/>
      <c r="H39" s="123"/>
      <c r="I39" s="29"/>
      <c r="J39" s="180"/>
      <c r="K39" s="180"/>
      <c r="L39" s="334"/>
      <c r="M39" s="29"/>
    </row>
    <row r="40" spans="1:13" ht="15.75" x14ac:dyDescent="0.25">
      <c r="A40" s="34"/>
      <c r="B40" s="197"/>
      <c r="C40" s="197"/>
      <c r="D40" s="573"/>
      <c r="E40" s="572"/>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18782</v>
      </c>
      <c r="C47" s="245">
        <v>28257</v>
      </c>
      <c r="D47" s="332">
        <f t="shared" ref="D47:D48" si="6">IF(B47=0, "    ---- ", IF(ABS(ROUND(100/B47*C47-100,1))&lt;999,ROUND(100/B47*C47-100,1),IF(ROUND(100/B47*C47-100,1)&gt;999,999,-999)))</f>
        <v>50.4</v>
      </c>
      <c r="E47" s="8">
        <f>IFERROR(100/'Skjema total MA'!C47*C47,0)</f>
        <v>0.44358330811249702</v>
      </c>
      <c r="F47" s="108"/>
      <c r="G47" s="26"/>
      <c r="H47" s="116"/>
      <c r="I47" s="116"/>
      <c r="J47" s="30"/>
      <c r="K47" s="30"/>
      <c r="L47" s="116"/>
      <c r="M47" s="116"/>
    </row>
    <row r="48" spans="1:13" ht="15.75" x14ac:dyDescent="0.2">
      <c r="A48" s="17" t="s">
        <v>333</v>
      </c>
      <c r="B48" s="220">
        <v>18782</v>
      </c>
      <c r="C48" s="221">
        <v>28257</v>
      </c>
      <c r="D48" s="198">
        <f t="shared" si="6"/>
        <v>50.4</v>
      </c>
      <c r="E48" s="22">
        <f>IFERROR(100/'Skjema total MA'!C48*C48,0)</f>
        <v>0.77275434522723396</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v>17259</v>
      </c>
      <c r="C66" s="280">
        <v>19747</v>
      </c>
      <c r="D66" s="277">
        <f t="shared" ref="D66:D122" si="7">IF(B66=0, "    ---- ", IF(ABS(ROUND(100/B66*C66-100,1))&lt;999,ROUND(100/B66*C66-100,1),IF(ROUND(100/B66*C66-100,1)&gt;999,999,-999)))</f>
        <v>14.4</v>
      </c>
      <c r="E66" s="8">
        <f>IFERROR(100/'Skjema total MA'!C66*C66,0)</f>
        <v>0.26290807412046313</v>
      </c>
      <c r="F66" s="279"/>
      <c r="G66" s="279"/>
      <c r="H66" s="277"/>
      <c r="I66" s="8"/>
      <c r="J66" s="243">
        <f t="shared" ref="J66:K76" si="8">SUM(B66,F66)</f>
        <v>17259</v>
      </c>
      <c r="K66" s="250">
        <f t="shared" si="8"/>
        <v>19747</v>
      </c>
      <c r="L66" s="333">
        <f t="shared" ref="L66:L122" si="9">IF(J66=0, "    ---- ", IF(ABS(ROUND(100/J66*K66-100,1))&lt;999,ROUND(100/J66*K66-100,1),IF(ROUND(100/J66*K66-100,1)&gt;999,999,-999)))</f>
        <v>14.4</v>
      </c>
      <c r="M66" s="8">
        <f>IFERROR(100/'Skjema total MA'!I66*K66,0)</f>
        <v>3.855986232109547E-2</v>
      </c>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v>17259</v>
      </c>
      <c r="C76" s="108">
        <v>19747</v>
      </c>
      <c r="D76" s="121">
        <f t="shared" si="7"/>
        <v>14.4</v>
      </c>
      <c r="E76" s="22">
        <f>IFERROR(100/'Skjema total MA'!C76*C76,0)</f>
        <v>0.72955323163837293</v>
      </c>
      <c r="F76" s="178"/>
      <c r="G76" s="108"/>
      <c r="H76" s="121"/>
      <c r="I76" s="22"/>
      <c r="J76" s="226">
        <f t="shared" si="8"/>
        <v>17259</v>
      </c>
      <c r="K76" s="35">
        <f t="shared" si="8"/>
        <v>19747</v>
      </c>
      <c r="L76" s="198">
        <f t="shared" si="9"/>
        <v>14.4</v>
      </c>
      <c r="M76" s="22">
        <f>IFERROR(100/'Skjema total MA'!I76*K76,0)</f>
        <v>0.72955323163837293</v>
      </c>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v>40577</v>
      </c>
      <c r="C87" s="280">
        <v>47141</v>
      </c>
      <c r="D87" s="125">
        <f t="shared" si="7"/>
        <v>16.2</v>
      </c>
      <c r="E87" s="8">
        <f>IFERROR(100/'Skjema total MA'!C87*C87,0)</f>
        <v>1.1396035152182571E-2</v>
      </c>
      <c r="F87" s="279"/>
      <c r="G87" s="279"/>
      <c r="H87" s="125"/>
      <c r="I87" s="8"/>
      <c r="J87" s="243">
        <f t="shared" ref="J87:K111" si="10">SUM(B87,F87)</f>
        <v>40577</v>
      </c>
      <c r="K87" s="180">
        <f t="shared" si="10"/>
        <v>47141</v>
      </c>
      <c r="L87" s="333">
        <f t="shared" si="9"/>
        <v>16.2</v>
      </c>
      <c r="M87" s="8">
        <f>IFERROR(100/'Skjema total MA'!I87*K87,0)</f>
        <v>4.0335528650448258E-3</v>
      </c>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v>40577</v>
      </c>
      <c r="C97" s="108">
        <v>47141</v>
      </c>
      <c r="D97" s="121">
        <f t="shared" si="7"/>
        <v>16.2</v>
      </c>
      <c r="E97" s="22">
        <f>IFERROR(100/'Skjema total MA'!C98*C97,0)</f>
        <v>1.2162343567342811E-2</v>
      </c>
      <c r="F97" s="178"/>
      <c r="G97" s="108"/>
      <c r="H97" s="121"/>
      <c r="I97" s="22"/>
      <c r="J97" s="226">
        <f t="shared" si="10"/>
        <v>40577</v>
      </c>
      <c r="K97" s="35">
        <f t="shared" si="10"/>
        <v>47141</v>
      </c>
      <c r="L97" s="198">
        <f t="shared" si="9"/>
        <v>16.2</v>
      </c>
      <c r="M97" s="22">
        <f>IFERROR(100/'Skjema total MA'!I98*K97,0)</f>
        <v>4.1708859078966494E-3</v>
      </c>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v>5462</v>
      </c>
      <c r="C111" s="116">
        <v>2496</v>
      </c>
      <c r="D111" s="125">
        <f t="shared" si="7"/>
        <v>-54.3</v>
      </c>
      <c r="E111" s="8">
        <f>IFERROR(100/'Skjema total MA'!C111*C111,0)</f>
        <v>0.12871948745019793</v>
      </c>
      <c r="F111" s="242"/>
      <c r="G111" s="116"/>
      <c r="H111" s="125"/>
      <c r="I111" s="8"/>
      <c r="J111" s="243">
        <f t="shared" si="10"/>
        <v>5462</v>
      </c>
      <c r="K111" s="180">
        <f t="shared" si="10"/>
        <v>2496</v>
      </c>
      <c r="L111" s="333">
        <f t="shared" si="9"/>
        <v>-54.3</v>
      </c>
      <c r="M111" s="8">
        <f>IFERROR(100/'Skjema total MA'!I111*K111,0)</f>
        <v>4.6147010615730493E-3</v>
      </c>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v>5462</v>
      </c>
      <c r="C114" s="108">
        <v>2496</v>
      </c>
      <c r="D114" s="121">
        <f t="shared" si="7"/>
        <v>-54.3</v>
      </c>
      <c r="E114" s="22">
        <f>IFERROR(100/'Skjema total MA'!C114*C114,0)</f>
        <v>2.0126084703690736</v>
      </c>
      <c r="F114" s="178"/>
      <c r="G114" s="108"/>
      <c r="H114" s="121"/>
      <c r="I114" s="22"/>
      <c r="J114" s="226">
        <f t="shared" ref="J114:K122" si="11">SUM(B114,F114)</f>
        <v>5462</v>
      </c>
      <c r="K114" s="35">
        <f t="shared" si="11"/>
        <v>2496</v>
      </c>
      <c r="L114" s="198">
        <f t="shared" si="9"/>
        <v>-54.3</v>
      </c>
      <c r="M114" s="22">
        <f>IFERROR(100/'Skjema total MA'!I114*K114,0)</f>
        <v>2.0126084703690736</v>
      </c>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v>2842</v>
      </c>
      <c r="C119" s="116">
        <v>3276</v>
      </c>
      <c r="D119" s="125">
        <f t="shared" si="7"/>
        <v>15.3</v>
      </c>
      <c r="E119" s="8">
        <f>IFERROR(100/'Skjema total MA'!C119*C119,0)</f>
        <v>0.61704221264101</v>
      </c>
      <c r="F119" s="242"/>
      <c r="G119" s="116"/>
      <c r="H119" s="125"/>
      <c r="I119" s="8"/>
      <c r="J119" s="243">
        <f t="shared" si="11"/>
        <v>2842</v>
      </c>
      <c r="K119" s="180">
        <f t="shared" si="11"/>
        <v>3276</v>
      </c>
      <c r="L119" s="333">
        <f t="shared" si="9"/>
        <v>15.3</v>
      </c>
      <c r="M119" s="8">
        <f>IFERROR(100/'Skjema total MA'!I119*K119,0)</f>
        <v>5.9367014683526518E-3</v>
      </c>
    </row>
    <row r="120" spans="1:13" x14ac:dyDescent="0.2">
      <c r="A120" s="17" t="s">
        <v>9</v>
      </c>
      <c r="B120" s="178">
        <v>2842</v>
      </c>
      <c r="C120" s="108"/>
      <c r="D120" s="121">
        <f t="shared" si="7"/>
        <v>-100</v>
      </c>
      <c r="E120" s="22">
        <f>IFERROR(100/'Skjema total MA'!C120*C120,0)</f>
        <v>0</v>
      </c>
      <c r="F120" s="178"/>
      <c r="G120" s="108"/>
      <c r="H120" s="121"/>
      <c r="I120" s="22"/>
      <c r="J120" s="226">
        <f t="shared" si="11"/>
        <v>2842</v>
      </c>
      <c r="K120" s="35"/>
      <c r="L120" s="198">
        <f t="shared" si="9"/>
        <v>-100</v>
      </c>
      <c r="M120" s="22">
        <f>IFERROR(100/'Skjema total MA'!I120*K120,0)</f>
        <v>0</v>
      </c>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v>3276</v>
      </c>
      <c r="D122" s="121" t="str">
        <f t="shared" si="7"/>
        <v xml:space="preserve">    ---- </v>
      </c>
      <c r="E122" s="22">
        <f>IFERROR(100/'Skjema total MA'!C122*C122,0)</f>
        <v>1.025898353651221</v>
      </c>
      <c r="F122" s="178"/>
      <c r="G122" s="108"/>
      <c r="H122" s="121"/>
      <c r="I122" s="22"/>
      <c r="J122" s="226"/>
      <c r="K122" s="35">
        <f t="shared" si="11"/>
        <v>3276</v>
      </c>
      <c r="L122" s="198" t="str">
        <f t="shared" si="9"/>
        <v xml:space="preserve">    ---- </v>
      </c>
      <c r="M122" s="22">
        <f>IFERROR(100/'Skjema total MA'!I122*K122,0)</f>
        <v>1.025898353651221</v>
      </c>
    </row>
    <row r="123" spans="1:13" x14ac:dyDescent="0.2">
      <c r="A123" s="232" t="s">
        <v>14</v>
      </c>
      <c r="B123" s="220" t="s">
        <v>412</v>
      </c>
      <c r="C123" s="220" t="s">
        <v>412</v>
      </c>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187" priority="7">
      <formula>kvartal &lt; 4</formula>
    </cfRule>
  </conditionalFormatting>
  <conditionalFormatting sqref="A69:A74">
    <cfRule type="expression" dxfId="186" priority="6">
      <formula>kvartal &lt; 4</formula>
    </cfRule>
  </conditionalFormatting>
  <conditionalFormatting sqref="A80:A85">
    <cfRule type="expression" dxfId="185" priority="5">
      <formula>kvartal &lt; 4</formula>
    </cfRule>
  </conditionalFormatting>
  <conditionalFormatting sqref="A90:A95">
    <cfRule type="expression" dxfId="184" priority="4">
      <formula>kvartal &lt; 4</formula>
    </cfRule>
  </conditionalFormatting>
  <conditionalFormatting sqref="A101:A106">
    <cfRule type="expression" dxfId="183" priority="3">
      <formula>kvartal &lt; 4</formula>
    </cfRule>
  </conditionalFormatting>
  <conditionalFormatting sqref="A115:C115">
    <cfRule type="expression" dxfId="182" priority="2">
      <formula>kvartal &lt; 4</formula>
    </cfRule>
  </conditionalFormatting>
  <conditionalFormatting sqref="A123:C123">
    <cfRule type="expression" dxfId="181" priority="1">
      <formula>kvartal &lt; 4</formula>
    </cfRule>
  </conditionalFormatting>
  <conditionalFormatting sqref="F115:G115">
    <cfRule type="expression" dxfId="180" priority="27">
      <formula>kvartal &lt; 4</formula>
    </cfRule>
  </conditionalFormatting>
  <conditionalFormatting sqref="F123:G123">
    <cfRule type="expression" dxfId="179" priority="26">
      <formula>kvartal &lt; 4</formula>
    </cfRule>
  </conditionalFormatting>
  <conditionalFormatting sqref="J115:K115">
    <cfRule type="expression" dxfId="178" priority="9">
      <formula>kvartal &lt; 4</formula>
    </cfRule>
  </conditionalFormatting>
  <conditionalFormatting sqref="J123:K123">
    <cfRule type="expression" dxfId="177" priority="8">
      <formula>kvartal &lt; 4</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6044-2CB6-449D-AC95-3178BBB2285A}">
  <dimension ref="A1:AM62"/>
  <sheetViews>
    <sheetView showGridLines="0" zoomScale="70" zoomScaleNormal="70" workbookViewId="0">
      <pane xSplit="1" ySplit="8" topLeftCell="B9" activePane="bottomRight" state="frozen"/>
      <selection activeCell="A42" sqref="A42"/>
      <selection pane="topRight" activeCell="A42" sqref="A42"/>
      <selection pane="bottomLeft" activeCell="A42" sqref="A42"/>
      <selection pane="bottomRight" activeCell="A4" sqref="A4"/>
    </sheetView>
  </sheetViews>
  <sheetFormatPr baseColWidth="10" defaultColWidth="11.42578125" defaultRowHeight="12.75" x14ac:dyDescent="0.2"/>
  <cols>
    <col min="1" max="1" width="123.5703125" style="354" customWidth="1"/>
    <col min="2" max="37" width="11.7109375" style="354" customWidth="1"/>
    <col min="38" max="16384" width="11.42578125" style="354"/>
  </cols>
  <sheetData>
    <row r="1" spans="1:37" ht="20.25" x14ac:dyDescent="0.3">
      <c r="A1" s="357" t="s">
        <v>255</v>
      </c>
      <c r="B1" s="358"/>
      <c r="C1" s="358"/>
      <c r="D1" s="358"/>
      <c r="E1" s="358"/>
      <c r="F1" s="358"/>
      <c r="G1" s="358"/>
      <c r="H1" s="358"/>
      <c r="I1" s="358"/>
      <c r="J1" s="358"/>
    </row>
    <row r="2" spans="1:37" ht="20.25" x14ac:dyDescent="0.3">
      <c r="A2" s="357" t="s">
        <v>227</v>
      </c>
      <c r="B2" s="473"/>
      <c r="C2" s="473"/>
      <c r="D2" s="474"/>
      <c r="E2" s="474"/>
      <c r="F2" s="475"/>
      <c r="G2" s="355"/>
      <c r="H2" s="355"/>
      <c r="I2" s="355"/>
      <c r="J2" s="355"/>
      <c r="K2" s="355"/>
      <c r="L2" s="355"/>
      <c r="M2" s="355"/>
      <c r="N2" s="355"/>
      <c r="O2" s="355"/>
      <c r="P2" s="355"/>
      <c r="Q2" s="355"/>
      <c r="R2" s="355"/>
      <c r="S2" s="355"/>
      <c r="T2" s="355"/>
      <c r="U2" s="355"/>
      <c r="V2" s="355"/>
      <c r="W2" s="355"/>
      <c r="X2" s="355"/>
      <c r="Y2" s="355"/>
      <c r="Z2" s="355"/>
      <c r="AA2" s="476"/>
      <c r="AB2" s="355"/>
      <c r="AC2" s="355"/>
      <c r="AD2" s="476"/>
      <c r="AE2" s="355"/>
      <c r="AF2" s="355"/>
      <c r="AG2" s="355"/>
      <c r="AH2" s="355"/>
      <c r="AI2" s="355"/>
      <c r="AJ2" s="355"/>
      <c r="AK2" s="355"/>
    </row>
    <row r="3" spans="1:37" ht="18.75" x14ac:dyDescent="0.3">
      <c r="A3" s="477" t="s">
        <v>256</v>
      </c>
      <c r="B3" s="478"/>
      <c r="C3" s="478"/>
      <c r="D3" s="478"/>
      <c r="E3" s="474"/>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row>
    <row r="4" spans="1:37" ht="18.75" customHeight="1" x14ac:dyDescent="0.25">
      <c r="A4" s="479" t="s">
        <v>410</v>
      </c>
      <c r="B4" s="480"/>
      <c r="C4" s="481"/>
      <c r="D4" s="482"/>
      <c r="E4" s="480"/>
      <c r="F4" s="481"/>
      <c r="G4" s="482"/>
      <c r="H4" s="480"/>
      <c r="I4" s="481"/>
      <c r="J4" s="482"/>
      <c r="K4" s="360"/>
      <c r="L4" s="360"/>
      <c r="M4" s="360"/>
      <c r="N4" s="361"/>
      <c r="O4" s="360"/>
      <c r="P4" s="362"/>
      <c r="Q4" s="361"/>
      <c r="R4" s="360"/>
      <c r="S4" s="362"/>
      <c r="T4" s="361"/>
      <c r="U4" s="360"/>
      <c r="V4" s="362"/>
      <c r="W4" s="361"/>
      <c r="X4" s="360"/>
      <c r="Y4" s="362"/>
      <c r="Z4" s="361"/>
      <c r="AA4" s="360"/>
      <c r="AB4" s="362"/>
      <c r="AC4" s="361"/>
      <c r="AD4" s="360"/>
      <c r="AE4" s="362"/>
      <c r="AF4" s="483"/>
      <c r="AG4" s="484"/>
      <c r="AH4" s="485"/>
      <c r="AI4" s="361"/>
      <c r="AJ4" s="360"/>
      <c r="AK4" s="486"/>
    </row>
    <row r="5" spans="1:37" ht="18.75" customHeight="1" x14ac:dyDescent="0.3">
      <c r="A5" s="417" t="s">
        <v>94</v>
      </c>
      <c r="B5" s="578" t="s">
        <v>156</v>
      </c>
      <c r="C5" s="579"/>
      <c r="D5" s="580"/>
      <c r="E5" s="578"/>
      <c r="F5" s="579"/>
      <c r="G5" s="580"/>
      <c r="H5" s="578" t="s">
        <v>157</v>
      </c>
      <c r="I5" s="579"/>
      <c r="J5" s="580"/>
      <c r="K5" s="578" t="s">
        <v>158</v>
      </c>
      <c r="L5" s="579"/>
      <c r="M5" s="580"/>
      <c r="N5" s="578"/>
      <c r="O5" s="579"/>
      <c r="P5" s="580"/>
      <c r="Q5" s="525"/>
      <c r="R5" s="526"/>
      <c r="S5" s="527"/>
      <c r="T5" s="578" t="s">
        <v>160</v>
      </c>
      <c r="U5" s="579"/>
      <c r="V5" s="580"/>
      <c r="W5" s="578" t="s">
        <v>65</v>
      </c>
      <c r="X5" s="579"/>
      <c r="Y5" s="580"/>
      <c r="Z5" s="578" t="s">
        <v>68</v>
      </c>
      <c r="AA5" s="579"/>
      <c r="AB5" s="580"/>
      <c r="AC5" s="578" t="s">
        <v>371</v>
      </c>
      <c r="AD5" s="579"/>
      <c r="AE5" s="580"/>
      <c r="AF5" s="578" t="s">
        <v>2</v>
      </c>
      <c r="AG5" s="579"/>
      <c r="AH5" s="580"/>
      <c r="AI5" s="578" t="s">
        <v>257</v>
      </c>
      <c r="AJ5" s="579"/>
      <c r="AK5" s="580"/>
    </row>
    <row r="6" spans="1:37" ht="21" customHeight="1" x14ac:dyDescent="0.3">
      <c r="A6" s="418"/>
      <c r="B6" s="575" t="s">
        <v>162</v>
      </c>
      <c r="C6" s="576"/>
      <c r="D6" s="577"/>
      <c r="E6" s="575" t="s">
        <v>356</v>
      </c>
      <c r="F6" s="576"/>
      <c r="G6" s="577"/>
      <c r="H6" s="575" t="s">
        <v>162</v>
      </c>
      <c r="I6" s="576"/>
      <c r="J6" s="577"/>
      <c r="K6" s="575" t="s">
        <v>163</v>
      </c>
      <c r="L6" s="576"/>
      <c r="M6" s="577"/>
      <c r="N6" s="575" t="s">
        <v>61</v>
      </c>
      <c r="O6" s="576"/>
      <c r="P6" s="577"/>
      <c r="Q6" s="575" t="s">
        <v>63</v>
      </c>
      <c r="R6" s="576"/>
      <c r="S6" s="577"/>
      <c r="T6" s="575" t="s">
        <v>161</v>
      </c>
      <c r="U6" s="576"/>
      <c r="V6" s="577"/>
      <c r="W6" s="575" t="s">
        <v>367</v>
      </c>
      <c r="X6" s="576"/>
      <c r="Y6" s="577"/>
      <c r="Z6" s="575" t="s">
        <v>162</v>
      </c>
      <c r="AA6" s="576"/>
      <c r="AB6" s="577"/>
      <c r="AC6" s="575" t="s">
        <v>162</v>
      </c>
      <c r="AD6" s="576"/>
      <c r="AE6" s="577"/>
      <c r="AF6" s="575" t="s">
        <v>258</v>
      </c>
      <c r="AG6" s="576"/>
      <c r="AH6" s="577"/>
      <c r="AI6" s="575" t="s">
        <v>259</v>
      </c>
      <c r="AJ6" s="576"/>
      <c r="AK6" s="577"/>
    </row>
    <row r="7" spans="1:37" ht="18.75" customHeight="1" x14ac:dyDescent="0.3">
      <c r="A7" s="418"/>
      <c r="B7" s="418"/>
      <c r="C7" s="418"/>
      <c r="D7" s="419" t="s">
        <v>76</v>
      </c>
      <c r="E7" s="418"/>
      <c r="F7" s="418"/>
      <c r="G7" s="419" t="s">
        <v>76</v>
      </c>
      <c r="H7" s="418"/>
      <c r="I7" s="418"/>
      <c r="J7" s="419" t="s">
        <v>76</v>
      </c>
      <c r="K7" s="418"/>
      <c r="L7" s="418"/>
      <c r="M7" s="419" t="s">
        <v>76</v>
      </c>
      <c r="N7" s="418"/>
      <c r="O7" s="418"/>
      <c r="P7" s="419" t="s">
        <v>76</v>
      </c>
      <c r="Q7" s="418"/>
      <c r="R7" s="418"/>
      <c r="S7" s="419" t="s">
        <v>76</v>
      </c>
      <c r="T7" s="418"/>
      <c r="U7" s="418"/>
      <c r="V7" s="419" t="s">
        <v>76</v>
      </c>
      <c r="W7" s="418"/>
      <c r="X7" s="418"/>
      <c r="Y7" s="419" t="s">
        <v>76</v>
      </c>
      <c r="Z7" s="418"/>
      <c r="AA7" s="418"/>
      <c r="AB7" s="419" t="s">
        <v>76</v>
      </c>
      <c r="AC7" s="418"/>
      <c r="AD7" s="418"/>
      <c r="AE7" s="419" t="s">
        <v>76</v>
      </c>
      <c r="AF7" s="418"/>
      <c r="AG7" s="418"/>
      <c r="AH7" s="419" t="s">
        <v>76</v>
      </c>
      <c r="AI7" s="418"/>
      <c r="AJ7" s="418"/>
      <c r="AK7" s="419" t="s">
        <v>76</v>
      </c>
    </row>
    <row r="8" spans="1:37" ht="18.75" customHeight="1" x14ac:dyDescent="0.25">
      <c r="A8" s="420" t="s">
        <v>260</v>
      </c>
      <c r="B8" s="408">
        <v>2024</v>
      </c>
      <c r="C8" s="408">
        <v>2025</v>
      </c>
      <c r="D8" s="421" t="s">
        <v>78</v>
      </c>
      <c r="E8" s="408">
        <f>$B$8</f>
        <v>2024</v>
      </c>
      <c r="F8" s="408">
        <f>$C$8</f>
        <v>2025</v>
      </c>
      <c r="G8" s="421" t="s">
        <v>78</v>
      </c>
      <c r="H8" s="408">
        <f>$B$8</f>
        <v>2024</v>
      </c>
      <c r="I8" s="408">
        <f>$C$8</f>
        <v>2025</v>
      </c>
      <c r="J8" s="421" t="s">
        <v>78</v>
      </c>
      <c r="K8" s="408">
        <f>$B$8</f>
        <v>2024</v>
      </c>
      <c r="L8" s="408">
        <f>$C$8</f>
        <v>2025</v>
      </c>
      <c r="M8" s="421" t="s">
        <v>78</v>
      </c>
      <c r="N8" s="408">
        <f>$B$8</f>
        <v>2024</v>
      </c>
      <c r="O8" s="408">
        <f>$C$8</f>
        <v>2025</v>
      </c>
      <c r="P8" s="421" t="s">
        <v>78</v>
      </c>
      <c r="Q8" s="408">
        <f>$B$8</f>
        <v>2024</v>
      </c>
      <c r="R8" s="408">
        <f>$C$8</f>
        <v>2025</v>
      </c>
      <c r="S8" s="421" t="s">
        <v>78</v>
      </c>
      <c r="T8" s="408">
        <f>$B$8</f>
        <v>2024</v>
      </c>
      <c r="U8" s="408">
        <f>$C$8</f>
        <v>2025</v>
      </c>
      <c r="V8" s="421" t="s">
        <v>78</v>
      </c>
      <c r="W8" s="408">
        <f>$B$8</f>
        <v>2024</v>
      </c>
      <c r="X8" s="408">
        <f>$C$8</f>
        <v>2025</v>
      </c>
      <c r="Y8" s="421" t="s">
        <v>78</v>
      </c>
      <c r="Z8" s="408">
        <f>$B$8</f>
        <v>2024</v>
      </c>
      <c r="AA8" s="408">
        <f>$C$8</f>
        <v>2025</v>
      </c>
      <c r="AB8" s="421" t="s">
        <v>78</v>
      </c>
      <c r="AC8" s="408">
        <f>$B$8</f>
        <v>2024</v>
      </c>
      <c r="AD8" s="408">
        <f>$C$8</f>
        <v>2025</v>
      </c>
      <c r="AE8" s="421" t="s">
        <v>78</v>
      </c>
      <c r="AF8" s="408">
        <f>$B$8</f>
        <v>2024</v>
      </c>
      <c r="AG8" s="408">
        <f>$C$8</f>
        <v>2025</v>
      </c>
      <c r="AH8" s="421" t="s">
        <v>78</v>
      </c>
      <c r="AI8" s="408">
        <f>$B$8</f>
        <v>2024</v>
      </c>
      <c r="AJ8" s="408">
        <f>$C$8</f>
        <v>2025</v>
      </c>
      <c r="AK8" s="421" t="s">
        <v>78</v>
      </c>
    </row>
    <row r="9" spans="1:37" ht="18.75" customHeight="1" x14ac:dyDescent="0.3">
      <c r="A9" s="418" t="s">
        <v>261</v>
      </c>
      <c r="B9" s="376"/>
      <c r="C9" s="376"/>
      <c r="D9" s="378"/>
      <c r="E9" s="514"/>
      <c r="F9" s="376"/>
      <c r="G9" s="378"/>
      <c r="H9" s="514"/>
      <c r="I9" s="376"/>
      <c r="J9" s="378"/>
      <c r="K9" s="514"/>
      <c r="L9" s="376"/>
      <c r="M9" s="376"/>
      <c r="N9" s="524"/>
      <c r="O9" s="378"/>
      <c r="P9" s="378"/>
      <c r="Q9" s="514"/>
      <c r="R9" s="376"/>
      <c r="S9" s="378"/>
      <c r="T9" s="524"/>
      <c r="U9" s="378"/>
      <c r="V9" s="378"/>
      <c r="W9" s="514"/>
      <c r="X9" s="376"/>
      <c r="Y9" s="378"/>
      <c r="Z9" s="514"/>
      <c r="AA9" s="376"/>
      <c r="AB9" s="378"/>
      <c r="AC9" s="514"/>
      <c r="AD9" s="376"/>
      <c r="AE9" s="378"/>
      <c r="AF9" s="378"/>
      <c r="AG9" s="378"/>
      <c r="AH9" s="378"/>
      <c r="AI9" s="422"/>
      <c r="AJ9" s="422"/>
      <c r="AK9" s="422"/>
    </row>
    <row r="10" spans="1:37" s="355" customFormat="1" ht="18.75" customHeight="1" x14ac:dyDescent="0.3">
      <c r="A10" s="416" t="s">
        <v>380</v>
      </c>
      <c r="B10" s="341"/>
      <c r="C10" s="341"/>
      <c r="D10" s="269"/>
      <c r="E10" s="423"/>
      <c r="F10" s="341"/>
      <c r="G10" s="269"/>
      <c r="H10" s="423"/>
      <c r="I10" s="341"/>
      <c r="J10" s="269"/>
      <c r="K10" s="423"/>
      <c r="L10" s="341"/>
      <c r="M10" s="341"/>
      <c r="N10" s="424"/>
      <c r="O10" s="269"/>
      <c r="P10" s="269"/>
      <c r="Q10" s="423"/>
      <c r="R10" s="341"/>
      <c r="S10" s="269"/>
      <c r="T10" s="424"/>
      <c r="U10" s="269"/>
      <c r="V10" s="269"/>
      <c r="W10" s="423"/>
      <c r="X10" s="341"/>
      <c r="Y10" s="269"/>
      <c r="Z10" s="423"/>
      <c r="AA10" s="341"/>
      <c r="AB10" s="269"/>
      <c r="AC10" s="423"/>
      <c r="AD10" s="341"/>
      <c r="AE10" s="269"/>
      <c r="AF10" s="269"/>
      <c r="AG10" s="269"/>
      <c r="AH10" s="269"/>
      <c r="AI10" s="425"/>
      <c r="AJ10" s="425"/>
      <c r="AK10" s="425"/>
    </row>
    <row r="11" spans="1:37" s="355" customFormat="1" ht="18.75" customHeight="1" x14ac:dyDescent="0.3">
      <c r="A11" s="416" t="s">
        <v>262</v>
      </c>
      <c r="B11" s="269">
        <v>16104.455106149999</v>
      </c>
      <c r="C11" s="269">
        <v>17564.981184159995</v>
      </c>
      <c r="D11" s="269">
        <f t="shared" ref="D11:D17" si="0">IF(B11=0, "    ---- ", IF(ABS(ROUND(100/B11*C11-100,1))&lt;999,ROUND(100/B11*C11-100,1),IF(ROUND(100/B11*C11-100,1)&gt;999,999,-999)))</f>
        <v>9.1</v>
      </c>
      <c r="E11" s="424">
        <v>3280.87180519</v>
      </c>
      <c r="F11" s="269">
        <v>3517.4027786199999</v>
      </c>
      <c r="G11" s="269">
        <f t="shared" ref="G11:G17" si="1">IF(E11=0, "    ---- ", IF(ABS(ROUND(100/E11*F11-100,1))&lt;999,ROUND(100/E11*F11-100,1),IF(ROUND(100/E11*F11-100,1)&gt;999,999,-999)))</f>
        <v>7.2</v>
      </c>
      <c r="H11" s="424">
        <v>759.19600000000003</v>
      </c>
      <c r="I11" s="269">
        <v>854.89400000000001</v>
      </c>
      <c r="J11" s="269">
        <f t="shared" ref="J11:J15" si="2">IF(H11=0, "    ---- ", IF(ABS(ROUND(100/H11*I11-100,1))&lt;999,ROUND(100/H11*I11-100,1),IF(ROUND(100/H11*I11-100,1)&gt;999,999,-999)))</f>
        <v>12.6</v>
      </c>
      <c r="K11" s="424">
        <v>5649</v>
      </c>
      <c r="L11" s="269">
        <v>6261</v>
      </c>
      <c r="M11" s="269">
        <f t="shared" ref="M11:M17" si="3">IF(K11=0, "    ---- ", IF(ABS(ROUND(100/K11*L11-100,1))&lt;999,ROUND(100/K11*L11-100,1),IF(ROUND(100/K11*L11-100,1)&gt;999,999,-999)))</f>
        <v>10.8</v>
      </c>
      <c r="N11" s="424">
        <v>51793.813808440005</v>
      </c>
      <c r="O11" s="269">
        <v>53581.705162769998</v>
      </c>
      <c r="P11" s="269">
        <f t="shared" ref="P11:P17" si="4">IF(N11=0, "    ---- ", IF(ABS(ROUND(100/N11*O11-100,1))&lt;999,ROUND(100/N11*O11-100,1),IF(ROUND(100/N11*O11-100,1)&gt;999,999,-999)))</f>
        <v>3.5</v>
      </c>
      <c r="Q11" s="424">
        <v>16767.2945</v>
      </c>
      <c r="R11" s="269">
        <v>15553.623099549901</v>
      </c>
      <c r="S11" s="269">
        <f t="shared" ref="S11:S17" si="5">IF(Q11=0, "    ---- ", IF(ABS(ROUND(100/Q11*R11-100,1))&lt;999,ROUND(100/Q11*R11-100,1),IF(ROUND(100/Q11*R11-100,1)&gt;999,999,-999)))</f>
        <v>-7.2</v>
      </c>
      <c r="T11" s="424">
        <v>7128</v>
      </c>
      <c r="U11" s="269">
        <v>7353</v>
      </c>
      <c r="V11" s="269">
        <f t="shared" ref="V11:V17" si="6">IF(T11=0, "    ---- ", IF(ABS(ROUND(100/T11*U11-100,1))&lt;999,ROUND(100/T11*U11-100,1),IF(ROUND(100/T11*U11-100,1)&gt;999,999,-999)))</f>
        <v>3.2</v>
      </c>
      <c r="W11" s="424">
        <v>6310.4598986799992</v>
      </c>
      <c r="X11" s="269">
        <v>6933.0972463500011</v>
      </c>
      <c r="Y11" s="269">
        <f t="shared" ref="Y11:Y17" si="7">IF(W11=0, "    ---- ", IF(ABS(ROUND(100/W11*X11-100,1))&lt;999,ROUND(100/W11*X11-100,1),IF(ROUND(100/W11*X11-100,1)&gt;999,999,-999)))</f>
        <v>9.9</v>
      </c>
      <c r="Z11" s="424">
        <v>20458.847214530004</v>
      </c>
      <c r="AA11" s="269">
        <v>22067.184399289985</v>
      </c>
      <c r="AB11" s="269">
        <f t="shared" ref="AB11:AB17" si="8">IF(Z11=0, "    ---- ", IF(ABS(ROUND(100/Z11*AA11-100,1))&lt;999,ROUND(100/Z11*AA11-100,1),IF(ROUND(100/Z11*AA11-100,1)&gt;999,999,-999)))</f>
        <v>7.9</v>
      </c>
      <c r="AC11" s="424">
        <v>90</v>
      </c>
      <c r="AD11" s="269">
        <v>135</v>
      </c>
      <c r="AE11" s="269">
        <f t="shared" ref="AE11:AE15" si="9">IF(AC11=0, "    ---- ", IF(ABS(ROUND(100/AC11*AD11-100,1))&lt;999,ROUND(100/AC11*AD11-100,1),IF(ROUND(100/AC11*AD11-100,1)&gt;999,999,-999)))</f>
        <v>50</v>
      </c>
      <c r="AF11" s="269">
        <f t="shared" ref="AF11:AG27" si="10">B11+E11+H11+K11+N11+Q11+T11+W11+Z11</f>
        <v>128251.93833299</v>
      </c>
      <c r="AG11" s="269">
        <f t="shared" si="10"/>
        <v>133686.88787073988</v>
      </c>
      <c r="AH11" s="269">
        <f t="shared" ref="AH11:AH46" si="11">IF(AF11=0, "    ---- ", IF(ABS(ROUND(100/AF11*AG11-100,1))&lt;999,ROUND(100/AF11*AG11-100,1),IF(ROUND(100/AF11*AG11-100,1)&gt;999,999,-999)))</f>
        <v>4.2</v>
      </c>
      <c r="AI11" s="344">
        <f t="shared" ref="AI11:AJ21" si="12">B11+E11+H11+K11+N11+Q11+T11+W11+Z11+AC11</f>
        <v>128341.93833299</v>
      </c>
      <c r="AJ11" s="344">
        <f t="shared" si="12"/>
        <v>133821.88787073988</v>
      </c>
      <c r="AK11" s="269">
        <f t="shared" ref="AK11:AK17" si="13">IF(AI11=0, "    ---- ", IF(ABS(ROUND(100/AI11*AJ11-100,1))&lt;999,ROUND(100/AI11*AJ11-100,1),IF(ROUND(100/AI11*AJ11-100,1)&gt;999,999,-999)))</f>
        <v>4.3</v>
      </c>
    </row>
    <row r="12" spans="1:37" s="355" customFormat="1" ht="18.75" customHeight="1" x14ac:dyDescent="0.3">
      <c r="A12" s="416" t="s">
        <v>263</v>
      </c>
      <c r="B12" s="269">
        <v>-149.86016369999999</v>
      </c>
      <c r="C12" s="269">
        <v>-180.56978549999999</v>
      </c>
      <c r="D12" s="269">
        <f t="shared" si="0"/>
        <v>20.5</v>
      </c>
      <c r="E12" s="424">
        <v>-29.746752820000005</v>
      </c>
      <c r="F12" s="269">
        <v>-38.976267440000001</v>
      </c>
      <c r="G12" s="269">
        <f t="shared" si="1"/>
        <v>31</v>
      </c>
      <c r="H12" s="424">
        <v>-16.010000000000002</v>
      </c>
      <c r="I12" s="269">
        <v>-9.1690000000000005</v>
      </c>
      <c r="J12" s="269">
        <f t="shared" si="2"/>
        <v>-42.7</v>
      </c>
      <c r="K12" s="424">
        <v>-78</v>
      </c>
      <c r="L12" s="269">
        <v>-11</v>
      </c>
      <c r="M12" s="269">
        <f t="shared" si="3"/>
        <v>-85.9</v>
      </c>
      <c r="N12" s="424"/>
      <c r="O12" s="269"/>
      <c r="P12" s="269"/>
      <c r="Q12" s="424">
        <v>-82.43</v>
      </c>
      <c r="R12" s="269">
        <v>-91.64</v>
      </c>
      <c r="S12" s="269">
        <f t="shared" si="5"/>
        <v>11.2</v>
      </c>
      <c r="T12" s="424"/>
      <c r="U12" s="269"/>
      <c r="V12" s="269"/>
      <c r="W12" s="424">
        <v>-6.101</v>
      </c>
      <c r="X12" s="269">
        <v>-7.5937443699999996</v>
      </c>
      <c r="Y12" s="269">
        <f t="shared" si="7"/>
        <v>24.5</v>
      </c>
      <c r="Z12" s="424">
        <v>-23.291771910000001</v>
      </c>
      <c r="AA12" s="269">
        <v>-16.84147544</v>
      </c>
      <c r="AB12" s="269">
        <f t="shared" si="8"/>
        <v>-27.7</v>
      </c>
      <c r="AC12" s="424">
        <v>-16</v>
      </c>
      <c r="AD12" s="269">
        <v>-47</v>
      </c>
      <c r="AE12" s="269">
        <f t="shared" si="9"/>
        <v>193.8</v>
      </c>
      <c r="AF12" s="269">
        <f t="shared" si="10"/>
        <v>-385.43968843000005</v>
      </c>
      <c r="AG12" s="269">
        <f t="shared" si="10"/>
        <v>-355.79027275000004</v>
      </c>
      <c r="AH12" s="269">
        <f t="shared" si="11"/>
        <v>-7.7</v>
      </c>
      <c r="AI12" s="344">
        <f t="shared" si="12"/>
        <v>-401.43968843000005</v>
      </c>
      <c r="AJ12" s="344">
        <f t="shared" si="12"/>
        <v>-402.79027275000004</v>
      </c>
      <c r="AK12" s="269">
        <f t="shared" si="13"/>
        <v>0.3</v>
      </c>
    </row>
    <row r="13" spans="1:37" s="355" customFormat="1" ht="18.75" customHeight="1" x14ac:dyDescent="0.3">
      <c r="A13" s="416" t="s">
        <v>381</v>
      </c>
      <c r="B13" s="269">
        <v>11362.190838769999</v>
      </c>
      <c r="C13" s="269">
        <v>16845.032348110002</v>
      </c>
      <c r="D13" s="269">
        <f t="shared" si="0"/>
        <v>48.3</v>
      </c>
      <c r="E13" s="424"/>
      <c r="F13" s="269"/>
      <c r="G13" s="269"/>
      <c r="H13" s="424"/>
      <c r="I13" s="269"/>
      <c r="J13" s="269"/>
      <c r="K13" s="424">
        <v>7353</v>
      </c>
      <c r="L13" s="269">
        <v>10215</v>
      </c>
      <c r="M13" s="269">
        <f t="shared" si="3"/>
        <v>38.9</v>
      </c>
      <c r="N13" s="424">
        <v>1.2145630000000001</v>
      </c>
      <c r="O13" s="269">
        <v>43.42210077</v>
      </c>
      <c r="P13" s="269">
        <f t="shared" si="4"/>
        <v>999</v>
      </c>
      <c r="Q13" s="424">
        <v>8694.3700000000008</v>
      </c>
      <c r="R13" s="269">
        <v>11033.25</v>
      </c>
      <c r="S13" s="269">
        <f t="shared" si="5"/>
        <v>26.9</v>
      </c>
      <c r="T13" s="424"/>
      <c r="U13" s="269"/>
      <c r="V13" s="269"/>
      <c r="W13" s="424">
        <v>4287.3548121599997</v>
      </c>
      <c r="X13" s="269">
        <v>6536.9186142200042</v>
      </c>
      <c r="Y13" s="269">
        <f t="shared" si="7"/>
        <v>52.5</v>
      </c>
      <c r="Z13" s="424">
        <v>9490.576542320001</v>
      </c>
      <c r="AA13" s="269">
        <v>12986.481861519998</v>
      </c>
      <c r="AB13" s="269">
        <f t="shared" si="8"/>
        <v>36.799999999999997</v>
      </c>
      <c r="AC13" s="424">
        <v>5</v>
      </c>
      <c r="AD13" s="269">
        <v>2</v>
      </c>
      <c r="AE13" s="269">
        <f t="shared" si="9"/>
        <v>-60</v>
      </c>
      <c r="AF13" s="269">
        <f t="shared" si="10"/>
        <v>41188.706756250001</v>
      </c>
      <c r="AG13" s="269">
        <f t="shared" si="10"/>
        <v>57660.104924620005</v>
      </c>
      <c r="AH13" s="269">
        <f t="shared" si="11"/>
        <v>40</v>
      </c>
      <c r="AI13" s="344">
        <f t="shared" si="12"/>
        <v>41193.706756250001</v>
      </c>
      <c r="AJ13" s="344">
        <f t="shared" si="12"/>
        <v>57662.104924620005</v>
      </c>
      <c r="AK13" s="269">
        <f t="shared" si="13"/>
        <v>40</v>
      </c>
    </row>
    <row r="14" spans="1:37" s="355" customFormat="1" ht="18.75" customHeight="1" x14ac:dyDescent="0.3">
      <c r="A14" s="416" t="s">
        <v>264</v>
      </c>
      <c r="B14" s="341">
        <v>27316.785781219998</v>
      </c>
      <c r="C14" s="341">
        <v>34229.443746769997</v>
      </c>
      <c r="D14" s="269">
        <f t="shared" si="0"/>
        <v>25.3</v>
      </c>
      <c r="E14" s="423">
        <f>SUM(E11:E13)</f>
        <v>3251.12505237</v>
      </c>
      <c r="F14" s="341">
        <f>SUM(F11:F13)</f>
        <v>3478.42651118</v>
      </c>
      <c r="G14" s="269">
        <f t="shared" si="1"/>
        <v>7</v>
      </c>
      <c r="H14" s="423">
        <f>SUM(H11:H13)</f>
        <v>743.18600000000004</v>
      </c>
      <c r="I14" s="341">
        <f>SUM(I11:I13)</f>
        <v>845.72500000000002</v>
      </c>
      <c r="J14" s="269">
        <f t="shared" si="2"/>
        <v>13.8</v>
      </c>
      <c r="K14" s="423">
        <f>SUM(K11:K13)</f>
        <v>12924</v>
      </c>
      <c r="L14" s="341">
        <f>SUM(L11:L13)</f>
        <v>16465</v>
      </c>
      <c r="M14" s="269">
        <f t="shared" si="3"/>
        <v>27.4</v>
      </c>
      <c r="N14" s="423">
        <v>51795.028371440007</v>
      </c>
      <c r="O14" s="341">
        <v>53625.127263540002</v>
      </c>
      <c r="P14" s="269">
        <f t="shared" si="4"/>
        <v>3.5</v>
      </c>
      <c r="Q14" s="423">
        <f>SUM(Q11:Q13)</f>
        <v>25379.234499999999</v>
      </c>
      <c r="R14" s="341">
        <f>SUM(R11:R13)</f>
        <v>26495.2330995499</v>
      </c>
      <c r="S14" s="269">
        <f t="shared" si="5"/>
        <v>4.4000000000000004</v>
      </c>
      <c r="T14" s="423">
        <f>SUM(T11:T13)</f>
        <v>7128</v>
      </c>
      <c r="U14" s="341">
        <f>SUM(U11:U13)</f>
        <v>7353</v>
      </c>
      <c r="V14" s="269">
        <f t="shared" si="6"/>
        <v>3.2</v>
      </c>
      <c r="W14" s="423">
        <f>SUM(W11:W13)</f>
        <v>10591.713710839998</v>
      </c>
      <c r="X14" s="341">
        <f>SUM(X11:X13)</f>
        <v>13462.422116200005</v>
      </c>
      <c r="Y14" s="269">
        <f t="shared" si="7"/>
        <v>27.1</v>
      </c>
      <c r="Z14" s="423">
        <f>SUM(Z11:Z13)</f>
        <v>29926.131984940002</v>
      </c>
      <c r="AA14" s="341">
        <f>SUM(AA11:AA13)</f>
        <v>35036.824785369987</v>
      </c>
      <c r="AB14" s="269">
        <f t="shared" si="8"/>
        <v>17.100000000000001</v>
      </c>
      <c r="AC14" s="423">
        <f>SUM(AC11:AC13)</f>
        <v>79</v>
      </c>
      <c r="AD14" s="341">
        <f>SUM(AD11:AD13)</f>
        <v>90</v>
      </c>
      <c r="AE14" s="269">
        <f t="shared" si="9"/>
        <v>13.9</v>
      </c>
      <c r="AF14" s="269">
        <f t="shared" si="10"/>
        <v>169055.20540080999</v>
      </c>
      <c r="AG14" s="269">
        <f t="shared" si="10"/>
        <v>190991.20252260991</v>
      </c>
      <c r="AH14" s="269">
        <f t="shared" si="11"/>
        <v>13</v>
      </c>
      <c r="AI14" s="344">
        <f t="shared" si="12"/>
        <v>169134.20540080999</v>
      </c>
      <c r="AJ14" s="344">
        <f t="shared" si="12"/>
        <v>191081.20252260991</v>
      </c>
      <c r="AK14" s="269">
        <f t="shared" si="13"/>
        <v>13</v>
      </c>
    </row>
    <row r="15" spans="1:37" s="355" customFormat="1" ht="18.75" customHeight="1" x14ac:dyDescent="0.3">
      <c r="A15" s="416" t="s">
        <v>265</v>
      </c>
      <c r="B15" s="344">
        <v>6831.3489084999992</v>
      </c>
      <c r="C15" s="344">
        <v>6890.4381480000029</v>
      </c>
      <c r="D15" s="269">
        <f t="shared" si="0"/>
        <v>0.9</v>
      </c>
      <c r="E15" s="515">
        <v>392.79642766000001</v>
      </c>
      <c r="F15" s="379">
        <v>424.81374439999996</v>
      </c>
      <c r="G15" s="269">
        <f t="shared" si="1"/>
        <v>8.1999999999999993</v>
      </c>
      <c r="H15" s="515">
        <v>93.022000000000006</v>
      </c>
      <c r="I15" s="379">
        <v>107.462</v>
      </c>
      <c r="J15" s="269">
        <f t="shared" si="2"/>
        <v>15.5</v>
      </c>
      <c r="K15" s="144">
        <v>256</v>
      </c>
      <c r="L15" s="344">
        <v>297</v>
      </c>
      <c r="M15" s="269">
        <f t="shared" si="3"/>
        <v>16</v>
      </c>
      <c r="N15" s="144">
        <v>50852.061168510001</v>
      </c>
      <c r="O15" s="344">
        <v>44200.56395738</v>
      </c>
      <c r="P15" s="269">
        <f t="shared" si="4"/>
        <v>-13.1</v>
      </c>
      <c r="Q15" s="144">
        <v>1917.9639999999999</v>
      </c>
      <c r="R15" s="344">
        <v>2439.2905171699999</v>
      </c>
      <c r="S15" s="269">
        <f t="shared" si="5"/>
        <v>27.2</v>
      </c>
      <c r="T15" s="144">
        <v>7648</v>
      </c>
      <c r="U15" s="344">
        <v>7613</v>
      </c>
      <c r="V15" s="269">
        <f t="shared" si="6"/>
        <v>-0.5</v>
      </c>
      <c r="W15" s="520">
        <v>1070.3541761599952</v>
      </c>
      <c r="X15" s="366">
        <v>1041.1336929000033</v>
      </c>
      <c r="Y15" s="269">
        <f t="shared" si="7"/>
        <v>-2.7</v>
      </c>
      <c r="Z15" s="144">
        <v>8502.7837475299966</v>
      </c>
      <c r="AA15" s="344">
        <v>8736.5067736699948</v>
      </c>
      <c r="AB15" s="269">
        <f t="shared" si="8"/>
        <v>2.7</v>
      </c>
      <c r="AC15" s="144">
        <v>1</v>
      </c>
      <c r="AD15" s="344">
        <v>1</v>
      </c>
      <c r="AE15" s="269">
        <f t="shared" si="9"/>
        <v>0</v>
      </c>
      <c r="AF15" s="269">
        <f t="shared" si="10"/>
        <v>77564.330428360001</v>
      </c>
      <c r="AG15" s="269">
        <f t="shared" si="10"/>
        <v>71750.208833519995</v>
      </c>
      <c r="AH15" s="269">
        <f t="shared" si="11"/>
        <v>-7.5</v>
      </c>
      <c r="AI15" s="344">
        <f t="shared" si="12"/>
        <v>77565.330428360001</v>
      </c>
      <c r="AJ15" s="344">
        <f t="shared" si="12"/>
        <v>71751.208833519995</v>
      </c>
      <c r="AK15" s="269">
        <f t="shared" si="13"/>
        <v>-7.5</v>
      </c>
    </row>
    <row r="16" spans="1:37" s="355" customFormat="1" ht="18.75" customHeight="1" x14ac:dyDescent="0.3">
      <c r="A16" s="416" t="s">
        <v>266</v>
      </c>
      <c r="B16" s="344">
        <v>21710.215340549999</v>
      </c>
      <c r="C16" s="344">
        <v>19693.112757010007</v>
      </c>
      <c r="D16" s="269">
        <f t="shared" si="0"/>
        <v>-9.3000000000000007</v>
      </c>
      <c r="E16" s="515"/>
      <c r="F16" s="379"/>
      <c r="G16" s="269"/>
      <c r="H16" s="515"/>
      <c r="I16" s="379"/>
      <c r="J16" s="269"/>
      <c r="K16" s="144">
        <v>8110</v>
      </c>
      <c r="L16" s="344">
        <v>5303</v>
      </c>
      <c r="M16" s="341">
        <f t="shared" si="3"/>
        <v>-34.6</v>
      </c>
      <c r="N16" s="144">
        <v>242.87252372999998</v>
      </c>
      <c r="O16" s="344">
        <v>192.88285061000002</v>
      </c>
      <c r="P16" s="426">
        <f t="shared" si="4"/>
        <v>-20.6</v>
      </c>
      <c r="Q16" s="144">
        <v>19917.739099999999</v>
      </c>
      <c r="R16" s="344">
        <v>15474.460541169999</v>
      </c>
      <c r="S16" s="269">
        <f t="shared" si="5"/>
        <v>-22.3</v>
      </c>
      <c r="T16" s="144"/>
      <c r="U16" s="344"/>
      <c r="V16" s="269"/>
      <c r="W16" s="520">
        <v>8615.1481998899999</v>
      </c>
      <c r="X16" s="366">
        <v>4656.9402109199946</v>
      </c>
      <c r="Y16" s="269">
        <f t="shared" si="7"/>
        <v>-45.9</v>
      </c>
      <c r="Z16" s="144">
        <v>26409.323568780041</v>
      </c>
      <c r="AA16" s="344">
        <v>20667.716560680023</v>
      </c>
      <c r="AB16" s="269">
        <f t="shared" si="8"/>
        <v>-21.7</v>
      </c>
      <c r="AC16" s="144"/>
      <c r="AD16" s="344"/>
      <c r="AE16" s="269"/>
      <c r="AF16" s="269">
        <f t="shared" si="10"/>
        <v>85005.298732950032</v>
      </c>
      <c r="AG16" s="269">
        <f t="shared" si="10"/>
        <v>65988.11292039002</v>
      </c>
      <c r="AH16" s="269">
        <f t="shared" si="11"/>
        <v>-22.4</v>
      </c>
      <c r="AI16" s="344">
        <f t="shared" si="12"/>
        <v>85005.298732950032</v>
      </c>
      <c r="AJ16" s="344">
        <f t="shared" si="12"/>
        <v>65988.11292039002</v>
      </c>
      <c r="AK16" s="269">
        <f t="shared" si="13"/>
        <v>-22.4</v>
      </c>
    </row>
    <row r="17" spans="1:39" s="355" customFormat="1" ht="18.75" customHeight="1" x14ac:dyDescent="0.3">
      <c r="A17" s="416" t="s">
        <v>267</v>
      </c>
      <c r="B17" s="344">
        <v>38.518314060000002</v>
      </c>
      <c r="C17" s="344">
        <v>40.262614240000005</v>
      </c>
      <c r="D17" s="269">
        <f t="shared" si="0"/>
        <v>4.5</v>
      </c>
      <c r="E17" s="515">
        <v>10.083716039999999</v>
      </c>
      <c r="F17" s="379">
        <v>10.700672019999999</v>
      </c>
      <c r="G17" s="269">
        <f t="shared" si="1"/>
        <v>6.1</v>
      </c>
      <c r="H17" s="515"/>
      <c r="I17" s="379"/>
      <c r="J17" s="269"/>
      <c r="K17" s="144">
        <v>244</v>
      </c>
      <c r="L17" s="344">
        <v>284</v>
      </c>
      <c r="M17" s="341">
        <f t="shared" si="3"/>
        <v>16.399999999999999</v>
      </c>
      <c r="N17" s="144">
        <v>1090.1850830000001</v>
      </c>
      <c r="O17" s="344">
        <v>1075.8059639999999</v>
      </c>
      <c r="P17" s="269">
        <f t="shared" si="4"/>
        <v>-1.3</v>
      </c>
      <c r="Q17" s="144">
        <v>261.88220000000001</v>
      </c>
      <c r="R17" s="344">
        <v>309.00972218999999</v>
      </c>
      <c r="S17" s="269">
        <f t="shared" si="5"/>
        <v>18</v>
      </c>
      <c r="T17" s="144">
        <v>135</v>
      </c>
      <c r="U17" s="344">
        <v>0</v>
      </c>
      <c r="V17" s="269">
        <f t="shared" si="6"/>
        <v>-100</v>
      </c>
      <c r="W17" s="520">
        <v>280.68571739000004</v>
      </c>
      <c r="X17" s="366">
        <v>465.03521089999998</v>
      </c>
      <c r="Y17" s="269">
        <f t="shared" si="7"/>
        <v>65.7</v>
      </c>
      <c r="Z17" s="144">
        <v>719.35686881999993</v>
      </c>
      <c r="AA17" s="344">
        <v>760.94499402000008</v>
      </c>
      <c r="AB17" s="269">
        <f t="shared" si="8"/>
        <v>5.8</v>
      </c>
      <c r="AC17" s="144"/>
      <c r="AD17" s="344"/>
      <c r="AE17" s="269"/>
      <c r="AF17" s="269">
        <f t="shared" si="10"/>
        <v>2779.7118993099998</v>
      </c>
      <c r="AG17" s="269">
        <f t="shared" si="10"/>
        <v>2945.7591773700001</v>
      </c>
      <c r="AH17" s="269">
        <f t="shared" si="11"/>
        <v>6</v>
      </c>
      <c r="AI17" s="344">
        <f t="shared" si="12"/>
        <v>2779.7118993099998</v>
      </c>
      <c r="AJ17" s="344">
        <f t="shared" si="12"/>
        <v>2945.7591773700001</v>
      </c>
      <c r="AK17" s="269">
        <f t="shared" si="13"/>
        <v>6</v>
      </c>
    </row>
    <row r="18" spans="1:39" s="355" customFormat="1" ht="18.75" customHeight="1" x14ac:dyDescent="0.3">
      <c r="A18" s="416" t="s">
        <v>268</v>
      </c>
      <c r="B18" s="344"/>
      <c r="C18" s="344"/>
      <c r="D18" s="269"/>
      <c r="E18" s="515"/>
      <c r="F18" s="379"/>
      <c r="G18" s="269"/>
      <c r="H18" s="515"/>
      <c r="I18" s="379"/>
      <c r="J18" s="269"/>
      <c r="K18" s="144"/>
      <c r="L18" s="344"/>
      <c r="M18" s="341"/>
      <c r="N18" s="144"/>
      <c r="O18" s="344"/>
      <c r="P18" s="269"/>
      <c r="Q18" s="528"/>
      <c r="R18" s="367"/>
      <c r="S18" s="269"/>
      <c r="T18" s="144"/>
      <c r="U18" s="344"/>
      <c r="V18" s="269"/>
      <c r="W18" s="520"/>
      <c r="X18" s="366"/>
      <c r="Y18" s="269"/>
      <c r="Z18" s="144"/>
      <c r="AA18" s="344"/>
      <c r="AB18" s="269"/>
      <c r="AC18" s="144"/>
      <c r="AD18" s="344"/>
      <c r="AE18" s="269"/>
      <c r="AF18" s="269"/>
      <c r="AG18" s="269"/>
      <c r="AH18" s="269"/>
      <c r="AI18" s="344"/>
      <c r="AJ18" s="344"/>
      <c r="AK18" s="425"/>
    </row>
    <row r="19" spans="1:39" s="355" customFormat="1" ht="18.75" customHeight="1" x14ac:dyDescent="0.3">
      <c r="A19" s="416" t="s">
        <v>269</v>
      </c>
      <c r="B19" s="341">
        <v>-12195.49683244</v>
      </c>
      <c r="C19" s="341">
        <v>-12505.291082599999</v>
      </c>
      <c r="D19" s="269">
        <f>IF(B19=0, "    ---- ", IF(ABS(ROUND(100/B19*C19-100,1))&lt;999,ROUND(100/B19*C19-100,1),IF(ROUND(100/B19*C19-100,1)&gt;999,999,-999)))</f>
        <v>2.5</v>
      </c>
      <c r="E19" s="423">
        <v>-1386.5028368799999</v>
      </c>
      <c r="F19" s="341">
        <v>-1496.68824681</v>
      </c>
      <c r="G19" s="269">
        <f>IF(E19=0, "    ---- ", IF(ABS(ROUND(100/E19*F19-100,1))&lt;999,ROUND(100/E19*F19-100,1),IF(ROUND(100/E19*F19-100,1)&gt;999,999,-999)))</f>
        <v>7.9</v>
      </c>
      <c r="H19" s="423">
        <v>-129.25700000000001</v>
      </c>
      <c r="I19" s="341">
        <v>-154.19200000000001</v>
      </c>
      <c r="J19" s="269">
        <f>IF(H19=0, "    ---- ", IF(ABS(ROUND(100/H19*I19-100,1))&lt;999,ROUND(100/H19*I19-100,1),IF(ROUND(100/H19*I19-100,1)&gt;999,999,-999)))</f>
        <v>19.3</v>
      </c>
      <c r="K19" s="423">
        <v>-929</v>
      </c>
      <c r="L19" s="341">
        <v>-1146</v>
      </c>
      <c r="M19" s="269">
        <f>IF(K19=0, "    ---- ", IF(ABS(ROUND(100/K19*L19-100,1))&lt;999,ROUND(100/K19*L19-100,1),IF(ROUND(100/K19*L19-100,1)&gt;999,999,-999)))</f>
        <v>23.4</v>
      </c>
      <c r="N19" s="423">
        <v>-20601.059990720001</v>
      </c>
      <c r="O19" s="341">
        <v>-21748.719873639999</v>
      </c>
      <c r="P19" s="269">
        <f>IF(N19=0, "    ---- ", IF(ABS(ROUND(100/N19*O19-100,1))&lt;999,ROUND(100/N19*O19-100,1),IF(ROUND(100/N19*O19-100,1)&gt;999,999,-999)))</f>
        <v>5.6</v>
      </c>
      <c r="Q19" s="423">
        <v>-6938.8568999999998</v>
      </c>
      <c r="R19" s="341">
        <v>-12767.619359249999</v>
      </c>
      <c r="S19" s="269">
        <f>IF(Q19=0, "    ---- ", IF(ABS(ROUND(100/Q19*R19-100,1))&lt;999,ROUND(100/Q19*R19-100,1),IF(ROUND(100/Q19*R19-100,1)&gt;999,999,-999)))</f>
        <v>84</v>
      </c>
      <c r="T19" s="423">
        <v>-2798</v>
      </c>
      <c r="U19" s="341">
        <v>-2912</v>
      </c>
      <c r="V19" s="269">
        <f>IF(T19=0, "    ---- ", IF(ABS(ROUND(100/T19*U19-100,1))&lt;999,ROUND(100/T19*U19-100,1),IF(ROUND(100/T19*U19-100,1)&gt;999,999,-999)))</f>
        <v>4.0999999999999996</v>
      </c>
      <c r="W19" s="521">
        <v>-1545.1796349800002</v>
      </c>
      <c r="X19" s="368">
        <v>-1764.5317992099981</v>
      </c>
      <c r="Y19" s="269">
        <f>IF(W19=0, "    ---- ", IF(ABS(ROUND(100/W19*X19-100,1))&lt;999,ROUND(100/W19*X19-100,1),IF(ROUND(100/W19*X19-100,1)&gt;999,999,-999)))</f>
        <v>14.2</v>
      </c>
      <c r="Z19" s="423">
        <v>-11834.551880690002</v>
      </c>
      <c r="AA19" s="341">
        <v>-12706.836021110001</v>
      </c>
      <c r="AB19" s="269">
        <f>IF(Z19=0, "    ---- ", IF(ABS(ROUND(100/Z19*AA19-100,1))&lt;999,ROUND(100/Z19*AA19-100,1),IF(ROUND(100/Z19*AA19-100,1)&gt;999,999,-999)))</f>
        <v>7.4</v>
      </c>
      <c r="AC19" s="423">
        <v>-2</v>
      </c>
      <c r="AD19" s="341">
        <v>-5</v>
      </c>
      <c r="AE19" s="269">
        <f>IF(AC19=0, "    ---- ", IF(ABS(ROUND(100/AC19*AD19-100,1))&lt;999,ROUND(100/AC19*AD19-100,1),IF(ROUND(100/AC19*AD19-100,1)&gt;999,999,-999)))</f>
        <v>150</v>
      </c>
      <c r="AF19" s="269">
        <f t="shared" si="10"/>
        <v>-58357.905075709998</v>
      </c>
      <c r="AG19" s="269">
        <f t="shared" si="10"/>
        <v>-67201.878382619994</v>
      </c>
      <c r="AH19" s="269">
        <f t="shared" si="11"/>
        <v>15.2</v>
      </c>
      <c r="AI19" s="344">
        <f t="shared" si="12"/>
        <v>-58359.905075709998</v>
      </c>
      <c r="AJ19" s="344">
        <f t="shared" si="12"/>
        <v>-67206.878382619994</v>
      </c>
      <c r="AK19" s="269">
        <f>IF(AI19=0, "    ---- ", IF(ABS(ROUND(100/AI19*AJ19-100,1))&lt;999,ROUND(100/AI19*AJ19-100,1),IF(ROUND(100/AI19*AJ19-100,1)&gt;999,999,-999)))</f>
        <v>15.2</v>
      </c>
    </row>
    <row r="20" spans="1:39" s="355" customFormat="1" ht="18.75" x14ac:dyDescent="0.3">
      <c r="A20" s="534" t="s">
        <v>400</v>
      </c>
      <c r="B20" s="269">
        <v>-12747.013366179997</v>
      </c>
      <c r="C20" s="269">
        <v>-15563.389037449999</v>
      </c>
      <c r="D20" s="269">
        <f>IF(B20=0, "    ---- ", IF(ABS(ROUND(100/B20*C20-100,1))&lt;999,ROUND(100/B20*C20-100,1),IF(ROUND(100/B20*C20-100,1)&gt;999,999,-999)))</f>
        <v>22.1</v>
      </c>
      <c r="E20" s="424">
        <v>79.366143919999985</v>
      </c>
      <c r="F20" s="269">
        <v>77.777298420000008</v>
      </c>
      <c r="G20" s="269">
        <f>IF(E20=0, "    ---- ", IF(ABS(ROUND(100/E20*F20-100,1))&lt;999,ROUND(100/E20*F20-100,1),IF(ROUND(100/E20*F20-100,1)&gt;999,999,-999)))</f>
        <v>-2</v>
      </c>
      <c r="H20" s="424"/>
      <c r="I20" s="269"/>
      <c r="J20" s="269"/>
      <c r="K20" s="424">
        <v>-5917</v>
      </c>
      <c r="L20" s="269">
        <v>-8878</v>
      </c>
      <c r="M20" s="269">
        <f>IF(K20=0, "    ---- ", IF(ABS(ROUND(100/K20*L20-100,1))&lt;999,ROUND(100/K20*L20-100,1),IF(ROUND(100/K20*L20-100,1)&gt;999,999,-999)))</f>
        <v>50</v>
      </c>
      <c r="N20" s="424">
        <v>-2422.6546440000002</v>
      </c>
      <c r="O20" s="269">
        <v>-4156.5003450000004</v>
      </c>
      <c r="P20" s="269">
        <f>IF(N20=0, "    ---- ", IF(ABS(ROUND(100/N20*O20-100,1))&lt;999,ROUND(100/N20*O20-100,1),IF(ROUND(100/N20*O20-100,1)&gt;999,999,-999)))</f>
        <v>71.599999999999994</v>
      </c>
      <c r="Q20" s="522">
        <v>-8873</v>
      </c>
      <c r="R20" s="369">
        <v>-9412</v>
      </c>
      <c r="S20" s="269">
        <f>IF(Q20=0, "    ---- ", IF(ABS(ROUND(100/Q20*R20-100,1))&lt;999,ROUND(100/Q20*R20-100,1),IF(ROUND(100/Q20*R20-100,1)&gt;999,999,-999)))</f>
        <v>6.1</v>
      </c>
      <c r="T20" s="522">
        <v>-121</v>
      </c>
      <c r="U20" s="369">
        <v>0</v>
      </c>
      <c r="V20" s="269">
        <f>IF(T20=0, "    ---- ", IF(ABS(ROUND(100/T20*U20-100,1))&lt;999,ROUND(100/T20*U20-100,1),IF(ROUND(100/T20*U20-100,1)&gt;999,999,-999)))</f>
        <v>-100</v>
      </c>
      <c r="W20" s="522">
        <v>-4308.9445699200005</v>
      </c>
      <c r="X20" s="369">
        <v>-5933.3772956399989</v>
      </c>
      <c r="Y20" s="269">
        <f>IF(W20=0, "    ---- ", IF(ABS(ROUND(100/W20*X20-100,1))&lt;999,ROUND(100/W20*X20-100,1),IF(ROUND(100/W20*X20-100,1)&gt;999,999,-999)))</f>
        <v>37.700000000000003</v>
      </c>
      <c r="Z20" s="424">
        <v>-10378.764124369998</v>
      </c>
      <c r="AA20" s="269">
        <v>-15854.82321185</v>
      </c>
      <c r="AB20" s="269">
        <f>IF(Z20=0, "    ---- ", IF(ABS(ROUND(100/Z20*AA20-100,1))&lt;999,ROUND(100/Z20*AA20-100,1),IF(ROUND(100/Z20*AA20-100,1)&gt;999,999,-999)))</f>
        <v>52.8</v>
      </c>
      <c r="AC20" s="424">
        <v>-3</v>
      </c>
      <c r="AD20" s="269">
        <v>-3</v>
      </c>
      <c r="AE20" s="269">
        <f>IF(AC20=0, "    ---- ", IF(ABS(ROUND(100/AC20*AD20-100,1))&lt;999,ROUND(100/AC20*AD20-100,1),IF(ROUND(100/AC20*AD20-100,1)&gt;999,999,-999)))</f>
        <v>0</v>
      </c>
      <c r="AF20" s="269">
        <f t="shared" si="10"/>
        <v>-44689.010560549999</v>
      </c>
      <c r="AG20" s="269">
        <f t="shared" si="10"/>
        <v>-59720.31259152</v>
      </c>
      <c r="AH20" s="269">
        <f>IF(AF20=0, "    ---- ", IF(ABS(ROUND(100/AF20*AG20-100,1))&lt;999,ROUND(100/AF20*AG20-100,1),IF(ROUND(100/AF20*AG20-100,1)&gt;999,999,-999)))</f>
        <v>33.6</v>
      </c>
      <c r="AI20" s="344">
        <f t="shared" si="12"/>
        <v>-44692.010560549999</v>
      </c>
      <c r="AJ20" s="344">
        <f t="shared" si="12"/>
        <v>-59723.31259152</v>
      </c>
      <c r="AK20" s="269">
        <f>IF(AI20=0, "    ---- ", IF(ABS(ROUND(100/AI20*AJ20-100,1))&lt;999,ROUND(100/AI20*AJ20-100,1),IF(ROUND(100/AI20*AJ20-100,1)&gt;999,999,-999)))</f>
        <v>33.6</v>
      </c>
    </row>
    <row r="21" spans="1:39" s="355" customFormat="1" ht="18.75" customHeight="1" x14ac:dyDescent="0.3">
      <c r="A21" s="416" t="s">
        <v>270</v>
      </c>
      <c r="B21" s="341">
        <v>-24942.510198619995</v>
      </c>
      <c r="C21" s="341">
        <v>-28068.680120049998</v>
      </c>
      <c r="D21" s="269">
        <f>IF(B21=0, "    ---- ", IF(ABS(ROUND(100/B21*C21-100,1))&lt;999,ROUND(100/B21*C21-100,1),IF(ROUND(100/B21*C21-100,1)&gt;999,999,-999)))</f>
        <v>12.5</v>
      </c>
      <c r="E21" s="423">
        <f>SUM(E19:E20)</f>
        <v>-1307.1366929599999</v>
      </c>
      <c r="F21" s="341">
        <f>SUM(F19:F20)</f>
        <v>-1418.9109483899999</v>
      </c>
      <c r="G21" s="269">
        <f>IF(E21=0, "    ---- ", IF(ABS(ROUND(100/E21*F21-100,1))&lt;999,ROUND(100/E21*F21-100,1),IF(ROUND(100/E21*F21-100,1)&gt;999,999,-999)))</f>
        <v>8.6</v>
      </c>
      <c r="H21" s="423">
        <f>SUM(H19:H20)</f>
        <v>-129.25700000000001</v>
      </c>
      <c r="I21" s="341">
        <f>SUM(I19:I20)</f>
        <v>-154.19200000000001</v>
      </c>
      <c r="J21" s="269">
        <f>IF(H21=0, "    ---- ", IF(ABS(ROUND(100/H21*I21-100,1))&lt;999,ROUND(100/H21*I21-100,1),IF(ROUND(100/H21*I21-100,1)&gt;999,999,-999)))</f>
        <v>19.3</v>
      </c>
      <c r="K21" s="423">
        <f>SUM(K19:K20)</f>
        <v>-6846</v>
      </c>
      <c r="L21" s="341">
        <f>SUM(L19:L20)</f>
        <v>-10024</v>
      </c>
      <c r="M21" s="269">
        <f>IF(K21=0, "    ---- ", IF(ABS(ROUND(100/K21*L21-100,1))&lt;999,ROUND(100/K21*L21-100,1),IF(ROUND(100/K21*L21-100,1)&gt;999,999,-999)))</f>
        <v>46.4</v>
      </c>
      <c r="N21" s="423">
        <v>-23023.714634720003</v>
      </c>
      <c r="O21" s="341">
        <v>-25905.220218639999</v>
      </c>
      <c r="P21" s="269">
        <f>IF(N21=0, "    ---- ", IF(ABS(ROUND(100/N21*O21-100,1))&lt;999,ROUND(100/N21*O21-100,1),IF(ROUND(100/N21*O21-100,1)&gt;999,999,-999)))</f>
        <v>12.5</v>
      </c>
      <c r="Q21" s="423">
        <f>SUM(Q19:Q20)</f>
        <v>-15811.856899999999</v>
      </c>
      <c r="R21" s="341">
        <f>SUM(R19:R20)</f>
        <v>-22179.619359249999</v>
      </c>
      <c r="S21" s="269">
        <f>IF(Q21=0, "    ---- ", IF(ABS(ROUND(100/Q21*R21-100,1))&lt;999,ROUND(100/Q21*R21-100,1),IF(ROUND(100/Q21*R21-100,1)&gt;999,999,-999)))</f>
        <v>40.299999999999997</v>
      </c>
      <c r="T21" s="423">
        <f>SUM(T19:T20)</f>
        <v>-2919</v>
      </c>
      <c r="U21" s="341">
        <f>SUM(U19:U20)</f>
        <v>-2912</v>
      </c>
      <c r="V21" s="269">
        <f>IF(T21=0, "    ---- ", IF(ABS(ROUND(100/T21*U21-100,1))&lt;999,ROUND(100/T21*U21-100,1),IF(ROUND(100/T21*U21-100,1)&gt;999,999,-999)))</f>
        <v>-0.2</v>
      </c>
      <c r="W21" s="423">
        <f>SUM(W19:W20)</f>
        <v>-5854.1242049000011</v>
      </c>
      <c r="X21" s="341">
        <f>SUM(X19:X20)</f>
        <v>-7697.909094849997</v>
      </c>
      <c r="Y21" s="269">
        <f>IF(W21=0, "    ---- ", IF(ABS(ROUND(100/W21*X21-100,1))&lt;999,ROUND(100/W21*X21-100,1),IF(ROUND(100/W21*X21-100,1)&gt;999,999,-999)))</f>
        <v>31.5</v>
      </c>
      <c r="Z21" s="423">
        <f>SUM(Z19:Z20)</f>
        <v>-22213.316005059998</v>
      </c>
      <c r="AA21" s="341">
        <f>SUM(AA19:AA20)</f>
        <v>-28561.659232960003</v>
      </c>
      <c r="AB21" s="269">
        <f>IF(Z21=0, "    ---- ", IF(ABS(ROUND(100/Z21*AA21-100,1))&lt;999,ROUND(100/Z21*AA21-100,1),IF(ROUND(100/Z21*AA21-100,1)&gt;999,999,-999)))</f>
        <v>28.6</v>
      </c>
      <c r="AC21" s="423">
        <f>SUM(AC19:AC20)</f>
        <v>-5</v>
      </c>
      <c r="AD21" s="341">
        <f>SUM(AD19:AD20)</f>
        <v>-8</v>
      </c>
      <c r="AE21" s="269">
        <f>IF(AC21=0, "    ---- ", IF(ABS(ROUND(100/AC21*AD21-100,1))&lt;999,ROUND(100/AC21*AD21-100,1),IF(ROUND(100/AC21*AD21-100,1)&gt;999,999,-999)))</f>
        <v>60</v>
      </c>
      <c r="AF21" s="269">
        <f t="shared" si="10"/>
        <v>-103046.91563625999</v>
      </c>
      <c r="AG21" s="269">
        <f t="shared" si="10"/>
        <v>-126922.19097413999</v>
      </c>
      <c r="AH21" s="269">
        <f t="shared" si="11"/>
        <v>23.2</v>
      </c>
      <c r="AI21" s="344">
        <f t="shared" si="12"/>
        <v>-103051.91563625999</v>
      </c>
      <c r="AJ21" s="344">
        <f t="shared" si="12"/>
        <v>-126930.19097413999</v>
      </c>
      <c r="AK21" s="269">
        <f>IF(AI21=0, "    ---- ", IF(ABS(ROUND(100/AI21*AJ21-100,1))&lt;999,ROUND(100/AI21*AJ21-100,1),IF(ROUND(100/AI21*AJ21-100,1)&gt;999,999,-999)))</f>
        <v>23.2</v>
      </c>
    </row>
    <row r="22" spans="1:39" s="355" customFormat="1" ht="18.75" customHeight="1" x14ac:dyDescent="0.3">
      <c r="A22" s="416" t="s">
        <v>271</v>
      </c>
      <c r="B22" s="344"/>
      <c r="C22" s="344"/>
      <c r="D22" s="269"/>
      <c r="E22" s="516"/>
      <c r="F22" s="377"/>
      <c r="G22" s="269"/>
      <c r="H22" s="516"/>
      <c r="I22" s="377"/>
      <c r="J22" s="269"/>
      <c r="K22" s="144"/>
      <c r="L22" s="344"/>
      <c r="M22" s="269"/>
      <c r="N22" s="144"/>
      <c r="O22" s="344"/>
      <c r="P22" s="269"/>
      <c r="Q22" s="516"/>
      <c r="R22" s="377"/>
      <c r="S22" s="269"/>
      <c r="T22" s="516"/>
      <c r="U22" s="377"/>
      <c r="V22" s="269"/>
      <c r="W22" s="516"/>
      <c r="X22" s="377"/>
      <c r="Y22" s="269"/>
      <c r="Z22" s="144"/>
      <c r="AA22" s="344"/>
      <c r="AB22" s="269"/>
      <c r="AC22" s="144"/>
      <c r="AD22" s="344"/>
      <c r="AE22" s="269"/>
      <c r="AF22" s="269"/>
      <c r="AG22" s="269"/>
      <c r="AH22" s="269"/>
      <c r="AI22" s="269"/>
      <c r="AJ22" s="269"/>
      <c r="AK22" s="269"/>
    </row>
    <row r="23" spans="1:39" s="355" customFormat="1" ht="18.75" customHeight="1" x14ac:dyDescent="0.3">
      <c r="A23" s="416" t="s">
        <v>375</v>
      </c>
      <c r="B23" s="269">
        <v>3946.3210347199997</v>
      </c>
      <c r="C23" s="269">
        <v>3394.2001387599989</v>
      </c>
      <c r="D23" s="269">
        <f t="shared" ref="D23:D30" si="14">IF(B23=0, "    ---- ", IF(ABS(ROUND(100/B23*C23-100,1))&lt;999,ROUND(100/B23*C23-100,1),IF(ROUND(100/B23*C23-100,1)&gt;999,999,-999)))</f>
        <v>-14</v>
      </c>
      <c r="E23" s="424">
        <v>-616.42495507000024</v>
      </c>
      <c r="F23" s="269">
        <v>-597.81709235000005</v>
      </c>
      <c r="G23" s="269">
        <f>IF(E23=0, "    ---- ", IF(ABS(ROUND(100/E23*F23-100,1))&lt;999,ROUND(100/E23*F23-100,1),IF(ROUND(100/E23*F23-100,1)&gt;999,999,-999)))</f>
        <v>-3</v>
      </c>
      <c r="H23" s="424">
        <v>-351.94600000000003</v>
      </c>
      <c r="I23" s="269">
        <v>-453</v>
      </c>
      <c r="J23" s="269">
        <f>IF(H23=0, "    ---- ", IF(ABS(ROUND(100/H23*I23-100,1))&lt;999,ROUND(100/H23*I23-100,1),IF(ROUND(100/H23*I23-100,1)&gt;999,999,-999)))</f>
        <v>28.7</v>
      </c>
      <c r="K23" s="424">
        <v>-567</v>
      </c>
      <c r="L23" s="269">
        <v>-701</v>
      </c>
      <c r="M23" s="269">
        <f t="shared" ref="M23:M32" si="15">IF(K23=0, "    ---- ", IF(ABS(ROUND(100/K23*L23-100,1))&lt;999,ROUND(100/K23*L23-100,1),IF(ROUND(100/K23*L23-100,1)&gt;999,999,-999)))</f>
        <v>23.6</v>
      </c>
      <c r="N23" s="424">
        <v>-37361.53257766</v>
      </c>
      <c r="O23" s="269">
        <v>-36880.336888449994</v>
      </c>
      <c r="P23" s="269">
        <f t="shared" ref="P23:P31" si="16">IF(N23=0, "    ---- ", IF(ABS(ROUND(100/N23*O23-100,1))&lt;999,ROUND(100/N23*O23-100,1),IF(ROUND(100/N23*O23-100,1)&gt;999,999,-999)))</f>
        <v>-1.3</v>
      </c>
      <c r="Q23" s="424">
        <v>65</v>
      </c>
      <c r="R23" s="269">
        <v>-90.963091200000008</v>
      </c>
      <c r="S23" s="269">
        <f t="shared" ref="S23:S30" si="17">IF(Q23=0, "    ---- ", IF(ABS(ROUND(100/Q23*R23-100,1))&lt;999,ROUND(100/Q23*R23-100,1),IF(ROUND(100/Q23*R23-100,1)&gt;999,999,-999)))</f>
        <v>-239.9</v>
      </c>
      <c r="T23" s="424">
        <v>-5111</v>
      </c>
      <c r="U23" s="269">
        <v>-5355</v>
      </c>
      <c r="V23" s="269">
        <f>IF(T23=0, "    ---- ", IF(ABS(ROUND(100/T23*U23-100,1))&lt;999,ROUND(100/T23*U23-100,1),IF(ROUND(100/T23*U23-100,1)&gt;999,999,-999)))</f>
        <v>4.8</v>
      </c>
      <c r="W23" s="424">
        <v>-148.98255319999998</v>
      </c>
      <c r="X23" s="269">
        <v>-1153.3157036299981</v>
      </c>
      <c r="Y23" s="269">
        <f t="shared" ref="Y23:Y30" si="18">IF(W23=0, "    ---- ", IF(ABS(ROUND(100/W23*X23-100,1))&lt;999,ROUND(100/W23*X23-100,1),IF(ROUND(100/W23*X23-100,1)&gt;999,999,-999)))</f>
        <v>674.1</v>
      </c>
      <c r="Z23" s="424">
        <v>-2884.4746455399991</v>
      </c>
      <c r="AA23" s="269">
        <v>-4955.2742929800006</v>
      </c>
      <c r="AB23" s="269">
        <f t="shared" ref="AB23:AB30" si="19">IF(Z23=0, "    ---- ", IF(ABS(ROUND(100/Z23*AA23-100,1))&lt;999,ROUND(100/Z23*AA23-100,1),IF(ROUND(100/Z23*AA23-100,1)&gt;999,999,-999)))</f>
        <v>71.8</v>
      </c>
      <c r="AC23" s="424">
        <v>-58</v>
      </c>
      <c r="AD23" s="269">
        <v>-49</v>
      </c>
      <c r="AE23" s="269">
        <f t="shared" ref="AE23:AE30" si="20">IF(AC23=0, "    ---- ", IF(ABS(ROUND(100/AC23*AD23-100,1))&lt;999,ROUND(100/AC23*AD23-100,1),IF(ROUND(100/AC23*AD23-100,1)&gt;999,999,-999)))</f>
        <v>-15.5</v>
      </c>
      <c r="AF23" s="269">
        <f t="shared" si="10"/>
        <v>-43030.039696750006</v>
      </c>
      <c r="AG23" s="269">
        <f t="shared" si="10"/>
        <v>-46792.506929849995</v>
      </c>
      <c r="AH23" s="269">
        <f t="shared" si="11"/>
        <v>8.6999999999999993</v>
      </c>
      <c r="AI23" s="269"/>
      <c r="AJ23" s="269"/>
      <c r="AK23" s="269"/>
    </row>
    <row r="24" spans="1:39" s="355" customFormat="1" ht="18.75" customHeight="1" x14ac:dyDescent="0.3">
      <c r="A24" s="416" t="s">
        <v>382</v>
      </c>
      <c r="B24" s="269">
        <v>-41.197961530000001</v>
      </c>
      <c r="C24" s="269">
        <v>-1832.4576737399998</v>
      </c>
      <c r="D24" s="269">
        <f>IF(B24=0, "    ---- ", IF(ABS(ROUND(100/B24*C24-100,1))&lt;999,ROUND(100/B24*C24-100,1),IF(ROUND(100/B24*C24-100,1)&gt;999,999,-999)))</f>
        <v>999</v>
      </c>
      <c r="E24" s="424"/>
      <c r="F24" s="269"/>
      <c r="G24" s="269"/>
      <c r="H24" s="424">
        <v>-11</v>
      </c>
      <c r="I24" s="269">
        <v>-12.1</v>
      </c>
      <c r="J24" s="269">
        <f>IF(H24=0, "    ---- ", IF(ABS(ROUND(100/H24*I24-100,1))&lt;999,ROUND(100/H24*I24-100,1),IF(ROUND(100/H24*I24-100,1)&gt;999,999,-999)))</f>
        <v>10</v>
      </c>
      <c r="K24" s="424">
        <v>-3</v>
      </c>
      <c r="L24" s="269">
        <v>-7</v>
      </c>
      <c r="M24" s="269">
        <f>IF(K24=0, "    ---- ", IF(ABS(ROUND(100/K24*L24-100,1))&lt;999,ROUND(100/K24*L24-100,1),IF(ROUND(100/K24*L24-100,1)&gt;999,999,-999)))</f>
        <v>133.30000000000001</v>
      </c>
      <c r="N24" s="424"/>
      <c r="O24" s="269"/>
      <c r="P24" s="269"/>
      <c r="Q24" s="424">
        <v>-424.25209999999998</v>
      </c>
      <c r="R24" s="269">
        <v>-442</v>
      </c>
      <c r="S24" s="269">
        <f>IF(Q24=0, "    ---- ", IF(ABS(ROUND(100/Q24*R24-100,1))&lt;999,ROUND(100/Q24*R24-100,1),IF(ROUND(100/Q24*R24-100,1)&gt;999,999,-999)))</f>
        <v>4.2</v>
      </c>
      <c r="T24" s="424"/>
      <c r="U24" s="269"/>
      <c r="V24" s="269"/>
      <c r="W24" s="424">
        <v>43.929520570000513</v>
      </c>
      <c r="X24" s="269">
        <v>119.63486949999992</v>
      </c>
      <c r="Y24" s="269">
        <f>IF(W24=0, "    ---- ", IF(ABS(ROUND(100/W24*X24-100,1))&lt;999,ROUND(100/W24*X24-100,1),IF(ROUND(100/W24*X24-100,1)&gt;999,999,-999)))</f>
        <v>172.3</v>
      </c>
      <c r="Z24" s="424">
        <v>-235.73787594000007</v>
      </c>
      <c r="AA24" s="269">
        <v>-2231.1015080000002</v>
      </c>
      <c r="AB24" s="269">
        <f>IF(Z24=0, "    ---- ", IF(ABS(ROUND(100/Z24*AA24-100,1))&lt;999,ROUND(100/Z24*AA24-100,1),IF(ROUND(100/Z24*AA24-100,1)&gt;999,999,-999)))</f>
        <v>846.4</v>
      </c>
      <c r="AC24" s="424"/>
      <c r="AD24" s="269"/>
      <c r="AE24" s="269"/>
      <c r="AF24" s="269">
        <f t="shared" si="10"/>
        <v>-671.25841689999947</v>
      </c>
      <c r="AG24" s="269">
        <f t="shared" si="10"/>
        <v>-4405.0243122400007</v>
      </c>
      <c r="AH24" s="269">
        <f>IF(AF24=0, "    ---- ", IF(ABS(ROUND(100/AF24*AG24-100,1))&lt;999,ROUND(100/AF24*AG24-100,1),IF(ROUND(100/AF24*AG24-100,1)&gt;999,999,-999)))</f>
        <v>556.20000000000005</v>
      </c>
      <c r="AI24" s="269"/>
      <c r="AJ24" s="269"/>
      <c r="AK24" s="269"/>
    </row>
    <row r="25" spans="1:39" s="355" customFormat="1" ht="18.75" customHeight="1" x14ac:dyDescent="0.3">
      <c r="A25" s="533" t="s">
        <v>420</v>
      </c>
      <c r="B25" s="269"/>
      <c r="C25" s="269"/>
      <c r="D25" s="269"/>
      <c r="E25" s="424"/>
      <c r="G25" s="269"/>
      <c r="H25" s="532"/>
      <c r="I25" s="454"/>
      <c r="J25" s="269"/>
      <c r="K25" s="424"/>
      <c r="M25" s="269"/>
      <c r="N25" s="424"/>
      <c r="P25" s="269"/>
      <c r="Q25" s="424"/>
      <c r="S25" s="269"/>
      <c r="T25" s="424"/>
      <c r="V25" s="269"/>
      <c r="W25" s="424">
        <v>1.791941</v>
      </c>
      <c r="Y25" s="269">
        <f>IF(W25=0, "    ---- ", IF(ABS(ROUND(100/W25*X25-100,1))&lt;999,ROUND(100/W25*X25-100,1),IF(ROUND(100/W25*X25-100,1)&gt;999,999,-999)))</f>
        <v>-100</v>
      </c>
      <c r="Z25" s="529">
        <v>-17.544979710000007</v>
      </c>
      <c r="AA25" s="344"/>
      <c r="AB25" s="269">
        <f>IF(Z25=0, "    ---- ", IF(ABS(ROUND(100/Z25*AA25-100,1))&lt;999,ROUND(100/Z25*AA25-100,1),IF(ROUND(100/Z25*AA25-100,1)&gt;999,999,-999)))</f>
        <v>-100</v>
      </c>
      <c r="AC25" s="424"/>
      <c r="AD25" s="269"/>
      <c r="AE25" s="269"/>
      <c r="AF25" s="269">
        <f t="shared" si="10"/>
        <v>-15.753038710000007</v>
      </c>
      <c r="AG25" s="269">
        <f t="shared" si="10"/>
        <v>0</v>
      </c>
      <c r="AH25" s="269"/>
      <c r="AI25" s="269"/>
      <c r="AJ25" s="269"/>
      <c r="AK25" s="269"/>
    </row>
    <row r="26" spans="1:39" s="355" customFormat="1" ht="18.75" customHeight="1" x14ac:dyDescent="0.3">
      <c r="A26" s="416" t="s">
        <v>383</v>
      </c>
      <c r="B26" s="269">
        <v>-5.3728053400000002</v>
      </c>
      <c r="C26" s="269">
        <v>-2.3968422899999995</v>
      </c>
      <c r="D26" s="269">
        <f>IF(B26=0, "    ---- ", IF(ABS(ROUND(100/B26*C26-100,1))&lt;999,ROUND(100/B26*C26-100,1),IF(ROUND(100/B26*C26-100,1)&gt;999,999,-999)))</f>
        <v>-55.4</v>
      </c>
      <c r="E26" s="424"/>
      <c r="F26" s="269"/>
      <c r="G26" s="269"/>
      <c r="H26" s="424"/>
      <c r="I26" s="269"/>
      <c r="J26" s="269"/>
      <c r="K26" s="424">
        <v>16</v>
      </c>
      <c r="L26" s="269">
        <v>33</v>
      </c>
      <c r="M26" s="269">
        <f>IF(K26=0, "    ---- ", IF(ABS(ROUND(100/K26*L26-100,1))&lt;999,ROUND(100/K26*L26-100,1),IF(ROUND(100/K26*L26-100,1)&gt;999,999,-999)))</f>
        <v>106.3</v>
      </c>
      <c r="N26" s="424">
        <v>-560.95676800000001</v>
      </c>
      <c r="O26" s="269">
        <v>-831.63853800000004</v>
      </c>
      <c r="P26" s="269">
        <f>IF(N26=0, "    ---- ", IF(ABS(ROUND(100/N26*O26-100,1))&lt;999,ROUND(100/N26*O26-100,1),IF(ROUND(100/N26*O26-100,1)&gt;999,999,-999)))</f>
        <v>48.3</v>
      </c>
      <c r="Q26" s="424">
        <v>-4</v>
      </c>
      <c r="R26" s="269">
        <v>-4</v>
      </c>
      <c r="S26" s="269">
        <f>IF(Q26=0, "    ---- ", IF(ABS(ROUND(100/Q26*R26-100,1))&lt;999,ROUND(100/Q26*R26-100,1),IF(ROUND(100/Q26*R26-100,1)&gt;999,999,-999)))</f>
        <v>0</v>
      </c>
      <c r="T26" s="424"/>
      <c r="U26" s="269"/>
      <c r="V26" s="269"/>
      <c r="W26" s="424"/>
      <c r="X26" s="269">
        <v>1.3151158999999986</v>
      </c>
      <c r="Y26" s="269" t="str">
        <f>IF(W26=0, "    ---- ", IF(ABS(ROUND(100/W26*X26-100,1))&lt;999,ROUND(100/W26*X26-100,1),IF(ROUND(100/W26*X26-100,1)&gt;999,999,-999)))</f>
        <v xml:space="preserve">    ---- </v>
      </c>
      <c r="Z26" s="529">
        <v>-1.8939319999999999</v>
      </c>
      <c r="AA26" s="344">
        <v>-3.7739609999999999</v>
      </c>
      <c r="AB26" s="269">
        <f>IF(Z26=0, "    ---- ", IF(ABS(ROUND(100/Z26*AA26-100,1))&lt;999,ROUND(100/Z26*AA26-100,1),IF(ROUND(100/Z26*AA26-100,1)&gt;999,999,-999)))</f>
        <v>99.3</v>
      </c>
      <c r="AC26" s="424"/>
      <c r="AD26" s="269"/>
      <c r="AE26" s="269"/>
      <c r="AF26" s="269">
        <f t="shared" si="10"/>
        <v>-556.22350533999997</v>
      </c>
      <c r="AG26" s="269">
        <f>C26+F26+I26+L26+O26+R26+U26+X26+AA26</f>
        <v>-807.49422539</v>
      </c>
      <c r="AH26" s="269">
        <f>IF(AF26=0, "    ---- ", IF(ABS(ROUND(100/AF26*AG26-100,1))&lt;999,ROUND(100/AF26*AG26-100,1),IF(ROUND(100/AF26*AG26-100,1)&gt;999,999,-999)))</f>
        <v>45.2</v>
      </c>
      <c r="AI26" s="269"/>
      <c r="AJ26" s="269"/>
      <c r="AK26" s="269"/>
    </row>
    <row r="27" spans="1:39" s="355" customFormat="1" ht="18.75" customHeight="1" x14ac:dyDescent="0.3">
      <c r="A27" s="533" t="s">
        <v>404</v>
      </c>
      <c r="B27" s="269"/>
      <c r="C27" s="269"/>
      <c r="D27" s="269"/>
      <c r="E27" s="424"/>
      <c r="G27" s="269"/>
      <c r="H27" s="532"/>
      <c r="I27" s="454"/>
      <c r="J27" s="269"/>
      <c r="K27" s="424"/>
      <c r="M27" s="269"/>
      <c r="N27" s="424"/>
      <c r="P27" s="269"/>
      <c r="Q27" s="424"/>
      <c r="S27" s="269"/>
      <c r="T27" s="424">
        <v>-62</v>
      </c>
      <c r="U27" s="424">
        <v>-90</v>
      </c>
      <c r="V27" s="269">
        <f>IF(T27=0, "    ---- ", IF(ABS(ROUND(100/T27*U27-100,1))&lt;999,ROUND(100/T27*U27-100,1),IF(ROUND(100/T27*U27-100,1)&gt;999,999,-999)))</f>
        <v>45.2</v>
      </c>
      <c r="W27" s="424"/>
      <c r="Y27" s="269"/>
      <c r="Z27" s="529">
        <v>-68.541345210000031</v>
      </c>
      <c r="AA27" s="344">
        <v>-70.674802069999998</v>
      </c>
      <c r="AB27" s="269">
        <f t="shared" si="19"/>
        <v>3.1</v>
      </c>
      <c r="AC27" s="424"/>
      <c r="AD27" s="269"/>
      <c r="AE27" s="269"/>
      <c r="AF27" s="269">
        <f t="shared" ref="AF27:AG35" si="21">B27+E27+H27+K27+N27+Q27+T27+W27+Z27</f>
        <v>-130.54134521000003</v>
      </c>
      <c r="AG27" s="269">
        <f t="shared" si="10"/>
        <v>-160.67480207</v>
      </c>
      <c r="AH27" s="269"/>
      <c r="AI27" s="269"/>
      <c r="AJ27" s="269"/>
      <c r="AK27" s="269"/>
    </row>
    <row r="28" spans="1:39" s="355" customFormat="1" ht="18.75" customHeight="1" x14ac:dyDescent="0.3">
      <c r="A28" s="416" t="s">
        <v>384</v>
      </c>
      <c r="B28" s="269">
        <v>-534.57801438000001</v>
      </c>
      <c r="C28" s="269">
        <v>-317.54981476999995</v>
      </c>
      <c r="D28" s="269">
        <f t="shared" si="14"/>
        <v>-40.6</v>
      </c>
      <c r="E28" s="424"/>
      <c r="F28" s="269"/>
      <c r="G28" s="269"/>
      <c r="H28" s="424">
        <v>-6.3529999999999998</v>
      </c>
      <c r="I28" s="269">
        <v>-9.0190000000000001</v>
      </c>
      <c r="J28" s="269">
        <f>IF(H28=0, "    ---- ", IF(ABS(ROUND(100/H28*I28-100,1))&lt;999,ROUND(100/H28*I28-100,1),IF(ROUND(100/H28*I28-100,1)&gt;999,999,-999)))</f>
        <v>42</v>
      </c>
      <c r="K28" s="424"/>
      <c r="L28" s="269"/>
      <c r="M28" s="269"/>
      <c r="N28" s="424">
        <v>386.91976</v>
      </c>
      <c r="O28" s="269">
        <v>693.34764299999995</v>
      </c>
      <c r="P28" s="269">
        <f>IF(N28=0, "    ---- ", IF(ABS(ROUND(100/N28*O28-100,1))&lt;999,ROUND(100/N28*O28-100,1),IF(ROUND(100/N28*O28-100,1)&gt;999,999,-999)))</f>
        <v>79.2</v>
      </c>
      <c r="Q28" s="424"/>
      <c r="R28" s="269"/>
      <c r="S28" s="269"/>
      <c r="T28" s="424"/>
      <c r="U28" s="269"/>
      <c r="V28" s="269"/>
      <c r="W28" s="424"/>
      <c r="X28" s="269"/>
      <c r="Y28" s="269"/>
      <c r="Z28" s="424"/>
      <c r="AA28" s="344">
        <v>-107.46578454</v>
      </c>
      <c r="AB28" s="269" t="str">
        <f t="shared" si="19"/>
        <v xml:space="preserve">    ---- </v>
      </c>
      <c r="AC28" s="424"/>
      <c r="AD28" s="269"/>
      <c r="AE28" s="269"/>
      <c r="AF28" s="269">
        <f t="shared" si="21"/>
        <v>-154.01125437999997</v>
      </c>
      <c r="AG28" s="269">
        <f t="shared" si="21"/>
        <v>259.31304368999997</v>
      </c>
      <c r="AH28" s="269">
        <f t="shared" si="11"/>
        <v>-268.39999999999998</v>
      </c>
      <c r="AI28" s="269"/>
      <c r="AJ28" s="269"/>
      <c r="AK28" s="269"/>
    </row>
    <row r="29" spans="1:39" s="355" customFormat="1" ht="18.75" x14ac:dyDescent="0.3">
      <c r="A29" s="534" t="s">
        <v>399</v>
      </c>
      <c r="B29" s="269">
        <v>48.847563719999997</v>
      </c>
      <c r="C29" s="269">
        <v>12.32575647</v>
      </c>
      <c r="D29" s="269">
        <f t="shared" si="14"/>
        <v>-74.8</v>
      </c>
      <c r="E29" s="424"/>
      <c r="F29" s="269"/>
      <c r="G29" s="269"/>
      <c r="H29" s="424"/>
      <c r="I29" s="269"/>
      <c r="J29" s="269"/>
      <c r="K29" s="424"/>
      <c r="L29" s="269"/>
      <c r="M29" s="269"/>
      <c r="N29" s="424"/>
      <c r="O29" s="269"/>
      <c r="P29" s="269"/>
      <c r="Q29" s="424">
        <v>1</v>
      </c>
      <c r="R29" s="269">
        <v>4</v>
      </c>
      <c r="S29" s="269">
        <f t="shared" si="17"/>
        <v>300</v>
      </c>
      <c r="T29" s="424"/>
      <c r="U29" s="269"/>
      <c r="V29" s="269"/>
      <c r="W29" s="424"/>
      <c r="X29" s="269">
        <v>1.6887620199999998</v>
      </c>
      <c r="Y29" s="269" t="str">
        <f t="shared" si="18"/>
        <v xml:space="preserve">    ---- </v>
      </c>
      <c r="Z29" s="424">
        <v>280.27509099999997</v>
      </c>
      <c r="AA29" s="269">
        <v>443.78609799999998</v>
      </c>
      <c r="AB29" s="269">
        <f t="shared" si="19"/>
        <v>58.3</v>
      </c>
      <c r="AC29" s="424">
        <v>1</v>
      </c>
      <c r="AD29" s="269"/>
      <c r="AE29" s="269">
        <f t="shared" si="20"/>
        <v>-100</v>
      </c>
      <c r="AF29" s="269">
        <f t="shared" si="21"/>
        <v>330.12265471999996</v>
      </c>
      <c r="AG29" s="269">
        <f t="shared" si="21"/>
        <v>461.80061648999998</v>
      </c>
      <c r="AH29" s="269">
        <f t="shared" si="11"/>
        <v>39.9</v>
      </c>
      <c r="AI29" s="269"/>
      <c r="AJ29" s="269"/>
      <c r="AK29" s="269"/>
    </row>
    <row r="30" spans="1:39" s="355" customFormat="1" ht="18.75" customHeight="1" x14ac:dyDescent="0.3">
      <c r="A30" s="416" t="s">
        <v>272</v>
      </c>
      <c r="B30" s="269">
        <v>3414.0198171899992</v>
      </c>
      <c r="C30" s="269">
        <v>1254.1215644299991</v>
      </c>
      <c r="D30" s="269">
        <f t="shared" si="14"/>
        <v>-63.3</v>
      </c>
      <c r="E30" s="424">
        <f>SUM(E23:E29)</f>
        <v>-616.42495507000024</v>
      </c>
      <c r="F30" s="269">
        <f>SUM(F23:F29)</f>
        <v>-597.81709235000005</v>
      </c>
      <c r="G30" s="269">
        <f>IF(E30=0, "    ---- ", IF(ABS(ROUND(100/E30*F30-100,1))&lt;999,ROUND(100/E30*F30-100,1),IF(ROUND(100/E30*F30-100,1)&gt;999,999,-999)))</f>
        <v>-3</v>
      </c>
      <c r="H30" s="424">
        <f>SUM(H23:H29)</f>
        <v>-369.29900000000004</v>
      </c>
      <c r="I30" s="269">
        <f>SUM(I23:I29)</f>
        <v>-474.11900000000003</v>
      </c>
      <c r="J30" s="269">
        <f>IF(H30=0, "    ---- ", IF(ABS(ROUND(100/H30*I30-100,1))&lt;999,ROUND(100/H30*I30-100,1),IF(ROUND(100/H30*I30-100,1)&gt;999,999,-999)))</f>
        <v>28.4</v>
      </c>
      <c r="K30" s="424">
        <f>SUM(K23:K29)</f>
        <v>-554</v>
      </c>
      <c r="L30" s="269">
        <f>SUM(L23:L29)</f>
        <v>-675</v>
      </c>
      <c r="M30" s="269">
        <f t="shared" si="15"/>
        <v>21.8</v>
      </c>
      <c r="N30" s="424">
        <v>-37535.56958566</v>
      </c>
      <c r="O30" s="269">
        <v>-37018.627783449992</v>
      </c>
      <c r="P30" s="269">
        <f t="shared" si="16"/>
        <v>-1.4</v>
      </c>
      <c r="Q30" s="424">
        <f>SUM(Q23:Q29)</f>
        <v>-362.25209999999998</v>
      </c>
      <c r="R30" s="269">
        <f>SUM(R23:R29)</f>
        <v>-532.96309120000001</v>
      </c>
      <c r="S30" s="269">
        <f t="shared" si="17"/>
        <v>47.1</v>
      </c>
      <c r="T30" s="424">
        <f>SUM(T23:T29)</f>
        <v>-5173</v>
      </c>
      <c r="U30" s="269">
        <f>SUM(U23:U29)</f>
        <v>-5445</v>
      </c>
      <c r="V30" s="269">
        <f>IF(T30=0, "    ---- ", IF(ABS(ROUND(100/T30*U30-100,1))&lt;999,ROUND(100/T30*U30-100,1),IF(ROUND(100/T30*U30-100,1)&gt;999,999,-999)))</f>
        <v>5.3</v>
      </c>
      <c r="W30" s="424">
        <f>SUM(W23:W29)</f>
        <v>-103.26109162999948</v>
      </c>
      <c r="X30" s="269">
        <f>SUM(X23:X29)</f>
        <v>-1030.6769562099983</v>
      </c>
      <c r="Y30" s="269">
        <f t="shared" si="18"/>
        <v>898.1</v>
      </c>
      <c r="Z30" s="424">
        <f>SUM(Z23:Z29)</f>
        <v>-2927.9176873999991</v>
      </c>
      <c r="AA30" s="269">
        <f>SUM(AA23:AA29)</f>
        <v>-6924.5042505900001</v>
      </c>
      <c r="AB30" s="269">
        <f t="shared" si="19"/>
        <v>136.5</v>
      </c>
      <c r="AC30" s="424">
        <f>SUM(AC23:AC29)</f>
        <v>-57</v>
      </c>
      <c r="AD30" s="269">
        <f>SUM(AD23:AD29)</f>
        <v>-49</v>
      </c>
      <c r="AE30" s="269">
        <f t="shared" si="20"/>
        <v>-14</v>
      </c>
      <c r="AF30" s="269">
        <f t="shared" si="21"/>
        <v>-44227.704602569989</v>
      </c>
      <c r="AG30" s="269">
        <f t="shared" si="21"/>
        <v>-51444.586609369995</v>
      </c>
      <c r="AH30" s="269">
        <f t="shared" si="11"/>
        <v>16.3</v>
      </c>
      <c r="AI30" s="269"/>
      <c r="AJ30" s="269"/>
      <c r="AK30" s="269"/>
    </row>
    <row r="31" spans="1:39" s="355" customFormat="1" ht="18.75" customHeight="1" x14ac:dyDescent="0.3">
      <c r="A31" s="416" t="s">
        <v>273</v>
      </c>
      <c r="B31" s="269">
        <v>-29934.452804050001</v>
      </c>
      <c r="C31" s="269">
        <v>-31264.151406119996</v>
      </c>
      <c r="D31" s="269">
        <f>IF(B31=0, "    ---- ", IF(ABS(ROUND(100/B31*C31-100,1))&lt;999,ROUND(100/B31*C31-100,1),IF(ROUND(100/B31*C31-100,1)&gt;999,999,-999)))</f>
        <v>4.4000000000000004</v>
      </c>
      <c r="E31" s="424"/>
      <c r="F31" s="269"/>
      <c r="G31" s="269"/>
      <c r="H31" s="424"/>
      <c r="I31" s="269"/>
      <c r="J31" s="269"/>
      <c r="K31" s="424">
        <v>-13548</v>
      </c>
      <c r="L31" s="269">
        <v>-10930</v>
      </c>
      <c r="M31" s="269">
        <f t="shared" si="15"/>
        <v>-19.3</v>
      </c>
      <c r="N31" s="424">
        <v>-136.67666500000001</v>
      </c>
      <c r="O31" s="269">
        <v>-116.038524</v>
      </c>
      <c r="P31" s="269">
        <f t="shared" si="16"/>
        <v>-15.1</v>
      </c>
      <c r="Q31" s="424">
        <v>-29343.494200000001</v>
      </c>
      <c r="R31" s="269">
        <v>-19490.8191082999</v>
      </c>
      <c r="S31" s="269">
        <f>IF(Q31=0, "    ---- ", IF(ABS(ROUND(100/Q31*R31-100,1))&lt;999,ROUND(100/Q31*R31-100,1),IF(ROUND(100/Q31*R31-100,1)&gt;999,999,-999)))</f>
        <v>-33.6</v>
      </c>
      <c r="T31" s="424"/>
      <c r="U31" s="269"/>
      <c r="V31" s="269"/>
      <c r="W31" s="424">
        <v>-13081.243819479994</v>
      </c>
      <c r="X31" s="269">
        <v>-9421.8564701899904</v>
      </c>
      <c r="Y31" s="269">
        <f>IF(W31=0, "    ---- ", IF(ABS(ROUND(100/W31*X31-100,1))&lt;999,ROUND(100/W31*X31-100,1),IF(ROUND(100/W31*X31-100,1)&gt;999,999,-999)))</f>
        <v>-28</v>
      </c>
      <c r="Z31" s="424">
        <v>-33354.887184349995</v>
      </c>
      <c r="AA31" s="269">
        <v>-24464.462826221807</v>
      </c>
      <c r="AB31" s="269">
        <f>IF(Z31=0, "    ---- ", IF(ABS(ROUND(100/Z31*AA31-100,1))&lt;999,ROUND(100/Z31*AA31-100,1),IF(ROUND(100/Z31*AA31-100,1)&gt;999,999,-999)))</f>
        <v>-26.7</v>
      </c>
      <c r="AC31" s="424"/>
      <c r="AD31" s="269"/>
      <c r="AE31" s="269"/>
      <c r="AF31" s="269">
        <f t="shared" si="21"/>
        <v>-119398.75467287998</v>
      </c>
      <c r="AG31" s="269">
        <f t="shared" si="21"/>
        <v>-95687.328334831691</v>
      </c>
      <c r="AH31" s="269">
        <f t="shared" si="11"/>
        <v>-19.899999999999999</v>
      </c>
      <c r="AI31" s="269"/>
      <c r="AJ31" s="269"/>
      <c r="AK31" s="269"/>
    </row>
    <row r="32" spans="1:39" s="355" customFormat="1" ht="18.75" customHeight="1" x14ac:dyDescent="0.3">
      <c r="A32" s="416" t="s">
        <v>274</v>
      </c>
      <c r="B32" s="269">
        <v>-2591</v>
      </c>
      <c r="C32" s="269">
        <v>-659.43088652000006</v>
      </c>
      <c r="D32" s="269">
        <f>IF(B32=0, "    ---- ", IF(ABS(ROUND(100/B32*C32-100,1))&lt;999,ROUND(100/B32*C32-100,1),IF(ROUND(100/B32*C32-100,1)&gt;999,999,-999)))</f>
        <v>-74.5</v>
      </c>
      <c r="E32" s="424">
        <v>-4.40950679</v>
      </c>
      <c r="F32" s="269">
        <v>-6.4296136100000005</v>
      </c>
      <c r="G32" s="269">
        <f>IF(E32=0, "    ---- ", IF(ABS(ROUND(100/E32*F32-100,1))&lt;999,ROUND(100/E32*F32-100,1),IF(ROUND(100/E32*F32-100,1)&gt;999,999,-999)))</f>
        <v>45.8</v>
      </c>
      <c r="H32" s="424"/>
      <c r="I32" s="269"/>
      <c r="J32" s="269"/>
      <c r="K32" s="424">
        <v>-50</v>
      </c>
      <c r="L32" s="269">
        <v>-99</v>
      </c>
      <c r="M32" s="269">
        <f t="shared" si="15"/>
        <v>98</v>
      </c>
      <c r="N32" s="424">
        <v>-40609.571576000002</v>
      </c>
      <c r="O32" s="269">
        <v>-33349.471228000002</v>
      </c>
      <c r="P32" s="269">
        <f>IF(N32=0, "    ---- ", IF(ABS(ROUND(100/N32*O32-100,1))&lt;999,ROUND(100/N32*O32-100,1),IF(ROUND(100/N32*O32-100,1)&gt;999,999,-999)))</f>
        <v>-17.899999999999999</v>
      </c>
      <c r="Q32" s="424">
        <v>-332.27210000000002</v>
      </c>
      <c r="R32" s="269">
        <v>-722.15247099999999</v>
      </c>
      <c r="S32" s="269">
        <f>IF(Q32=0, "    ---- ", IF(ABS(ROUND(100/Q32*R32-100,1))&lt;999,ROUND(100/Q32*R32-100,1),IF(ROUND(100/Q32*R32-100,1)&gt;999,999,-999)))</f>
        <v>117.3</v>
      </c>
      <c r="T32" s="424">
        <v>-6093</v>
      </c>
      <c r="U32" s="269">
        <v>-5902</v>
      </c>
      <c r="V32" s="269">
        <f>IF(T32=0, "    ---- ", IF(ABS(ROUND(100/T32*U32-100,1))&lt;999,ROUND(100/T32*U32-100,1),IF(ROUND(100/T32*U32-100,1)&gt;999,999,-999)))</f>
        <v>-3.1</v>
      </c>
      <c r="W32" s="424">
        <v>-712.77416267000001</v>
      </c>
      <c r="X32" s="269">
        <v>-671.02363192999962</v>
      </c>
      <c r="Y32" s="269">
        <f>IF(W32=0, "    ---- ", IF(ABS(ROUND(100/W32*X32-100,1))&lt;999,ROUND(100/W32*X32-100,1),IF(ROUND(100/W32*X32-100,1)&gt;999,999,-999)))</f>
        <v>-5.9</v>
      </c>
      <c r="Z32" s="424">
        <v>-4343.6582520000002</v>
      </c>
      <c r="AA32" s="269">
        <v>-2447.8987659999998</v>
      </c>
      <c r="AB32" s="269">
        <f>IF(Z32=0, "    ---- ", IF(ABS(ROUND(100/Z32*AA32-100,1))&lt;999,ROUND(100/Z32*AA32-100,1),IF(ROUND(100/Z32*AA32-100,1)&gt;999,999,-999)))</f>
        <v>-43.6</v>
      </c>
      <c r="AC32" s="424">
        <v>-1</v>
      </c>
      <c r="AD32" s="269"/>
      <c r="AE32" s="269">
        <f>IF(AC32=0, "    ---- ", IF(ABS(ROUND(100/AC32*AD32-100,1))&lt;999,ROUND(100/AC32*AD32-100,1),IF(ROUND(100/AC32*AD32-100,1)&gt;999,999,-999)))</f>
        <v>-100</v>
      </c>
      <c r="AF32" s="269">
        <f t="shared" si="21"/>
        <v>-54736.685597460004</v>
      </c>
      <c r="AG32" s="269">
        <f t="shared" si="21"/>
        <v>-43857.406597060006</v>
      </c>
      <c r="AH32" s="269">
        <f t="shared" si="11"/>
        <v>-19.899999999999999</v>
      </c>
      <c r="AI32" s="269"/>
      <c r="AJ32" s="269"/>
      <c r="AK32" s="269"/>
      <c r="AM32" s="530"/>
    </row>
    <row r="33" spans="1:37" s="355" customFormat="1" ht="18.75" customHeight="1" x14ac:dyDescent="0.3">
      <c r="A33" s="416" t="s">
        <v>275</v>
      </c>
      <c r="B33" s="269">
        <v>-970.94064968248904</v>
      </c>
      <c r="C33" s="269">
        <v>-971.27304410999989</v>
      </c>
      <c r="D33" s="269">
        <f>IF(B33=0, "    ---- ", IF(ABS(ROUND(100/B33*C33-100,1))&lt;999,ROUND(100/B33*C33-100,1),IF(ROUND(100/B33*C33-100,1)&gt;999,999,-999)))</f>
        <v>0</v>
      </c>
      <c r="E33" s="424">
        <v>-737.68166111000005</v>
      </c>
      <c r="F33" s="269">
        <v>-788.09211872000003</v>
      </c>
      <c r="G33" s="269">
        <f>IF(E33=0, "    ---- ", IF(ABS(ROUND(100/E33*F33-100,1))&lt;999,ROUND(100/E33*F33-100,1),IF(ROUND(100/E33*F33-100,1)&gt;999,999,-999)))</f>
        <v>6.8</v>
      </c>
      <c r="H33" s="424">
        <v>-210.75800000000001</v>
      </c>
      <c r="I33" s="269">
        <v>-247.87100000000001</v>
      </c>
      <c r="J33" s="269">
        <f>IF(H33=0, "    ---- ", IF(ABS(ROUND(100/H33*I33-100,1))&lt;999,ROUND(100/H33*I33-100,1),IF(ROUND(100/H33*I33-100,1)&gt;999,999,-999)))</f>
        <v>17.600000000000001</v>
      </c>
      <c r="K33" s="424">
        <v>-363</v>
      </c>
      <c r="L33" s="269">
        <v>-856</v>
      </c>
      <c r="M33" s="269">
        <f>IF(K33=0, "    ---- ", IF(ABS(ROUND(100/K33*L33-100,1))&lt;999,ROUND(100/K33*L33-100,1),IF(ROUND(100/K33*L33-100,1)&gt;999,999,-999)))</f>
        <v>135.80000000000001</v>
      </c>
      <c r="N33" s="424">
        <v>-1186.8501032199999</v>
      </c>
      <c r="O33" s="269">
        <v>-1287.04577799</v>
      </c>
      <c r="P33" s="269">
        <f>IF(N33=0, "    ---- ", IF(ABS(ROUND(100/N33*O33-100,1))&lt;999,ROUND(100/N33*O33-100,1),IF(ROUND(100/N33*O33-100,1)&gt;999,999,-999)))</f>
        <v>8.4</v>
      </c>
      <c r="Q33" s="424">
        <v>-633.9393</v>
      </c>
      <c r="R33" s="269">
        <v>-735.88338734000001</v>
      </c>
      <c r="S33" s="269">
        <f>IF(Q33=0, "    ---- ", IF(ABS(ROUND(100/Q33*R33-100,1))&lt;999,ROUND(100/Q33*R33-100,1),IF(ROUND(100/Q33*R33-100,1)&gt;999,999,-999)))</f>
        <v>16.100000000000001</v>
      </c>
      <c r="T33" s="424">
        <v>-224</v>
      </c>
      <c r="U33" s="269">
        <v>-217</v>
      </c>
      <c r="V33" s="269">
        <f>IF(T33=0, "    ---- ", IF(ABS(ROUND(100/T33*U33-100,1))&lt;999,ROUND(100/T33*U33-100,1),IF(ROUND(100/T33*U33-100,1)&gt;999,999,-999)))</f>
        <v>-3.1</v>
      </c>
      <c r="W33" s="424">
        <v>-684.48307245640171</v>
      </c>
      <c r="X33" s="269">
        <v>-727.33799299999794</v>
      </c>
      <c r="Y33" s="269">
        <f>IF(W33=0, "    ---- ", IF(ABS(ROUND(100/W33*X33-100,1))&lt;999,ROUND(100/W33*X33-100,1),IF(ROUND(100/W33*X33-100,1)&gt;999,999,-999)))</f>
        <v>6.3</v>
      </c>
      <c r="Z33" s="424">
        <v>-1292.3370437799999</v>
      </c>
      <c r="AA33" s="269">
        <v>-1405.8433479099999</v>
      </c>
      <c r="AB33" s="269">
        <f>IF(Z33=0, "    ---- ", IF(ABS(ROUND(100/Z33*AA33-100,1))&lt;999,ROUND(100/Z33*AA33-100,1),IF(ROUND(100/Z33*AA33-100,1)&gt;999,999,-999)))</f>
        <v>8.8000000000000007</v>
      </c>
      <c r="AC33" s="424">
        <v>-36</v>
      </c>
      <c r="AD33" s="269">
        <v>-43</v>
      </c>
      <c r="AE33" s="269">
        <f>IF(AC33=0, "    ---- ", IF(ABS(ROUND(100/AC33*AD33-100,1))&lt;999,ROUND(100/AC33*AD33-100,1),IF(ROUND(100/AC33*AD33-100,1)&gt;999,999,-999)))</f>
        <v>19.399999999999999</v>
      </c>
      <c r="AF33" s="269">
        <f t="shared" si="21"/>
        <v>-6303.9898302488909</v>
      </c>
      <c r="AG33" s="269">
        <f t="shared" si="21"/>
        <v>-7236.3466690699988</v>
      </c>
      <c r="AH33" s="269">
        <f t="shared" si="11"/>
        <v>14.8</v>
      </c>
      <c r="AI33" s="269"/>
      <c r="AJ33" s="269"/>
      <c r="AK33" s="269"/>
    </row>
    <row r="34" spans="1:37" s="355" customFormat="1" ht="18.75" customHeight="1" x14ac:dyDescent="0.3">
      <c r="A34" s="416" t="s">
        <v>276</v>
      </c>
      <c r="B34" s="344">
        <v>-3.3864744099999999</v>
      </c>
      <c r="C34" s="344">
        <v>6.3584768699999996</v>
      </c>
      <c r="D34" s="344">
        <f>IF(B34=0, "    ---- ", IF(ABS(ROUND(100/B34*C34-100,1))&lt;999,ROUND(100/B34*C34-100,1),IF(ROUND(100/B34*C34-100,1)&gt;999,999,-999)))</f>
        <v>-287.8</v>
      </c>
      <c r="E34" s="144">
        <v>-18.337529379999999</v>
      </c>
      <c r="F34" s="344">
        <v>-9.7655515399999988</v>
      </c>
      <c r="G34" s="269">
        <f>IF(E34=0, "    ---- ", IF(ABS(ROUND(100/E34*F34-100,1))&lt;999,ROUND(100/E34*F34-100,1),IF(ROUND(100/E34*F34-100,1)&gt;999,999,-999)))</f>
        <v>-46.7</v>
      </c>
      <c r="H34" s="144"/>
      <c r="I34" s="344"/>
      <c r="J34" s="344"/>
      <c r="K34" s="144"/>
      <c r="L34" s="344"/>
      <c r="M34" s="344"/>
      <c r="N34" s="144">
        <v>-1091.1922549999999</v>
      </c>
      <c r="O34" s="344">
        <v>-1079.888526</v>
      </c>
      <c r="P34" s="344">
        <f>IF(N34=0, "    ---- ", IF(ABS(ROUND(100/N34*O34-100,1))&lt;999,ROUND(100/N34*O34-100,1),IF(ROUND(100/N34*O34-100,1)&gt;999,999,-999)))</f>
        <v>-1</v>
      </c>
      <c r="Q34" s="144">
        <v>-15.886024470000001</v>
      </c>
      <c r="R34" s="344">
        <v>-14.960366689999999</v>
      </c>
      <c r="S34" s="344">
        <f>IF(Q34=0, "    ---- ", IF(ABS(ROUND(100/Q34*R34-100,1))&lt;999,ROUND(100/Q34*R34-100,1),IF(ROUND(100/Q34*R34-100,1)&gt;999,999,-999)))</f>
        <v>-5.8</v>
      </c>
      <c r="T34" s="144"/>
      <c r="U34" s="344"/>
      <c r="V34" s="344"/>
      <c r="W34" s="144">
        <v>-1.99693345</v>
      </c>
      <c r="X34" s="344">
        <v>-1.4436560399999996</v>
      </c>
      <c r="Y34" s="344">
        <f>IF(W34=0, "    ---- ", IF(ABS(ROUND(100/W34*X34-100,1))&lt;999,ROUND(100/W34*X34-100,1),IF(ROUND(100/W34*X34-100,1)&gt;999,999,-999)))</f>
        <v>-27.7</v>
      </c>
      <c r="Z34" s="144">
        <v>-26.234518929998366</v>
      </c>
      <c r="AA34" s="344">
        <v>-30.802699079999321</v>
      </c>
      <c r="AB34" s="344">
        <f>IF(Z34=0, "    ---- ", IF(ABS(ROUND(100/Z34*AA34-100,1))&lt;999,ROUND(100/Z34*AA34-100,1),IF(ROUND(100/Z34*AA34-100,1)&gt;999,999,-999)))</f>
        <v>17.399999999999999</v>
      </c>
      <c r="AC34" s="144"/>
      <c r="AD34" s="344"/>
      <c r="AE34" s="344"/>
      <c r="AF34" s="269">
        <f t="shared" si="21"/>
        <v>-1157.0337356399982</v>
      </c>
      <c r="AG34" s="269">
        <f t="shared" si="21"/>
        <v>-1130.5023224799991</v>
      </c>
      <c r="AH34" s="344">
        <f t="shared" si="11"/>
        <v>-2.2999999999999998</v>
      </c>
      <c r="AI34" s="344"/>
      <c r="AJ34" s="344"/>
      <c r="AK34" s="344"/>
    </row>
    <row r="35" spans="1:37" s="363" customFormat="1" ht="18.75" customHeight="1" x14ac:dyDescent="0.3">
      <c r="A35" s="427" t="s">
        <v>277</v>
      </c>
      <c r="B35" s="348">
        <v>868.59803475750834</v>
      </c>
      <c r="C35" s="348">
        <v>1150.2018505200042</v>
      </c>
      <c r="D35" s="349">
        <f>IF(B35=0, "    ---- ", IF(ABS(ROUND(100/B35*C35-100,1))&lt;999,ROUND(100/B35*C35-100,1),IF(ROUND(100/B35*C35-100,1)&gt;999,999,-999)))</f>
        <v>32.4</v>
      </c>
      <c r="E35" s="147">
        <f>SUM(E14+E15+E16+E17+E21+E30+E31+E32+E33+E34)</f>
        <v>970.01485076000017</v>
      </c>
      <c r="F35" s="348">
        <f>SUM(F14+F15+F16+F17+F21+F30+F31+F32+F33+F34)</f>
        <v>1092.9256029900005</v>
      </c>
      <c r="G35" s="349">
        <f>IF(E35=0, "    ---- ", IF(ABS(ROUND(100/E35*F35-100,1))&lt;999,ROUND(100/E35*F35-100,1),IF(ROUND(100/E35*F35-100,1)&gt;999,999,-999)))</f>
        <v>12.7</v>
      </c>
      <c r="H35" s="147">
        <f>SUM(H14+H15+H16+H17+H21+H30+H31+H32+H33+H34)</f>
        <v>126.89399999999998</v>
      </c>
      <c r="I35" s="348">
        <f>SUM(I14+I15+I16+I17+I21+I30+I31+I32+I33+I34)</f>
        <v>77.004999999999967</v>
      </c>
      <c r="J35" s="349">
        <f>IF(H35=0, "    ---- ", IF(ABS(ROUND(100/H35*I35-100,1))&lt;999,ROUND(100/H35*I35-100,1),IF(ROUND(100/H35*I35-100,1)&gt;999,999,-999)))</f>
        <v>-39.299999999999997</v>
      </c>
      <c r="K35" s="147">
        <f>SUM(K14+K15+K16+K17+K21+K30+K31+K32+K33+K34)</f>
        <v>173</v>
      </c>
      <c r="L35" s="348">
        <f>SUM(L14+L15+L16+L17+L21+L30+L31+L32+L33+L34)</f>
        <v>-235</v>
      </c>
      <c r="M35" s="349">
        <f>IF(K35=0, "    ---- ", IF(ABS(ROUND(100/K35*L35-100,1))&lt;999,ROUND(100/K35*L35-100,1),IF(ROUND(100/K35*L35-100,1)&gt;999,999,-999)))</f>
        <v>-235.8</v>
      </c>
      <c r="N35" s="147">
        <v>396.57232708001015</v>
      </c>
      <c r="O35" s="348">
        <v>338.08797745001129</v>
      </c>
      <c r="P35" s="349">
        <f>IF(N35=0, "    ---- ", IF(ABS(ROUND(100/N35*O35-100,1))&lt;999,ROUND(100/N35*O35-100,1),IF(ROUND(100/N35*O35-100,1)&gt;999,999,-999)))</f>
        <v>-14.7</v>
      </c>
      <c r="Q35" s="147">
        <f>SUM(Q14+Q15+Q16+Q17+Q21+Q30+Q31+Q32+Q33+Q34)</f>
        <v>977.11917552999591</v>
      </c>
      <c r="R35" s="348">
        <f>SUM(R14+R15+R16+R17+R21+R30+R31+R32+R33+R34)</f>
        <v>1041.5960963000014</v>
      </c>
      <c r="S35" s="349">
        <f>IF(Q35=0, "    ---- ", IF(ABS(ROUND(100/Q35*R35-100,1))&lt;999,ROUND(100/Q35*R35-100,1),IF(ROUND(100/Q35*R35-100,1)&gt;999,999,-999)))</f>
        <v>6.6</v>
      </c>
      <c r="T35" s="147">
        <f>SUM(T14+T15+T16+T17+T21+T30+T31+T32+T33+T34)</f>
        <v>502</v>
      </c>
      <c r="U35" s="348">
        <f>SUM(U14+U15+U16+U17+U21+U30+U31+U32+U33+U34)</f>
        <v>490</v>
      </c>
      <c r="V35" s="349">
        <f>IF(T35=0, "    ---- ", IF(ABS(ROUND(100/T35*U35-100,1))&lt;999,ROUND(100/T35*U35-100,1),IF(ROUND(100/T35*U35-100,1)&gt;999,999,-999)))</f>
        <v>-2.4</v>
      </c>
      <c r="W35" s="147">
        <f>SUM(W14+W15+W16+W17+W21+W30+W31+W32+W33+W34)</f>
        <v>120.01851969359726</v>
      </c>
      <c r="X35" s="348">
        <f>SUM(X14+X15+X16+X17+X21+X30+X31+X32+X33+X34)</f>
        <v>75.283428700017751</v>
      </c>
      <c r="Y35" s="349">
        <f>IF(W35=0, "    ---- ", IF(ABS(ROUND(100/W35*X35-100,1))&lt;999,ROUND(100/W35*X35-100,1),IF(ROUND(100/W35*X35-100,1)&gt;999,999,-999)))</f>
        <v>-37.299999999999997</v>
      </c>
      <c r="Z35" s="147">
        <f>SUM(Z14+Z15+Z16+Z17+Z21+Z30+Z31+Z32+Z33+Z34)</f>
        <v>1399.2454785500547</v>
      </c>
      <c r="AA35" s="348">
        <f>SUM(AA14+AA15+AA16+AA17+AA21+AA30+AA31+AA32+AA33+AA34)</f>
        <v>1366.8219909781917</v>
      </c>
      <c r="AB35" s="349">
        <f>IF(Z35=0, "    ---- ", IF(ABS(ROUND(100/Z35*AA35-100,1))&lt;999,ROUND(100/Z35*AA35-100,1),IF(ROUND(100/Z35*AA35-100,1)&gt;999,999,-999)))</f>
        <v>-2.2999999999999998</v>
      </c>
      <c r="AC35" s="147">
        <f>SUM(AC14+AC15+AC16+AC17+AC21+AC30+AC31+AC32+AC33+AC34)</f>
        <v>-19</v>
      </c>
      <c r="AD35" s="348">
        <f>SUM(AD14+AD15+AD16+AD17+AD21+AD30+AD31+AD32+AD33+AD34)</f>
        <v>-9</v>
      </c>
      <c r="AE35" s="349">
        <f>IF(AC35=0, "    ---- ", IF(ABS(ROUND(100/AC35*AD35-100,1))&lt;999,ROUND(100/AC35*AD35-100,1),IF(ROUND(100/AC35*AD35-100,1)&gt;999,999,-999)))</f>
        <v>-52.6</v>
      </c>
      <c r="AF35" s="349">
        <f t="shared" si="21"/>
        <v>5533.4623863711668</v>
      </c>
      <c r="AG35" s="349">
        <f t="shared" si="21"/>
        <v>5396.9219469382269</v>
      </c>
      <c r="AH35" s="349">
        <f t="shared" si="11"/>
        <v>-2.5</v>
      </c>
      <c r="AI35" s="349"/>
      <c r="AJ35" s="349"/>
      <c r="AK35" s="349"/>
    </row>
    <row r="36" spans="1:37" s="363" customFormat="1" ht="18.75" customHeight="1" x14ac:dyDescent="0.3">
      <c r="A36" s="428"/>
      <c r="B36" s="370"/>
      <c r="C36" s="370"/>
      <c r="D36" s="342"/>
      <c r="E36" s="517"/>
      <c r="F36" s="370"/>
      <c r="G36" s="342"/>
      <c r="H36" s="517"/>
      <c r="I36" s="370"/>
      <c r="J36" s="342"/>
      <c r="K36" s="517"/>
      <c r="L36" s="370"/>
      <c r="M36" s="342"/>
      <c r="N36" s="517"/>
      <c r="O36" s="370"/>
      <c r="P36" s="342"/>
      <c r="Q36" s="517"/>
      <c r="R36" s="370"/>
      <c r="S36" s="342"/>
      <c r="T36" s="517"/>
      <c r="U36" s="370"/>
      <c r="V36" s="342"/>
      <c r="W36" s="517"/>
      <c r="X36" s="370"/>
      <c r="Y36" s="429"/>
      <c r="Z36" s="517"/>
      <c r="AA36" s="370"/>
      <c r="AB36" s="429"/>
      <c r="AC36" s="517"/>
      <c r="AD36" s="370"/>
      <c r="AE36" s="429"/>
      <c r="AF36" s="429"/>
      <c r="AG36" s="429"/>
      <c r="AH36" s="429"/>
      <c r="AI36" s="430"/>
      <c r="AJ36" s="431"/>
      <c r="AK36" s="432"/>
    </row>
    <row r="37" spans="1:37" s="363" customFormat="1" ht="18.75" customHeight="1" x14ac:dyDescent="0.3">
      <c r="A37" s="418" t="s">
        <v>278</v>
      </c>
      <c r="B37" s="370"/>
      <c r="C37" s="370"/>
      <c r="D37" s="342"/>
      <c r="E37" s="517"/>
      <c r="F37" s="370"/>
      <c r="G37" s="342"/>
      <c r="H37" s="517"/>
      <c r="I37" s="370"/>
      <c r="J37" s="342"/>
      <c r="K37" s="517"/>
      <c r="L37" s="370"/>
      <c r="M37" s="342"/>
      <c r="N37" s="517"/>
      <c r="O37" s="370"/>
      <c r="P37" s="342"/>
      <c r="Q37" s="517"/>
      <c r="R37" s="370"/>
      <c r="S37" s="342"/>
      <c r="T37" s="517"/>
      <c r="U37" s="370"/>
      <c r="V37" s="342"/>
      <c r="W37" s="517"/>
      <c r="X37" s="370"/>
      <c r="Y37" s="342"/>
      <c r="Z37" s="517"/>
      <c r="AA37" s="370"/>
      <c r="AB37" s="342"/>
      <c r="AC37" s="517"/>
      <c r="AD37" s="370"/>
      <c r="AE37" s="342"/>
      <c r="AF37" s="342"/>
      <c r="AG37" s="342"/>
      <c r="AH37" s="342"/>
      <c r="AI37" s="433"/>
      <c r="AJ37" s="434"/>
      <c r="AK37" s="435"/>
    </row>
    <row r="38" spans="1:37" s="353" customFormat="1" ht="18.75" customHeight="1" x14ac:dyDescent="0.3">
      <c r="A38" s="416" t="s">
        <v>279</v>
      </c>
      <c r="B38" s="365">
        <v>1125.7593842599999</v>
      </c>
      <c r="C38" s="365">
        <v>1088.4041260100003</v>
      </c>
      <c r="D38" s="269">
        <f t="shared" ref="D38:D44" si="22">IF(B38=0, "    ---- ", IF(ABS(ROUND(100/B38*C38-100,1))&lt;999,ROUND(100/B38*C38-100,1),IF(ROUND(100/B38*C38-100,1)&gt;999,999,-999)))</f>
        <v>-3.3</v>
      </c>
      <c r="E38" s="518">
        <v>116.16688522</v>
      </c>
      <c r="F38" s="365">
        <v>109.14631565000001</v>
      </c>
      <c r="G38" s="269">
        <f t="shared" ref="G38:G44" si="23">IF(E38=0, "    ---- ", IF(ABS(ROUND(100/E38*F38-100,1))&lt;999,ROUND(100/E38*F38-100,1),IF(ROUND(100/E38*F38-100,1)&gt;999,999,-999)))</f>
        <v>-6</v>
      </c>
      <c r="H38" s="518">
        <v>28.396000000000001</v>
      </c>
      <c r="I38" s="365">
        <v>26.855</v>
      </c>
      <c r="J38" s="269">
        <f t="shared" ref="J38:J44" si="24">IF(H38=0, "    ---- ", IF(ABS(ROUND(100/H38*I38-100,1))&lt;999,ROUND(100/H38*I38-100,1),IF(ROUND(100/H38*I38-100,1)&gt;999,999,-999)))</f>
        <v>-5.4</v>
      </c>
      <c r="K38" s="518">
        <v>41</v>
      </c>
      <c r="L38" s="365">
        <v>54</v>
      </c>
      <c r="M38" s="269">
        <f t="shared" ref="M38:M44" si="25">IF(K38=0, "    ---- ", IF(ABS(ROUND(100/K38*L38-100,1))&lt;999,ROUND(100/K38*L38-100,1),IF(ROUND(100/K38*L38-100,1)&gt;999,999,-999)))</f>
        <v>31.7</v>
      </c>
      <c r="N38" s="518">
        <v>1448.2797730299999</v>
      </c>
      <c r="O38" s="365">
        <v>1835.3484138499998</v>
      </c>
      <c r="P38" s="269">
        <f t="shared" ref="P38:P45" si="26">IF(N38=0, "    ---- ", IF(ABS(ROUND(100/N38*O38-100,1))&lt;999,ROUND(100/N38*O38-100,1),IF(ROUND(100/N38*O38-100,1)&gt;999,999,-999)))</f>
        <v>26.7</v>
      </c>
      <c r="Q38" s="518">
        <v>439.55</v>
      </c>
      <c r="R38" s="365">
        <v>367</v>
      </c>
      <c r="S38" s="269">
        <f t="shared" ref="S38:S45" si="27">IF(Q38=0, "    ---- ", IF(ABS(ROUND(100/Q38*R38-100,1))&lt;999,ROUND(100/Q38*R38-100,1),IF(ROUND(100/Q38*R38-100,1)&gt;999,999,-999)))</f>
        <v>-16.5</v>
      </c>
      <c r="T38" s="518">
        <v>592</v>
      </c>
      <c r="U38" s="365">
        <v>622</v>
      </c>
      <c r="V38" s="269">
        <f t="shared" ref="V38:V44" si="28">IF(T38=0, "    ---- ", IF(ABS(ROUND(100/T38*U38-100,1))&lt;999,ROUND(100/T38*U38-100,1),IF(ROUND(100/T38*U38-100,1)&gt;999,999,-999)))</f>
        <v>5.0999999999999996</v>
      </c>
      <c r="W38" s="518">
        <v>211.73710645000247</v>
      </c>
      <c r="X38" s="365">
        <v>214.93995256000051</v>
      </c>
      <c r="Y38" s="269">
        <f t="shared" ref="Y38:Y44" si="29">IF(W38=0, "    ---- ", IF(ABS(ROUND(100/W38*X38-100,1))&lt;999,ROUND(100/W38*X38-100,1),IF(ROUND(100/W38*X38-100,1)&gt;999,999,-999)))</f>
        <v>1.5</v>
      </c>
      <c r="Z38" s="518">
        <v>1883.1436787499997</v>
      </c>
      <c r="AA38" s="365">
        <v>2002.4075460900003</v>
      </c>
      <c r="AB38" s="269">
        <f t="shared" ref="AB38:AB45" si="30">IF(Z38=0, "    ---- ", IF(ABS(ROUND(100/Z38*AA38-100,1))&lt;999,ROUND(100/Z38*AA38-100,1),IF(ROUND(100/Z38*AA38-100,1)&gt;999,999,-999)))</f>
        <v>6.3</v>
      </c>
      <c r="AC38" s="518">
        <v>1</v>
      </c>
      <c r="AD38" s="365">
        <v>2</v>
      </c>
      <c r="AE38" s="269">
        <f t="shared" ref="AE38:AE45" si="31">IF(AC38=0, "    ---- ", IF(ABS(ROUND(100/AC38*AD38-100,1))&lt;999,ROUND(100/AC38*AD38-100,1),IF(ROUND(100/AC38*AD38-100,1)&gt;999,999,-999)))</f>
        <v>100</v>
      </c>
      <c r="AF38" s="269">
        <f t="shared" ref="AF38:AG46" si="32">B38+E38+H38+K38+N38+Q38+T38+W38+Z38</f>
        <v>5886.0328277100016</v>
      </c>
      <c r="AG38" s="269">
        <f t="shared" si="32"/>
        <v>6320.1013541600005</v>
      </c>
      <c r="AH38" s="269">
        <f t="shared" si="11"/>
        <v>7.4</v>
      </c>
      <c r="AI38" s="425"/>
      <c r="AJ38" s="436"/>
      <c r="AK38" s="377"/>
    </row>
    <row r="39" spans="1:37" s="353" customFormat="1" ht="18.75" customHeight="1" x14ac:dyDescent="0.3">
      <c r="A39" s="416" t="s">
        <v>280</v>
      </c>
      <c r="B39" s="365">
        <v>7.3264279999999999</v>
      </c>
      <c r="C39" s="365">
        <v>8.0985899999999997</v>
      </c>
      <c r="D39" s="269">
        <f t="shared" si="22"/>
        <v>10.5</v>
      </c>
      <c r="E39" s="518"/>
      <c r="F39" s="365"/>
      <c r="G39" s="269"/>
      <c r="H39" s="518"/>
      <c r="I39" s="365"/>
      <c r="J39" s="269"/>
      <c r="K39" s="518"/>
      <c r="L39" s="365"/>
      <c r="M39" s="269"/>
      <c r="N39" s="518">
        <v>49.316606369999995</v>
      </c>
      <c r="O39" s="365">
        <v>56.504447859999999</v>
      </c>
      <c r="P39" s="269">
        <f t="shared" si="26"/>
        <v>14.6</v>
      </c>
      <c r="Q39" s="518">
        <v>2</v>
      </c>
      <c r="R39" s="365">
        <v>1</v>
      </c>
      <c r="S39" s="269">
        <f t="shared" si="27"/>
        <v>-50</v>
      </c>
      <c r="T39" s="518">
        <v>28</v>
      </c>
      <c r="U39" s="365">
        <v>0</v>
      </c>
      <c r="V39" s="269">
        <f t="shared" si="28"/>
        <v>-100</v>
      </c>
      <c r="W39" s="518">
        <v>18.86613552</v>
      </c>
      <c r="X39" s="365">
        <v>26.735765999999998</v>
      </c>
      <c r="Y39" s="269">
        <f t="shared" si="29"/>
        <v>41.7</v>
      </c>
      <c r="Z39" s="518">
        <v>45.893333659999989</v>
      </c>
      <c r="AA39" s="365">
        <v>46.536871779999991</v>
      </c>
      <c r="AB39" s="269">
        <f t="shared" si="30"/>
        <v>1.4</v>
      </c>
      <c r="AC39" s="518"/>
      <c r="AD39" s="365"/>
      <c r="AE39" s="269"/>
      <c r="AF39" s="269">
        <f t="shared" si="32"/>
        <v>151.40250354999998</v>
      </c>
      <c r="AG39" s="269">
        <f t="shared" si="32"/>
        <v>138.87567564</v>
      </c>
      <c r="AH39" s="269">
        <f t="shared" si="11"/>
        <v>-8.3000000000000007</v>
      </c>
      <c r="AI39" s="269"/>
      <c r="AJ39" s="437"/>
      <c r="AK39" s="269"/>
    </row>
    <row r="40" spans="1:37" s="353" customFormat="1" ht="18.75" customHeight="1" x14ac:dyDescent="0.3">
      <c r="A40" s="416" t="s">
        <v>281</v>
      </c>
      <c r="B40" s="365">
        <v>-404</v>
      </c>
      <c r="C40" s="365">
        <v>-384.38531325000002</v>
      </c>
      <c r="D40" s="269">
        <f t="shared" si="22"/>
        <v>-4.9000000000000004</v>
      </c>
      <c r="E40" s="518">
        <v>-31.51482472</v>
      </c>
      <c r="F40" s="365">
        <v>-18.914862200000002</v>
      </c>
      <c r="G40" s="269">
        <f t="shared" si="23"/>
        <v>-40</v>
      </c>
      <c r="H40" s="518"/>
      <c r="I40" s="365"/>
      <c r="J40" s="269"/>
      <c r="K40" s="518">
        <v>-15</v>
      </c>
      <c r="L40" s="365">
        <v>-14</v>
      </c>
      <c r="M40" s="269">
        <f t="shared" si="25"/>
        <v>-6.7</v>
      </c>
      <c r="N40" s="518">
        <v>-231.50260775000001</v>
      </c>
      <c r="O40" s="365">
        <v>-186.90171437999999</v>
      </c>
      <c r="P40" s="269">
        <f t="shared" si="26"/>
        <v>-19.3</v>
      </c>
      <c r="Q40" s="518">
        <v>-136.19999999999999</v>
      </c>
      <c r="R40" s="365">
        <v>-139</v>
      </c>
      <c r="S40" s="269">
        <f t="shared" si="27"/>
        <v>2.1</v>
      </c>
      <c r="T40" s="518">
        <v>-25</v>
      </c>
      <c r="U40" s="365">
        <v>-24</v>
      </c>
      <c r="V40" s="269">
        <f t="shared" si="28"/>
        <v>-4</v>
      </c>
      <c r="W40" s="518">
        <v>-6.3011565235989329</v>
      </c>
      <c r="X40" s="365">
        <v>-8.5367941399999996</v>
      </c>
      <c r="Y40" s="269">
        <f t="shared" si="29"/>
        <v>35.5</v>
      </c>
      <c r="Z40" s="518">
        <v>-742.70285985999988</v>
      </c>
      <c r="AA40" s="365">
        <v>-619.81861316999994</v>
      </c>
      <c r="AB40" s="269">
        <f t="shared" si="30"/>
        <v>-16.5</v>
      </c>
      <c r="AC40" s="518"/>
      <c r="AD40" s="365"/>
      <c r="AE40" s="269"/>
      <c r="AF40" s="269">
        <f t="shared" si="32"/>
        <v>-1592.2214488535988</v>
      </c>
      <c r="AG40" s="269">
        <f t="shared" si="32"/>
        <v>-1395.5572971399999</v>
      </c>
      <c r="AH40" s="269">
        <f t="shared" si="11"/>
        <v>-12.4</v>
      </c>
      <c r="AI40" s="269"/>
      <c r="AJ40" s="437"/>
      <c r="AK40" s="269"/>
    </row>
    <row r="41" spans="1:37" s="439" customFormat="1" ht="18.75" customHeight="1" x14ac:dyDescent="0.3">
      <c r="A41" s="428" t="s">
        <v>282</v>
      </c>
      <c r="B41" s="370">
        <v>729.08581226000001</v>
      </c>
      <c r="C41" s="370">
        <v>712.11740276000023</v>
      </c>
      <c r="D41" s="342">
        <f t="shared" si="22"/>
        <v>-2.2999999999999998</v>
      </c>
      <c r="E41" s="517">
        <f>SUM(E38:E40)</f>
        <v>84.652060500000005</v>
      </c>
      <c r="F41" s="370">
        <f>SUM(F38:F40)</f>
        <v>90.231453450000004</v>
      </c>
      <c r="G41" s="342">
        <f t="shared" si="23"/>
        <v>6.6</v>
      </c>
      <c r="H41" s="517">
        <f>SUM(H38:H40)</f>
        <v>28.396000000000001</v>
      </c>
      <c r="I41" s="370">
        <f>SUM(I38:I40)</f>
        <v>26.855</v>
      </c>
      <c r="J41" s="342">
        <f t="shared" si="24"/>
        <v>-5.4</v>
      </c>
      <c r="K41" s="517">
        <f>SUM(K38:K40)</f>
        <v>26</v>
      </c>
      <c r="L41" s="370">
        <f>SUM(L38:L40)</f>
        <v>40</v>
      </c>
      <c r="M41" s="342">
        <f t="shared" si="25"/>
        <v>53.8</v>
      </c>
      <c r="N41" s="517">
        <v>1266.09377165</v>
      </c>
      <c r="O41" s="370">
        <v>1704.9511473299999</v>
      </c>
      <c r="P41" s="342">
        <f t="shared" si="26"/>
        <v>34.700000000000003</v>
      </c>
      <c r="Q41" s="517">
        <f>SUM(Q38:Q40)</f>
        <v>305.35000000000002</v>
      </c>
      <c r="R41" s="370">
        <f>SUM(R38:R40)</f>
        <v>229</v>
      </c>
      <c r="S41" s="342">
        <f t="shared" si="27"/>
        <v>-25</v>
      </c>
      <c r="T41" s="517">
        <f>SUM(T38:T40)</f>
        <v>595</v>
      </c>
      <c r="U41" s="370">
        <f>SUM(U38:U40)</f>
        <v>598</v>
      </c>
      <c r="V41" s="342">
        <f t="shared" si="28"/>
        <v>0.5</v>
      </c>
      <c r="W41" s="517">
        <f>SUM(W38:W40)</f>
        <v>224.30208544640354</v>
      </c>
      <c r="X41" s="370">
        <f>SUM(X38:X40)</f>
        <v>233.13892442000051</v>
      </c>
      <c r="Y41" s="342">
        <f t="shared" si="29"/>
        <v>3.9</v>
      </c>
      <c r="Z41" s="517">
        <f>SUM(Z38:Z40)</f>
        <v>1186.33415255</v>
      </c>
      <c r="AA41" s="370">
        <f>SUM(AA38:AA40)</f>
        <v>1429.1258047000006</v>
      </c>
      <c r="AB41" s="342">
        <f t="shared" si="30"/>
        <v>20.5</v>
      </c>
      <c r="AC41" s="517">
        <f>SUM(AC38:AC40)</f>
        <v>1</v>
      </c>
      <c r="AD41" s="370">
        <f>SUM(AD38:AD40)</f>
        <v>2</v>
      </c>
      <c r="AE41" s="342">
        <f t="shared" si="31"/>
        <v>100</v>
      </c>
      <c r="AF41" s="342">
        <f t="shared" si="32"/>
        <v>4445.2138824064032</v>
      </c>
      <c r="AG41" s="342">
        <f t="shared" si="32"/>
        <v>5063.4197326600006</v>
      </c>
      <c r="AH41" s="342">
        <f t="shared" si="11"/>
        <v>13.9</v>
      </c>
      <c r="AI41" s="342"/>
      <c r="AJ41" s="438"/>
      <c r="AK41" s="342"/>
    </row>
    <row r="42" spans="1:37" s="439" customFormat="1" ht="18.75" customHeight="1" x14ac:dyDescent="0.3">
      <c r="A42" s="428" t="s">
        <v>283</v>
      </c>
      <c r="B42" s="370">
        <v>1597.6838470175085</v>
      </c>
      <c r="C42" s="370">
        <v>1862.3192532800044</v>
      </c>
      <c r="D42" s="342">
        <f t="shared" si="22"/>
        <v>16.600000000000001</v>
      </c>
      <c r="E42" s="517">
        <f>E35+E41</f>
        <v>1054.6669112600002</v>
      </c>
      <c r="F42" s="370">
        <f>F35+F41</f>
        <v>1183.1570564400004</v>
      </c>
      <c r="G42" s="342">
        <f t="shared" si="23"/>
        <v>12.2</v>
      </c>
      <c r="H42" s="517">
        <f>H35+H41</f>
        <v>155.28999999999996</v>
      </c>
      <c r="I42" s="370">
        <f>I35+I41</f>
        <v>103.85999999999997</v>
      </c>
      <c r="J42" s="342">
        <f t="shared" si="24"/>
        <v>-33.1</v>
      </c>
      <c r="K42" s="517">
        <f>K35+K41</f>
        <v>199</v>
      </c>
      <c r="L42" s="370">
        <f>L35+L41</f>
        <v>-195</v>
      </c>
      <c r="M42" s="342">
        <f t="shared" si="25"/>
        <v>-198</v>
      </c>
      <c r="N42" s="517">
        <v>1662.6660987300102</v>
      </c>
      <c r="O42" s="370">
        <v>2043.0391247800112</v>
      </c>
      <c r="P42" s="342">
        <f t="shared" si="26"/>
        <v>22.9</v>
      </c>
      <c r="Q42" s="517">
        <f>Q35+Q41</f>
        <v>1282.4691755299959</v>
      </c>
      <c r="R42" s="370">
        <f>R35+R41</f>
        <v>1270.5960963000014</v>
      </c>
      <c r="S42" s="342">
        <f t="shared" si="27"/>
        <v>-0.9</v>
      </c>
      <c r="T42" s="517">
        <f>T35+T41</f>
        <v>1097</v>
      </c>
      <c r="U42" s="370">
        <f>U35+U41</f>
        <v>1088</v>
      </c>
      <c r="V42" s="342">
        <f t="shared" si="28"/>
        <v>-0.8</v>
      </c>
      <c r="W42" s="517">
        <f>W35+W41</f>
        <v>344.32060514000079</v>
      </c>
      <c r="X42" s="370">
        <f>X35+X41</f>
        <v>308.42235312001827</v>
      </c>
      <c r="Y42" s="342">
        <f t="shared" si="29"/>
        <v>-10.4</v>
      </c>
      <c r="Z42" s="517">
        <f>Z35+Z41</f>
        <v>2585.5796311000549</v>
      </c>
      <c r="AA42" s="370">
        <f>AA35+AA41</f>
        <v>2795.9477956781921</v>
      </c>
      <c r="AB42" s="342">
        <f t="shared" si="30"/>
        <v>8.1</v>
      </c>
      <c r="AC42" s="517">
        <f>AC35+AC41</f>
        <v>-18</v>
      </c>
      <c r="AD42" s="370">
        <f>AD35+AD41</f>
        <v>-7</v>
      </c>
      <c r="AE42" s="342">
        <f t="shared" si="31"/>
        <v>-61.1</v>
      </c>
      <c r="AF42" s="342">
        <f t="shared" si="32"/>
        <v>9978.6762687775699</v>
      </c>
      <c r="AG42" s="342">
        <f t="shared" si="32"/>
        <v>10460.341679598228</v>
      </c>
      <c r="AH42" s="342">
        <f t="shared" si="11"/>
        <v>4.8</v>
      </c>
      <c r="AI42" s="342"/>
      <c r="AJ42" s="438"/>
      <c r="AK42" s="342"/>
    </row>
    <row r="43" spans="1:37" s="353" customFormat="1" ht="18.75" customHeight="1" x14ac:dyDescent="0.3">
      <c r="A43" s="416" t="s">
        <v>284</v>
      </c>
      <c r="B43" s="365">
        <v>-343</v>
      </c>
      <c r="C43" s="365">
        <v>-436.63196299999998</v>
      </c>
      <c r="D43" s="269">
        <f t="shared" si="22"/>
        <v>27.3</v>
      </c>
      <c r="E43" s="518">
        <v>-290.09629341999994</v>
      </c>
      <c r="F43" s="365">
        <v>-317.51423786999999</v>
      </c>
      <c r="G43" s="269">
        <f t="shared" si="23"/>
        <v>9.5</v>
      </c>
      <c r="H43" s="518"/>
      <c r="I43" s="365"/>
      <c r="J43" s="269"/>
      <c r="K43" s="518"/>
      <c r="L43" s="365"/>
      <c r="M43" s="269"/>
      <c r="N43" s="518">
        <v>-324.96084447499999</v>
      </c>
      <c r="O43" s="365">
        <v>-372.88509647499995</v>
      </c>
      <c r="P43" s="269">
        <f t="shared" si="26"/>
        <v>14.7</v>
      </c>
      <c r="Q43" s="518">
        <v>-320.18</v>
      </c>
      <c r="R43" s="365">
        <v>-317</v>
      </c>
      <c r="S43" s="269">
        <f t="shared" si="27"/>
        <v>-1</v>
      </c>
      <c r="T43" s="518">
        <v>-276</v>
      </c>
      <c r="U43" s="365">
        <v>-227</v>
      </c>
      <c r="V43" s="269">
        <f t="shared" si="28"/>
        <v>-17.8</v>
      </c>
      <c r="W43" s="518">
        <v>-80.972472870000004</v>
      </c>
      <c r="X43" s="365">
        <v>-68.035331779999993</v>
      </c>
      <c r="Y43" s="269">
        <f t="shared" si="29"/>
        <v>-16</v>
      </c>
      <c r="Z43" s="518">
        <v>-266.03488637999999</v>
      </c>
      <c r="AA43" s="365">
        <v>-247.17330353</v>
      </c>
      <c r="AB43" s="269">
        <f t="shared" si="30"/>
        <v>-7.1</v>
      </c>
      <c r="AC43" s="518"/>
      <c r="AD43" s="365"/>
      <c r="AE43" s="269"/>
      <c r="AF43" s="269">
        <f t="shared" si="32"/>
        <v>-1901.244497145</v>
      </c>
      <c r="AG43" s="269">
        <f t="shared" si="32"/>
        <v>-1986.2399326549998</v>
      </c>
      <c r="AH43" s="269">
        <f t="shared" si="11"/>
        <v>4.5</v>
      </c>
      <c r="AI43" s="269"/>
      <c r="AJ43" s="437"/>
      <c r="AK43" s="269"/>
    </row>
    <row r="44" spans="1:37" s="439" customFormat="1" ht="18.75" customHeight="1" x14ac:dyDescent="0.3">
      <c r="A44" s="428" t="s">
        <v>376</v>
      </c>
      <c r="B44" s="370">
        <v>1254.6838470175085</v>
      </c>
      <c r="C44" s="370">
        <v>1425.6872902800044</v>
      </c>
      <c r="D44" s="342">
        <f t="shared" si="22"/>
        <v>13.6</v>
      </c>
      <c r="E44" s="517">
        <f>E42+E43</f>
        <v>764.5706178400003</v>
      </c>
      <c r="F44" s="370">
        <f>F42+F43</f>
        <v>865.64281857000037</v>
      </c>
      <c r="G44" s="342">
        <f t="shared" si="23"/>
        <v>13.2</v>
      </c>
      <c r="H44" s="517">
        <f>H42+H43</f>
        <v>155.28999999999996</v>
      </c>
      <c r="I44" s="370">
        <f>I42+I43</f>
        <v>103.85999999999997</v>
      </c>
      <c r="J44" s="342">
        <f t="shared" si="24"/>
        <v>-33.1</v>
      </c>
      <c r="K44" s="517">
        <f>K42+K43</f>
        <v>199</v>
      </c>
      <c r="L44" s="370">
        <f>L42+L43</f>
        <v>-195</v>
      </c>
      <c r="M44" s="342">
        <f t="shared" si="25"/>
        <v>-198</v>
      </c>
      <c r="N44" s="517">
        <v>1337.7052542550102</v>
      </c>
      <c r="O44" s="370">
        <v>1670.1540283050113</v>
      </c>
      <c r="P44" s="342">
        <f t="shared" si="26"/>
        <v>24.9</v>
      </c>
      <c r="Q44" s="517">
        <f>Q42+Q43</f>
        <v>962.28917552999587</v>
      </c>
      <c r="R44" s="370">
        <f>R42+R43</f>
        <v>953.59609630000136</v>
      </c>
      <c r="S44" s="342">
        <f t="shared" si="27"/>
        <v>-0.9</v>
      </c>
      <c r="T44" s="517">
        <f>T42+T43</f>
        <v>821</v>
      </c>
      <c r="U44" s="370">
        <f>U42+U43</f>
        <v>861</v>
      </c>
      <c r="V44" s="342">
        <f t="shared" si="28"/>
        <v>4.9000000000000004</v>
      </c>
      <c r="W44" s="517">
        <f>W42+W43</f>
        <v>263.3481322700008</v>
      </c>
      <c r="X44" s="370">
        <f>X42+X43</f>
        <v>240.38702134001829</v>
      </c>
      <c r="Y44" s="342">
        <f t="shared" si="29"/>
        <v>-8.6999999999999993</v>
      </c>
      <c r="Z44" s="517">
        <f>Z42+Z43</f>
        <v>2319.544744720055</v>
      </c>
      <c r="AA44" s="370">
        <f>AA42+AA43</f>
        <v>2548.7744921481922</v>
      </c>
      <c r="AB44" s="342">
        <f t="shared" si="30"/>
        <v>9.9</v>
      </c>
      <c r="AC44" s="517">
        <f>AC42+AC43</f>
        <v>-18</v>
      </c>
      <c r="AD44" s="370">
        <f>AD42+AD43</f>
        <v>-7</v>
      </c>
      <c r="AE44" s="342">
        <f t="shared" si="31"/>
        <v>-61.1</v>
      </c>
      <c r="AF44" s="342">
        <f t="shared" si="32"/>
        <v>8077.4317716325704</v>
      </c>
      <c r="AG44" s="342">
        <f t="shared" si="32"/>
        <v>8474.1017469432281</v>
      </c>
      <c r="AH44" s="342">
        <f t="shared" si="11"/>
        <v>4.9000000000000004</v>
      </c>
      <c r="AI44" s="342"/>
      <c r="AJ44" s="438"/>
      <c r="AK44" s="342"/>
    </row>
    <row r="45" spans="1:37" s="353" customFormat="1" ht="18.75" customHeight="1" x14ac:dyDescent="0.3">
      <c r="A45" s="416" t="s">
        <v>377</v>
      </c>
      <c r="B45" s="365"/>
      <c r="C45" s="365"/>
      <c r="D45" s="269"/>
      <c r="E45" s="518"/>
      <c r="F45" s="365"/>
      <c r="G45" s="269"/>
      <c r="H45" s="518"/>
      <c r="I45" s="365"/>
      <c r="J45" s="269"/>
      <c r="K45" s="518"/>
      <c r="L45" s="365"/>
      <c r="M45" s="269"/>
      <c r="N45" s="518">
        <v>170.33961005500004</v>
      </c>
      <c r="O45" s="365">
        <v>150.84663183500004</v>
      </c>
      <c r="P45" s="269">
        <f t="shared" si="26"/>
        <v>-11.4</v>
      </c>
      <c r="Q45" s="518">
        <v>10.38</v>
      </c>
      <c r="R45" s="365">
        <v>0</v>
      </c>
      <c r="S45" s="269">
        <f t="shared" si="27"/>
        <v>-100</v>
      </c>
      <c r="T45" s="518"/>
      <c r="U45" s="365"/>
      <c r="V45" s="269"/>
      <c r="W45" s="518"/>
      <c r="X45" s="365"/>
      <c r="Y45" s="269"/>
      <c r="Z45" s="518">
        <v>2.5357049889862537E-9</v>
      </c>
      <c r="AA45" s="365">
        <v>0</v>
      </c>
      <c r="AB45" s="269">
        <f t="shared" si="30"/>
        <v>-100</v>
      </c>
      <c r="AC45" s="518"/>
      <c r="AD45" s="365">
        <v>-1</v>
      </c>
      <c r="AE45" s="269" t="str">
        <f t="shared" si="31"/>
        <v xml:space="preserve">    ---- </v>
      </c>
      <c r="AF45" s="269">
        <f t="shared" si="32"/>
        <v>180.71961005753573</v>
      </c>
      <c r="AG45" s="269">
        <f t="shared" si="32"/>
        <v>150.84663183500004</v>
      </c>
      <c r="AH45" s="269">
        <f t="shared" si="11"/>
        <v>-16.5</v>
      </c>
      <c r="AI45" s="269"/>
      <c r="AJ45" s="437"/>
      <c r="AK45" s="269"/>
    </row>
    <row r="46" spans="1:37" s="439" customFormat="1" ht="18.75" customHeight="1" x14ac:dyDescent="0.3">
      <c r="A46" s="427" t="s">
        <v>285</v>
      </c>
      <c r="B46" s="371">
        <v>1254.6838470175085</v>
      </c>
      <c r="C46" s="371">
        <v>1425.6872902800044</v>
      </c>
      <c r="D46" s="349">
        <f>IF(B46=0, "    ---- ", IF(ABS(ROUND(100/B46*C46-100,1))&lt;999,ROUND(100/B46*C46-100,1),IF(ROUND(100/B46*C46-100,1)&gt;999,999,-999)))</f>
        <v>13.6</v>
      </c>
      <c r="E46" s="519">
        <f>E44+E45</f>
        <v>764.5706178400003</v>
      </c>
      <c r="F46" s="371">
        <f>F44+F45</f>
        <v>865.64281857000037</v>
      </c>
      <c r="G46" s="349">
        <f>IF(E46=0, "    ---- ", IF(ABS(ROUND(100/E46*F46-100,1))&lt;999,ROUND(100/E46*F46-100,1),IF(ROUND(100/E46*F46-100,1)&gt;999,999,-999)))</f>
        <v>13.2</v>
      </c>
      <c r="H46" s="519">
        <f>H44+H45</f>
        <v>155.28999999999996</v>
      </c>
      <c r="I46" s="371">
        <f>I44+I45</f>
        <v>103.85999999999997</v>
      </c>
      <c r="J46" s="349">
        <f>IF(H46=0, "    ---- ", IF(ABS(ROUND(100/H46*I46-100,1))&lt;999,ROUND(100/H46*I46-100,1),IF(ROUND(100/H46*I46-100,1)&gt;999,999,-999)))</f>
        <v>-33.1</v>
      </c>
      <c r="K46" s="519">
        <f>K44+K45</f>
        <v>199</v>
      </c>
      <c r="L46" s="371">
        <f>L44+L45</f>
        <v>-195</v>
      </c>
      <c r="M46" s="349">
        <f>IF(K46=0, "    ---- ", IF(ABS(ROUND(100/K46*L46-100,1))&lt;999,ROUND(100/K46*L46-100,1),IF(ROUND(100/K46*L46-100,1)&gt;999,999,-999)))</f>
        <v>-198</v>
      </c>
      <c r="N46" s="519">
        <v>1508.0448643100103</v>
      </c>
      <c r="O46" s="371">
        <v>1821.0006601400114</v>
      </c>
      <c r="P46" s="349">
        <f>IF(N46=0, "    ---- ", IF(ABS(ROUND(100/N46*O46-100,1))&lt;999,ROUND(100/N46*O46-100,1),IF(ROUND(100/N46*O46-100,1)&gt;999,999,-999)))</f>
        <v>20.8</v>
      </c>
      <c r="Q46" s="519">
        <f>Q44+Q45</f>
        <v>972.66917552999587</v>
      </c>
      <c r="R46" s="371">
        <f>R44+R45</f>
        <v>953.59609630000136</v>
      </c>
      <c r="S46" s="349">
        <f>IF(Q46=0, "    ---- ", IF(ABS(ROUND(100/Q46*R46-100,1))&lt;999,ROUND(100/Q46*R46-100,1),IF(ROUND(100/Q46*R46-100,1)&gt;999,999,-999)))</f>
        <v>-2</v>
      </c>
      <c r="T46" s="519">
        <f>T44+T45</f>
        <v>821</v>
      </c>
      <c r="U46" s="371">
        <f>U44+U45</f>
        <v>861</v>
      </c>
      <c r="V46" s="349">
        <f>IF(T46=0, "    ---- ", IF(ABS(ROUND(100/T46*U46-100,1))&lt;999,ROUND(100/T46*U46-100,1),IF(ROUND(100/T46*U46-100,1)&gt;999,999,-999)))</f>
        <v>4.9000000000000004</v>
      </c>
      <c r="W46" s="519">
        <f>W44+W45</f>
        <v>263.3481322700008</v>
      </c>
      <c r="X46" s="371">
        <f>X44+X45</f>
        <v>240.38702134001829</v>
      </c>
      <c r="Y46" s="349">
        <f>IF(W46=0, "    ---- ", IF(ABS(ROUND(100/W46*X46-100,1))&lt;999,ROUND(100/W46*X46-100,1),IF(ROUND(100/W46*X46-100,1)&gt;999,999,-999)))</f>
        <v>-8.6999999999999993</v>
      </c>
      <c r="Z46" s="519">
        <f>Z44+Z45</f>
        <v>2319.5447447225906</v>
      </c>
      <c r="AA46" s="371">
        <f>AA44+AA45</f>
        <v>2548.7744921481922</v>
      </c>
      <c r="AB46" s="349">
        <f>IF(Z46=0, "    ---- ", IF(ABS(ROUND(100/Z46*AA46-100,1))&lt;999,ROUND(100/Z46*AA46-100,1),IF(ROUND(100/Z46*AA46-100,1)&gt;999,999,-999)))</f>
        <v>9.9</v>
      </c>
      <c r="AC46" s="519">
        <f>AC44+AC45</f>
        <v>-18</v>
      </c>
      <c r="AD46" s="371">
        <f>AD44+AD45</f>
        <v>-8</v>
      </c>
      <c r="AE46" s="349">
        <f>IF(AC46=0, "    ---- ", IF(ABS(ROUND(100/AC46*AD46-100,1))&lt;999,ROUND(100/AC46*AD46-100,1),IF(ROUND(100/AC46*AD46-100,1)&gt;999,999,-999)))</f>
        <v>-55.6</v>
      </c>
      <c r="AF46" s="342">
        <f t="shared" si="32"/>
        <v>8258.1513816901061</v>
      </c>
      <c r="AG46" s="342">
        <f t="shared" si="32"/>
        <v>8624.9483787782283</v>
      </c>
      <c r="AH46" s="349">
        <f t="shared" si="11"/>
        <v>4.4000000000000004</v>
      </c>
      <c r="AI46" s="440"/>
      <c r="AJ46" s="441"/>
      <c r="AK46" s="442"/>
    </row>
    <row r="47" spans="1:37" s="439" customFormat="1" ht="18.75" customHeight="1" x14ac:dyDescent="0.3">
      <c r="A47" s="443"/>
      <c r="B47" s="444"/>
      <c r="C47" s="444"/>
      <c r="D47" s="429"/>
      <c r="E47" s="444"/>
      <c r="F47" s="444"/>
      <c r="G47" s="429"/>
      <c r="H47" s="444"/>
      <c r="I47" s="444"/>
      <c r="J47" s="429"/>
      <c r="K47" s="444"/>
      <c r="L47" s="444"/>
      <c r="M47" s="445"/>
      <c r="N47" s="444"/>
      <c r="O47" s="444"/>
      <c r="P47" s="429"/>
      <c r="Q47" s="444"/>
      <c r="R47" s="444"/>
      <c r="S47" s="429"/>
      <c r="T47" s="444"/>
      <c r="U47" s="444"/>
      <c r="V47" s="429"/>
      <c r="W47" s="444"/>
      <c r="X47" s="444"/>
      <c r="Y47" s="429"/>
      <c r="Z47" s="444"/>
      <c r="AA47" s="444"/>
      <c r="AB47" s="429"/>
      <c r="AC47" s="444"/>
      <c r="AD47" s="444"/>
      <c r="AE47" s="429"/>
      <c r="AF47" s="445"/>
      <c r="AG47" s="445"/>
      <c r="AH47" s="429"/>
      <c r="AI47" s="446"/>
      <c r="AJ47" s="446"/>
      <c r="AK47" s="447"/>
    </row>
    <row r="48" spans="1:37" s="439" customFormat="1" ht="18.75" customHeight="1" x14ac:dyDescent="0.3">
      <c r="A48" s="374" t="s">
        <v>286</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row>
    <row r="49" spans="1:37" s="353" customFormat="1" ht="18.75" customHeight="1" x14ac:dyDescent="0.3">
      <c r="A49" s="448" t="s">
        <v>287</v>
      </c>
      <c r="B49" s="448"/>
      <c r="C49" s="448"/>
      <c r="D49" s="448"/>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8"/>
      <c r="AJ49" s="448"/>
      <c r="AK49" s="448"/>
    </row>
    <row r="50" spans="1:37" s="353" customFormat="1" ht="18.75" customHeight="1" x14ac:dyDescent="0.3">
      <c r="A50" s="448" t="s">
        <v>288</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row>
    <row r="51" spans="1:37" s="353" customFormat="1" ht="18.75" customHeight="1" x14ac:dyDescent="0.3">
      <c r="A51" s="448" t="s">
        <v>289</v>
      </c>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row>
    <row r="52" spans="1:37" s="353" customFormat="1" ht="18.75" customHeight="1" x14ac:dyDescent="0.3">
      <c r="A52" s="448" t="s">
        <v>290</v>
      </c>
      <c r="B52" s="448"/>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row>
    <row r="53" spans="1:37" s="353" customFormat="1" ht="18.75" customHeight="1" x14ac:dyDescent="0.3">
      <c r="A53" s="448" t="s">
        <v>291</v>
      </c>
      <c r="B53" s="448"/>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8"/>
      <c r="AK53" s="448"/>
    </row>
    <row r="54" spans="1:37" s="353" customFormat="1" ht="18.75" customHeight="1" x14ac:dyDescent="0.3">
      <c r="A54" s="448" t="s">
        <v>292</v>
      </c>
      <c r="B54" s="448"/>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c r="AG54" s="448"/>
      <c r="AH54" s="448"/>
      <c r="AI54" s="448"/>
      <c r="AJ54" s="448"/>
      <c r="AK54" s="448"/>
    </row>
    <row r="55" spans="1:37" s="353" customFormat="1" ht="18.75" customHeight="1" x14ac:dyDescent="0.3">
      <c r="A55" s="448" t="s">
        <v>293</v>
      </c>
      <c r="B55" s="448"/>
      <c r="C55" s="448"/>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row>
    <row r="56" spans="1:37" s="353" customFormat="1" ht="18.75" customHeight="1" x14ac:dyDescent="0.3">
      <c r="A56" s="448" t="s">
        <v>294</v>
      </c>
      <c r="B56" s="448"/>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row>
    <row r="57" spans="1:37" s="353" customFormat="1" ht="18.75" customHeight="1" x14ac:dyDescent="0.3">
      <c r="A57" s="448" t="s">
        <v>295</v>
      </c>
      <c r="B57" s="448"/>
      <c r="C57" s="448"/>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c r="AI57" s="448"/>
      <c r="AJ57" s="448"/>
      <c r="AK57" s="448"/>
    </row>
    <row r="58" spans="1:37" s="439" customFormat="1" ht="18.75" customHeight="1" x14ac:dyDescent="0.3">
      <c r="A58" s="375" t="s">
        <v>296</v>
      </c>
      <c r="B58" s="449"/>
      <c r="C58" s="449"/>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row>
    <row r="59" spans="1:37" s="356" customFormat="1" ht="18.75" customHeight="1" x14ac:dyDescent="0.3">
      <c r="A59" s="353" t="s">
        <v>223</v>
      </c>
    </row>
    <row r="60" spans="1:37" s="356" customFormat="1" ht="18.75" customHeight="1" x14ac:dyDescent="0.3">
      <c r="A60" s="353" t="s">
        <v>224</v>
      </c>
    </row>
    <row r="61" spans="1:37" s="356" customFormat="1" ht="18.75" customHeight="1" x14ac:dyDescent="0.3">
      <c r="A61" s="353" t="s">
        <v>225</v>
      </c>
    </row>
    <row r="62" spans="1:37" s="356" customFormat="1" ht="18.75" x14ac:dyDescent="0.3"/>
  </sheetData>
  <mergeCells count="23">
    <mergeCell ref="T5:V5"/>
    <mergeCell ref="B5:D5"/>
    <mergeCell ref="E5:G5"/>
    <mergeCell ref="H5:J5"/>
    <mergeCell ref="K5:M5"/>
    <mergeCell ref="N5:P5"/>
    <mergeCell ref="B6:D6"/>
    <mergeCell ref="E6:G6"/>
    <mergeCell ref="H6:J6"/>
    <mergeCell ref="K6:M6"/>
    <mergeCell ref="N6:P6"/>
    <mergeCell ref="W5:Y5"/>
    <mergeCell ref="Z5:AB5"/>
    <mergeCell ref="AC5:AE5"/>
    <mergeCell ref="AF5:AH5"/>
    <mergeCell ref="AI5:AK5"/>
    <mergeCell ref="AI6:AK6"/>
    <mergeCell ref="Q6:S6"/>
    <mergeCell ref="T6:V6"/>
    <mergeCell ref="W6:Y6"/>
    <mergeCell ref="Z6:AB6"/>
    <mergeCell ref="AC6:AE6"/>
    <mergeCell ref="AF6:AH6"/>
  </mergeCells>
  <conditionalFormatting sqref="B14:C14">
    <cfRule type="expression" dxfId="176" priority="160">
      <formula>#REF! ="14≠11+12+13"</formula>
    </cfRule>
  </conditionalFormatting>
  <conditionalFormatting sqref="B21:C21">
    <cfRule type="expression" dxfId="175" priority="161">
      <formula>#REF! ="22≠19+20+21"</formula>
    </cfRule>
  </conditionalFormatting>
  <conditionalFormatting sqref="B30:C30">
    <cfRule type="expression" dxfId="174" priority="157">
      <formula>#REF! ="30≠24+25+26+27+28+29"</formula>
    </cfRule>
  </conditionalFormatting>
  <conditionalFormatting sqref="B35:C35">
    <cfRule type="expression" dxfId="173" priority="158">
      <formula>#REF! ="35≠14+15+16+17+22+30+31+32+33+34"</formula>
    </cfRule>
  </conditionalFormatting>
  <conditionalFormatting sqref="B46:C46">
    <cfRule type="expression" dxfId="172" priority="159">
      <formula>#REF! ="46≠35+38+39+40+43+45"</formula>
    </cfRule>
  </conditionalFormatting>
  <conditionalFormatting sqref="E14:F14">
    <cfRule type="expression" dxfId="171" priority="79">
      <formula>#REF! ="14≠11+12+13"</formula>
    </cfRule>
  </conditionalFormatting>
  <conditionalFormatting sqref="E21:F21">
    <cfRule type="expression" dxfId="170" priority="80">
      <formula>#REF! ="22≠19+20+21"</formula>
    </cfRule>
  </conditionalFormatting>
  <conditionalFormatting sqref="E30:F30">
    <cfRule type="expression" dxfId="169" priority="76">
      <formula>#REF! ="30≠24+25+26+27+28+29"</formula>
    </cfRule>
  </conditionalFormatting>
  <conditionalFormatting sqref="E35:F35">
    <cfRule type="expression" dxfId="168" priority="77">
      <formula>#REF! ="35≠14+15+16+17+22+30+31+32+33+34"</formula>
    </cfRule>
  </conditionalFormatting>
  <conditionalFormatting sqref="E46:F46">
    <cfRule type="expression" dxfId="167" priority="78">
      <formula>#REF! ="46≠35+38+39+40+43+45"</formula>
    </cfRule>
  </conditionalFormatting>
  <conditionalFormatting sqref="H14:I14">
    <cfRule type="expression" dxfId="166" priority="4">
      <formula>#REF! ="14≠11+12+13"</formula>
    </cfRule>
  </conditionalFormatting>
  <conditionalFormatting sqref="H21:I21">
    <cfRule type="expression" dxfId="165" priority="5">
      <formula>#REF! ="22≠19+20+21"</formula>
    </cfRule>
  </conditionalFormatting>
  <conditionalFormatting sqref="H30:I30">
    <cfRule type="expression" dxfId="164" priority="1">
      <formula>#REF! ="30≠24+25+26+27+28+29"</formula>
    </cfRule>
  </conditionalFormatting>
  <conditionalFormatting sqref="H35:I35">
    <cfRule type="expression" dxfId="163" priority="2">
      <formula>#REF! ="35≠14+15+16+17+22+30+31+32+33+34"</formula>
    </cfRule>
  </conditionalFormatting>
  <conditionalFormatting sqref="H46:I46">
    <cfRule type="expression" dxfId="162" priority="3">
      <formula>#REF! ="46≠35+38+39+40+43+45"</formula>
    </cfRule>
  </conditionalFormatting>
  <conditionalFormatting sqref="K14:L14">
    <cfRule type="expression" dxfId="161" priority="49">
      <formula>#REF! ="14≠11+12+13"</formula>
    </cfRule>
  </conditionalFormatting>
  <conditionalFormatting sqref="K21:L21">
    <cfRule type="expression" dxfId="160" priority="50">
      <formula>#REF! ="22≠19+20+21"</formula>
    </cfRule>
  </conditionalFormatting>
  <conditionalFormatting sqref="K30:L30">
    <cfRule type="expression" dxfId="159" priority="46">
      <formula>#REF! ="30≠24+25+26+27+28+29"</formula>
    </cfRule>
  </conditionalFormatting>
  <conditionalFormatting sqref="K35:L35">
    <cfRule type="expression" dxfId="158" priority="47">
      <formula>#REF! ="35≠14+15+16+17+22+30+31+32+33+34"</formula>
    </cfRule>
  </conditionalFormatting>
  <conditionalFormatting sqref="K46:L46">
    <cfRule type="expression" dxfId="157" priority="48">
      <formula>#REF! ="46≠35+38+39+40+43+45"</formula>
    </cfRule>
  </conditionalFormatting>
  <conditionalFormatting sqref="N14:O14">
    <cfRule type="expression" dxfId="156" priority="14">
      <formula>#REF! ="14≠11+12+13"</formula>
    </cfRule>
  </conditionalFormatting>
  <conditionalFormatting sqref="N21:O21">
    <cfRule type="expression" dxfId="155" priority="15">
      <formula>#REF! ="22≠19+20+21"</formula>
    </cfRule>
  </conditionalFormatting>
  <conditionalFormatting sqref="N30:O30">
    <cfRule type="expression" dxfId="154" priority="11">
      <formula>#REF! ="30≠24+25+26+27+28+29"</formula>
    </cfRule>
  </conditionalFormatting>
  <conditionalFormatting sqref="N35:O35">
    <cfRule type="expression" dxfId="153" priority="12">
      <formula>#REF! ="35≠14+15+16+17+22+30+31+32+33+34"</formula>
    </cfRule>
  </conditionalFormatting>
  <conditionalFormatting sqref="N46:O46">
    <cfRule type="expression" dxfId="152" priority="13">
      <formula>#REF! ="46≠35+38+39+40+43+45"</formula>
    </cfRule>
  </conditionalFormatting>
  <conditionalFormatting sqref="Q14:R14">
    <cfRule type="expression" dxfId="151" priority="39">
      <formula>#REF! ="14≠11+12+13"</formula>
    </cfRule>
  </conditionalFormatting>
  <conditionalFormatting sqref="Q21:R21">
    <cfRule type="expression" dxfId="150" priority="40">
      <formula>#REF! ="22≠19+20+21"</formula>
    </cfRule>
  </conditionalFormatting>
  <conditionalFormatting sqref="Q30:R30">
    <cfRule type="expression" dxfId="149" priority="36">
      <formula>#REF! ="30≠24+25+26+27+28+29"</formula>
    </cfRule>
  </conditionalFormatting>
  <conditionalFormatting sqref="Q35:R35">
    <cfRule type="expression" dxfId="148" priority="37">
      <formula>#REF! ="35≠14+15+16+17+22+30+31+32+33+34"</formula>
    </cfRule>
  </conditionalFormatting>
  <conditionalFormatting sqref="Q46:R46">
    <cfRule type="expression" dxfId="147" priority="38">
      <formula>#REF! ="46≠35+38+39+40+43+45"</formula>
    </cfRule>
  </conditionalFormatting>
  <conditionalFormatting sqref="T14:U14">
    <cfRule type="expression" dxfId="146" priority="59">
      <formula>#REF! ="14≠11+12+13"</formula>
    </cfRule>
  </conditionalFormatting>
  <conditionalFormatting sqref="T21:U21">
    <cfRule type="expression" dxfId="145" priority="60">
      <formula>#REF! ="22≠19+20+21"</formula>
    </cfRule>
  </conditionalFormatting>
  <conditionalFormatting sqref="T30:U30">
    <cfRule type="expression" dxfId="144" priority="56">
      <formula>#REF! ="30≠24+25+26+27+28+29"</formula>
    </cfRule>
  </conditionalFormatting>
  <conditionalFormatting sqref="T35:U35">
    <cfRule type="expression" dxfId="143" priority="57">
      <formula>#REF! ="35≠14+15+16+17+22+30+31+32+33+34"</formula>
    </cfRule>
  </conditionalFormatting>
  <conditionalFormatting sqref="T46:U46">
    <cfRule type="expression" dxfId="142" priority="58">
      <formula>#REF! ="46≠35+38+39+40+43+45"</formula>
    </cfRule>
  </conditionalFormatting>
  <conditionalFormatting sqref="W14:X14">
    <cfRule type="expression" dxfId="141" priority="69">
      <formula>#REF! ="14≠11+12+13"</formula>
    </cfRule>
  </conditionalFormatting>
  <conditionalFormatting sqref="W21:X21">
    <cfRule type="expression" dxfId="140" priority="70">
      <formula>#REF! ="22≠19+20+21"</formula>
    </cfRule>
  </conditionalFormatting>
  <conditionalFormatting sqref="W30:X30">
    <cfRule type="expression" dxfId="139" priority="66">
      <formula>#REF! ="30≠24+25+26+27+28+29"</formula>
    </cfRule>
  </conditionalFormatting>
  <conditionalFormatting sqref="W35:X35">
    <cfRule type="expression" dxfId="138" priority="67">
      <formula>#REF! ="35≠14+15+16+17+22+30+31+32+33+34"</formula>
    </cfRule>
  </conditionalFormatting>
  <conditionalFormatting sqref="W46:X46">
    <cfRule type="expression" dxfId="137" priority="68">
      <formula>#REF! ="46≠35+38+39+40+43+45"</formula>
    </cfRule>
  </conditionalFormatting>
  <conditionalFormatting sqref="Z14:AA14">
    <cfRule type="expression" dxfId="136" priority="29">
      <formula>#REF! ="14≠11+12+13"</formula>
    </cfRule>
  </conditionalFormatting>
  <conditionalFormatting sqref="Z21:AA21">
    <cfRule type="expression" dxfId="135" priority="30">
      <formula>#REF! ="22≠19+20+21"</formula>
    </cfRule>
  </conditionalFormatting>
  <conditionalFormatting sqref="Z30:AA30">
    <cfRule type="expression" dxfId="134" priority="26">
      <formula>#REF! ="30≠24+25+26+27+28+29"</formula>
    </cfRule>
  </conditionalFormatting>
  <conditionalFormatting sqref="Z35:AA35">
    <cfRule type="expression" dxfId="133" priority="27">
      <formula>#REF! ="35≠14+15+16+17+22+30+31+32+33+34"</formula>
    </cfRule>
  </conditionalFormatting>
  <conditionalFormatting sqref="Z46:AA46">
    <cfRule type="expression" dxfId="132" priority="28">
      <formula>#REF! ="46≠35+38+39+40+43+45"</formula>
    </cfRule>
  </conditionalFormatting>
  <conditionalFormatting sqref="AC14:AD14">
    <cfRule type="expression" dxfId="131" priority="21">
      <formula>#REF! ="14≠11+12+13"</formula>
    </cfRule>
  </conditionalFormatting>
  <conditionalFormatting sqref="AC21:AD21">
    <cfRule type="expression" dxfId="130" priority="22">
      <formula>#REF! ="22≠19+20+21"</formula>
    </cfRule>
  </conditionalFormatting>
  <conditionalFormatting sqref="AC30:AD30">
    <cfRule type="expression" dxfId="129" priority="23">
      <formula>#REF! ="30≠24+25+26+27+28+29"</formula>
    </cfRule>
  </conditionalFormatting>
  <conditionalFormatting sqref="AC35:AD35">
    <cfRule type="expression" dxfId="128" priority="24">
      <formula>#REF! ="35≠14+15+16+17+22+30+31+32+33+34"</formula>
    </cfRule>
  </conditionalFormatting>
  <conditionalFormatting sqref="AC46:AD46">
    <cfRule type="expression" dxfId="127" priority="25">
      <formula>#REF! ="46≠35+38+39+40+43+45"</formula>
    </cfRule>
  </conditionalFormatting>
  <conditionalFormatting sqref="AF35:AG35 AI35:AJ35">
    <cfRule type="expression" dxfId="126" priority="419">
      <formula>#REF! ="35≠14+15+16+17+22+30+31+32+33+34"</formula>
    </cfRule>
  </conditionalFormatting>
  <conditionalFormatting sqref="AI30:AJ30">
    <cfRule type="expression" dxfId="125" priority="417">
      <formula>#REF! ="30≠24+25+26+27+28+29"</formula>
    </cfRule>
  </conditionalFormatting>
  <conditionalFormatting sqref="AI46:AJ46">
    <cfRule type="expression" dxfId="124" priority="422">
      <formula>#REF! ="46≠35+38+39+40+43+45"</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A444-C37C-499D-8F4D-6A034CA46052}">
  <dimension ref="A1:AY113"/>
  <sheetViews>
    <sheetView showGridLines="0" zoomScale="70" zoomScaleNormal="70" workbookViewId="0">
      <pane xSplit="1" ySplit="8" topLeftCell="B9" activePane="bottomRight" state="frozen"/>
      <selection activeCell="A42" sqref="A42"/>
      <selection pane="topRight" activeCell="A42" sqref="A42"/>
      <selection pane="bottomLeft" activeCell="A42" sqref="A42"/>
      <selection pane="bottomRight" activeCell="A4" sqref="A4"/>
    </sheetView>
  </sheetViews>
  <sheetFormatPr baseColWidth="10" defaultColWidth="11.42578125" defaultRowHeight="12.75" x14ac:dyDescent="0.2"/>
  <cols>
    <col min="1" max="1" width="111.28515625" style="354" customWidth="1"/>
    <col min="2" max="31" width="11.7109375" style="354" customWidth="1"/>
    <col min="32" max="32" width="15.140625" style="354" customWidth="1"/>
    <col min="33" max="33" width="13" style="354" customWidth="1"/>
    <col min="34" max="34" width="11.7109375" style="354" customWidth="1"/>
    <col min="35" max="36" width="13" style="354" customWidth="1"/>
    <col min="37" max="37" width="11.7109375" style="354" customWidth="1"/>
    <col min="38" max="16384" width="11.42578125" style="354"/>
  </cols>
  <sheetData>
    <row r="1" spans="1:51" ht="20.25" customHeight="1" x14ac:dyDescent="0.3">
      <c r="A1" s="357" t="s">
        <v>153</v>
      </c>
      <c r="B1" s="358"/>
      <c r="C1" s="358"/>
      <c r="D1" s="358"/>
      <c r="E1" s="358"/>
      <c r="F1" s="358"/>
      <c r="G1" s="358"/>
      <c r="H1" s="358"/>
      <c r="I1" s="358"/>
      <c r="J1" s="358"/>
    </row>
    <row r="2" spans="1:51" ht="20.100000000000001" customHeight="1" x14ac:dyDescent="0.3">
      <c r="A2" s="357" t="s">
        <v>154</v>
      </c>
      <c r="C2" s="474"/>
      <c r="D2" s="475"/>
      <c r="E2" s="475"/>
      <c r="R2" s="476"/>
      <c r="S2" s="476"/>
      <c r="T2" s="476"/>
    </row>
    <row r="3" spans="1:51" ht="20.100000000000001" customHeight="1" x14ac:dyDescent="0.3">
      <c r="A3" s="359" t="s">
        <v>155</v>
      </c>
      <c r="B3" s="487"/>
      <c r="C3" s="487"/>
      <c r="D3" s="487"/>
      <c r="E3" s="487"/>
      <c r="F3" s="487"/>
      <c r="G3" s="487"/>
      <c r="H3" s="487"/>
      <c r="I3" s="487"/>
      <c r="J3" s="487"/>
    </row>
    <row r="4" spans="1:51" ht="18.75" customHeight="1" x14ac:dyDescent="0.25">
      <c r="A4" s="479" t="s">
        <v>410</v>
      </c>
      <c r="B4" s="488"/>
      <c r="C4" s="488"/>
      <c r="D4" s="489"/>
      <c r="E4" s="490"/>
      <c r="F4" s="488"/>
      <c r="G4" s="489"/>
      <c r="H4" s="490"/>
      <c r="I4" s="488"/>
      <c r="J4" s="489"/>
      <c r="K4" s="360"/>
      <c r="L4" s="360"/>
      <c r="M4" s="360"/>
      <c r="N4" s="361"/>
      <c r="O4" s="360"/>
      <c r="P4" s="362"/>
      <c r="Q4" s="361"/>
      <c r="R4" s="360"/>
      <c r="S4" s="362"/>
      <c r="T4" s="361"/>
      <c r="U4" s="360"/>
      <c r="V4" s="362"/>
      <c r="W4" s="361"/>
      <c r="X4" s="360"/>
      <c r="Y4" s="362"/>
      <c r="Z4" s="361"/>
      <c r="AA4" s="360"/>
      <c r="AB4" s="362"/>
      <c r="AC4" s="361"/>
      <c r="AD4" s="360"/>
      <c r="AE4" s="362"/>
      <c r="AF4" s="361"/>
      <c r="AG4" s="360"/>
      <c r="AH4" s="362"/>
      <c r="AI4" s="361"/>
      <c r="AJ4" s="360"/>
      <c r="AK4" s="362"/>
      <c r="AL4" s="491"/>
      <c r="AM4" s="491"/>
      <c r="AN4" s="491"/>
      <c r="AO4" s="491"/>
      <c r="AP4" s="491"/>
      <c r="AQ4" s="491"/>
      <c r="AR4" s="491"/>
      <c r="AS4" s="491"/>
      <c r="AT4" s="491"/>
      <c r="AU4" s="491"/>
      <c r="AV4" s="491"/>
      <c r="AW4" s="491"/>
      <c r="AX4" s="491"/>
      <c r="AY4" s="491"/>
    </row>
    <row r="5" spans="1:51" ht="18.75" customHeight="1" x14ac:dyDescent="0.3">
      <c r="A5" s="417" t="s">
        <v>94</v>
      </c>
      <c r="B5" s="578" t="s">
        <v>156</v>
      </c>
      <c r="C5" s="579"/>
      <c r="D5" s="580"/>
      <c r="E5" s="578"/>
      <c r="F5" s="579"/>
      <c r="G5" s="580"/>
      <c r="H5" s="578" t="s">
        <v>157</v>
      </c>
      <c r="I5" s="579"/>
      <c r="J5" s="580"/>
      <c r="K5" s="578" t="s">
        <v>158</v>
      </c>
      <c r="L5" s="579"/>
      <c r="M5" s="580"/>
      <c r="N5" s="525" t="s">
        <v>159</v>
      </c>
      <c r="O5" s="526"/>
      <c r="P5" s="527"/>
      <c r="Q5" s="525"/>
      <c r="R5" s="526"/>
      <c r="S5" s="527"/>
      <c r="T5" s="578" t="s">
        <v>160</v>
      </c>
      <c r="U5" s="579"/>
      <c r="V5" s="580"/>
      <c r="W5" s="578" t="s">
        <v>65</v>
      </c>
      <c r="X5" s="579"/>
      <c r="Y5" s="580"/>
      <c r="Z5" s="578" t="s">
        <v>68</v>
      </c>
      <c r="AA5" s="579"/>
      <c r="AB5" s="580"/>
      <c r="AC5" s="578" t="s">
        <v>371</v>
      </c>
      <c r="AD5" s="579"/>
      <c r="AE5" s="580"/>
      <c r="AF5" s="578" t="s">
        <v>2</v>
      </c>
      <c r="AG5" s="579"/>
      <c r="AH5" s="580"/>
      <c r="AI5" s="578" t="s">
        <v>2</v>
      </c>
      <c r="AJ5" s="579"/>
      <c r="AK5" s="580"/>
      <c r="AL5" s="502"/>
      <c r="AM5" s="502"/>
      <c r="AN5" s="581"/>
      <c r="AO5" s="581"/>
      <c r="AP5" s="581"/>
      <c r="AQ5" s="581"/>
      <c r="AR5" s="581"/>
      <c r="AS5" s="581"/>
      <c r="AT5" s="581"/>
      <c r="AU5" s="581"/>
      <c r="AV5" s="581"/>
      <c r="AW5" s="581"/>
      <c r="AX5" s="581"/>
      <c r="AY5" s="581"/>
    </row>
    <row r="6" spans="1:51" ht="21" customHeight="1" x14ac:dyDescent="0.3">
      <c r="A6" s="418"/>
      <c r="B6" s="575" t="s">
        <v>162</v>
      </c>
      <c r="C6" s="576"/>
      <c r="D6" s="577"/>
      <c r="E6" s="575" t="s">
        <v>356</v>
      </c>
      <c r="F6" s="576"/>
      <c r="G6" s="577"/>
      <c r="H6" s="575" t="s">
        <v>162</v>
      </c>
      <c r="I6" s="576"/>
      <c r="J6" s="577"/>
      <c r="K6" s="575" t="s">
        <v>163</v>
      </c>
      <c r="L6" s="576"/>
      <c r="M6" s="577"/>
      <c r="N6" s="575" t="s">
        <v>61</v>
      </c>
      <c r="O6" s="576"/>
      <c r="P6" s="577"/>
      <c r="Q6" s="575" t="s">
        <v>63</v>
      </c>
      <c r="R6" s="576"/>
      <c r="S6" s="577"/>
      <c r="T6" s="575" t="s">
        <v>161</v>
      </c>
      <c r="U6" s="576"/>
      <c r="V6" s="577"/>
      <c r="W6" s="575" t="s">
        <v>367</v>
      </c>
      <c r="X6" s="576"/>
      <c r="Y6" s="577"/>
      <c r="Z6" s="575" t="s">
        <v>162</v>
      </c>
      <c r="AA6" s="576"/>
      <c r="AB6" s="577"/>
      <c r="AC6" s="575" t="s">
        <v>162</v>
      </c>
      <c r="AD6" s="576"/>
      <c r="AE6" s="577"/>
      <c r="AF6" s="575" t="s">
        <v>385</v>
      </c>
      <c r="AG6" s="576"/>
      <c r="AH6" s="577"/>
      <c r="AI6" s="575" t="s">
        <v>164</v>
      </c>
      <c r="AJ6" s="576"/>
      <c r="AK6" s="577"/>
      <c r="AL6" s="502"/>
      <c r="AM6" s="502"/>
      <c r="AN6" s="581"/>
      <c r="AO6" s="581"/>
      <c r="AP6" s="581"/>
      <c r="AQ6" s="581"/>
      <c r="AR6" s="581"/>
      <c r="AS6" s="581"/>
      <c r="AT6" s="581"/>
      <c r="AU6" s="581"/>
      <c r="AV6" s="581"/>
      <c r="AW6" s="581"/>
      <c r="AX6" s="581"/>
      <c r="AY6" s="581"/>
    </row>
    <row r="7" spans="1:51" ht="18.75" customHeight="1" x14ac:dyDescent="0.3">
      <c r="A7" s="418"/>
      <c r="B7" s="492"/>
      <c r="C7" s="492"/>
      <c r="D7" s="419" t="s">
        <v>76</v>
      </c>
      <c r="E7" s="492"/>
      <c r="F7" s="492"/>
      <c r="G7" s="419" t="s">
        <v>76</v>
      </c>
      <c r="H7" s="492"/>
      <c r="I7" s="492"/>
      <c r="J7" s="419" t="s">
        <v>76</v>
      </c>
      <c r="K7" s="492"/>
      <c r="L7" s="492"/>
      <c r="M7" s="419" t="s">
        <v>76</v>
      </c>
      <c r="N7" s="492"/>
      <c r="O7" s="492"/>
      <c r="P7" s="419" t="s">
        <v>76</v>
      </c>
      <c r="Q7" s="492"/>
      <c r="R7" s="492"/>
      <c r="S7" s="419" t="s">
        <v>76</v>
      </c>
      <c r="T7" s="492"/>
      <c r="U7" s="492"/>
      <c r="V7" s="419" t="s">
        <v>76</v>
      </c>
      <c r="W7" s="492"/>
      <c r="X7" s="492"/>
      <c r="Y7" s="419" t="s">
        <v>76</v>
      </c>
      <c r="Z7" s="492"/>
      <c r="AA7" s="492"/>
      <c r="AB7" s="419" t="s">
        <v>76</v>
      </c>
      <c r="AC7" s="492"/>
      <c r="AD7" s="492"/>
      <c r="AE7" s="419" t="s">
        <v>76</v>
      </c>
      <c r="AF7" s="492"/>
      <c r="AG7" s="492"/>
      <c r="AH7" s="419" t="s">
        <v>76</v>
      </c>
      <c r="AI7" s="492"/>
      <c r="AJ7" s="492"/>
      <c r="AK7" s="419" t="s">
        <v>76</v>
      </c>
      <c r="AL7" s="502"/>
      <c r="AM7" s="502"/>
      <c r="AN7" s="502"/>
      <c r="AO7" s="502"/>
      <c r="AP7" s="502"/>
      <c r="AQ7" s="502"/>
      <c r="AR7" s="502"/>
      <c r="AS7" s="502"/>
      <c r="AT7" s="502"/>
      <c r="AU7" s="502"/>
      <c r="AV7" s="502"/>
      <c r="AW7" s="502"/>
      <c r="AX7" s="502"/>
      <c r="AY7" s="502"/>
    </row>
    <row r="8" spans="1:51" ht="18.75" customHeight="1" x14ac:dyDescent="0.25">
      <c r="A8" s="540" t="s">
        <v>165</v>
      </c>
      <c r="B8" s="407">
        <v>2024</v>
      </c>
      <c r="C8" s="407">
        <v>2025</v>
      </c>
      <c r="D8" s="421" t="s">
        <v>78</v>
      </c>
      <c r="E8" s="407">
        <f>B8</f>
        <v>2024</v>
      </c>
      <c r="F8" s="407">
        <f>C8</f>
        <v>2025</v>
      </c>
      <c r="G8" s="421" t="s">
        <v>78</v>
      </c>
      <c r="H8" s="407">
        <f>E8</f>
        <v>2024</v>
      </c>
      <c r="I8" s="407">
        <f>F8</f>
        <v>2025</v>
      </c>
      <c r="J8" s="421" t="s">
        <v>78</v>
      </c>
      <c r="K8" s="407">
        <f>H8</f>
        <v>2024</v>
      </c>
      <c r="L8" s="407">
        <f>I8</f>
        <v>2025</v>
      </c>
      <c r="M8" s="421" t="s">
        <v>78</v>
      </c>
      <c r="N8" s="407">
        <f>K8</f>
        <v>2024</v>
      </c>
      <c r="O8" s="407">
        <f>L8</f>
        <v>2025</v>
      </c>
      <c r="P8" s="421" t="s">
        <v>78</v>
      </c>
      <c r="Q8" s="407">
        <f>N8</f>
        <v>2024</v>
      </c>
      <c r="R8" s="407">
        <f>O8</f>
        <v>2025</v>
      </c>
      <c r="S8" s="421" t="s">
        <v>78</v>
      </c>
      <c r="T8" s="407">
        <f>Q8</f>
        <v>2024</v>
      </c>
      <c r="U8" s="407">
        <f>R8</f>
        <v>2025</v>
      </c>
      <c r="V8" s="421" t="s">
        <v>78</v>
      </c>
      <c r="W8" s="407">
        <f>T8</f>
        <v>2024</v>
      </c>
      <c r="X8" s="407">
        <f>U8</f>
        <v>2025</v>
      </c>
      <c r="Y8" s="421" t="s">
        <v>78</v>
      </c>
      <c r="Z8" s="407">
        <f>W8</f>
        <v>2024</v>
      </c>
      <c r="AA8" s="407">
        <f>X8</f>
        <v>2025</v>
      </c>
      <c r="AB8" s="421" t="s">
        <v>78</v>
      </c>
      <c r="AC8" s="407">
        <f>Z8</f>
        <v>2024</v>
      </c>
      <c r="AD8" s="407">
        <f>AA8</f>
        <v>2025</v>
      </c>
      <c r="AE8" s="421" t="s">
        <v>78</v>
      </c>
      <c r="AF8" s="407">
        <f>AC8</f>
        <v>2024</v>
      </c>
      <c r="AG8" s="407">
        <f>AD8</f>
        <v>2025</v>
      </c>
      <c r="AH8" s="421" t="s">
        <v>78</v>
      </c>
      <c r="AI8" s="407">
        <f>AF8</f>
        <v>2024</v>
      </c>
      <c r="AJ8" s="407">
        <f>AG8</f>
        <v>2025</v>
      </c>
      <c r="AK8" s="421" t="s">
        <v>78</v>
      </c>
      <c r="AL8" s="493"/>
      <c r="AM8" s="494"/>
      <c r="AN8" s="493"/>
      <c r="AO8" s="493"/>
      <c r="AP8" s="494"/>
      <c r="AQ8" s="493"/>
      <c r="AR8" s="493"/>
      <c r="AS8" s="494"/>
      <c r="AT8" s="493"/>
      <c r="AU8" s="493"/>
      <c r="AV8" s="494"/>
      <c r="AW8" s="493"/>
      <c r="AX8" s="493"/>
      <c r="AY8" s="494"/>
    </row>
    <row r="9" spans="1:51" ht="18.75" customHeight="1" x14ac:dyDescent="0.3">
      <c r="A9" s="351"/>
      <c r="B9" s="340"/>
      <c r="C9" s="340"/>
      <c r="D9" s="340"/>
      <c r="E9" s="450"/>
      <c r="F9" s="340"/>
      <c r="G9" s="340"/>
      <c r="H9" s="450"/>
      <c r="I9" s="340"/>
      <c r="J9" s="340"/>
      <c r="K9" s="423"/>
      <c r="L9" s="341"/>
      <c r="M9" s="341"/>
      <c r="N9" s="423"/>
      <c r="O9" s="341"/>
      <c r="P9" s="269"/>
      <c r="Q9" s="423"/>
      <c r="R9" s="341"/>
      <c r="S9" s="269"/>
      <c r="T9" s="423"/>
      <c r="U9" s="341"/>
      <c r="V9" s="269"/>
      <c r="W9" s="423"/>
      <c r="X9" s="341"/>
      <c r="Y9" s="269"/>
      <c r="Z9" s="423"/>
      <c r="AA9" s="341"/>
      <c r="AB9" s="269"/>
      <c r="AC9" s="423"/>
      <c r="AD9" s="341"/>
      <c r="AE9" s="269"/>
      <c r="AF9" s="341"/>
      <c r="AG9" s="341"/>
      <c r="AH9" s="269"/>
      <c r="AI9" s="341"/>
      <c r="AJ9" s="341"/>
      <c r="AK9" s="269"/>
    </row>
    <row r="10" spans="1:51" s="355" customFormat="1" ht="18.75" customHeight="1" x14ac:dyDescent="0.3">
      <c r="A10" s="428" t="s">
        <v>166</v>
      </c>
      <c r="B10" s="342"/>
      <c r="C10" s="342"/>
      <c r="D10" s="342"/>
      <c r="E10" s="451"/>
      <c r="F10" s="342"/>
      <c r="G10" s="342"/>
      <c r="H10" s="451"/>
      <c r="I10" s="342"/>
      <c r="J10" s="342"/>
      <c r="K10" s="423"/>
      <c r="L10" s="341"/>
      <c r="M10" s="341"/>
      <c r="N10" s="423"/>
      <c r="O10" s="341"/>
      <c r="P10" s="269"/>
      <c r="Q10" s="423"/>
      <c r="R10" s="341"/>
      <c r="S10" s="269"/>
      <c r="T10" s="423"/>
      <c r="U10" s="341"/>
      <c r="V10" s="269"/>
      <c r="W10" s="423"/>
      <c r="X10" s="341"/>
      <c r="Y10" s="269"/>
      <c r="Z10" s="423"/>
      <c r="AA10" s="341"/>
      <c r="AB10" s="269"/>
      <c r="AC10" s="423"/>
      <c r="AD10" s="341"/>
      <c r="AE10" s="269"/>
      <c r="AF10" s="341"/>
      <c r="AG10" s="341"/>
      <c r="AH10" s="269"/>
      <c r="AI10" s="341"/>
      <c r="AJ10" s="341"/>
      <c r="AK10" s="269"/>
    </row>
    <row r="11" spans="1:51" s="355" customFormat="1" ht="18.75" customHeight="1" x14ac:dyDescent="0.3">
      <c r="A11" s="352"/>
      <c r="B11" s="342"/>
      <c r="C11" s="342"/>
      <c r="D11" s="342"/>
      <c r="E11" s="451"/>
      <c r="F11" s="342"/>
      <c r="G11" s="342"/>
      <c r="H11" s="451"/>
      <c r="I11" s="342"/>
      <c r="J11" s="342"/>
      <c r="K11" s="423"/>
      <c r="L11" s="341"/>
      <c r="M11" s="341"/>
      <c r="N11" s="423"/>
      <c r="O11" s="341"/>
      <c r="P11" s="269"/>
      <c r="Q11" s="423"/>
      <c r="R11" s="341"/>
      <c r="S11" s="269"/>
      <c r="T11" s="423"/>
      <c r="U11" s="341"/>
      <c r="V11" s="269"/>
      <c r="W11" s="423"/>
      <c r="X11" s="341"/>
      <c r="Y11" s="269"/>
      <c r="Z11" s="423"/>
      <c r="AA11" s="341"/>
      <c r="AB11" s="269"/>
      <c r="AC11" s="423"/>
      <c r="AD11" s="341"/>
      <c r="AE11" s="269"/>
      <c r="AF11" s="341"/>
      <c r="AG11" s="341"/>
      <c r="AH11" s="269"/>
      <c r="AI11" s="341"/>
      <c r="AJ11" s="341"/>
      <c r="AK11" s="269"/>
    </row>
    <row r="12" spans="1:51" s="355" customFormat="1" ht="20.100000000000001" customHeight="1" x14ac:dyDescent="0.3">
      <c r="A12" s="428" t="s">
        <v>167</v>
      </c>
      <c r="B12" s="343"/>
      <c r="C12" s="343"/>
      <c r="D12" s="343"/>
      <c r="E12" s="146"/>
      <c r="F12" s="343"/>
      <c r="G12" s="343"/>
      <c r="H12" s="146"/>
      <c r="I12" s="343"/>
      <c r="J12" s="343"/>
      <c r="K12" s="423"/>
      <c r="L12" s="341"/>
      <c r="M12" s="341"/>
      <c r="N12" s="423"/>
      <c r="O12" s="341"/>
      <c r="P12" s="269"/>
      <c r="Q12" s="423"/>
      <c r="R12" s="341"/>
      <c r="S12" s="269"/>
      <c r="T12" s="423"/>
      <c r="U12" s="341"/>
      <c r="V12" s="269"/>
      <c r="W12" s="423"/>
      <c r="X12" s="341"/>
      <c r="Y12" s="269"/>
      <c r="Z12" s="423"/>
      <c r="AA12" s="341"/>
      <c r="AB12" s="269"/>
      <c r="AC12" s="423"/>
      <c r="AD12" s="341"/>
      <c r="AE12" s="269"/>
      <c r="AF12" s="341"/>
      <c r="AG12" s="341"/>
      <c r="AH12" s="269"/>
      <c r="AI12" s="341"/>
      <c r="AJ12" s="341"/>
      <c r="AK12" s="269"/>
    </row>
    <row r="13" spans="1:51" s="355" customFormat="1" ht="20.100000000000001" customHeight="1" x14ac:dyDescent="0.3">
      <c r="A13" s="428" t="s">
        <v>168</v>
      </c>
      <c r="B13" s="343"/>
      <c r="C13" s="343"/>
      <c r="D13" s="343"/>
      <c r="E13" s="146"/>
      <c r="F13" s="343"/>
      <c r="G13" s="343"/>
      <c r="H13" s="146"/>
      <c r="I13" s="343"/>
      <c r="J13" s="343"/>
      <c r="K13" s="75"/>
      <c r="L13" s="384"/>
      <c r="M13" s="384"/>
      <c r="N13" s="75"/>
      <c r="O13" s="384"/>
      <c r="P13" s="344"/>
      <c r="Q13" s="75"/>
      <c r="R13" s="384"/>
      <c r="S13" s="344"/>
      <c r="T13" s="75"/>
      <c r="U13" s="384"/>
      <c r="V13" s="344"/>
      <c r="W13" s="75"/>
      <c r="X13" s="384"/>
      <c r="Y13" s="344"/>
      <c r="Z13" s="75"/>
      <c r="AA13" s="384"/>
      <c r="AB13" s="344"/>
      <c r="AC13" s="75"/>
      <c r="AD13" s="384"/>
      <c r="AE13" s="344"/>
      <c r="AF13" s="384"/>
      <c r="AG13" s="384"/>
      <c r="AH13" s="344"/>
      <c r="AI13" s="384"/>
      <c r="AJ13" s="384"/>
      <c r="AK13" s="344"/>
    </row>
    <row r="14" spans="1:51" s="355" customFormat="1" ht="20.100000000000001" customHeight="1" x14ac:dyDescent="0.3">
      <c r="A14" s="416" t="s">
        <v>169</v>
      </c>
      <c r="B14" s="344"/>
      <c r="C14" s="344"/>
      <c r="D14" s="344"/>
      <c r="E14" s="144"/>
      <c r="F14" s="344"/>
      <c r="G14" s="344"/>
      <c r="H14" s="144"/>
      <c r="I14" s="344"/>
      <c r="J14" s="344"/>
      <c r="K14" s="75">
        <v>28</v>
      </c>
      <c r="L14" s="384">
        <v>22</v>
      </c>
      <c r="M14" s="384">
        <f t="shared" ref="M14" si="0">IF(K14=0, "    ---- ", IF(ABS(ROUND(100/K14*L14-100,1))&lt;999,ROUND(100/K14*L14-100,1),IF(ROUND(100/K14*L14-100,1)&gt;999,999,-999)))</f>
        <v>-21.4</v>
      </c>
      <c r="N14" s="75">
        <v>1322.1865066300002</v>
      </c>
      <c r="O14" s="384">
        <v>1322.1865066300002</v>
      </c>
      <c r="P14" s="344">
        <f t="shared" ref="P14:P28" si="1">IF(N14=0, "    ---- ", IF(ABS(ROUND(100/N14*O14-100,1))&lt;999,ROUND(100/N14*O14-100,1),IF(ROUND(100/N14*O14-100,1)&gt;999,999,-999)))</f>
        <v>0</v>
      </c>
      <c r="Q14" s="75"/>
      <c r="R14" s="384"/>
      <c r="S14" s="344"/>
      <c r="T14" s="75"/>
      <c r="U14" s="384"/>
      <c r="V14" s="344"/>
      <c r="W14" s="75"/>
      <c r="X14" s="384"/>
      <c r="Y14" s="344"/>
      <c r="Z14" s="75"/>
      <c r="AA14" s="384"/>
      <c r="AB14" s="344"/>
      <c r="AC14" s="75"/>
      <c r="AD14" s="384"/>
      <c r="AE14" s="344"/>
      <c r="AF14" s="384">
        <f t="shared" ref="AF14:AG22" si="2">B14+E14+H14+K14+N14+Q14+T14+W14+Z14</f>
        <v>1350.1865066300002</v>
      </c>
      <c r="AG14" s="384">
        <f t="shared" si="2"/>
        <v>1344.1865066300002</v>
      </c>
      <c r="AH14" s="344">
        <f t="shared" ref="AH14:AH28" si="3">IF(AF14=0, "    ---- ", IF(ABS(ROUND(100/AF14*AG14-100,1))&lt;999,ROUND(100/AF14*AG14-100,1),IF(ROUND(100/AF14*AG14-100,1)&gt;999,999,-999)))</f>
        <v>-0.4</v>
      </c>
      <c r="AI14" s="384">
        <f t="shared" ref="AI14:AJ22" si="4">B14+E14+H14+K14+N14+Q14+T14+W14+Z14+AC14</f>
        <v>1350.1865066300002</v>
      </c>
      <c r="AJ14" s="384">
        <f t="shared" si="4"/>
        <v>1344.1865066300002</v>
      </c>
      <c r="AK14" s="344">
        <f t="shared" ref="AK14:AK29" si="5">IF(AI14=0, "    ---- ", IF(ABS(ROUND(100/AI14*AJ14-100,1))&lt;999,ROUND(100/AI14*AJ14-100,1),IF(ROUND(100/AI14*AJ14-100,1)&gt;999,999,-999)))</f>
        <v>-0.4</v>
      </c>
    </row>
    <row r="15" spans="1:51" s="355" customFormat="1" ht="20.100000000000001" customHeight="1" x14ac:dyDescent="0.3">
      <c r="A15" s="416" t="s">
        <v>170</v>
      </c>
      <c r="B15" s="344">
        <v>1192</v>
      </c>
      <c r="C15" s="344">
        <v>1148.7508813800002</v>
      </c>
      <c r="D15" s="344">
        <f t="shared" ref="D15:D28" si="6">IF(B15=0, "    ---- ", IF(ABS(ROUND(100/B15*C15-100,1))&lt;999,ROUND(100/B15*C15-100,1),IF(ROUND(100/B15*C15-100,1)&gt;999,999,-999)))</f>
        <v>-3.6</v>
      </c>
      <c r="E15" s="144"/>
      <c r="F15" s="344"/>
      <c r="G15" s="344"/>
      <c r="H15" s="144"/>
      <c r="I15" s="344"/>
      <c r="J15" s="344"/>
      <c r="K15" s="75"/>
      <c r="L15" s="384"/>
      <c r="M15" s="384"/>
      <c r="N15" s="75">
        <v>9655.1254348600014</v>
      </c>
      <c r="O15" s="384">
        <v>10507.237720860001</v>
      </c>
      <c r="P15" s="344">
        <f t="shared" si="1"/>
        <v>8.8000000000000007</v>
      </c>
      <c r="Q15" s="75">
        <v>1</v>
      </c>
      <c r="R15" s="384">
        <v>3</v>
      </c>
      <c r="S15" s="344">
        <f t="shared" ref="S15:S18" si="7">IF(Q15=0, "    ---- ", IF(ABS(ROUND(100/Q15*R15-100,1))&lt;999,ROUND(100/Q15*R15-100,1),IF(ROUND(100/Q15*R15-100,1)&gt;999,999,-999)))</f>
        <v>200</v>
      </c>
      <c r="T15" s="75">
        <v>1414</v>
      </c>
      <c r="U15" s="384">
        <v>1501</v>
      </c>
      <c r="V15" s="344">
        <f t="shared" ref="V15:V28" si="8">IF(T15=0, "    ---- ", IF(ABS(ROUND(100/T15*U15-100,1))&lt;999,ROUND(100/T15*U15-100,1),IF(ROUND(100/T15*U15-100,1)&gt;999,999,-999)))</f>
        <v>6.2</v>
      </c>
      <c r="W15" s="75">
        <v>1384.2619999999999</v>
      </c>
      <c r="X15" s="384">
        <v>1395.8887141499999</v>
      </c>
      <c r="Y15" s="344">
        <f t="shared" ref="Y15:Y28" si="9">IF(W15=0, "    ---- ", IF(ABS(ROUND(100/W15*X15-100,1))&lt;999,ROUND(100/W15*X15-100,1),IF(ROUND(100/W15*X15-100,1)&gt;999,999,-999)))</f>
        <v>0.8</v>
      </c>
      <c r="Z15" s="75">
        <v>13448.124499979996</v>
      </c>
      <c r="AA15" s="384">
        <v>13658.359922540001</v>
      </c>
      <c r="AB15" s="344">
        <f t="shared" ref="AB15:AB28" si="10">IF(Z15=0, "    ---- ", IF(ABS(ROUND(100/Z15*AA15-100,1))&lt;999,ROUND(100/Z15*AA15-100,1),IF(ROUND(100/Z15*AA15-100,1)&gt;999,999,-999)))</f>
        <v>1.6</v>
      </c>
      <c r="AC15" s="75"/>
      <c r="AD15" s="384"/>
      <c r="AE15" s="344"/>
      <c r="AF15" s="384">
        <f t="shared" si="2"/>
        <v>27094.511934839997</v>
      </c>
      <c r="AG15" s="384">
        <f t="shared" si="2"/>
        <v>28214.23723893</v>
      </c>
      <c r="AH15" s="344">
        <f t="shared" si="3"/>
        <v>4.0999999999999996</v>
      </c>
      <c r="AI15" s="384">
        <f t="shared" si="4"/>
        <v>27094.511934839997</v>
      </c>
      <c r="AJ15" s="384">
        <f t="shared" si="4"/>
        <v>28214.23723893</v>
      </c>
      <c r="AK15" s="344">
        <f t="shared" si="5"/>
        <v>4.0999999999999996</v>
      </c>
    </row>
    <row r="16" spans="1:51" s="355" customFormat="1" ht="20.100000000000001" customHeight="1" x14ac:dyDescent="0.3">
      <c r="A16" s="416" t="s">
        <v>171</v>
      </c>
      <c r="B16" s="344">
        <v>18059</v>
      </c>
      <c r="C16" s="344">
        <v>15185.28922273</v>
      </c>
      <c r="D16" s="344">
        <f t="shared" si="6"/>
        <v>-15.9</v>
      </c>
      <c r="E16" s="144">
        <f>SUM(E17+E19)</f>
        <v>742.74328775000015</v>
      </c>
      <c r="F16" s="344">
        <f>SUM(F17+F19)</f>
        <v>758.49815018000004</v>
      </c>
      <c r="G16" s="344">
        <f t="shared" ref="G16:G18" si="11">IF(E16=0, "    ---- ", IF(ABS(ROUND(100/E16*F16-100,1))&lt;999,ROUND(100/E16*F16-100,1),IF(ROUND(100/E16*F16-100,1)&gt;999,999,-999)))</f>
        <v>2.1</v>
      </c>
      <c r="H16" s="144"/>
      <c r="I16" s="344"/>
      <c r="J16" s="344"/>
      <c r="K16" s="75">
        <f>SUM(K17+K19)</f>
        <v>154</v>
      </c>
      <c r="L16" s="384">
        <f>SUM(L17+L19)</f>
        <v>140</v>
      </c>
      <c r="M16" s="384">
        <f t="shared" ref="M16" si="12">IF(K16=0, "    ---- ", IF(ABS(ROUND(100/K16*L16-100,1))&lt;999,ROUND(100/K16*L16-100,1),IF(ROUND(100/K16*L16-100,1)&gt;999,999,-999)))</f>
        <v>-9.1</v>
      </c>
      <c r="N16" s="75">
        <v>22382.049028690002</v>
      </c>
      <c r="O16" s="384">
        <v>16921.30343571</v>
      </c>
      <c r="P16" s="344">
        <f t="shared" si="1"/>
        <v>-24.4</v>
      </c>
      <c r="Q16" s="75">
        <f>SUM(Q17+Q19)</f>
        <v>8842</v>
      </c>
      <c r="R16" s="384">
        <f>SUM(R17+R19)</f>
        <v>7899</v>
      </c>
      <c r="S16" s="344">
        <f t="shared" si="7"/>
        <v>-10.7</v>
      </c>
      <c r="T16" s="75">
        <v>5152</v>
      </c>
      <c r="U16" s="384">
        <f>SUM(U17+U19)</f>
        <v>5555</v>
      </c>
      <c r="V16" s="344">
        <f t="shared" si="8"/>
        <v>7.8</v>
      </c>
      <c r="W16" s="75">
        <f>SUM(W17+W19)</f>
        <v>1361.18</v>
      </c>
      <c r="X16" s="384">
        <f>SUM(X17+X19)</f>
        <v>1291.8269574300014</v>
      </c>
      <c r="Y16" s="344">
        <f t="shared" si="9"/>
        <v>-5.0999999999999996</v>
      </c>
      <c r="Z16" s="75">
        <f>SUM(Z17+Z19)</f>
        <v>15281.86833784</v>
      </c>
      <c r="AA16" s="384">
        <f>SUM(AA17+AA19)</f>
        <v>13653.445245359999</v>
      </c>
      <c r="AB16" s="344">
        <f t="shared" si="10"/>
        <v>-10.7</v>
      </c>
      <c r="AC16" s="75"/>
      <c r="AD16" s="384"/>
      <c r="AE16" s="344"/>
      <c r="AF16" s="384">
        <f t="shared" si="2"/>
        <v>71974.840654279993</v>
      </c>
      <c r="AG16" s="384">
        <f t="shared" si="2"/>
        <v>61404.363011409994</v>
      </c>
      <c r="AH16" s="344">
        <f t="shared" si="3"/>
        <v>-14.7</v>
      </c>
      <c r="AI16" s="384">
        <f t="shared" si="4"/>
        <v>71974.840654279993</v>
      </c>
      <c r="AJ16" s="384">
        <f t="shared" si="4"/>
        <v>61404.363011409994</v>
      </c>
      <c r="AK16" s="344">
        <f t="shared" si="5"/>
        <v>-14.7</v>
      </c>
    </row>
    <row r="17" spans="1:37" s="355" customFormat="1" ht="20.100000000000001" customHeight="1" x14ac:dyDescent="0.3">
      <c r="A17" s="416" t="s">
        <v>391</v>
      </c>
      <c r="B17" s="344">
        <v>17455</v>
      </c>
      <c r="C17" s="344">
        <v>14580.762188369999</v>
      </c>
      <c r="D17" s="344">
        <f t="shared" si="6"/>
        <v>-16.5</v>
      </c>
      <c r="E17" s="144">
        <v>742.74328775000015</v>
      </c>
      <c r="F17" s="344">
        <v>758.49815018000004</v>
      </c>
      <c r="G17" s="344">
        <f t="shared" si="11"/>
        <v>2.1</v>
      </c>
      <c r="H17" s="144"/>
      <c r="I17" s="344"/>
      <c r="J17" s="344"/>
      <c r="K17" s="75"/>
      <c r="L17" s="384"/>
      <c r="M17" s="384"/>
      <c r="N17" s="75">
        <v>7809.7733411600002</v>
      </c>
      <c r="O17" s="384">
        <v>1300.66113359</v>
      </c>
      <c r="P17" s="344">
        <f t="shared" si="1"/>
        <v>-83.3</v>
      </c>
      <c r="Q17" s="75">
        <v>8842</v>
      </c>
      <c r="R17" s="384">
        <v>7899</v>
      </c>
      <c r="S17" s="344">
        <f t="shared" si="7"/>
        <v>-10.7</v>
      </c>
      <c r="T17" s="75">
        <v>2924</v>
      </c>
      <c r="U17" s="384">
        <v>2671</v>
      </c>
      <c r="V17" s="344">
        <f t="shared" si="8"/>
        <v>-8.6999999999999993</v>
      </c>
      <c r="W17" s="75">
        <v>1361.18</v>
      </c>
      <c r="X17" s="384">
        <v>1291.8269574300014</v>
      </c>
      <c r="Y17" s="344">
        <f t="shared" si="9"/>
        <v>-5.0999999999999996</v>
      </c>
      <c r="Z17" s="75"/>
      <c r="AA17" s="384"/>
      <c r="AB17" s="344"/>
      <c r="AC17" s="75"/>
      <c r="AD17" s="384"/>
      <c r="AE17" s="344"/>
      <c r="AF17" s="384">
        <f t="shared" si="2"/>
        <v>39134.696628910002</v>
      </c>
      <c r="AG17" s="384">
        <f t="shared" si="2"/>
        <v>28501.748429570001</v>
      </c>
      <c r="AH17" s="344">
        <f t="shared" si="3"/>
        <v>-27.2</v>
      </c>
      <c r="AI17" s="384">
        <f t="shared" si="4"/>
        <v>39134.696628910002</v>
      </c>
      <c r="AJ17" s="384">
        <f t="shared" si="4"/>
        <v>28501.748429570001</v>
      </c>
      <c r="AK17" s="344">
        <f t="shared" si="5"/>
        <v>-27.2</v>
      </c>
    </row>
    <row r="18" spans="1:37" s="355" customFormat="1" ht="20.100000000000001" customHeight="1" x14ac:dyDescent="0.3">
      <c r="A18" s="416" t="s">
        <v>172</v>
      </c>
      <c r="B18" s="344">
        <v>17455</v>
      </c>
      <c r="C18" s="344">
        <v>14580.762188369999</v>
      </c>
      <c r="D18" s="344">
        <f t="shared" si="6"/>
        <v>-16.5</v>
      </c>
      <c r="E18" s="144">
        <v>742.74328775000015</v>
      </c>
      <c r="F18" s="344">
        <v>758.49815018000004</v>
      </c>
      <c r="G18" s="344">
        <f t="shared" si="11"/>
        <v>2.1</v>
      </c>
      <c r="H18" s="144"/>
      <c r="I18" s="344"/>
      <c r="J18" s="344"/>
      <c r="K18" s="75"/>
      <c r="L18" s="384"/>
      <c r="M18" s="384"/>
      <c r="N18" s="75">
        <v>7809.7733411600002</v>
      </c>
      <c r="O18" s="384">
        <v>1300.66113359</v>
      </c>
      <c r="P18" s="344">
        <f t="shared" si="1"/>
        <v>-83.3</v>
      </c>
      <c r="Q18" s="75">
        <v>8842</v>
      </c>
      <c r="R18" s="384">
        <v>7899</v>
      </c>
      <c r="S18" s="344">
        <f t="shared" si="7"/>
        <v>-10.7</v>
      </c>
      <c r="T18" s="75"/>
      <c r="U18" s="384"/>
      <c r="V18" s="344"/>
      <c r="W18" s="75">
        <v>9.8826162499996695</v>
      </c>
      <c r="X18" s="384">
        <v>1291.8269574300014</v>
      </c>
      <c r="Y18" s="344">
        <f t="shared" si="9"/>
        <v>999</v>
      </c>
      <c r="Z18" s="75"/>
      <c r="AA18" s="384"/>
      <c r="AB18" s="344"/>
      <c r="AC18" s="75"/>
      <c r="AD18" s="384"/>
      <c r="AE18" s="344"/>
      <c r="AF18" s="384">
        <f t="shared" si="2"/>
        <v>34859.399245159999</v>
      </c>
      <c r="AG18" s="384">
        <f t="shared" si="2"/>
        <v>25830.748429570001</v>
      </c>
      <c r="AH18" s="344">
        <f t="shared" si="3"/>
        <v>-25.9</v>
      </c>
      <c r="AI18" s="384">
        <f t="shared" si="4"/>
        <v>34859.399245159999</v>
      </c>
      <c r="AJ18" s="384">
        <f t="shared" si="4"/>
        <v>25830.748429570001</v>
      </c>
      <c r="AK18" s="344">
        <f t="shared" si="5"/>
        <v>-25.9</v>
      </c>
    </row>
    <row r="19" spans="1:37" s="355" customFormat="1" ht="20.100000000000001" customHeight="1" x14ac:dyDescent="0.3">
      <c r="A19" s="416" t="s">
        <v>173</v>
      </c>
      <c r="B19" s="344">
        <v>604</v>
      </c>
      <c r="C19" s="344">
        <v>604.52703436000002</v>
      </c>
      <c r="D19" s="344">
        <f t="shared" si="6"/>
        <v>0.1</v>
      </c>
      <c r="E19" s="144"/>
      <c r="F19" s="344"/>
      <c r="G19" s="344"/>
      <c r="H19" s="144"/>
      <c r="I19" s="344"/>
      <c r="J19" s="344"/>
      <c r="K19" s="75">
        <v>154</v>
      </c>
      <c r="L19" s="384">
        <v>140</v>
      </c>
      <c r="M19" s="384">
        <f t="shared" ref="M19:M28" si="13">IF(K19=0, "    ---- ", IF(ABS(ROUND(100/K19*L19-100,1))&lt;999,ROUND(100/K19*L19-100,1),IF(ROUND(100/K19*L19-100,1)&gt;999,999,-999)))</f>
        <v>-9.1</v>
      </c>
      <c r="N19" s="75">
        <v>14572.27568753</v>
      </c>
      <c r="O19" s="384">
        <v>15620.642302120001</v>
      </c>
      <c r="P19" s="344">
        <f t="shared" si="1"/>
        <v>7.2</v>
      </c>
      <c r="Q19" s="75"/>
      <c r="R19" s="384"/>
      <c r="S19" s="344"/>
      <c r="T19" s="75">
        <v>2228</v>
      </c>
      <c r="U19" s="384">
        <v>2884</v>
      </c>
      <c r="V19" s="344">
        <f t="shared" si="8"/>
        <v>29.4</v>
      </c>
      <c r="W19" s="75"/>
      <c r="X19" s="384"/>
      <c r="Y19" s="344"/>
      <c r="Z19" s="75">
        <v>15281.86833784</v>
      </c>
      <c r="AA19" s="384">
        <v>13653.445245359999</v>
      </c>
      <c r="AB19" s="344">
        <f t="shared" si="10"/>
        <v>-10.7</v>
      </c>
      <c r="AC19" s="75"/>
      <c r="AD19" s="384"/>
      <c r="AE19" s="344"/>
      <c r="AF19" s="384">
        <f t="shared" si="2"/>
        <v>32840.144025369998</v>
      </c>
      <c r="AG19" s="384">
        <f t="shared" si="2"/>
        <v>32902.614581839996</v>
      </c>
      <c r="AH19" s="344">
        <f t="shared" si="3"/>
        <v>0.2</v>
      </c>
      <c r="AI19" s="384">
        <f t="shared" si="4"/>
        <v>32840.144025369998</v>
      </c>
      <c r="AJ19" s="384">
        <f t="shared" si="4"/>
        <v>32902.614581839996</v>
      </c>
      <c r="AK19" s="344">
        <f t="shared" si="5"/>
        <v>0.2</v>
      </c>
    </row>
    <row r="20" spans="1:37" s="355" customFormat="1" ht="20.100000000000001" customHeight="1" x14ac:dyDescent="0.3">
      <c r="A20" s="416" t="s">
        <v>174</v>
      </c>
      <c r="B20" s="344">
        <v>12977</v>
      </c>
      <c r="C20" s="344">
        <v>12477.296322149996</v>
      </c>
      <c r="D20" s="344">
        <f t="shared" si="6"/>
        <v>-3.9</v>
      </c>
      <c r="E20" s="144">
        <f>E21+E22+E23+E24+E25</f>
        <v>2593.01361821</v>
      </c>
      <c r="F20" s="344">
        <f>F21+F22+F23+F24+F25</f>
        <v>2457.5798609200006</v>
      </c>
      <c r="G20" s="344">
        <f>IF(E20=0, "    ---- ", IF(ABS(ROUND(100/E20*F20-100,1))&lt;999,ROUND(100/E20*F20-100,1),IF(ROUND(100/E20*F20-100,1)&gt;999,999,-999)))</f>
        <v>-5.2</v>
      </c>
      <c r="H20" s="144">
        <f>H21+H22+H23+H24+H25</f>
        <v>457.26099999999997</v>
      </c>
      <c r="I20" s="344">
        <f>I21+I22+I23+I24+I25</f>
        <v>460.59000000000003</v>
      </c>
      <c r="J20" s="344">
        <f t="shared" ref="J20:J28" si="14">IF(H20=0, "    ---- ", IF(ABS(ROUND(100/H20*I20-100,1))&lt;999,ROUND(100/H20*I20-100,1),IF(ROUND(100/H20*I20-100,1)&gt;999,999,-999)))</f>
        <v>0.7</v>
      </c>
      <c r="K20" s="144">
        <f>K21+K22+K23+K24+K25</f>
        <v>1048</v>
      </c>
      <c r="L20" s="344">
        <f>L21+L22+L23+L24+L25</f>
        <v>1871</v>
      </c>
      <c r="M20" s="384">
        <f t="shared" si="13"/>
        <v>78.5</v>
      </c>
      <c r="N20" s="144">
        <v>14575.139980569998</v>
      </c>
      <c r="O20" s="344">
        <v>18916.763148080001</v>
      </c>
      <c r="P20" s="344">
        <f t="shared" si="1"/>
        <v>29.8</v>
      </c>
      <c r="Q20" s="144">
        <f>Q21+Q22+Q23+Q24+Q25</f>
        <v>2786.0299999999997</v>
      </c>
      <c r="R20" s="344">
        <f>R21+R22+R23+R24+R25</f>
        <v>1670.9499999999998</v>
      </c>
      <c r="S20" s="344">
        <f t="shared" ref="S20:S28" si="15">IF(Q20=0, "    ---- ", IF(ABS(ROUND(100/Q20*R20-100,1))&lt;999,ROUND(100/Q20*R20-100,1),IF(ROUND(100/Q20*R20-100,1)&gt;999,999,-999)))</f>
        <v>-40</v>
      </c>
      <c r="T20" s="144">
        <v>4543</v>
      </c>
      <c r="U20" s="344">
        <f>U21+U22+U23+U24+U25</f>
        <v>4911</v>
      </c>
      <c r="V20" s="344">
        <f t="shared" si="8"/>
        <v>8.1</v>
      </c>
      <c r="W20" s="144">
        <f>W21+W22+W23+W24+W25</f>
        <v>3186.7</v>
      </c>
      <c r="X20" s="344">
        <f>X21+X22+X23+X24+X25</f>
        <v>3117.1663649300176</v>
      </c>
      <c r="Y20" s="344">
        <f t="shared" si="9"/>
        <v>-2.2000000000000002</v>
      </c>
      <c r="Z20" s="144">
        <f>Z21+Z22+Z23+Z24+Z25</f>
        <v>5242.1453320799992</v>
      </c>
      <c r="AA20" s="344">
        <f>AA21+AA22+AA23+AA24+AA25</f>
        <v>5604.4603109399995</v>
      </c>
      <c r="AB20" s="344">
        <f t="shared" si="10"/>
        <v>6.9</v>
      </c>
      <c r="AC20" s="144"/>
      <c r="AD20" s="344">
        <f>AD21+AD22+AD23+AD24+AD25</f>
        <v>71</v>
      </c>
      <c r="AE20" s="344" t="str">
        <f t="shared" ref="AE20:AE23" si="16">IF(AC20=0, "    ---- ", IF(ABS(ROUND(100/AC20*AD20-100,1))&lt;999,ROUND(100/AC20*AD20-100,1),IF(ROUND(100/AC20*AD20-100,1)&gt;999,999,-999)))</f>
        <v xml:space="preserve">    ---- </v>
      </c>
      <c r="AF20" s="384">
        <f t="shared" si="2"/>
        <v>47408.289930859995</v>
      </c>
      <c r="AG20" s="384">
        <f t="shared" si="2"/>
        <v>51486.806007020008</v>
      </c>
      <c r="AH20" s="344">
        <f t="shared" si="3"/>
        <v>8.6</v>
      </c>
      <c r="AI20" s="384">
        <f t="shared" si="4"/>
        <v>47408.289930859995</v>
      </c>
      <c r="AJ20" s="384">
        <f t="shared" si="4"/>
        <v>51557.806007020008</v>
      </c>
      <c r="AK20" s="344">
        <f t="shared" si="5"/>
        <v>8.8000000000000007</v>
      </c>
    </row>
    <row r="21" spans="1:37" s="355" customFormat="1" ht="20.100000000000001" customHeight="1" x14ac:dyDescent="0.3">
      <c r="A21" s="416" t="s">
        <v>175</v>
      </c>
      <c r="B21" s="344">
        <v>1253</v>
      </c>
      <c r="C21" s="344">
        <v>1176.66961795</v>
      </c>
      <c r="D21" s="344">
        <f t="shared" si="6"/>
        <v>-6.1</v>
      </c>
      <c r="E21" s="144"/>
      <c r="F21" s="344"/>
      <c r="G21" s="344"/>
      <c r="H21" s="144">
        <v>72.093999999999994</v>
      </c>
      <c r="I21" s="344">
        <v>65.608000000000004</v>
      </c>
      <c r="J21" s="344">
        <f t="shared" si="14"/>
        <v>-9</v>
      </c>
      <c r="K21" s="75">
        <v>26</v>
      </c>
      <c r="L21" s="384">
        <v>36</v>
      </c>
      <c r="M21" s="384">
        <f t="shared" si="13"/>
        <v>38.5</v>
      </c>
      <c r="N21" s="75">
        <v>3.8961000000000001</v>
      </c>
      <c r="O21" s="384">
        <v>1592.6845312799999</v>
      </c>
      <c r="P21" s="344">
        <f t="shared" si="1"/>
        <v>999</v>
      </c>
      <c r="Q21" s="75">
        <v>0.1</v>
      </c>
      <c r="R21" s="384">
        <v>11.05</v>
      </c>
      <c r="S21" s="344">
        <f t="shared" si="15"/>
        <v>999</v>
      </c>
      <c r="T21" s="75">
        <v>2179</v>
      </c>
      <c r="U21" s="384">
        <v>2296</v>
      </c>
      <c r="V21" s="344">
        <f t="shared" si="8"/>
        <v>5.4</v>
      </c>
      <c r="W21" s="75">
        <v>1.92</v>
      </c>
      <c r="X21" s="384">
        <v>2.2411013799999999</v>
      </c>
      <c r="Y21" s="344">
        <f t="shared" si="9"/>
        <v>16.7</v>
      </c>
      <c r="Z21" s="75">
        <v>410.80760380000004</v>
      </c>
      <c r="AA21" s="384">
        <v>437.04079146999999</v>
      </c>
      <c r="AB21" s="344">
        <f t="shared" si="10"/>
        <v>6.4</v>
      </c>
      <c r="AC21" s="75"/>
      <c r="AD21" s="384"/>
      <c r="AE21" s="344"/>
      <c r="AF21" s="384">
        <f t="shared" si="2"/>
        <v>3946.8177037999999</v>
      </c>
      <c r="AG21" s="384">
        <f t="shared" si="2"/>
        <v>5617.2940420800005</v>
      </c>
      <c r="AH21" s="344">
        <f t="shared" si="3"/>
        <v>42.3</v>
      </c>
      <c r="AI21" s="384">
        <f t="shared" si="4"/>
        <v>3946.8177037999999</v>
      </c>
      <c r="AJ21" s="384">
        <f t="shared" si="4"/>
        <v>5617.2940420800005</v>
      </c>
      <c r="AK21" s="344">
        <f t="shared" si="5"/>
        <v>42.3</v>
      </c>
    </row>
    <row r="22" spans="1:37" s="355" customFormat="1" ht="20.100000000000001" customHeight="1" x14ac:dyDescent="0.3">
      <c r="A22" s="416" t="s">
        <v>392</v>
      </c>
      <c r="B22" s="344">
        <v>11501</v>
      </c>
      <c r="C22" s="344">
        <v>11152.904591349996</v>
      </c>
      <c r="D22" s="344">
        <f t="shared" si="6"/>
        <v>-3</v>
      </c>
      <c r="E22" s="144">
        <v>2384.0350442000004</v>
      </c>
      <c r="F22" s="344">
        <v>2283.0943441900004</v>
      </c>
      <c r="G22" s="344">
        <f>IF(E22=0, "    ---- ", IF(ABS(ROUND(100/E22*F22-100,1))&lt;999,ROUND(100/E22*F22-100,1),IF(ROUND(100/E22*F22-100,1)&gt;999,999,-999)))</f>
        <v>-4.2</v>
      </c>
      <c r="H22" s="144">
        <v>287.36799999999999</v>
      </c>
      <c r="I22" s="344">
        <v>284.83199999999999</v>
      </c>
      <c r="J22" s="344">
        <f t="shared" si="14"/>
        <v>-0.9</v>
      </c>
      <c r="K22" s="75">
        <v>1022</v>
      </c>
      <c r="L22" s="384">
        <v>1835</v>
      </c>
      <c r="M22" s="384">
        <f t="shared" si="13"/>
        <v>79.5</v>
      </c>
      <c r="N22" s="75">
        <v>12642.367494419999</v>
      </c>
      <c r="O22" s="384">
        <v>15179.87232724</v>
      </c>
      <c r="P22" s="344">
        <f t="shared" si="1"/>
        <v>20.100000000000001</v>
      </c>
      <c r="Q22" s="75">
        <v>2698.33</v>
      </c>
      <c r="R22" s="384">
        <v>1658.52</v>
      </c>
      <c r="S22" s="344">
        <f t="shared" si="15"/>
        <v>-38.5</v>
      </c>
      <c r="T22" s="75">
        <v>2356</v>
      </c>
      <c r="U22" s="384">
        <v>2552</v>
      </c>
      <c r="V22" s="344">
        <f t="shared" si="8"/>
        <v>8.3000000000000007</v>
      </c>
      <c r="W22" s="75">
        <v>2491.875</v>
      </c>
      <c r="X22" s="384">
        <v>2597.1064925300016</v>
      </c>
      <c r="Y22" s="344">
        <f t="shared" si="9"/>
        <v>4.2</v>
      </c>
      <c r="Z22" s="75">
        <v>4738.2654298199996</v>
      </c>
      <c r="AA22" s="384">
        <v>4984.1895171899996</v>
      </c>
      <c r="AB22" s="344">
        <f t="shared" si="10"/>
        <v>5.2</v>
      </c>
      <c r="AC22" s="75"/>
      <c r="AD22" s="384"/>
      <c r="AE22" s="344"/>
      <c r="AF22" s="384">
        <f t="shared" si="2"/>
        <v>40121.240968439997</v>
      </c>
      <c r="AG22" s="384">
        <f t="shared" si="2"/>
        <v>42527.519272499994</v>
      </c>
      <c r="AH22" s="344">
        <f t="shared" si="3"/>
        <v>6</v>
      </c>
      <c r="AI22" s="384">
        <f t="shared" si="4"/>
        <v>40121.240968439997</v>
      </c>
      <c r="AJ22" s="384">
        <f t="shared" si="4"/>
        <v>42527.519272499994</v>
      </c>
      <c r="AK22" s="344">
        <f t="shared" si="5"/>
        <v>6</v>
      </c>
    </row>
    <row r="23" spans="1:37" s="355" customFormat="1" ht="20.100000000000001" customHeight="1" x14ac:dyDescent="0.3">
      <c r="A23" s="416" t="s">
        <v>176</v>
      </c>
      <c r="B23" s="344">
        <v>9</v>
      </c>
      <c r="C23" s="344">
        <v>16.179937690000003</v>
      </c>
      <c r="D23" s="344">
        <f t="shared" si="6"/>
        <v>79.8</v>
      </c>
      <c r="E23" s="144">
        <v>178.72577134999997</v>
      </c>
      <c r="F23" s="344">
        <v>20.921240210000008</v>
      </c>
      <c r="G23" s="344">
        <f>IF(E23=0, "    ---- ", IF(ABS(ROUND(100/E23*F23-100,1))&lt;999,ROUND(100/E23*F23-100,1),IF(ROUND(100/E23*F23-100,1)&gt;999,999,-999)))</f>
        <v>-88.3</v>
      </c>
      <c r="H23" s="144"/>
      <c r="I23" s="344"/>
      <c r="J23" s="344"/>
      <c r="K23" s="75"/>
      <c r="L23" s="384"/>
      <c r="M23" s="384"/>
      <c r="N23" s="75">
        <v>1417.1736304600001</v>
      </c>
      <c r="O23" s="384">
        <v>1842.9443463699999</v>
      </c>
      <c r="P23" s="344">
        <f t="shared" si="1"/>
        <v>30</v>
      </c>
      <c r="Q23" s="75">
        <v>0.1</v>
      </c>
      <c r="R23" s="384">
        <v>0.1</v>
      </c>
      <c r="S23" s="344">
        <f t="shared" si="15"/>
        <v>0</v>
      </c>
      <c r="T23" s="75"/>
      <c r="U23" s="384"/>
      <c r="V23" s="344"/>
      <c r="W23" s="75">
        <v>0.44400000000000001</v>
      </c>
      <c r="X23" s="384">
        <v>77.206367290000756</v>
      </c>
      <c r="Y23" s="344">
        <f t="shared" si="9"/>
        <v>999</v>
      </c>
      <c r="Z23" s="75"/>
      <c r="AA23" s="384"/>
      <c r="AB23" s="344"/>
      <c r="AC23" s="75"/>
      <c r="AD23" s="384">
        <v>71</v>
      </c>
      <c r="AE23" s="344" t="str">
        <f t="shared" si="16"/>
        <v xml:space="preserve">    ---- </v>
      </c>
      <c r="AF23" s="384">
        <f>B23+E23+H23+K23+N23+Q23+T23+W23+Z23</f>
        <v>1605.4434018100001</v>
      </c>
      <c r="AG23" s="384">
        <f>C23+F23+I23+L23+O23+R23+U23+X23+AA23</f>
        <v>1957.3518915600007</v>
      </c>
      <c r="AH23" s="344">
        <f t="shared" si="3"/>
        <v>21.9</v>
      </c>
      <c r="AI23" s="384">
        <f>B23+E23+H23+K23+N23+Q23+T23+W23+Z23+AC23</f>
        <v>1605.4434018100001</v>
      </c>
      <c r="AJ23" s="384">
        <f>C23+F23+I23+L23+O23+R23+U23+X23+AA23+AD23</f>
        <v>2028.3518915600007</v>
      </c>
      <c r="AK23" s="344">
        <f t="shared" si="5"/>
        <v>26.3</v>
      </c>
    </row>
    <row r="24" spans="1:37" s="355" customFormat="1" ht="20.100000000000001" customHeight="1" x14ac:dyDescent="0.3">
      <c r="A24" s="416" t="s">
        <v>177</v>
      </c>
      <c r="B24" s="344">
        <v>14</v>
      </c>
      <c r="C24" s="344">
        <v>3.207809929999998</v>
      </c>
      <c r="D24" s="344">
        <f t="shared" si="6"/>
        <v>-77.099999999999994</v>
      </c>
      <c r="E24" s="144"/>
      <c r="F24" s="344"/>
      <c r="G24" s="344"/>
      <c r="H24" s="144"/>
      <c r="I24" s="344"/>
      <c r="J24" s="344"/>
      <c r="K24" s="75"/>
      <c r="L24" s="384"/>
      <c r="M24" s="384"/>
      <c r="N24" s="75">
        <v>511.70275570000001</v>
      </c>
      <c r="O24" s="384">
        <v>301.26194319999996</v>
      </c>
      <c r="P24" s="344">
        <f t="shared" si="1"/>
        <v>-41.1</v>
      </c>
      <c r="Q24" s="75">
        <v>0.16</v>
      </c>
      <c r="R24" s="384">
        <v>0.85</v>
      </c>
      <c r="S24" s="344">
        <f t="shared" si="15"/>
        <v>431.3</v>
      </c>
      <c r="T24" s="75">
        <v>8</v>
      </c>
      <c r="U24" s="384">
        <v>63</v>
      </c>
      <c r="V24" s="344">
        <f t="shared" si="8"/>
        <v>687.5</v>
      </c>
      <c r="W24" s="75">
        <v>10.035</v>
      </c>
      <c r="X24" s="384">
        <v>8.2353566300000054</v>
      </c>
      <c r="Y24" s="344">
        <f t="shared" si="9"/>
        <v>-17.899999999999999</v>
      </c>
      <c r="Z24" s="75">
        <v>93.072298459999942</v>
      </c>
      <c r="AA24" s="384">
        <v>183.23000227999989</v>
      </c>
      <c r="AB24" s="344">
        <f t="shared" si="10"/>
        <v>96.9</v>
      </c>
      <c r="AC24" s="75"/>
      <c r="AD24" s="384"/>
      <c r="AE24" s="344"/>
      <c r="AF24" s="384">
        <f t="shared" ref="AF24:AG29" si="17">B24+E24+H24+K24+N24+Q24+T24+W24+Z24</f>
        <v>636.9700541599999</v>
      </c>
      <c r="AG24" s="384">
        <f t="shared" si="17"/>
        <v>559.78511203999983</v>
      </c>
      <c r="AH24" s="344">
        <f t="shared" si="3"/>
        <v>-12.1</v>
      </c>
      <c r="AI24" s="384">
        <f t="shared" ref="AI24:AJ29" si="18">B24+E24+H24+K24+N24+Q24+T24+W24+Z24+AC24</f>
        <v>636.9700541599999</v>
      </c>
      <c r="AJ24" s="384">
        <f t="shared" si="18"/>
        <v>559.78511203999983</v>
      </c>
      <c r="AK24" s="344">
        <f t="shared" si="5"/>
        <v>-12.1</v>
      </c>
    </row>
    <row r="25" spans="1:37" s="355" customFormat="1" ht="20.100000000000001" customHeight="1" x14ac:dyDescent="0.3">
      <c r="A25" s="416" t="s">
        <v>178</v>
      </c>
      <c r="B25" s="344">
        <v>200</v>
      </c>
      <c r="C25" s="344">
        <v>128.33436523000012</v>
      </c>
      <c r="D25" s="344">
        <f t="shared" si="6"/>
        <v>-35.799999999999997</v>
      </c>
      <c r="E25" s="144">
        <v>30.252802660000004</v>
      </c>
      <c r="F25" s="344">
        <v>153.56427651999999</v>
      </c>
      <c r="G25" s="344">
        <f>IF(E25=0, "    ---- ", IF(ABS(ROUND(100/E25*F25-100,1))&lt;999,ROUND(100/E25*F25-100,1),IF(ROUND(100/E25*F25-100,1)&gt;999,999,-999)))</f>
        <v>407.6</v>
      </c>
      <c r="H25" s="144">
        <v>97.799000000000007</v>
      </c>
      <c r="I25" s="344">
        <v>110.15</v>
      </c>
      <c r="J25" s="344">
        <f t="shared" si="14"/>
        <v>12.6</v>
      </c>
      <c r="K25" s="75"/>
      <c r="L25" s="384"/>
      <c r="M25" s="384"/>
      <c r="N25" s="75">
        <v>-1E-8</v>
      </c>
      <c r="O25" s="384">
        <v>-1E-8</v>
      </c>
      <c r="P25" s="344">
        <f t="shared" si="1"/>
        <v>0</v>
      </c>
      <c r="Q25" s="75">
        <v>87.34</v>
      </c>
      <c r="R25" s="384">
        <v>0.43</v>
      </c>
      <c r="S25" s="344">
        <f t="shared" si="15"/>
        <v>-99.5</v>
      </c>
      <c r="T25" s="75"/>
      <c r="U25" s="384"/>
      <c r="V25" s="344"/>
      <c r="W25" s="75">
        <v>682.42600000000004</v>
      </c>
      <c r="X25" s="384">
        <v>432.37704710001515</v>
      </c>
      <c r="Y25" s="344">
        <f t="shared" si="9"/>
        <v>-36.6</v>
      </c>
      <c r="Z25" s="75"/>
      <c r="AA25" s="384"/>
      <c r="AB25" s="344"/>
      <c r="AC25" s="75"/>
      <c r="AD25" s="384"/>
      <c r="AE25" s="344"/>
      <c r="AF25" s="384">
        <f t="shared" si="17"/>
        <v>1097.81780265</v>
      </c>
      <c r="AG25" s="384">
        <f t="shared" si="17"/>
        <v>824.85568884001532</v>
      </c>
      <c r="AH25" s="344">
        <f t="shared" si="3"/>
        <v>-24.9</v>
      </c>
      <c r="AI25" s="384">
        <f t="shared" si="18"/>
        <v>1097.81780265</v>
      </c>
      <c r="AJ25" s="384">
        <f t="shared" si="18"/>
        <v>824.85568884001532</v>
      </c>
      <c r="AK25" s="344">
        <f t="shared" si="5"/>
        <v>-24.9</v>
      </c>
    </row>
    <row r="26" spans="1:37" s="355" customFormat="1" ht="20.100000000000001" customHeight="1" x14ac:dyDescent="0.3">
      <c r="A26" s="416" t="s">
        <v>179</v>
      </c>
      <c r="B26" s="344"/>
      <c r="C26" s="344"/>
      <c r="D26" s="344"/>
      <c r="E26" s="144"/>
      <c r="F26" s="344"/>
      <c r="G26" s="344"/>
      <c r="H26" s="144"/>
      <c r="I26" s="344"/>
      <c r="J26" s="344"/>
      <c r="K26" s="75"/>
      <c r="L26" s="384"/>
      <c r="M26" s="384"/>
      <c r="N26" s="75"/>
      <c r="O26" s="384"/>
      <c r="P26" s="344"/>
      <c r="Q26" s="75"/>
      <c r="R26" s="384"/>
      <c r="S26" s="344"/>
      <c r="T26" s="75"/>
      <c r="U26" s="384"/>
      <c r="V26" s="344"/>
      <c r="W26" s="75"/>
      <c r="X26" s="384"/>
      <c r="Y26" s="344"/>
      <c r="Z26" s="75"/>
      <c r="AA26" s="384"/>
      <c r="AB26" s="344"/>
      <c r="AC26" s="75"/>
      <c r="AD26" s="384"/>
      <c r="AE26" s="344"/>
      <c r="AF26" s="384">
        <f t="shared" si="17"/>
        <v>0</v>
      </c>
      <c r="AG26" s="384">
        <f t="shared" si="17"/>
        <v>0</v>
      </c>
      <c r="AH26" s="344" t="str">
        <f t="shared" si="3"/>
        <v xml:space="preserve">    ---- </v>
      </c>
      <c r="AI26" s="384">
        <f t="shared" si="18"/>
        <v>0</v>
      </c>
      <c r="AJ26" s="384">
        <f t="shared" si="18"/>
        <v>0</v>
      </c>
      <c r="AK26" s="344" t="str">
        <f t="shared" si="5"/>
        <v xml:space="preserve">    ---- </v>
      </c>
    </row>
    <row r="27" spans="1:37" s="355" customFormat="1" ht="20.100000000000001" customHeight="1" x14ac:dyDescent="0.3">
      <c r="A27" s="452" t="s">
        <v>180</v>
      </c>
      <c r="B27" s="344">
        <v>32228</v>
      </c>
      <c r="C27" s="344">
        <v>28811.336426259993</v>
      </c>
      <c r="D27" s="344">
        <f t="shared" si="6"/>
        <v>-10.6</v>
      </c>
      <c r="E27" s="144">
        <f>SUM(E14+E15+E16+E20+E26)</f>
        <v>3335.75690596</v>
      </c>
      <c r="F27" s="344">
        <f>SUM(F14+F15+F16+F20+F26)</f>
        <v>3216.0780111000004</v>
      </c>
      <c r="G27" s="344">
        <f>IF(E27=0, "    ---- ", IF(ABS(ROUND(100/E27*F27-100,1))&lt;999,ROUND(100/E27*F27-100,1),IF(ROUND(100/E27*F27-100,1)&gt;999,999,-999)))</f>
        <v>-3.6</v>
      </c>
      <c r="H27" s="144">
        <f>SUM(H14+H15+H16+H20+H26)</f>
        <v>457.26099999999997</v>
      </c>
      <c r="I27" s="344">
        <f>SUM(I14+I15+I16+I20+I26)</f>
        <v>460.59000000000003</v>
      </c>
      <c r="J27" s="344">
        <f t="shared" si="14"/>
        <v>0.7</v>
      </c>
      <c r="K27" s="75">
        <f>SUM(K14+K15+K16+K20+K26)</f>
        <v>1230</v>
      </c>
      <c r="L27" s="384">
        <f>SUM(L14+L15+L16+L20+L26)</f>
        <v>2033</v>
      </c>
      <c r="M27" s="384">
        <f t="shared" si="13"/>
        <v>65.3</v>
      </c>
      <c r="N27" s="75">
        <v>47934.50095075</v>
      </c>
      <c r="O27" s="384">
        <v>47667.490811280004</v>
      </c>
      <c r="P27" s="344">
        <f t="shared" si="1"/>
        <v>-0.6</v>
      </c>
      <c r="Q27" s="75">
        <f>SUM(Q14+Q15+Q16+Q20+Q26)</f>
        <v>11629.029999999999</v>
      </c>
      <c r="R27" s="384">
        <f>SUM(R14+R15+R16+R20+R26)</f>
        <v>9572.9500000000007</v>
      </c>
      <c r="S27" s="344">
        <f t="shared" si="15"/>
        <v>-17.7</v>
      </c>
      <c r="T27" s="75">
        <v>11109</v>
      </c>
      <c r="U27" s="384">
        <f>SUM(U14+U15+U16+U20+U26)</f>
        <v>11967</v>
      </c>
      <c r="V27" s="344">
        <f t="shared" si="8"/>
        <v>7.7</v>
      </c>
      <c r="W27" s="75">
        <f>SUM(W14+W15+W16+W20+W26)</f>
        <v>5932.1419999999998</v>
      </c>
      <c r="X27" s="384">
        <f>SUM(X14+X15+X16+X20+X26)</f>
        <v>5804.8820365100182</v>
      </c>
      <c r="Y27" s="344">
        <f t="shared" si="9"/>
        <v>-2.1</v>
      </c>
      <c r="Z27" s="75">
        <f>SUM(Z14+Z15+Z16+Z20+Z26)</f>
        <v>33972.138169899998</v>
      </c>
      <c r="AA27" s="384">
        <f>SUM(AA14+AA15+AA16+AA20+AA26)</f>
        <v>32916.265478839996</v>
      </c>
      <c r="AB27" s="344">
        <f t="shared" si="10"/>
        <v>-3.1</v>
      </c>
      <c r="AC27" s="75"/>
      <c r="AD27" s="384">
        <f>SUM(AD14+AD15+AD16+AD20+AD26)</f>
        <v>71</v>
      </c>
      <c r="AE27" s="344" t="str">
        <f>IF(AC27=0, "    ---- ", IF(ABS(ROUND(100/AC27*AD27-100,1))&lt;999,ROUND(100/AC27*AD27-100,1),IF(ROUND(100/AC27*AD27-100,1)&gt;999,999,-999)))</f>
        <v xml:space="preserve">    ---- </v>
      </c>
      <c r="AF27" s="384">
        <f t="shared" si="17"/>
        <v>147827.82902660998</v>
      </c>
      <c r="AG27" s="384">
        <f t="shared" si="17"/>
        <v>142449.59276398999</v>
      </c>
      <c r="AH27" s="344">
        <f t="shared" si="3"/>
        <v>-3.6</v>
      </c>
      <c r="AI27" s="384">
        <f t="shared" si="18"/>
        <v>147827.82902660998</v>
      </c>
      <c r="AJ27" s="384">
        <f t="shared" si="18"/>
        <v>142520.59276398999</v>
      </c>
      <c r="AK27" s="344">
        <f t="shared" si="5"/>
        <v>-3.6</v>
      </c>
    </row>
    <row r="28" spans="1:37" s="355" customFormat="1" ht="20.100000000000001" customHeight="1" x14ac:dyDescent="0.3">
      <c r="A28" s="416" t="s">
        <v>181</v>
      </c>
      <c r="B28" s="344">
        <v>1208</v>
      </c>
      <c r="C28" s="344">
        <v>1691.3496493100022</v>
      </c>
      <c r="D28" s="344">
        <f t="shared" si="6"/>
        <v>40</v>
      </c>
      <c r="E28" s="144">
        <v>828.41875041999958</v>
      </c>
      <c r="F28" s="344">
        <v>718.42830866999998</v>
      </c>
      <c r="G28" s="344">
        <f>IF(E28=0, "    ---- ", IF(ABS(ROUND(100/E28*F28-100,1))&lt;999,ROUND(100/E28*F28-100,1),IF(ROUND(100/E28*F28-100,1)&gt;999,999,-999)))</f>
        <v>-13.3</v>
      </c>
      <c r="H28" s="144">
        <v>413.178</v>
      </c>
      <c r="I28" s="344">
        <v>491.98500000000001</v>
      </c>
      <c r="J28" s="344">
        <f t="shared" si="14"/>
        <v>19.100000000000001</v>
      </c>
      <c r="K28" s="75">
        <v>363</v>
      </c>
      <c r="L28" s="384">
        <v>375</v>
      </c>
      <c r="M28" s="384">
        <f t="shared" si="13"/>
        <v>3.3</v>
      </c>
      <c r="N28" s="75">
        <v>9825.6089003799989</v>
      </c>
      <c r="O28" s="384">
        <v>5543.6414124900002</v>
      </c>
      <c r="P28" s="344">
        <f t="shared" si="1"/>
        <v>-43.6</v>
      </c>
      <c r="Q28" s="75">
        <v>1262.8699999999999</v>
      </c>
      <c r="R28" s="384">
        <v>1445.04</v>
      </c>
      <c r="S28" s="344">
        <f t="shared" si="15"/>
        <v>14.4</v>
      </c>
      <c r="T28" s="75">
        <v>1105</v>
      </c>
      <c r="U28" s="384">
        <f>15+769+84+105</f>
        <v>973</v>
      </c>
      <c r="V28" s="344">
        <f t="shared" si="8"/>
        <v>-11.9</v>
      </c>
      <c r="W28" s="75">
        <v>1038.7619999999999</v>
      </c>
      <c r="X28" s="384">
        <v>1051.4771946299622</v>
      </c>
      <c r="Y28" s="344">
        <f t="shared" si="9"/>
        <v>1.2</v>
      </c>
      <c r="Z28" s="75">
        <v>44823.250165707519</v>
      </c>
      <c r="AA28" s="384">
        <v>28606.016683839982</v>
      </c>
      <c r="AB28" s="344">
        <f t="shared" si="10"/>
        <v>-36.200000000000003</v>
      </c>
      <c r="AC28" s="75">
        <v>112</v>
      </c>
      <c r="AD28" s="384">
        <v>153</v>
      </c>
      <c r="AE28" s="344">
        <f>IF(AC28=0, "    ---- ", IF(ABS(ROUND(100/AC28*AD28-100,1))&lt;999,ROUND(100/AC28*AD28-100,1),IF(ROUND(100/AC28*AD28-100,1)&gt;999,999,-999)))</f>
        <v>36.6</v>
      </c>
      <c r="AF28" s="384">
        <f t="shared" si="17"/>
        <v>60868.087816507519</v>
      </c>
      <c r="AG28" s="384">
        <f t="shared" si="17"/>
        <v>40895.938248939943</v>
      </c>
      <c r="AH28" s="344">
        <f t="shared" si="3"/>
        <v>-32.799999999999997</v>
      </c>
      <c r="AI28" s="384">
        <f t="shared" si="18"/>
        <v>60980.087816507519</v>
      </c>
      <c r="AJ28" s="384">
        <f t="shared" si="18"/>
        <v>41048.938248939943</v>
      </c>
      <c r="AK28" s="344">
        <f t="shared" si="5"/>
        <v>-32.700000000000003</v>
      </c>
    </row>
    <row r="29" spans="1:37" s="355" customFormat="1" ht="20.100000000000001" customHeight="1" x14ac:dyDescent="0.3">
      <c r="A29" s="416" t="s">
        <v>182</v>
      </c>
      <c r="B29" s="344">
        <v>33436</v>
      </c>
      <c r="C29" s="344">
        <v>30502.686075569996</v>
      </c>
      <c r="D29" s="344">
        <f>IF(B29=0, "    ---- ", IF(ABS(ROUND(100/B29*C29-100,1))&lt;999,ROUND(100/B29*C29-100,1),IF(ROUND(100/B29*C29-100,1)&gt;999,999,-999)))</f>
        <v>-8.8000000000000007</v>
      </c>
      <c r="E29" s="144">
        <f>SUM(E27+E28)</f>
        <v>4164.17565638</v>
      </c>
      <c r="F29" s="344">
        <f>SUM(F27+F28)</f>
        <v>3934.5063197700001</v>
      </c>
      <c r="G29" s="344">
        <f>IF(E29=0, "    ---- ", IF(ABS(ROUND(100/E29*F29-100,1))&lt;999,ROUND(100/E29*F29-100,1),IF(ROUND(100/E29*F29-100,1)&gt;999,999,-999)))</f>
        <v>-5.5</v>
      </c>
      <c r="H29" s="144">
        <f>SUM(H27+H28)</f>
        <v>870.43899999999996</v>
      </c>
      <c r="I29" s="344">
        <f>SUM(I27+I28)</f>
        <v>952.57500000000005</v>
      </c>
      <c r="J29" s="344">
        <f>IF(H29=0, "    ---- ", IF(ABS(ROUND(100/H29*I29-100,1))&lt;999,ROUND(100/H29*I29-100,1),IF(ROUND(100/H29*I29-100,1)&gt;999,999,-999)))</f>
        <v>9.4</v>
      </c>
      <c r="K29" s="144">
        <f>SUM(K27+K28)</f>
        <v>1593</v>
      </c>
      <c r="L29" s="344">
        <f>SUM(L27+L28)</f>
        <v>2408</v>
      </c>
      <c r="M29" s="344">
        <f>IF(K29=0, "    ---- ", IF(ABS(ROUND(100/K29*L29-100,1))&lt;999,ROUND(100/K29*L29-100,1),IF(ROUND(100/K29*L29-100,1)&gt;999,999,-999)))</f>
        <v>51.2</v>
      </c>
      <c r="N29" s="144">
        <v>57760.109851130001</v>
      </c>
      <c r="O29" s="344">
        <v>53211.132223770008</v>
      </c>
      <c r="P29" s="344">
        <f>IF(N29=0, "    ---- ", IF(ABS(ROUND(100/N29*O29-100,1))&lt;999,ROUND(100/N29*O29-100,1),IF(ROUND(100/N29*O29-100,1)&gt;999,999,-999)))</f>
        <v>-7.9</v>
      </c>
      <c r="Q29" s="144">
        <f>SUM(Q27+Q28)</f>
        <v>12891.899999999998</v>
      </c>
      <c r="R29" s="344">
        <f>SUM(R27+R28)</f>
        <v>11017.990000000002</v>
      </c>
      <c r="S29" s="344">
        <f>IF(Q29=0, "    ---- ", IF(ABS(ROUND(100/Q29*R29-100,1))&lt;999,ROUND(100/Q29*R29-100,1),IF(ROUND(100/Q29*R29-100,1)&gt;999,999,-999)))</f>
        <v>-14.5</v>
      </c>
      <c r="T29" s="144">
        <v>12214</v>
      </c>
      <c r="U29" s="344">
        <f>SUM(U27+U28)</f>
        <v>12940</v>
      </c>
      <c r="V29" s="344">
        <f>IF(T29=0, "    ---- ", IF(ABS(ROUND(100/T29*U29-100,1))&lt;999,ROUND(100/T29*U29-100,1),IF(ROUND(100/T29*U29-100,1)&gt;999,999,-999)))</f>
        <v>5.9</v>
      </c>
      <c r="W29" s="144">
        <f>SUM(W27+W28)</f>
        <v>6970.9039999999995</v>
      </c>
      <c r="X29" s="344">
        <f>SUM(X27+X28)</f>
        <v>6856.3592311399807</v>
      </c>
      <c r="Y29" s="344">
        <f>IF(W29=0, "    ---- ", IF(ABS(ROUND(100/W29*X29-100,1))&lt;999,ROUND(100/W29*X29-100,1),IF(ROUND(100/W29*X29-100,1)&gt;999,999,-999)))</f>
        <v>-1.6</v>
      </c>
      <c r="Z29" s="144">
        <f>SUM(Z27+Z28)</f>
        <v>78795.388335607509</v>
      </c>
      <c r="AA29" s="344">
        <f>SUM(AA27+AA28)</f>
        <v>61522.282162679978</v>
      </c>
      <c r="AB29" s="344">
        <f>IF(Z29=0, "    ---- ", IF(ABS(ROUND(100/Z29*AA29-100,1))&lt;999,ROUND(100/Z29*AA29-100,1),IF(ROUND(100/Z29*AA29-100,1)&gt;999,999,-999)))</f>
        <v>-21.9</v>
      </c>
      <c r="AC29" s="144">
        <f>SUM(AC27+AC28)</f>
        <v>112</v>
      </c>
      <c r="AD29" s="344">
        <f>SUM(AD27+AD28)</f>
        <v>224</v>
      </c>
      <c r="AE29" s="344">
        <f>IF(AC29=0, "    ---- ", IF(ABS(ROUND(100/AC29*AD29-100,1))&lt;999,ROUND(100/AC29*AD29-100,1),IF(ROUND(100/AC29*AD29-100,1)&gt;999,999,-999)))</f>
        <v>100</v>
      </c>
      <c r="AF29" s="384">
        <f t="shared" si="17"/>
        <v>208695.91684311751</v>
      </c>
      <c r="AG29" s="384">
        <f t="shared" si="17"/>
        <v>183345.53101292998</v>
      </c>
      <c r="AH29" s="344">
        <f>IF(AF29=0, "    ---- ", IF(ABS(ROUND(100/AF29*AG29-100,1))&lt;999,ROUND(100/AF29*AG29-100,1),IF(ROUND(100/AF29*AG29-100,1)&gt;999,999,-999)))</f>
        <v>-12.1</v>
      </c>
      <c r="AI29" s="384">
        <f t="shared" si="18"/>
        <v>208807.91684311751</v>
      </c>
      <c r="AJ29" s="384">
        <f t="shared" si="18"/>
        <v>183569.53101292998</v>
      </c>
      <c r="AK29" s="453">
        <f t="shared" si="5"/>
        <v>-12.1</v>
      </c>
    </row>
    <row r="30" spans="1:37" s="355" customFormat="1" ht="20.100000000000001" customHeight="1" x14ac:dyDescent="0.3">
      <c r="A30" s="416"/>
      <c r="B30" s="341"/>
      <c r="C30" s="341"/>
      <c r="D30" s="344"/>
      <c r="E30" s="423"/>
      <c r="F30" s="341"/>
      <c r="G30" s="344"/>
      <c r="H30" s="423"/>
      <c r="I30" s="341"/>
      <c r="J30" s="344"/>
      <c r="K30" s="144"/>
      <c r="L30" s="344"/>
      <c r="M30" s="341"/>
      <c r="N30" s="423"/>
      <c r="O30" s="341"/>
      <c r="P30" s="269"/>
      <c r="Q30" s="423"/>
      <c r="R30" s="341"/>
      <c r="S30" s="269"/>
      <c r="T30" s="423"/>
      <c r="U30" s="341"/>
      <c r="V30" s="269"/>
      <c r="W30" s="423"/>
      <c r="X30" s="341"/>
      <c r="Y30" s="269"/>
      <c r="Z30" s="423"/>
      <c r="AA30" s="341"/>
      <c r="AB30" s="269"/>
      <c r="AC30" s="423"/>
      <c r="AD30" s="341"/>
      <c r="AE30" s="269"/>
      <c r="AF30" s="341"/>
      <c r="AG30" s="341"/>
      <c r="AH30" s="269"/>
      <c r="AI30" s="341"/>
      <c r="AJ30" s="341"/>
      <c r="AK30" s="345"/>
    </row>
    <row r="31" spans="1:37" s="355" customFormat="1" ht="20.100000000000001" customHeight="1" x14ac:dyDescent="0.3">
      <c r="A31" s="428" t="s">
        <v>183</v>
      </c>
      <c r="B31" s="344"/>
      <c r="C31" s="344"/>
      <c r="D31" s="344"/>
      <c r="E31" s="144"/>
      <c r="F31" s="344"/>
      <c r="G31" s="344"/>
      <c r="H31" s="144"/>
      <c r="I31" s="344"/>
      <c r="J31" s="344"/>
      <c r="K31" s="144"/>
      <c r="L31" s="344"/>
      <c r="M31" s="341"/>
      <c r="N31" s="144"/>
      <c r="O31" s="344"/>
      <c r="P31" s="269"/>
      <c r="Q31" s="144"/>
      <c r="R31" s="344"/>
      <c r="S31" s="269"/>
      <c r="T31" s="144"/>
      <c r="U31" s="344"/>
      <c r="V31" s="269"/>
      <c r="W31" s="144"/>
      <c r="X31" s="344"/>
      <c r="Y31" s="269"/>
      <c r="Z31" s="144"/>
      <c r="AA31" s="344"/>
      <c r="AB31" s="269"/>
      <c r="AC31" s="144"/>
      <c r="AD31" s="344"/>
      <c r="AE31" s="269"/>
      <c r="AF31" s="341"/>
      <c r="AG31" s="341"/>
      <c r="AH31" s="269"/>
      <c r="AI31" s="341"/>
      <c r="AJ31" s="341"/>
      <c r="AK31" s="345"/>
    </row>
    <row r="32" spans="1:37" s="355" customFormat="1" ht="20.100000000000001" customHeight="1" x14ac:dyDescent="0.3">
      <c r="A32" s="428" t="s">
        <v>184</v>
      </c>
      <c r="B32" s="344"/>
      <c r="C32" s="344"/>
      <c r="D32" s="269"/>
      <c r="E32" s="144"/>
      <c r="F32" s="344"/>
      <c r="G32" s="269"/>
      <c r="H32" s="144"/>
      <c r="I32" s="344"/>
      <c r="J32" s="269"/>
      <c r="K32" s="144"/>
      <c r="L32" s="344"/>
      <c r="M32" s="341"/>
      <c r="N32" s="144"/>
      <c r="O32" s="344"/>
      <c r="P32" s="269"/>
      <c r="Q32" s="144"/>
      <c r="R32" s="344"/>
      <c r="S32" s="269"/>
      <c r="T32" s="144"/>
      <c r="U32" s="344"/>
      <c r="V32" s="269"/>
      <c r="W32" s="144"/>
      <c r="X32" s="344"/>
      <c r="Y32" s="269"/>
      <c r="Z32" s="144"/>
      <c r="AA32" s="344"/>
      <c r="AB32" s="269"/>
      <c r="AC32" s="144"/>
      <c r="AD32" s="344"/>
      <c r="AE32" s="269"/>
      <c r="AF32" s="341"/>
      <c r="AG32" s="341"/>
      <c r="AH32" s="269"/>
      <c r="AI32" s="341"/>
      <c r="AJ32" s="341"/>
      <c r="AK32" s="345"/>
    </row>
    <row r="33" spans="1:37" s="355" customFormat="1" ht="20.100000000000001" customHeight="1" x14ac:dyDescent="0.3">
      <c r="A33" s="416" t="s">
        <v>185</v>
      </c>
      <c r="B33" s="344">
        <v>14</v>
      </c>
      <c r="C33" s="344">
        <v>14.225545809999998</v>
      </c>
      <c r="D33" s="344">
        <f t="shared" ref="D33:D93" si="19">IF(B33=0, "    ---- ", IF(ABS(ROUND(100/B33*C33-100,1))&lt;999,ROUND(100/B33*C33-100,1),IF(ROUND(100/B33*C33-100,1)&gt;999,999,-999)))</f>
        <v>1.6</v>
      </c>
      <c r="E33" s="144"/>
      <c r="F33" s="344"/>
      <c r="G33" s="344"/>
      <c r="H33" s="144"/>
      <c r="I33" s="344"/>
      <c r="J33" s="344"/>
      <c r="K33" s="144"/>
      <c r="L33" s="344"/>
      <c r="M33" s="341"/>
      <c r="N33" s="144"/>
      <c r="O33" s="344"/>
      <c r="P33" s="269"/>
      <c r="Q33" s="144"/>
      <c r="R33" s="344"/>
      <c r="S33" s="269"/>
      <c r="T33" s="144"/>
      <c r="U33" s="344"/>
      <c r="V33" s="269"/>
      <c r="W33" s="144"/>
      <c r="X33" s="344"/>
      <c r="Y33" s="269"/>
      <c r="Z33" s="144"/>
      <c r="AA33" s="344"/>
      <c r="AB33" s="269"/>
      <c r="AC33" s="144"/>
      <c r="AD33" s="344"/>
      <c r="AE33" s="269"/>
      <c r="AF33" s="384">
        <f t="shared" ref="AF33:AG46" si="20">B33+E33+H33+K33+N33+Q33+T33+W33+Z33</f>
        <v>14</v>
      </c>
      <c r="AG33" s="384">
        <f t="shared" si="20"/>
        <v>14.225545809999998</v>
      </c>
      <c r="AH33" s="269">
        <f t="shared" ref="AH33:AH93" si="21">IF(AF33=0, "    ---- ", IF(ABS(ROUND(100/AF33*AG33-100,1))&lt;999,ROUND(100/AF33*AG33-100,1),IF(ROUND(100/AF33*AG33-100,1)&gt;999,999,-999)))</f>
        <v>1.6</v>
      </c>
      <c r="AI33" s="384">
        <f t="shared" ref="AI33:AJ46" si="22">B33+E33+H33+K33+N33+Q33+T33+W33+Z33+AC33</f>
        <v>14</v>
      </c>
      <c r="AJ33" s="384">
        <f t="shared" si="22"/>
        <v>14.225545809999998</v>
      </c>
      <c r="AK33" s="345">
        <f t="shared" ref="AK33:AK93" si="23">IF(AI33=0, "    ---- ", IF(ABS(ROUND(100/AI33*AJ33-100,1))&lt;999,ROUND(100/AI33*AJ33-100,1),IF(ROUND(100/AI33*AJ33-100,1)&gt;999,999,-999)))</f>
        <v>1.6</v>
      </c>
    </row>
    <row r="34" spans="1:37" s="355" customFormat="1" ht="20.100000000000001" customHeight="1" x14ac:dyDescent="0.3">
      <c r="A34" s="416" t="s">
        <v>186</v>
      </c>
      <c r="B34" s="344">
        <v>18410</v>
      </c>
      <c r="C34" s="344">
        <v>15861.711795090026</v>
      </c>
      <c r="D34" s="344">
        <f t="shared" si="19"/>
        <v>-13.8</v>
      </c>
      <c r="E34" s="144">
        <v>440.19808618999997</v>
      </c>
      <c r="F34" s="344">
        <v>469.94565012999988</v>
      </c>
      <c r="G34" s="344">
        <f t="shared" ref="G34:G37" si="24">IF(E34=0, "    ---- ", IF(ABS(ROUND(100/E34*F34-100,1))&lt;999,ROUND(100/E34*F34-100,1),IF(ROUND(100/E34*F34-100,1)&gt;999,999,-999)))</f>
        <v>6.8</v>
      </c>
      <c r="H34" s="144"/>
      <c r="I34" s="344"/>
      <c r="J34" s="344"/>
      <c r="K34" s="144">
        <v>306</v>
      </c>
      <c r="L34" s="344">
        <v>330</v>
      </c>
      <c r="M34" s="341">
        <f>IF(K34=0, "    ---- ", IF(ABS(ROUND(100/K34*L34-100,1))&lt;999,ROUND(100/K34*L34-100,1),IF(ROUND(100/K34*L34-100,1)&gt;999,999,-999)))</f>
        <v>7.8</v>
      </c>
      <c r="N34" s="144">
        <v>96663.259590169997</v>
      </c>
      <c r="O34" s="344">
        <v>106890.93128497001</v>
      </c>
      <c r="P34" s="269">
        <f>IF(N34=0, "    ---- ", IF(ABS(ROUND(100/N34*O34-100,1))&lt;999,ROUND(100/N34*O34-100,1),IF(ROUND(100/N34*O34-100,1)&gt;999,999,-999)))</f>
        <v>10.6</v>
      </c>
      <c r="Q34" s="144">
        <v>6003.8532143600005</v>
      </c>
      <c r="R34" s="344">
        <v>6769.2908958500002</v>
      </c>
      <c r="S34" s="269">
        <f t="shared" ref="S34:S93" si="25">IF(Q34=0, "    ---- ", IF(ABS(ROUND(100/Q34*R34-100,1))&lt;999,ROUND(100/Q34*R34-100,1),IF(ROUND(100/Q34*R34-100,1)&gt;999,999,-999)))</f>
        <v>12.7</v>
      </c>
      <c r="T34" s="144">
        <v>20503</v>
      </c>
      <c r="U34" s="344">
        <v>21478</v>
      </c>
      <c r="V34" s="269">
        <f t="shared" ref="V34:V42" si="26">IF(T34=0, "    ---- ", IF(ABS(ROUND(100/T34*U34-100,1))&lt;999,ROUND(100/T34*U34-100,1),IF(ROUND(100/T34*U34-100,1)&gt;999,999,-999)))</f>
        <v>4.8</v>
      </c>
      <c r="W34" s="144">
        <v>4205.1769999999997</v>
      </c>
      <c r="X34" s="344">
        <v>3817.7761836800019</v>
      </c>
      <c r="Y34" s="269">
        <f t="shared" ref="Y34:Y93" si="27">IF(W34=0, "    ---- ", IF(ABS(ROUND(100/W34*X34-100,1))&lt;999,ROUND(100/W34*X34-100,1),IF(ROUND(100/W34*X34-100,1)&gt;999,999,-999)))</f>
        <v>-9.1999999999999993</v>
      </c>
      <c r="Z34" s="144">
        <v>21399.006447330004</v>
      </c>
      <c r="AA34" s="344">
        <v>22759.797491769998</v>
      </c>
      <c r="AB34" s="269">
        <f t="shared" ref="AB34:AB93" si="28">IF(Z34=0, "    ---- ", IF(ABS(ROUND(100/Z34*AA34-100,1))&lt;999,ROUND(100/Z34*AA34-100,1),IF(ROUND(100/Z34*AA34-100,1)&gt;999,999,-999)))</f>
        <v>6.4</v>
      </c>
      <c r="AC34" s="144"/>
      <c r="AD34" s="344"/>
      <c r="AE34" s="269"/>
      <c r="AF34" s="384">
        <f t="shared" si="20"/>
        <v>167930.49433804999</v>
      </c>
      <c r="AG34" s="384">
        <f t="shared" si="20"/>
        <v>178377.45330149005</v>
      </c>
      <c r="AH34" s="269">
        <f t="shared" si="21"/>
        <v>6.2</v>
      </c>
      <c r="AI34" s="384">
        <f t="shared" si="22"/>
        <v>167930.49433804999</v>
      </c>
      <c r="AJ34" s="384">
        <f t="shared" si="22"/>
        <v>178377.45330149005</v>
      </c>
      <c r="AK34" s="345">
        <f t="shared" si="23"/>
        <v>6.2</v>
      </c>
    </row>
    <row r="35" spans="1:37" s="355" customFormat="1" ht="20.100000000000001" customHeight="1" x14ac:dyDescent="0.3">
      <c r="A35" s="416" t="s">
        <v>187</v>
      </c>
      <c r="B35" s="344">
        <v>135450</v>
      </c>
      <c r="C35" s="344">
        <v>134871.50688570002</v>
      </c>
      <c r="D35" s="344">
        <f t="shared" si="19"/>
        <v>-0.4</v>
      </c>
      <c r="E35" s="144">
        <f>SUM(E36+E38)</f>
        <v>5563.8682359100003</v>
      </c>
      <c r="F35" s="344">
        <f>SUM(F36+F38)</f>
        <v>5921.0008769900014</v>
      </c>
      <c r="G35" s="344">
        <f t="shared" si="24"/>
        <v>6.4</v>
      </c>
      <c r="H35" s="144">
        <f>SUM(H36+H38)</f>
        <v>746.20100000000002</v>
      </c>
      <c r="I35" s="344">
        <f>SUM(I36+I38)</f>
        <v>830.48099999999999</v>
      </c>
      <c r="J35" s="344">
        <f t="shared" ref="J35:J37" si="29">IF(H35=0, "    ---- ", IF(ABS(ROUND(100/H35*I35-100,1))&lt;999,ROUND(100/H35*I35-100,1),IF(ROUND(100/H35*I35-100,1)&gt;999,999,-999)))</f>
        <v>11.3</v>
      </c>
      <c r="K35" s="144">
        <f>SUM(K36+K38)</f>
        <v>8695</v>
      </c>
      <c r="L35" s="344">
        <f>SUM(L36+L38)</f>
        <v>9585</v>
      </c>
      <c r="M35" s="341">
        <f>IF(K35=0, "    ---- ", IF(ABS(ROUND(100/K35*L35-100,1))&lt;999,ROUND(100/K35*L35-100,1),IF(ROUND(100/K35*L35-100,1)&gt;999,999,-999)))</f>
        <v>10.199999999999999</v>
      </c>
      <c r="N35" s="144">
        <v>299777.53755330999</v>
      </c>
      <c r="O35" s="344">
        <v>299208.74031253997</v>
      </c>
      <c r="P35" s="269">
        <f>IF(N35=0, "    ---- ", IF(ABS(ROUND(100/N35*O35-100,1))&lt;999,ROUND(100/N35*O35-100,1),IF(ROUND(100/N35*O35-100,1)&gt;999,999,-999)))</f>
        <v>-0.2</v>
      </c>
      <c r="Q35" s="144">
        <f>SUM(Q36+Q38)</f>
        <v>41011.751847760002</v>
      </c>
      <c r="R35" s="344">
        <f>SUM(R36+R38)</f>
        <v>36850.514119589898</v>
      </c>
      <c r="S35" s="269">
        <f t="shared" si="25"/>
        <v>-10.1</v>
      </c>
      <c r="T35" s="144">
        <v>30412</v>
      </c>
      <c r="U35" s="344">
        <f>SUM(U36+U38)</f>
        <v>33666</v>
      </c>
      <c r="V35" s="269">
        <f t="shared" si="26"/>
        <v>10.7</v>
      </c>
      <c r="W35" s="144">
        <f>SUM(W36+W38)</f>
        <v>10956.255999999999</v>
      </c>
      <c r="X35" s="344">
        <f>SUM(X36+X38)</f>
        <v>12483.605467510009</v>
      </c>
      <c r="Y35" s="269">
        <f t="shared" si="27"/>
        <v>13.9</v>
      </c>
      <c r="Z35" s="144">
        <f>SUM(Z36+Z38)</f>
        <v>166179.60124029993</v>
      </c>
      <c r="AA35" s="344">
        <f>SUM(AA36+AA38)</f>
        <v>168177.18087296005</v>
      </c>
      <c r="AB35" s="269">
        <f t="shared" si="28"/>
        <v>1.2</v>
      </c>
      <c r="AC35" s="144"/>
      <c r="AD35" s="344"/>
      <c r="AE35" s="269"/>
      <c r="AF35" s="384">
        <f t="shared" si="20"/>
        <v>698792.21587727987</v>
      </c>
      <c r="AG35" s="384">
        <f t="shared" si="20"/>
        <v>701594.02953528985</v>
      </c>
      <c r="AH35" s="269">
        <f t="shared" si="21"/>
        <v>0.4</v>
      </c>
      <c r="AI35" s="384">
        <f t="shared" si="22"/>
        <v>698792.21587727987</v>
      </c>
      <c r="AJ35" s="384">
        <f t="shared" si="22"/>
        <v>701594.02953528985</v>
      </c>
      <c r="AK35" s="345">
        <f t="shared" si="23"/>
        <v>0.4</v>
      </c>
    </row>
    <row r="36" spans="1:37" s="355" customFormat="1" ht="20.100000000000001" customHeight="1" x14ac:dyDescent="0.3">
      <c r="A36" s="416" t="s">
        <v>393</v>
      </c>
      <c r="B36" s="344">
        <v>129982</v>
      </c>
      <c r="C36" s="344">
        <v>131112.11302193001</v>
      </c>
      <c r="D36" s="269">
        <f t="shared" si="19"/>
        <v>0.9</v>
      </c>
      <c r="E36" s="144">
        <v>5563.8682359100003</v>
      </c>
      <c r="F36" s="344">
        <v>5921.0008769900014</v>
      </c>
      <c r="G36" s="344">
        <f t="shared" si="24"/>
        <v>6.4</v>
      </c>
      <c r="H36" s="144">
        <v>746.20100000000002</v>
      </c>
      <c r="I36" s="344">
        <v>830.48099999999999</v>
      </c>
      <c r="J36" s="344">
        <f t="shared" si="29"/>
        <v>11.3</v>
      </c>
      <c r="K36" s="144"/>
      <c r="L36" s="344"/>
      <c r="M36" s="341"/>
      <c r="N36" s="144"/>
      <c r="O36" s="344"/>
      <c r="P36" s="269"/>
      <c r="Q36" s="144">
        <v>41011.751847760002</v>
      </c>
      <c r="R36" s="344">
        <v>36850.514119589898</v>
      </c>
      <c r="S36" s="269">
        <f t="shared" si="25"/>
        <v>-10.1</v>
      </c>
      <c r="T36" s="144">
        <v>24879</v>
      </c>
      <c r="U36" s="344">
        <v>26313</v>
      </c>
      <c r="V36" s="269">
        <f t="shared" si="26"/>
        <v>5.8</v>
      </c>
      <c r="W36" s="144">
        <v>10956.255999999999</v>
      </c>
      <c r="X36" s="344">
        <v>12483.605467510009</v>
      </c>
      <c r="Y36" s="269">
        <f t="shared" si="27"/>
        <v>13.9</v>
      </c>
      <c r="Z36" s="144"/>
      <c r="AA36" s="344"/>
      <c r="AB36" s="269"/>
      <c r="AC36" s="144"/>
      <c r="AD36" s="344"/>
      <c r="AE36" s="269"/>
      <c r="AF36" s="384">
        <f t="shared" si="20"/>
        <v>213139.07708366998</v>
      </c>
      <c r="AG36" s="384">
        <f t="shared" si="20"/>
        <v>213510.71448601992</v>
      </c>
      <c r="AH36" s="269">
        <f t="shared" si="21"/>
        <v>0.2</v>
      </c>
      <c r="AI36" s="384">
        <f t="shared" si="22"/>
        <v>213139.07708366998</v>
      </c>
      <c r="AJ36" s="384">
        <f t="shared" si="22"/>
        <v>213510.71448601992</v>
      </c>
      <c r="AK36" s="345">
        <f t="shared" si="23"/>
        <v>0.2</v>
      </c>
    </row>
    <row r="37" spans="1:37" s="355" customFormat="1" ht="20.100000000000001" customHeight="1" x14ac:dyDescent="0.3">
      <c r="A37" s="416" t="s">
        <v>172</v>
      </c>
      <c r="B37" s="344">
        <v>129982</v>
      </c>
      <c r="C37" s="344">
        <v>131112.11302193001</v>
      </c>
      <c r="D37" s="344">
        <f t="shared" si="19"/>
        <v>0.9</v>
      </c>
      <c r="E37" s="144">
        <v>5563.8682359100003</v>
      </c>
      <c r="F37" s="344">
        <v>5921.0008769900014</v>
      </c>
      <c r="G37" s="344">
        <f t="shared" si="24"/>
        <v>6.4</v>
      </c>
      <c r="H37" s="144">
        <v>746.20100000000002</v>
      </c>
      <c r="I37" s="344">
        <v>830.48099999999999</v>
      </c>
      <c r="J37" s="344">
        <f t="shared" si="29"/>
        <v>11.3</v>
      </c>
      <c r="K37" s="144"/>
      <c r="L37" s="344"/>
      <c r="M37" s="341"/>
      <c r="N37" s="144"/>
      <c r="O37" s="344"/>
      <c r="P37" s="269"/>
      <c r="Q37" s="144">
        <v>41011.751847760002</v>
      </c>
      <c r="R37" s="344">
        <v>36850.514119589898</v>
      </c>
      <c r="S37" s="269">
        <f t="shared" si="25"/>
        <v>-10.1</v>
      </c>
      <c r="T37" s="144">
        <v>24879</v>
      </c>
      <c r="U37" s="344"/>
      <c r="V37" s="269">
        <f t="shared" si="26"/>
        <v>-100</v>
      </c>
      <c r="W37" s="144">
        <v>33.752145900000102</v>
      </c>
      <c r="X37" s="344">
        <v>12483.605467510009</v>
      </c>
      <c r="Y37" s="269">
        <f t="shared" si="27"/>
        <v>999</v>
      </c>
      <c r="Z37" s="144"/>
      <c r="AA37" s="344"/>
      <c r="AB37" s="269"/>
      <c r="AC37" s="144"/>
      <c r="AD37" s="344"/>
      <c r="AE37" s="269"/>
      <c r="AF37" s="384">
        <f t="shared" si="20"/>
        <v>202216.57322957</v>
      </c>
      <c r="AG37" s="384">
        <f t="shared" si="20"/>
        <v>187197.71448601992</v>
      </c>
      <c r="AH37" s="269">
        <f t="shared" si="21"/>
        <v>-7.4</v>
      </c>
      <c r="AI37" s="384">
        <f t="shared" si="22"/>
        <v>202216.57322957</v>
      </c>
      <c r="AJ37" s="384">
        <f t="shared" si="22"/>
        <v>187197.71448601992</v>
      </c>
      <c r="AK37" s="345">
        <f t="shared" si="23"/>
        <v>-7.4</v>
      </c>
    </row>
    <row r="38" spans="1:37" s="355" customFormat="1" ht="20.100000000000001" customHeight="1" x14ac:dyDescent="0.3">
      <c r="A38" s="416" t="s">
        <v>188</v>
      </c>
      <c r="B38" s="344">
        <v>5468</v>
      </c>
      <c r="C38" s="344">
        <v>3759.3938637699998</v>
      </c>
      <c r="D38" s="344">
        <f t="shared" si="19"/>
        <v>-31.2</v>
      </c>
      <c r="E38" s="144"/>
      <c r="F38" s="344"/>
      <c r="G38" s="344"/>
      <c r="H38" s="144"/>
      <c r="I38" s="344"/>
      <c r="J38" s="344"/>
      <c r="K38" s="144">
        <v>8695</v>
      </c>
      <c r="L38" s="344">
        <v>9585</v>
      </c>
      <c r="M38" s="341">
        <f>IF(K38=0, "    ---- ", IF(ABS(ROUND(100/K38*L38-100,1))&lt;999,ROUND(100/K38*L38-100,1),IF(ROUND(100/K38*L38-100,1)&gt;999,999,-999)))</f>
        <v>10.199999999999999</v>
      </c>
      <c r="N38" s="144">
        <v>299777.53755330999</v>
      </c>
      <c r="O38" s="344">
        <v>299208.74031253997</v>
      </c>
      <c r="P38" s="269">
        <f t="shared" ref="P38:P45" si="30">IF(N38=0, "    ---- ", IF(ABS(ROUND(100/N38*O38-100,1))&lt;999,ROUND(100/N38*O38-100,1),IF(ROUND(100/N38*O38-100,1)&gt;999,999,-999)))</f>
        <v>-0.2</v>
      </c>
      <c r="Q38" s="144"/>
      <c r="R38" s="344"/>
      <c r="S38" s="269"/>
      <c r="T38" s="144">
        <v>5533</v>
      </c>
      <c r="U38" s="344">
        <v>7353</v>
      </c>
      <c r="V38" s="269">
        <f t="shared" si="26"/>
        <v>32.9</v>
      </c>
      <c r="W38" s="144"/>
      <c r="X38" s="344"/>
      <c r="Y38" s="269"/>
      <c r="Z38" s="144">
        <v>166179.60124029993</v>
      </c>
      <c r="AA38" s="344">
        <v>168177.18087296005</v>
      </c>
      <c r="AB38" s="269">
        <f t="shared" si="28"/>
        <v>1.2</v>
      </c>
      <c r="AC38" s="144"/>
      <c r="AD38" s="344"/>
      <c r="AE38" s="269"/>
      <c r="AF38" s="384">
        <f t="shared" si="20"/>
        <v>485653.13879360992</v>
      </c>
      <c r="AG38" s="384">
        <f t="shared" si="20"/>
        <v>488083.31504927005</v>
      </c>
      <c r="AH38" s="269">
        <f t="shared" si="21"/>
        <v>0.5</v>
      </c>
      <c r="AI38" s="384">
        <f t="shared" si="22"/>
        <v>485653.13879360992</v>
      </c>
      <c r="AJ38" s="384">
        <f t="shared" si="22"/>
        <v>488083.31504927005</v>
      </c>
      <c r="AK38" s="345">
        <f t="shared" si="23"/>
        <v>0.5</v>
      </c>
    </row>
    <row r="39" spans="1:37" s="355" customFormat="1" ht="20.100000000000001" customHeight="1" x14ac:dyDescent="0.3">
      <c r="A39" s="416" t="s">
        <v>189</v>
      </c>
      <c r="B39" s="344">
        <v>35433</v>
      </c>
      <c r="C39" s="344">
        <v>37161.438471119698</v>
      </c>
      <c r="D39" s="344">
        <f t="shared" si="19"/>
        <v>4.9000000000000004</v>
      </c>
      <c r="E39" s="144">
        <f>SUM(E40+E41+E42+E43+E44)</f>
        <v>3503.4120507600001</v>
      </c>
      <c r="F39" s="344">
        <f>SUM(F40+F41+F42+F43+F44)</f>
        <v>3821.9571525900005</v>
      </c>
      <c r="G39" s="344">
        <f>IF(E39=0, "    ---- ", IF(ABS(ROUND(100/E39*F39-100,1))&lt;999,ROUND(100/E39*F39-100,1),IF(ROUND(100/E39*F39-100,1)&gt;999,999,-999)))</f>
        <v>9.1</v>
      </c>
      <c r="H39" s="144">
        <f>SUM(H40+H41+H42+H43+H44)</f>
        <v>1211.3520000000001</v>
      </c>
      <c r="I39" s="344">
        <f>SUM(I40+I41+I42+I43+I44)</f>
        <v>1492.9079999999999</v>
      </c>
      <c r="J39" s="344">
        <f t="shared" ref="J39:J46" si="31">IF(H39=0, "    ---- ", IF(ABS(ROUND(100/H39*I39-100,1))&lt;999,ROUND(100/H39*I39-100,1),IF(ROUND(100/H39*I39-100,1)&gt;999,999,-999)))</f>
        <v>23.2</v>
      </c>
      <c r="K39" s="144">
        <f>SUM(K40+K41+K42+K43+K44)</f>
        <v>668</v>
      </c>
      <c r="L39" s="344">
        <f>SUM(L40+L41+L42+L43+L44)</f>
        <v>789</v>
      </c>
      <c r="M39" s="384">
        <f>IF(K39=0, "    ---- ", IF(ABS(ROUND(100/K39*L39-100,1))&lt;999,ROUND(100/K39*L39-100,1),IF(ROUND(100/K39*L39-100,1)&gt;999,999,-999)))</f>
        <v>18.100000000000001</v>
      </c>
      <c r="N39" s="144">
        <v>393759.64576227003</v>
      </c>
      <c r="O39" s="344">
        <v>449990.63602258009</v>
      </c>
      <c r="P39" s="344">
        <f t="shared" si="30"/>
        <v>14.3</v>
      </c>
      <c r="Q39" s="144">
        <f>SUM(Q40+Q41+Q42+Q43+Q44)</f>
        <v>8573.095259239999</v>
      </c>
      <c r="R39" s="344">
        <f>SUM(R40+R41+R42+R43+R44)</f>
        <v>13200.376990539988</v>
      </c>
      <c r="S39" s="344">
        <f t="shared" si="25"/>
        <v>54</v>
      </c>
      <c r="T39" s="144">
        <v>80802</v>
      </c>
      <c r="U39" s="344">
        <f>SUM(U40+U41+U42+U43+U44)</f>
        <v>85645</v>
      </c>
      <c r="V39" s="344">
        <f t="shared" si="26"/>
        <v>6</v>
      </c>
      <c r="W39" s="144">
        <f>SUM(W40+W41+W42+W43+W44)</f>
        <v>9318.4779999999973</v>
      </c>
      <c r="X39" s="344">
        <f>SUM(X40+X41+X42+X43+X44)</f>
        <v>10155.662618510025</v>
      </c>
      <c r="Y39" s="344">
        <f t="shared" si="27"/>
        <v>9</v>
      </c>
      <c r="Z39" s="144">
        <f>SUM(Z40+Z41+Z42+Z43+Z44)</f>
        <v>31240.40487105001</v>
      </c>
      <c r="AA39" s="344">
        <f>SUM(AA40+AA41+AA42+AA43+AA44)</f>
        <v>38785.769217379995</v>
      </c>
      <c r="AB39" s="344">
        <f t="shared" si="28"/>
        <v>24.2</v>
      </c>
      <c r="AC39" s="144">
        <f>SUM(AC40+AC41+AC42+AC43+AC44)</f>
        <v>16</v>
      </c>
      <c r="AD39" s="344">
        <f>SUM(AD40+AD41+AD42+AD43+AD44)</f>
        <v>18</v>
      </c>
      <c r="AE39" s="269">
        <f t="shared" ref="AE39:AE45" si="32">IF(AC39=0, "    ---- ", IF(ABS(ROUND(100/AC39*AD39-100,1))&lt;999,ROUND(100/AC39*AD39-100,1),IF(ROUND(100/AC39*AD39-100,1)&gt;999,999,-999)))</f>
        <v>12.5</v>
      </c>
      <c r="AF39" s="384">
        <f t="shared" si="20"/>
        <v>564509.38794332009</v>
      </c>
      <c r="AG39" s="384">
        <f t="shared" si="20"/>
        <v>641042.74847271992</v>
      </c>
      <c r="AH39" s="269">
        <f t="shared" si="21"/>
        <v>13.6</v>
      </c>
      <c r="AI39" s="384">
        <f t="shared" si="22"/>
        <v>564525.38794332009</v>
      </c>
      <c r="AJ39" s="384">
        <f t="shared" si="22"/>
        <v>641060.74847271992</v>
      </c>
      <c r="AK39" s="345">
        <f t="shared" si="23"/>
        <v>13.6</v>
      </c>
    </row>
    <row r="40" spans="1:37" s="355" customFormat="1" ht="20.100000000000001" customHeight="1" x14ac:dyDescent="0.3">
      <c r="A40" s="416" t="s">
        <v>190</v>
      </c>
      <c r="B40" s="344">
        <v>14878</v>
      </c>
      <c r="C40" s="344">
        <v>17613.734675650005</v>
      </c>
      <c r="D40" s="269">
        <f t="shared" si="19"/>
        <v>18.399999999999999</v>
      </c>
      <c r="E40" s="144">
        <v>905.30073902000004</v>
      </c>
      <c r="F40" s="344">
        <v>1171.7398007500003</v>
      </c>
      <c r="G40" s="269">
        <f>IF(E40=0, "    ---- ", IF(ABS(ROUND(100/E40*F40-100,1))&lt;999,ROUND(100/E40*F40-100,1),IF(ROUND(100/E40*F40-100,1)&gt;999,999,-999)))</f>
        <v>29.4</v>
      </c>
      <c r="H40" s="144">
        <v>190.988</v>
      </c>
      <c r="I40" s="344">
        <v>212.65600000000001</v>
      </c>
      <c r="J40" s="269">
        <f t="shared" si="31"/>
        <v>11.3</v>
      </c>
      <c r="K40" s="144">
        <v>27</v>
      </c>
      <c r="L40" s="344">
        <v>50</v>
      </c>
      <c r="M40" s="341">
        <f>IF(K40=0, "    ---- ", IF(ABS(ROUND(100/K40*L40-100,1))&lt;999,ROUND(100/K40*L40-100,1),IF(ROUND(100/K40*L40-100,1)&gt;999,999,-999)))</f>
        <v>85.2</v>
      </c>
      <c r="N40" s="144">
        <v>269310.74313795002</v>
      </c>
      <c r="O40" s="344">
        <v>301085.80028189003</v>
      </c>
      <c r="P40" s="269">
        <f t="shared" si="30"/>
        <v>11.8</v>
      </c>
      <c r="Q40" s="144">
        <v>6431.9339689899998</v>
      </c>
      <c r="R40" s="344">
        <v>9970.4777463799892</v>
      </c>
      <c r="S40" s="269">
        <f t="shared" si="25"/>
        <v>55</v>
      </c>
      <c r="T40" s="144">
        <v>46956</v>
      </c>
      <c r="U40" s="344">
        <v>48032</v>
      </c>
      <c r="V40" s="269">
        <f t="shared" si="26"/>
        <v>2.2999999999999998</v>
      </c>
      <c r="W40" s="144">
        <v>3654.4279999999999</v>
      </c>
      <c r="X40" s="344">
        <v>3517.6495971600002</v>
      </c>
      <c r="Y40" s="269">
        <f t="shared" si="27"/>
        <v>-3.7</v>
      </c>
      <c r="Z40" s="144">
        <v>21360.240600000012</v>
      </c>
      <c r="AA40" s="344">
        <v>27083.284603179989</v>
      </c>
      <c r="AB40" s="269">
        <f t="shared" si="28"/>
        <v>26.8</v>
      </c>
      <c r="AC40" s="144"/>
      <c r="AD40" s="344"/>
      <c r="AE40" s="269"/>
      <c r="AF40" s="384">
        <f t="shared" si="20"/>
        <v>363714.63444596005</v>
      </c>
      <c r="AG40" s="384">
        <f t="shared" si="20"/>
        <v>408737.34270501003</v>
      </c>
      <c r="AH40" s="269">
        <f t="shared" si="21"/>
        <v>12.4</v>
      </c>
      <c r="AI40" s="384">
        <f t="shared" si="22"/>
        <v>363714.63444596005</v>
      </c>
      <c r="AJ40" s="384">
        <f t="shared" si="22"/>
        <v>408737.34270501003</v>
      </c>
      <c r="AK40" s="345">
        <f t="shared" si="23"/>
        <v>12.4</v>
      </c>
    </row>
    <row r="41" spans="1:37" s="355" customFormat="1" ht="20.100000000000001" customHeight="1" x14ac:dyDescent="0.3">
      <c r="A41" s="416" t="s">
        <v>394</v>
      </c>
      <c r="B41" s="344">
        <v>18678</v>
      </c>
      <c r="C41" s="344">
        <v>16424.60831249</v>
      </c>
      <c r="D41" s="344">
        <f t="shared" si="19"/>
        <v>-12.1</v>
      </c>
      <c r="E41" s="144">
        <v>2742.2553647499999</v>
      </c>
      <c r="F41" s="344">
        <v>2680.9758420600006</v>
      </c>
      <c r="G41" s="344">
        <f>IF(E41=0, "    ---- ", IF(ABS(ROUND(100/E41*F41-100,1))&lt;999,ROUND(100/E41*F41-100,1),IF(ROUND(100/E41*F41-100,1)&gt;999,999,-999)))</f>
        <v>-2.2000000000000002</v>
      </c>
      <c r="H41" s="144">
        <v>761.279</v>
      </c>
      <c r="I41" s="344">
        <v>923.22299999999996</v>
      </c>
      <c r="J41" s="344">
        <f>IF(H41=0, "    ---- ", IF(ABS(ROUND(100/H41*I41-100,1))&lt;999,ROUND(100/H41*I41-100,1),IF(ROUND(100/H41*I41-100,1)&gt;999,999,-999)))</f>
        <v>21.3</v>
      </c>
      <c r="K41" s="144">
        <v>612</v>
      </c>
      <c r="L41" s="344">
        <v>647</v>
      </c>
      <c r="M41" s="341">
        <f>IF(K41=0, "    ---- ", IF(ABS(ROUND(100/K41*L41-100,1))&lt;999,ROUND(100/K41*L41-100,1),IF(ROUND(100/K41*L41-100,1)&gt;999,999,-999)))</f>
        <v>5.7</v>
      </c>
      <c r="N41" s="144">
        <v>107213.44490295</v>
      </c>
      <c r="O41" s="344">
        <v>128047.06291785001</v>
      </c>
      <c r="P41" s="269">
        <f t="shared" si="30"/>
        <v>19.399999999999999</v>
      </c>
      <c r="Q41" s="144">
        <v>2016.9601479999999</v>
      </c>
      <c r="R41" s="344">
        <v>2295.7306668599999</v>
      </c>
      <c r="S41" s="269">
        <f t="shared" si="25"/>
        <v>13.8</v>
      </c>
      <c r="T41" s="144">
        <v>28838</v>
      </c>
      <c r="U41" s="344">
        <v>31113</v>
      </c>
      <c r="V41" s="269">
        <f t="shared" si="26"/>
        <v>7.9</v>
      </c>
      <c r="W41" s="144">
        <v>5432.0469999999996</v>
      </c>
      <c r="X41" s="344">
        <v>6187.634286520024</v>
      </c>
      <c r="Y41" s="269">
        <f t="shared" si="27"/>
        <v>13.9</v>
      </c>
      <c r="Z41" s="144">
        <v>8693.3666891399989</v>
      </c>
      <c r="AA41" s="344">
        <v>10444.847996510007</v>
      </c>
      <c r="AB41" s="269">
        <f t="shared" si="28"/>
        <v>20.100000000000001</v>
      </c>
      <c r="AC41" s="144">
        <v>16</v>
      </c>
      <c r="AD41" s="344">
        <v>18</v>
      </c>
      <c r="AE41" s="269">
        <f t="shared" si="32"/>
        <v>12.5</v>
      </c>
      <c r="AF41" s="384">
        <f t="shared" si="20"/>
        <v>174987.35310484</v>
      </c>
      <c r="AG41" s="384">
        <f t="shared" si="20"/>
        <v>198764.08302229005</v>
      </c>
      <c r="AH41" s="269">
        <f t="shared" si="21"/>
        <v>13.6</v>
      </c>
      <c r="AI41" s="384">
        <f t="shared" si="22"/>
        <v>175003.35310484</v>
      </c>
      <c r="AJ41" s="384">
        <f t="shared" si="22"/>
        <v>198782.08302229005</v>
      </c>
      <c r="AK41" s="345">
        <f t="shared" si="23"/>
        <v>13.6</v>
      </c>
    </row>
    <row r="42" spans="1:37" s="355" customFormat="1" ht="20.100000000000001" customHeight="1" x14ac:dyDescent="0.3">
      <c r="A42" s="416" t="s">
        <v>191</v>
      </c>
      <c r="B42" s="344">
        <v>991</v>
      </c>
      <c r="C42" s="344">
        <v>1273.5247236200003</v>
      </c>
      <c r="D42" s="344">
        <f t="shared" si="19"/>
        <v>28.5</v>
      </c>
      <c r="E42" s="144">
        <v>-178.72577134999997</v>
      </c>
      <c r="F42" s="344">
        <v>-20.921240210000008</v>
      </c>
      <c r="G42" s="344">
        <f>IF(E42=0, "    ---- ", IF(ABS(ROUND(100/E42*F42-100,1))&lt;999,ROUND(100/E42*F42-100,1),IF(ROUND(100/E42*F42-100,1)&gt;999,999,-999)))</f>
        <v>-88.3</v>
      </c>
      <c r="H42" s="144"/>
      <c r="I42" s="344"/>
      <c r="J42" s="344"/>
      <c r="K42" s="144">
        <v>3</v>
      </c>
      <c r="L42" s="344">
        <v>3</v>
      </c>
      <c r="M42" s="341">
        <f>IF(K42=0, "    ---- ", IF(ABS(ROUND(100/K42*L42-100,1))&lt;999,ROUND(100/K42*L42-100,1),IF(ROUND(100/K42*L42-100,1)&gt;999,999,-999)))</f>
        <v>0</v>
      </c>
      <c r="N42" s="144">
        <v>14892.761956819999</v>
      </c>
      <c r="O42" s="344">
        <v>16757.170557190002</v>
      </c>
      <c r="P42" s="269">
        <f t="shared" si="30"/>
        <v>12.5</v>
      </c>
      <c r="Q42" s="144"/>
      <c r="R42" s="344"/>
      <c r="S42" s="269"/>
      <c r="T42" s="144">
        <v>4486</v>
      </c>
      <c r="U42" s="344">
        <v>5335</v>
      </c>
      <c r="V42" s="269">
        <f t="shared" si="26"/>
        <v>18.899999999999999</v>
      </c>
      <c r="W42" s="144">
        <v>27.722000000000001</v>
      </c>
      <c r="X42" s="344">
        <v>-25.483128450000073</v>
      </c>
      <c r="Y42" s="269">
        <f t="shared" si="27"/>
        <v>-191.9</v>
      </c>
      <c r="Z42" s="144"/>
      <c r="AA42" s="344"/>
      <c r="AB42" s="269"/>
      <c r="AC42" s="144"/>
      <c r="AD42" s="344"/>
      <c r="AE42" s="269"/>
      <c r="AF42" s="384">
        <f t="shared" si="20"/>
        <v>20221.75818547</v>
      </c>
      <c r="AG42" s="384">
        <f t="shared" si="20"/>
        <v>23322.290912150002</v>
      </c>
      <c r="AH42" s="269">
        <f t="shared" si="21"/>
        <v>15.3</v>
      </c>
      <c r="AI42" s="384">
        <f t="shared" si="22"/>
        <v>20221.75818547</v>
      </c>
      <c r="AJ42" s="384">
        <f t="shared" si="22"/>
        <v>23322.290912150002</v>
      </c>
      <c r="AK42" s="345">
        <f t="shared" si="23"/>
        <v>15.3</v>
      </c>
    </row>
    <row r="43" spans="1:37" s="355" customFormat="1" ht="20.100000000000001" customHeight="1" x14ac:dyDescent="0.3">
      <c r="A43" s="416" t="s">
        <v>192</v>
      </c>
      <c r="B43" s="344">
        <v>327</v>
      </c>
      <c r="C43" s="344">
        <v>220.77312906000003</v>
      </c>
      <c r="D43" s="344">
        <f t="shared" si="19"/>
        <v>-32.5</v>
      </c>
      <c r="E43" s="144"/>
      <c r="F43" s="344"/>
      <c r="G43" s="344"/>
      <c r="H43" s="144"/>
      <c r="I43" s="344"/>
      <c r="J43" s="344"/>
      <c r="K43" s="144"/>
      <c r="L43" s="344"/>
      <c r="M43" s="341"/>
      <c r="N43" s="144">
        <v>1813.56431924</v>
      </c>
      <c r="O43" s="344">
        <v>2219.8730812199997</v>
      </c>
      <c r="P43" s="269">
        <f t="shared" si="30"/>
        <v>22.4</v>
      </c>
      <c r="Q43" s="144">
        <v>29.259898360000001</v>
      </c>
      <c r="R43" s="344">
        <v>201.26173116999999</v>
      </c>
      <c r="S43" s="269">
        <f t="shared" si="25"/>
        <v>587.79999999999995</v>
      </c>
      <c r="T43" s="144">
        <v>522</v>
      </c>
      <c r="U43" s="344">
        <v>1165</v>
      </c>
      <c r="V43" s="269">
        <f>IF(T43=0, "    ---- ", IF(ABS(ROUND(100/T43*U43-100,1))&lt;999,ROUND(100/T43*U43-100,1),IF(ROUND(100/T43*U43-100,1)&gt;999,999,-999)))</f>
        <v>123.2</v>
      </c>
      <c r="W43" s="144">
        <v>10.8</v>
      </c>
      <c r="X43" s="344">
        <v>9.3956571899999961</v>
      </c>
      <c r="Y43" s="269">
        <f t="shared" si="27"/>
        <v>-13</v>
      </c>
      <c r="Z43" s="144">
        <v>1186.7975819100002</v>
      </c>
      <c r="AA43" s="344">
        <v>1257.6366176900001</v>
      </c>
      <c r="AB43" s="269">
        <f t="shared" si="28"/>
        <v>6</v>
      </c>
      <c r="AC43" s="144"/>
      <c r="AD43" s="344"/>
      <c r="AE43" s="269"/>
      <c r="AF43" s="384">
        <f t="shared" si="20"/>
        <v>3889.4217995100007</v>
      </c>
      <c r="AG43" s="384">
        <f t="shared" si="20"/>
        <v>5073.9402163300001</v>
      </c>
      <c r="AH43" s="269">
        <f t="shared" si="21"/>
        <v>30.5</v>
      </c>
      <c r="AI43" s="384">
        <f t="shared" si="22"/>
        <v>3889.4217995100007</v>
      </c>
      <c r="AJ43" s="384">
        <f t="shared" si="22"/>
        <v>5073.9402163300001</v>
      </c>
      <c r="AK43" s="345">
        <f t="shared" si="23"/>
        <v>30.5</v>
      </c>
    </row>
    <row r="44" spans="1:37" s="355" customFormat="1" ht="20.100000000000001" customHeight="1" x14ac:dyDescent="0.3">
      <c r="A44" s="416" t="s">
        <v>193</v>
      </c>
      <c r="B44" s="344">
        <v>559</v>
      </c>
      <c r="C44" s="344">
        <v>1628.7976302996899</v>
      </c>
      <c r="D44" s="344">
        <f t="shared" si="19"/>
        <v>191.4</v>
      </c>
      <c r="E44" s="144">
        <v>34.581718340000009</v>
      </c>
      <c r="F44" s="344">
        <v>-9.8372500100000178</v>
      </c>
      <c r="G44" s="344">
        <f>IF(E44=0, "    ---- ", IF(ABS(ROUND(100/E44*F44-100,1))&lt;999,ROUND(100/E44*F44-100,1),IF(ROUND(100/E44*F44-100,1)&gt;999,999,-999)))</f>
        <v>-128.4</v>
      </c>
      <c r="H44" s="144">
        <v>259.08499999999998</v>
      </c>
      <c r="I44" s="344">
        <v>357.029</v>
      </c>
      <c r="J44" s="344">
        <f t="shared" si="31"/>
        <v>37.799999999999997</v>
      </c>
      <c r="K44" s="144">
        <v>26</v>
      </c>
      <c r="L44" s="344">
        <v>89</v>
      </c>
      <c r="M44" s="341">
        <f>IF(K44=0, "    ---- ", IF(ABS(ROUND(100/K44*L44-100,1))&lt;999,ROUND(100/K44*L44-100,1),IF(ROUND(100/K44*L44-100,1)&gt;999,999,-999)))</f>
        <v>242.3</v>
      </c>
      <c r="N44" s="144">
        <v>529.13144531</v>
      </c>
      <c r="O44" s="344">
        <v>1880.72918443</v>
      </c>
      <c r="P44" s="269">
        <f t="shared" si="30"/>
        <v>255.4</v>
      </c>
      <c r="Q44" s="144">
        <v>94.941243889999996</v>
      </c>
      <c r="R44" s="344">
        <v>732.90684612999996</v>
      </c>
      <c r="S44" s="269">
        <f t="shared" si="25"/>
        <v>672</v>
      </c>
      <c r="T44" s="144"/>
      <c r="U44" s="344"/>
      <c r="V44" s="269"/>
      <c r="W44" s="144">
        <v>193.48099999999999</v>
      </c>
      <c r="X44" s="344">
        <v>466.46620609000115</v>
      </c>
      <c r="Y44" s="269">
        <f t="shared" si="27"/>
        <v>141.1</v>
      </c>
      <c r="Z44" s="144"/>
      <c r="AA44" s="344"/>
      <c r="AB44" s="269"/>
      <c r="AC44" s="144"/>
      <c r="AD44" s="344"/>
      <c r="AE44" s="269"/>
      <c r="AF44" s="384">
        <f t="shared" si="20"/>
        <v>1696.2204075399998</v>
      </c>
      <c r="AG44" s="384">
        <f t="shared" si="20"/>
        <v>5145.0916169396914</v>
      </c>
      <c r="AH44" s="269">
        <f t="shared" si="21"/>
        <v>203.3</v>
      </c>
      <c r="AI44" s="384">
        <f t="shared" si="22"/>
        <v>1696.2204075399998</v>
      </c>
      <c r="AJ44" s="384">
        <f t="shared" si="22"/>
        <v>5145.0916169396914</v>
      </c>
      <c r="AK44" s="345">
        <f t="shared" si="23"/>
        <v>203.3</v>
      </c>
    </row>
    <row r="45" spans="1:37" s="355" customFormat="1" ht="20.100000000000001" customHeight="1" x14ac:dyDescent="0.3">
      <c r="A45" s="452" t="s">
        <v>194</v>
      </c>
      <c r="B45" s="344">
        <v>189307</v>
      </c>
      <c r="C45" s="344">
        <v>187908.88269771976</v>
      </c>
      <c r="D45" s="269">
        <f t="shared" si="19"/>
        <v>-0.7</v>
      </c>
      <c r="E45" s="144">
        <f>SUM(E33+E34+E35+E39)</f>
        <v>9507.4783728600014</v>
      </c>
      <c r="F45" s="344">
        <f>SUM(F33+F34+F35+F39)</f>
        <v>10212.903679710002</v>
      </c>
      <c r="G45" s="269">
        <f>IF(E45=0, "    ---- ", IF(ABS(ROUND(100/E45*F45-100,1))&lt;999,ROUND(100/E45*F45-100,1),IF(ROUND(100/E45*F45-100,1)&gt;999,999,-999)))</f>
        <v>7.4</v>
      </c>
      <c r="H45" s="144">
        <f>SUM(H33+H34+H35+H39)</f>
        <v>1957.5530000000001</v>
      </c>
      <c r="I45" s="344">
        <f>SUM(I33+I34+I35+I39)</f>
        <v>2323.3890000000001</v>
      </c>
      <c r="J45" s="269">
        <f t="shared" si="31"/>
        <v>18.7</v>
      </c>
      <c r="K45" s="144">
        <f>SUM(K33+K34+K35+K39)</f>
        <v>9669</v>
      </c>
      <c r="L45" s="344">
        <f>SUM(L33+L34+L35+L39)</f>
        <v>10704</v>
      </c>
      <c r="M45" s="341">
        <f>IF(K45=0, "    ---- ", IF(ABS(ROUND(100/K45*L45-100,1))&lt;999,ROUND(100/K45*L45-100,1),IF(ROUND(100/K45*L45-100,1)&gt;999,999,-999)))</f>
        <v>10.7</v>
      </c>
      <c r="N45" s="144">
        <v>790200.44290575001</v>
      </c>
      <c r="O45" s="344">
        <v>856090.30762009008</v>
      </c>
      <c r="P45" s="269">
        <f t="shared" si="30"/>
        <v>8.3000000000000007</v>
      </c>
      <c r="Q45" s="144">
        <f>SUM(Q33+Q34+Q35+Q39)</f>
        <v>55588.700321360004</v>
      </c>
      <c r="R45" s="344">
        <f>SUM(R33+R34+R35+R39)</f>
        <v>56820.182005979885</v>
      </c>
      <c r="S45" s="269">
        <f t="shared" si="25"/>
        <v>2.2000000000000002</v>
      </c>
      <c r="T45" s="144">
        <v>131717</v>
      </c>
      <c r="U45" s="344">
        <f>SUM(U33+U34+U35+U39)</f>
        <v>140789</v>
      </c>
      <c r="V45" s="269">
        <f>IF(T45=0, "    ---- ", IF(ABS(ROUND(100/T45*U45-100,1))&lt;999,ROUND(100/T45*U45-100,1),IF(ROUND(100/T45*U45-100,1)&gt;999,999,-999)))</f>
        <v>6.9</v>
      </c>
      <c r="W45" s="144">
        <f>SUM(W33+W34+W35+W39)</f>
        <v>24479.910999999996</v>
      </c>
      <c r="X45" s="344">
        <f>SUM(X33+X34+X35+X39)</f>
        <v>26457.044269700036</v>
      </c>
      <c r="Y45" s="269">
        <f t="shared" si="27"/>
        <v>8.1</v>
      </c>
      <c r="Z45" s="144">
        <f>SUM(Z33+Z34+Z35+Z39)</f>
        <v>218819.01255867994</v>
      </c>
      <c r="AA45" s="344">
        <f>SUM(AA33+AA34+AA35+AA39)</f>
        <v>229722.74758211005</v>
      </c>
      <c r="AB45" s="269">
        <f t="shared" si="28"/>
        <v>5</v>
      </c>
      <c r="AC45" s="144">
        <f>SUM(AC33+AC34+AC35+AC39)</f>
        <v>16</v>
      </c>
      <c r="AD45" s="344">
        <f>SUM(AD33+AD34+AD35+AD39)</f>
        <v>18</v>
      </c>
      <c r="AE45" s="269">
        <f t="shared" si="32"/>
        <v>12.5</v>
      </c>
      <c r="AF45" s="384">
        <f t="shared" si="20"/>
        <v>1431246.0981586501</v>
      </c>
      <c r="AG45" s="384">
        <f t="shared" si="20"/>
        <v>1521028.4568553099</v>
      </c>
      <c r="AH45" s="269">
        <f t="shared" si="21"/>
        <v>6.3</v>
      </c>
      <c r="AI45" s="384">
        <f t="shared" si="22"/>
        <v>1431262.0981586501</v>
      </c>
      <c r="AJ45" s="384">
        <f t="shared" si="22"/>
        <v>1521046.4568553099</v>
      </c>
      <c r="AK45" s="345">
        <f t="shared" si="23"/>
        <v>6.3</v>
      </c>
    </row>
    <row r="46" spans="1:37" s="355" customFormat="1" ht="20.100000000000001" customHeight="1" x14ac:dyDescent="0.3">
      <c r="A46" s="428" t="s">
        <v>298</v>
      </c>
      <c r="B46" s="344">
        <v>526</v>
      </c>
      <c r="C46" s="344">
        <v>501.91208290999998</v>
      </c>
      <c r="D46" s="344">
        <f t="shared" si="19"/>
        <v>-4.5999999999999996</v>
      </c>
      <c r="E46" s="144">
        <v>414.59482506000001</v>
      </c>
      <c r="F46" s="344">
        <v>337.92816209</v>
      </c>
      <c r="G46" s="269">
        <f>IF(E46=0, "    ---- ", IF(ABS(ROUND(100/E46*F46-100,1))&lt;999,ROUND(100/E46*F46-100,1),IF(ROUND(100/E46*F46-100,1)&gt;999,999,-999)))</f>
        <v>-18.5</v>
      </c>
      <c r="H46" s="144">
        <v>131.13300000000001</v>
      </c>
      <c r="I46" s="344">
        <v>159.179</v>
      </c>
      <c r="J46" s="269">
        <f t="shared" si="31"/>
        <v>21.4</v>
      </c>
      <c r="K46" s="144">
        <v>955</v>
      </c>
      <c r="L46" s="344">
        <v>1080</v>
      </c>
      <c r="M46" s="341">
        <f>IF(K46=0, "    ---- ", IF(ABS(ROUND(100/K46*L46-100,1))&lt;999,ROUND(100/K46*L46-100,1),IF(ROUND(100/K46*L46-100,1)&gt;999,999,-999)))</f>
        <v>13.1</v>
      </c>
      <c r="N46" s="144"/>
      <c r="O46" s="344"/>
      <c r="P46" s="269"/>
      <c r="Q46" s="144">
        <v>65.77</v>
      </c>
      <c r="R46" s="344">
        <v>69.8</v>
      </c>
      <c r="S46" s="269">
        <f t="shared" si="25"/>
        <v>6.1</v>
      </c>
      <c r="T46" s="144"/>
      <c r="U46" s="344"/>
      <c r="V46" s="269"/>
      <c r="W46" s="144">
        <v>12.79</v>
      </c>
      <c r="X46" s="344">
        <v>17.662426999999997</v>
      </c>
      <c r="Y46" s="269">
        <f t="shared" si="27"/>
        <v>38.1</v>
      </c>
      <c r="Z46" s="144">
        <v>157.43824294000001</v>
      </c>
      <c r="AA46" s="344">
        <v>123.58252878999998</v>
      </c>
      <c r="AB46" s="344">
        <f t="shared" si="28"/>
        <v>-21.5</v>
      </c>
      <c r="AC46" s="144"/>
      <c r="AD46" s="344"/>
      <c r="AE46" s="269"/>
      <c r="AF46" s="384">
        <f t="shared" si="20"/>
        <v>2262.7260679999999</v>
      </c>
      <c r="AG46" s="384">
        <f t="shared" si="20"/>
        <v>2290.0642007900005</v>
      </c>
      <c r="AH46" s="269">
        <f t="shared" si="21"/>
        <v>1.2</v>
      </c>
      <c r="AI46" s="384">
        <f t="shared" si="22"/>
        <v>2262.7260679999999</v>
      </c>
      <c r="AJ46" s="384">
        <f t="shared" si="22"/>
        <v>2290.0642007900005</v>
      </c>
      <c r="AK46" s="345">
        <f t="shared" si="23"/>
        <v>1.2</v>
      </c>
    </row>
    <row r="47" spans="1:37" s="355" customFormat="1" ht="20.100000000000001" customHeight="1" x14ac:dyDescent="0.3">
      <c r="A47" s="428" t="s">
        <v>195</v>
      </c>
      <c r="B47" s="344"/>
      <c r="C47" s="344"/>
      <c r="D47" s="344"/>
      <c r="E47" s="144"/>
      <c r="F47" s="344"/>
      <c r="G47" s="344"/>
      <c r="H47" s="144"/>
      <c r="I47" s="344"/>
      <c r="J47" s="344"/>
      <c r="K47" s="144"/>
      <c r="L47" s="344"/>
      <c r="M47" s="341"/>
      <c r="N47" s="144"/>
      <c r="O47" s="344"/>
      <c r="P47" s="269"/>
      <c r="Q47" s="144"/>
      <c r="R47" s="344"/>
      <c r="S47" s="269"/>
      <c r="T47" s="144"/>
      <c r="U47" s="344"/>
      <c r="V47" s="269"/>
      <c r="W47" s="144"/>
      <c r="X47" s="344"/>
      <c r="Y47" s="269"/>
      <c r="Z47" s="144"/>
      <c r="AA47" s="344"/>
      <c r="AB47" s="269"/>
      <c r="AC47" s="144"/>
      <c r="AD47" s="344"/>
      <c r="AE47" s="269"/>
      <c r="AF47" s="341"/>
      <c r="AG47" s="341"/>
      <c r="AH47" s="269"/>
      <c r="AI47" s="341"/>
      <c r="AJ47" s="341"/>
      <c r="AK47" s="345"/>
    </row>
    <row r="48" spans="1:37" s="355" customFormat="1" ht="20.100000000000001" customHeight="1" x14ac:dyDescent="0.3">
      <c r="A48" s="416" t="s">
        <v>196</v>
      </c>
      <c r="B48" s="344"/>
      <c r="C48" s="344"/>
      <c r="D48" s="344"/>
      <c r="E48" s="144"/>
      <c r="F48" s="344"/>
      <c r="G48" s="344"/>
      <c r="H48" s="144"/>
      <c r="I48" s="344"/>
      <c r="J48" s="344"/>
      <c r="K48" s="144"/>
      <c r="L48" s="344"/>
      <c r="M48" s="341"/>
      <c r="N48" s="144"/>
      <c r="O48" s="344"/>
      <c r="P48" s="269"/>
      <c r="Q48" s="144"/>
      <c r="R48" s="344"/>
      <c r="S48" s="269"/>
      <c r="T48" s="144"/>
      <c r="U48" s="344"/>
      <c r="V48" s="269"/>
      <c r="W48" s="144"/>
      <c r="X48" s="344"/>
      <c r="Y48" s="269"/>
      <c r="Z48" s="144"/>
      <c r="AA48" s="344"/>
      <c r="AB48" s="269"/>
      <c r="AC48" s="144"/>
      <c r="AD48" s="344"/>
      <c r="AE48" s="269"/>
      <c r="AF48" s="384">
        <f t="shared" ref="AF48:AG62" si="33">B48+E48+H48+K48+N48+Q48+T48+W48+Z48</f>
        <v>0</v>
      </c>
      <c r="AG48" s="384">
        <f t="shared" si="33"/>
        <v>0</v>
      </c>
      <c r="AH48" s="269" t="str">
        <f t="shared" si="21"/>
        <v xml:space="preserve">    ---- </v>
      </c>
      <c r="AI48" s="384">
        <f t="shared" ref="AI48:AJ62" si="34">B48+E48+H48+K48+N48+Q48+T48+W48+Z48+AC48</f>
        <v>0</v>
      </c>
      <c r="AJ48" s="384">
        <f t="shared" si="34"/>
        <v>0</v>
      </c>
      <c r="AK48" s="345" t="str">
        <f t="shared" si="23"/>
        <v xml:space="preserve">    ---- </v>
      </c>
    </row>
    <row r="49" spans="1:37" s="355" customFormat="1" ht="20.100000000000001" customHeight="1" x14ac:dyDescent="0.3">
      <c r="A49" s="416" t="s">
        <v>197</v>
      </c>
      <c r="B49" s="344">
        <v>5939.4</v>
      </c>
      <c r="C49" s="344">
        <v>6723.2795537998782</v>
      </c>
      <c r="D49" s="344">
        <f t="shared" ref="D49" si="35">IF(B49=0, "    ---- ", IF(ABS(ROUND(100/B49*C49-100,1))&lt;999,ROUND(100/B49*C49-100,1),IF(ROUND(100/B49*C49-100,1)&gt;999,999,-999)))</f>
        <v>13.2</v>
      </c>
      <c r="E49" s="144"/>
      <c r="F49" s="344"/>
      <c r="G49" s="344"/>
      <c r="H49" s="144"/>
      <c r="I49" s="344"/>
      <c r="J49" s="344"/>
      <c r="K49" s="144">
        <v>2285</v>
      </c>
      <c r="L49" s="344">
        <v>3549</v>
      </c>
      <c r="M49" s="341">
        <f>IF(K49=0, "    ---- ", IF(ABS(ROUND(100/K49*L49-100,1))&lt;999,ROUND(100/K49*L49-100,1),IF(ROUND(100/K49*L49-100,1)&gt;999,999,-999)))</f>
        <v>55.3</v>
      </c>
      <c r="N49" s="144">
        <v>377.59747883999995</v>
      </c>
      <c r="O49" s="344">
        <v>417.64642984</v>
      </c>
      <c r="P49" s="269">
        <f t="shared" ref="P49:P60" si="36">IF(N49=0, "    ---- ", IF(ABS(ROUND(100/N49*O49-100,1))&lt;999,ROUND(100/N49*O49-100,1),IF(ROUND(100/N49*O49-100,1)&gt;999,999,-999)))</f>
        <v>10.6</v>
      </c>
      <c r="Q49" s="144">
        <v>2766.01</v>
      </c>
      <c r="R49" s="344">
        <v>4285.75</v>
      </c>
      <c r="S49" s="269">
        <f t="shared" si="25"/>
        <v>54.9</v>
      </c>
      <c r="T49" s="144"/>
      <c r="U49" s="344"/>
      <c r="V49" s="269"/>
      <c r="W49" s="144">
        <v>1226.529</v>
      </c>
      <c r="X49" s="344">
        <v>1113.5352985700004</v>
      </c>
      <c r="Y49" s="269">
        <f t="shared" si="27"/>
        <v>-9.1999999999999993</v>
      </c>
      <c r="Z49" s="144">
        <v>7620.9235701499974</v>
      </c>
      <c r="AA49" s="344">
        <v>8304.9367406300025</v>
      </c>
      <c r="AB49" s="269">
        <f t="shared" si="28"/>
        <v>9</v>
      </c>
      <c r="AC49" s="144"/>
      <c r="AD49" s="344"/>
      <c r="AE49" s="269"/>
      <c r="AF49" s="384">
        <f t="shared" si="33"/>
        <v>20215.460048989997</v>
      </c>
      <c r="AG49" s="384">
        <f t="shared" si="33"/>
        <v>24394.148022839883</v>
      </c>
      <c r="AH49" s="269">
        <f t="shared" si="21"/>
        <v>20.7</v>
      </c>
      <c r="AI49" s="384">
        <f t="shared" si="34"/>
        <v>20215.460048989997</v>
      </c>
      <c r="AJ49" s="384">
        <f t="shared" si="34"/>
        <v>24394.148022839883</v>
      </c>
      <c r="AK49" s="345">
        <f t="shared" si="23"/>
        <v>20.7</v>
      </c>
    </row>
    <row r="50" spans="1:37" s="355" customFormat="1" ht="20.100000000000001" customHeight="1" x14ac:dyDescent="0.3">
      <c r="A50" s="416" t="s">
        <v>198</v>
      </c>
      <c r="B50" s="344"/>
      <c r="C50" s="344"/>
      <c r="D50" s="344"/>
      <c r="E50" s="144"/>
      <c r="F50" s="344"/>
      <c r="G50" s="344"/>
      <c r="H50" s="144"/>
      <c r="I50" s="344"/>
      <c r="J50" s="344"/>
      <c r="K50" s="144"/>
      <c r="L50" s="344"/>
      <c r="M50" s="341"/>
      <c r="N50" s="144">
        <v>1016.5062391399999</v>
      </c>
      <c r="O50" s="344">
        <v>1047.5982749099999</v>
      </c>
      <c r="P50" s="269">
        <f t="shared" si="36"/>
        <v>3.1</v>
      </c>
      <c r="Q50" s="144"/>
      <c r="R50" s="344"/>
      <c r="S50" s="269"/>
      <c r="T50" s="144"/>
      <c r="U50" s="344"/>
      <c r="V50" s="269"/>
      <c r="W50" s="144"/>
      <c r="X50" s="344"/>
      <c r="Y50" s="269"/>
      <c r="Z50" s="144">
        <f>SUM(Z51+Z53)</f>
        <v>1623.1526727299997</v>
      </c>
      <c r="AA50" s="344">
        <f>SUM(AA51+AA53)</f>
        <v>3036.9566394599997</v>
      </c>
      <c r="AB50" s="344">
        <f t="shared" si="28"/>
        <v>87.1</v>
      </c>
      <c r="AC50" s="144"/>
      <c r="AD50" s="344"/>
      <c r="AE50" s="269"/>
      <c r="AF50" s="384">
        <f t="shared" si="33"/>
        <v>2639.6589118699994</v>
      </c>
      <c r="AG50" s="384">
        <f t="shared" si="33"/>
        <v>4084.5549143699996</v>
      </c>
      <c r="AH50" s="269">
        <f t="shared" si="21"/>
        <v>54.7</v>
      </c>
      <c r="AI50" s="384">
        <f t="shared" si="34"/>
        <v>2639.6589118699994</v>
      </c>
      <c r="AJ50" s="384">
        <f t="shared" si="34"/>
        <v>4084.5549143699996</v>
      </c>
      <c r="AK50" s="345">
        <f t="shared" si="23"/>
        <v>54.7</v>
      </c>
    </row>
    <row r="51" spans="1:37" s="355" customFormat="1" ht="20.100000000000001" customHeight="1" x14ac:dyDescent="0.3">
      <c r="A51" s="416" t="s">
        <v>395</v>
      </c>
      <c r="B51" s="344"/>
      <c r="C51" s="344"/>
      <c r="D51" s="269"/>
      <c r="E51" s="144"/>
      <c r="F51" s="344"/>
      <c r="G51" s="269"/>
      <c r="H51" s="144"/>
      <c r="I51" s="344"/>
      <c r="J51" s="269"/>
      <c r="K51" s="144"/>
      <c r="L51" s="344"/>
      <c r="M51" s="341"/>
      <c r="N51" s="144">
        <v>1016.5062391399999</v>
      </c>
      <c r="O51" s="344">
        <v>1047.5982749099999</v>
      </c>
      <c r="P51" s="269">
        <f t="shared" si="36"/>
        <v>3.1</v>
      </c>
      <c r="Q51" s="144"/>
      <c r="R51" s="344"/>
      <c r="S51" s="269"/>
      <c r="T51" s="144"/>
      <c r="U51" s="344"/>
      <c r="V51" s="269"/>
      <c r="W51" s="144"/>
      <c r="X51" s="344"/>
      <c r="Y51" s="269"/>
      <c r="Z51" s="144"/>
      <c r="AA51" s="344"/>
      <c r="AB51" s="269"/>
      <c r="AC51" s="144"/>
      <c r="AD51" s="344"/>
      <c r="AE51" s="269"/>
      <c r="AF51" s="384">
        <f t="shared" si="33"/>
        <v>1016.5062391399999</v>
      </c>
      <c r="AG51" s="384">
        <f t="shared" si="33"/>
        <v>1047.5982749099999</v>
      </c>
      <c r="AH51" s="269">
        <f t="shared" si="21"/>
        <v>3.1</v>
      </c>
      <c r="AI51" s="384">
        <f t="shared" si="34"/>
        <v>1016.5062391399999</v>
      </c>
      <c r="AJ51" s="384">
        <f t="shared" si="34"/>
        <v>1047.5982749099999</v>
      </c>
      <c r="AK51" s="345">
        <f t="shared" si="23"/>
        <v>3.1</v>
      </c>
    </row>
    <row r="52" spans="1:37" s="355" customFormat="1" ht="20.100000000000001" customHeight="1" x14ac:dyDescent="0.3">
      <c r="A52" s="416" t="s">
        <v>172</v>
      </c>
      <c r="B52" s="344"/>
      <c r="C52" s="344"/>
      <c r="D52" s="344"/>
      <c r="E52" s="144"/>
      <c r="F52" s="344"/>
      <c r="G52" s="344"/>
      <c r="H52" s="144"/>
      <c r="I52" s="344"/>
      <c r="J52" s="344"/>
      <c r="K52" s="144"/>
      <c r="L52" s="344"/>
      <c r="M52" s="384"/>
      <c r="N52" s="144">
        <v>1016.5062391399999</v>
      </c>
      <c r="O52" s="344">
        <v>1047.5982749099999</v>
      </c>
      <c r="P52" s="269">
        <f t="shared" si="36"/>
        <v>3.1</v>
      </c>
      <c r="Q52" s="144"/>
      <c r="R52" s="344"/>
      <c r="S52" s="344"/>
      <c r="T52" s="144"/>
      <c r="U52" s="344"/>
      <c r="V52" s="344"/>
      <c r="W52" s="144"/>
      <c r="X52" s="344"/>
      <c r="Y52" s="344"/>
      <c r="Z52" s="144"/>
      <c r="AA52" s="344"/>
      <c r="AB52" s="344"/>
      <c r="AC52" s="144"/>
      <c r="AD52" s="344"/>
      <c r="AE52" s="344"/>
      <c r="AF52" s="384">
        <f t="shared" si="33"/>
        <v>1016.5062391399999</v>
      </c>
      <c r="AG52" s="384">
        <f t="shared" si="33"/>
        <v>1047.5982749099999</v>
      </c>
      <c r="AH52" s="344">
        <f t="shared" si="21"/>
        <v>3.1</v>
      </c>
      <c r="AI52" s="384">
        <f t="shared" si="34"/>
        <v>1016.5062391399999</v>
      </c>
      <c r="AJ52" s="384">
        <f t="shared" si="34"/>
        <v>1047.5982749099999</v>
      </c>
      <c r="AK52" s="453">
        <f t="shared" si="23"/>
        <v>3.1</v>
      </c>
    </row>
    <row r="53" spans="1:37" s="355" customFormat="1" ht="20.100000000000001" customHeight="1" x14ac:dyDescent="0.3">
      <c r="A53" s="416" t="s">
        <v>199</v>
      </c>
      <c r="B53" s="344"/>
      <c r="C53" s="344"/>
      <c r="D53" s="344"/>
      <c r="E53" s="144"/>
      <c r="F53" s="344"/>
      <c r="G53" s="344"/>
      <c r="H53" s="144"/>
      <c r="I53" s="344"/>
      <c r="J53" s="344"/>
      <c r="K53" s="144"/>
      <c r="L53" s="344"/>
      <c r="M53" s="341"/>
      <c r="N53" s="144"/>
      <c r="O53" s="344"/>
      <c r="P53" s="269"/>
      <c r="Q53" s="144"/>
      <c r="R53" s="344"/>
      <c r="S53" s="269"/>
      <c r="T53" s="144"/>
      <c r="U53" s="344"/>
      <c r="V53" s="269"/>
      <c r="W53" s="144"/>
      <c r="X53" s="344"/>
      <c r="Y53" s="269"/>
      <c r="Z53" s="144">
        <v>1623.1526727299997</v>
      </c>
      <c r="AA53" s="344">
        <v>3036.9566394599997</v>
      </c>
      <c r="AB53" s="344">
        <f t="shared" si="28"/>
        <v>87.1</v>
      </c>
      <c r="AC53" s="144"/>
      <c r="AD53" s="344"/>
      <c r="AE53" s="269"/>
      <c r="AF53" s="384">
        <f t="shared" si="33"/>
        <v>1623.1526727299997</v>
      </c>
      <c r="AG53" s="384">
        <f t="shared" si="33"/>
        <v>3036.9566394599997</v>
      </c>
      <c r="AH53" s="269">
        <f t="shared" si="21"/>
        <v>87.1</v>
      </c>
      <c r="AI53" s="384">
        <f t="shared" si="34"/>
        <v>1623.1526727299997</v>
      </c>
      <c r="AJ53" s="384">
        <f t="shared" si="34"/>
        <v>3036.9566394599997</v>
      </c>
      <c r="AK53" s="345">
        <f t="shared" si="23"/>
        <v>87.1</v>
      </c>
    </row>
    <row r="54" spans="1:37" s="355" customFormat="1" ht="20.100000000000001" customHeight="1" x14ac:dyDescent="0.3">
      <c r="A54" s="416" t="s">
        <v>200</v>
      </c>
      <c r="B54" s="344">
        <v>190709.22999999998</v>
      </c>
      <c r="C54" s="344">
        <v>225904.60943760016</v>
      </c>
      <c r="D54" s="344">
        <f t="shared" si="19"/>
        <v>18.5</v>
      </c>
      <c r="E54" s="144"/>
      <c r="F54" s="344"/>
      <c r="G54" s="344"/>
      <c r="H54" s="144"/>
      <c r="I54" s="344"/>
      <c r="J54" s="344"/>
      <c r="K54" s="144">
        <f>SUM(K55+K56+K57+K58+K59)</f>
        <v>71120</v>
      </c>
      <c r="L54" s="344">
        <f>SUM(L55+L56+L57+L58+L59)</f>
        <v>84270</v>
      </c>
      <c r="M54" s="384">
        <f>IF(K54=0, "    ---- ", IF(ABS(ROUND(100/K54*L54-100,1))&lt;999,ROUND(100/K54*L54-100,1),IF(ROUND(100/K54*L54-100,1)&gt;999,999,-999)))</f>
        <v>18.5</v>
      </c>
      <c r="N54" s="144">
        <v>1668.40533134</v>
      </c>
      <c r="O54" s="344">
        <v>1850.8758383099998</v>
      </c>
      <c r="P54" s="344">
        <f t="shared" si="36"/>
        <v>10.9</v>
      </c>
      <c r="Q54" s="144">
        <f>SUM(Q55+Q56+Q57+Q58+Q59)</f>
        <v>173585.81000000003</v>
      </c>
      <c r="R54" s="344">
        <f>SUM(R55+R56+R57+R58+R59)</f>
        <v>199250.81000000003</v>
      </c>
      <c r="S54" s="344">
        <f t="shared" si="25"/>
        <v>14.8</v>
      </c>
      <c r="T54" s="144"/>
      <c r="U54" s="344"/>
      <c r="V54" s="344"/>
      <c r="W54" s="144">
        <f>SUM(W55+W56+W57+W58+W59)</f>
        <v>79851.721999999994</v>
      </c>
      <c r="X54" s="344">
        <f>SUM(X55+X56+X57+X58+X59)</f>
        <v>91969.828646920068</v>
      </c>
      <c r="Y54" s="344">
        <f t="shared" si="27"/>
        <v>15.2</v>
      </c>
      <c r="Z54" s="144">
        <f>SUM(Z55+Z56+Z57+Z58+Z59)</f>
        <v>232693.50705275871</v>
      </c>
      <c r="AA54" s="344">
        <f>SUM(AA55+AA56+AA57+AA58+AA59)</f>
        <v>260835.32398193178</v>
      </c>
      <c r="AB54" s="344">
        <f t="shared" si="28"/>
        <v>12.1</v>
      </c>
      <c r="AC54" s="144"/>
      <c r="AD54" s="344"/>
      <c r="AE54" s="344"/>
      <c r="AF54" s="384">
        <f t="shared" si="33"/>
        <v>749628.67438409873</v>
      </c>
      <c r="AG54" s="384">
        <f t="shared" si="33"/>
        <v>864081.447904762</v>
      </c>
      <c r="AH54" s="344">
        <f t="shared" si="21"/>
        <v>15.3</v>
      </c>
      <c r="AI54" s="384">
        <f t="shared" si="34"/>
        <v>749628.67438409873</v>
      </c>
      <c r="AJ54" s="384">
        <f t="shared" si="34"/>
        <v>864081.447904762</v>
      </c>
      <c r="AK54" s="453">
        <f t="shared" si="23"/>
        <v>15.3</v>
      </c>
    </row>
    <row r="55" spans="1:37" s="355" customFormat="1" ht="20.100000000000001" customHeight="1" x14ac:dyDescent="0.3">
      <c r="A55" s="416" t="s">
        <v>201</v>
      </c>
      <c r="B55" s="344">
        <v>123461</v>
      </c>
      <c r="C55" s="344">
        <v>148454.37172372814</v>
      </c>
      <c r="D55" s="344">
        <f t="shared" si="19"/>
        <v>20.2</v>
      </c>
      <c r="E55" s="144"/>
      <c r="F55" s="344"/>
      <c r="G55" s="344"/>
      <c r="H55" s="144"/>
      <c r="I55" s="344"/>
      <c r="J55" s="344"/>
      <c r="K55" s="144">
        <v>59431</v>
      </c>
      <c r="L55" s="344">
        <v>70568</v>
      </c>
      <c r="M55" s="341">
        <f>IF(K55=0, "    ---- ", IF(ABS(ROUND(100/K55*L55-100,1))&lt;999,ROUND(100/K55*L55-100,1),IF(ROUND(100/K55*L55-100,1)&gt;999,999,-999)))</f>
        <v>18.7</v>
      </c>
      <c r="N55" s="144">
        <v>1324.2330793900001</v>
      </c>
      <c r="O55" s="344">
        <v>1457.94830705</v>
      </c>
      <c r="P55" s="269">
        <f t="shared" si="36"/>
        <v>10.1</v>
      </c>
      <c r="Q55" s="144">
        <v>115883.92000000003</v>
      </c>
      <c r="R55" s="344">
        <v>132903.26</v>
      </c>
      <c r="S55" s="269">
        <f t="shared" si="25"/>
        <v>14.7</v>
      </c>
      <c r="T55" s="144"/>
      <c r="U55" s="344"/>
      <c r="V55" s="269"/>
      <c r="W55" s="144">
        <v>53191.148999999998</v>
      </c>
      <c r="X55" s="344">
        <v>61142.353104650043</v>
      </c>
      <c r="Y55" s="269">
        <f t="shared" si="27"/>
        <v>14.9</v>
      </c>
      <c r="Z55" s="144">
        <v>173038.4931790799</v>
      </c>
      <c r="AA55" s="344">
        <v>197573.55742210004</v>
      </c>
      <c r="AB55" s="269">
        <f t="shared" si="28"/>
        <v>14.2</v>
      </c>
      <c r="AC55" s="144"/>
      <c r="AD55" s="344"/>
      <c r="AE55" s="269"/>
      <c r="AF55" s="384">
        <f t="shared" si="33"/>
        <v>526329.79525846988</v>
      </c>
      <c r="AG55" s="384">
        <f t="shared" si="33"/>
        <v>612099.49055752833</v>
      </c>
      <c r="AH55" s="269">
        <f t="shared" si="21"/>
        <v>16.3</v>
      </c>
      <c r="AI55" s="384">
        <f t="shared" si="34"/>
        <v>526329.79525846988</v>
      </c>
      <c r="AJ55" s="384">
        <f t="shared" si="34"/>
        <v>612099.49055752833</v>
      </c>
      <c r="AK55" s="345">
        <f t="shared" si="23"/>
        <v>16.3</v>
      </c>
    </row>
    <row r="56" spans="1:37" s="355" customFormat="1" ht="20.100000000000001" customHeight="1" x14ac:dyDescent="0.3">
      <c r="A56" s="416" t="s">
        <v>396</v>
      </c>
      <c r="B56" s="344">
        <v>65699.23</v>
      </c>
      <c r="C56" s="344">
        <v>76344.854254872</v>
      </c>
      <c r="D56" s="344">
        <f t="shared" si="19"/>
        <v>16.2</v>
      </c>
      <c r="E56" s="144"/>
      <c r="F56" s="344"/>
      <c r="G56" s="344"/>
      <c r="H56" s="144"/>
      <c r="I56" s="344"/>
      <c r="J56" s="344"/>
      <c r="K56" s="144">
        <v>11513</v>
      </c>
      <c r="L56" s="344">
        <v>13522</v>
      </c>
      <c r="M56" s="341">
        <f>IF(K56=0, "    ---- ", IF(ABS(ROUND(100/K56*L56-100,1))&lt;999,ROUND(100/K56*L56-100,1),IF(ROUND(100/K56*L56-100,1)&gt;999,999,-999)))</f>
        <v>17.399999999999999</v>
      </c>
      <c r="N56" s="144">
        <v>314.69293880999999</v>
      </c>
      <c r="O56" s="344">
        <v>305.62695325999999</v>
      </c>
      <c r="P56" s="269">
        <f t="shared" si="36"/>
        <v>-2.9</v>
      </c>
      <c r="Q56" s="144">
        <v>56991.87</v>
      </c>
      <c r="R56" s="344">
        <v>64140.51</v>
      </c>
      <c r="S56" s="269">
        <f t="shared" si="25"/>
        <v>12.5</v>
      </c>
      <c r="T56" s="144"/>
      <c r="U56" s="344"/>
      <c r="V56" s="269"/>
      <c r="W56" s="144">
        <v>25989.850999999999</v>
      </c>
      <c r="X56" s="344">
        <v>30044.833295000019</v>
      </c>
      <c r="Y56" s="269">
        <f t="shared" si="27"/>
        <v>15.6</v>
      </c>
      <c r="Z56" s="144">
        <v>58879.750541440066</v>
      </c>
      <c r="AA56" s="344">
        <v>62339.323823869934</v>
      </c>
      <c r="AB56" s="269">
        <f t="shared" si="28"/>
        <v>5.9</v>
      </c>
      <c r="AC56" s="144"/>
      <c r="AD56" s="344"/>
      <c r="AE56" s="269"/>
      <c r="AF56" s="384">
        <f t="shared" si="33"/>
        <v>219388.39448025005</v>
      </c>
      <c r="AG56" s="384">
        <f t="shared" si="33"/>
        <v>246697.14832700195</v>
      </c>
      <c r="AH56" s="269">
        <f t="shared" si="21"/>
        <v>12.4</v>
      </c>
      <c r="AI56" s="384">
        <f t="shared" si="34"/>
        <v>219388.39448025005</v>
      </c>
      <c r="AJ56" s="384">
        <f t="shared" si="34"/>
        <v>246697.14832700195</v>
      </c>
      <c r="AK56" s="345">
        <f t="shared" si="23"/>
        <v>12.4</v>
      </c>
    </row>
    <row r="57" spans="1:37" s="355" customFormat="1" ht="20.100000000000001" customHeight="1" x14ac:dyDescent="0.3">
      <c r="A57" s="416" t="s">
        <v>202</v>
      </c>
      <c r="B57" s="344">
        <v>1549</v>
      </c>
      <c r="C57" s="344">
        <v>1105.3834589999999</v>
      </c>
      <c r="D57" s="269">
        <f t="shared" si="19"/>
        <v>-28.6</v>
      </c>
      <c r="E57" s="144"/>
      <c r="F57" s="344"/>
      <c r="G57" s="269"/>
      <c r="H57" s="144"/>
      <c r="I57" s="344"/>
      <c r="J57" s="269"/>
      <c r="K57" s="144">
        <v>6</v>
      </c>
      <c r="L57" s="344">
        <v>-5</v>
      </c>
      <c r="M57" s="269">
        <f>IF(K57=0, "    ---- ", IF(ABS(ROUND(100/K57*L57-100,1))&lt;999,ROUND(100/K57*L57-100,1),IF(ROUND(100/K57*L57-100,1)&gt;999,999,-999)))</f>
        <v>-183.3</v>
      </c>
      <c r="N57" s="144">
        <v>28.455818579999999</v>
      </c>
      <c r="O57" s="344">
        <v>78.776304690000003</v>
      </c>
      <c r="P57" s="269">
        <f t="shared" si="36"/>
        <v>176.8</v>
      </c>
      <c r="Q57" s="144"/>
      <c r="R57" s="344"/>
      <c r="S57" s="269"/>
      <c r="T57" s="144"/>
      <c r="U57" s="344"/>
      <c r="V57" s="269"/>
      <c r="W57" s="144">
        <v>90.135999999999996</v>
      </c>
      <c r="X57" s="344">
        <v>63.938409489999977</v>
      </c>
      <c r="Y57" s="269">
        <f t="shared" si="27"/>
        <v>-29.1</v>
      </c>
      <c r="Z57" s="144">
        <v>142.57690936</v>
      </c>
      <c r="AA57" s="344">
        <v>0</v>
      </c>
      <c r="AB57" s="269">
        <f t="shared" si="28"/>
        <v>-100</v>
      </c>
      <c r="AC57" s="144"/>
      <c r="AD57" s="344"/>
      <c r="AE57" s="269"/>
      <c r="AF57" s="384">
        <f t="shared" si="33"/>
        <v>1816.1687279399998</v>
      </c>
      <c r="AG57" s="384">
        <f t="shared" si="33"/>
        <v>1243.0981731799998</v>
      </c>
      <c r="AH57" s="269">
        <f t="shared" si="21"/>
        <v>-31.6</v>
      </c>
      <c r="AI57" s="384">
        <f t="shared" si="34"/>
        <v>1816.1687279399998</v>
      </c>
      <c r="AJ57" s="384">
        <f t="shared" si="34"/>
        <v>1243.0981731799998</v>
      </c>
      <c r="AK57" s="345">
        <f t="shared" si="23"/>
        <v>-31.6</v>
      </c>
    </row>
    <row r="58" spans="1:37" s="355" customFormat="1" ht="20.100000000000001" customHeight="1" x14ac:dyDescent="0.3">
      <c r="A58" s="416" t="s">
        <v>203</v>
      </c>
      <c r="B58" s="344"/>
      <c r="C58" s="344"/>
      <c r="D58" s="269"/>
      <c r="E58" s="144"/>
      <c r="F58" s="344"/>
      <c r="G58" s="269"/>
      <c r="H58" s="144"/>
      <c r="I58" s="344"/>
      <c r="J58" s="269"/>
      <c r="K58" s="144"/>
      <c r="L58" s="344"/>
      <c r="M58" s="269"/>
      <c r="N58" s="144">
        <v>0.61923503000000002</v>
      </c>
      <c r="O58" s="344">
        <v>8.4931857799999992</v>
      </c>
      <c r="P58" s="269">
        <f t="shared" si="36"/>
        <v>999</v>
      </c>
      <c r="Q58" s="144">
        <v>2.72</v>
      </c>
      <c r="R58" s="344">
        <v>1075.2</v>
      </c>
      <c r="S58" s="269">
        <f t="shared" si="25"/>
        <v>999</v>
      </c>
      <c r="T58" s="144"/>
      <c r="U58" s="344"/>
      <c r="V58" s="269"/>
      <c r="W58" s="144">
        <v>121.29</v>
      </c>
      <c r="X58" s="344">
        <v>204.7674542299998</v>
      </c>
      <c r="Y58" s="269">
        <f t="shared" si="27"/>
        <v>68.8</v>
      </c>
      <c r="Z58" s="144">
        <v>632.68642288000024</v>
      </c>
      <c r="AA58" s="344">
        <v>922.44273596000107</v>
      </c>
      <c r="AB58" s="269">
        <f t="shared" si="28"/>
        <v>45.8</v>
      </c>
      <c r="AC58" s="144"/>
      <c r="AD58" s="344"/>
      <c r="AE58" s="269"/>
      <c r="AF58" s="384">
        <f t="shared" si="33"/>
        <v>757.31565791000025</v>
      </c>
      <c r="AG58" s="384">
        <f t="shared" si="33"/>
        <v>2210.903375970001</v>
      </c>
      <c r="AH58" s="269">
        <f t="shared" si="21"/>
        <v>191.9</v>
      </c>
      <c r="AI58" s="384">
        <f t="shared" si="34"/>
        <v>757.31565791000025</v>
      </c>
      <c r="AJ58" s="384">
        <f t="shared" si="34"/>
        <v>2210.903375970001</v>
      </c>
      <c r="AK58" s="345">
        <f t="shared" si="23"/>
        <v>191.9</v>
      </c>
    </row>
    <row r="59" spans="1:37" s="355" customFormat="1" ht="20.100000000000001" customHeight="1" x14ac:dyDescent="0.3">
      <c r="A59" s="416" t="s">
        <v>204</v>
      </c>
      <c r="B59" s="344"/>
      <c r="C59" s="344"/>
      <c r="D59" s="269"/>
      <c r="E59" s="144"/>
      <c r="F59" s="344"/>
      <c r="G59" s="269"/>
      <c r="H59" s="144"/>
      <c r="I59" s="344"/>
      <c r="J59" s="269"/>
      <c r="K59" s="144">
        <v>170</v>
      </c>
      <c r="L59" s="344">
        <v>185</v>
      </c>
      <c r="M59" s="269">
        <f>IF(K59=0, "    ---- ", IF(ABS(ROUND(100/K59*L59-100,1))&lt;999,ROUND(100/K59*L59-100,1),IF(ROUND(100/K59*L59-100,1)&gt;999,999,-999)))</f>
        <v>8.8000000000000007</v>
      </c>
      <c r="N59" s="144">
        <v>0.40425953000000003</v>
      </c>
      <c r="O59" s="344">
        <v>3.1087529999999999E-2</v>
      </c>
      <c r="P59" s="269">
        <f t="shared" si="36"/>
        <v>-92.3</v>
      </c>
      <c r="Q59" s="144">
        <v>707.3</v>
      </c>
      <c r="R59" s="344">
        <v>1131.8399999999999</v>
      </c>
      <c r="S59" s="269">
        <f t="shared" si="25"/>
        <v>60</v>
      </c>
      <c r="T59" s="144"/>
      <c r="U59" s="344"/>
      <c r="V59" s="269"/>
      <c r="W59" s="144">
        <v>459.29599999999999</v>
      </c>
      <c r="X59" s="344">
        <v>513.93638355001724</v>
      </c>
      <c r="Y59" s="269">
        <f t="shared" si="27"/>
        <v>11.9</v>
      </c>
      <c r="Z59" s="144">
        <v>-1.2678524944931269E-9</v>
      </c>
      <c r="AA59" s="344">
        <v>1.802940503694117E-9</v>
      </c>
      <c r="AB59" s="269">
        <f t="shared" si="28"/>
        <v>-242.2</v>
      </c>
      <c r="AC59" s="144"/>
      <c r="AD59" s="344"/>
      <c r="AE59" s="269"/>
      <c r="AF59" s="384">
        <f t="shared" si="33"/>
        <v>1337.0002595287322</v>
      </c>
      <c r="AG59" s="384">
        <f t="shared" si="33"/>
        <v>1830.8074710818198</v>
      </c>
      <c r="AH59" s="269">
        <f t="shared" si="21"/>
        <v>36.9</v>
      </c>
      <c r="AI59" s="384">
        <f t="shared" si="34"/>
        <v>1337.0002595287322</v>
      </c>
      <c r="AJ59" s="384">
        <f t="shared" si="34"/>
        <v>1830.8074710818198</v>
      </c>
      <c r="AK59" s="345">
        <f t="shared" si="23"/>
        <v>36.9</v>
      </c>
    </row>
    <row r="60" spans="1:37" s="355" customFormat="1" ht="20.100000000000001" customHeight="1" x14ac:dyDescent="0.3">
      <c r="A60" s="452" t="s">
        <v>205</v>
      </c>
      <c r="B60" s="344">
        <v>196648.62999999998</v>
      </c>
      <c r="C60" s="344">
        <v>232627.88899140005</v>
      </c>
      <c r="D60" s="269">
        <f t="shared" si="19"/>
        <v>18.3</v>
      </c>
      <c r="E60" s="144"/>
      <c r="F60" s="344"/>
      <c r="G60" s="269"/>
      <c r="H60" s="144"/>
      <c r="I60" s="344"/>
      <c r="J60" s="269"/>
      <c r="K60" s="144">
        <f>SUM(K48+K49+K50+K54)</f>
        <v>73405</v>
      </c>
      <c r="L60" s="344">
        <f>SUM(L48+L49+L50+L54)</f>
        <v>87819</v>
      </c>
      <c r="M60" s="269">
        <f>IF(K60=0, "    ---- ", IF(ABS(ROUND(100/K60*L60-100,1))&lt;999,ROUND(100/K60*L60-100,1),IF(ROUND(100/K60*L60-100,1)&gt;999,999,-999)))</f>
        <v>19.600000000000001</v>
      </c>
      <c r="N60" s="144">
        <v>3062.5090493199996</v>
      </c>
      <c r="O60" s="344">
        <v>3316.1205430599998</v>
      </c>
      <c r="P60" s="269">
        <f t="shared" si="36"/>
        <v>8.3000000000000007</v>
      </c>
      <c r="Q60" s="144">
        <f>SUM(Q48+Q49+Q50+Q54)</f>
        <v>176351.82000000004</v>
      </c>
      <c r="R60" s="344">
        <f>SUM(R48+R49+R50+R54)</f>
        <v>203536.56000000003</v>
      </c>
      <c r="S60" s="269">
        <f t="shared" si="25"/>
        <v>15.4</v>
      </c>
      <c r="T60" s="144"/>
      <c r="U60" s="344"/>
      <c r="V60" s="269"/>
      <c r="W60" s="144">
        <f>SUM(W48+W49+W50+W54)</f>
        <v>81078.250999999989</v>
      </c>
      <c r="X60" s="344">
        <v>93083.363945489749</v>
      </c>
      <c r="Y60" s="269">
        <f t="shared" si="27"/>
        <v>14.8</v>
      </c>
      <c r="Z60" s="144">
        <f>SUM(Z48+Z49+Z50+Z54)</f>
        <v>241937.5832956387</v>
      </c>
      <c r="AA60" s="344">
        <f>SUM(AA48+AA49+AA50+AA54)</f>
        <v>272177.21736202179</v>
      </c>
      <c r="AB60" s="269">
        <f t="shared" si="28"/>
        <v>12.5</v>
      </c>
      <c r="AC60" s="144"/>
      <c r="AD60" s="344"/>
      <c r="AE60" s="269"/>
      <c r="AF60" s="384">
        <f t="shared" si="33"/>
        <v>772483.79334495869</v>
      </c>
      <c r="AG60" s="384">
        <f t="shared" si="33"/>
        <v>892560.15084197163</v>
      </c>
      <c r="AH60" s="269">
        <f t="shared" si="21"/>
        <v>15.5</v>
      </c>
      <c r="AI60" s="384">
        <f t="shared" si="34"/>
        <v>772483.79334495869</v>
      </c>
      <c r="AJ60" s="384">
        <f t="shared" si="34"/>
        <v>892560.15084197163</v>
      </c>
      <c r="AK60" s="345">
        <f t="shared" si="23"/>
        <v>15.5</v>
      </c>
    </row>
    <row r="61" spans="1:37" s="355" customFormat="1" ht="20.100000000000001" customHeight="1" x14ac:dyDescent="0.3">
      <c r="A61" s="428" t="s">
        <v>299</v>
      </c>
      <c r="B61" s="344"/>
      <c r="C61" s="344"/>
      <c r="D61" s="269"/>
      <c r="E61" s="144"/>
      <c r="F61" s="344"/>
      <c r="G61" s="269"/>
      <c r="H61" s="144"/>
      <c r="I61" s="344"/>
      <c r="J61" s="269"/>
      <c r="K61" s="144">
        <v>4</v>
      </c>
      <c r="L61" s="344"/>
      <c r="M61" s="269"/>
      <c r="N61" s="144"/>
      <c r="O61" s="344"/>
      <c r="P61" s="269"/>
      <c r="Q61" s="144"/>
      <c r="R61" s="344"/>
      <c r="S61" s="269"/>
      <c r="T61" s="144"/>
      <c r="U61" s="344"/>
      <c r="V61" s="269"/>
      <c r="W61" s="144"/>
      <c r="X61" s="344"/>
      <c r="Y61" s="269"/>
      <c r="Z61" s="144"/>
      <c r="AA61" s="344"/>
      <c r="AB61" s="269"/>
      <c r="AC61" s="144"/>
      <c r="AD61" s="344"/>
      <c r="AE61" s="269"/>
      <c r="AF61" s="384">
        <f t="shared" si="33"/>
        <v>4</v>
      </c>
      <c r="AG61" s="384">
        <f t="shared" si="33"/>
        <v>0</v>
      </c>
      <c r="AH61" s="269">
        <f t="shared" si="21"/>
        <v>-100</v>
      </c>
      <c r="AI61" s="384">
        <f>B61+E61+H61+K61+N61+Q61+T61+W61+Z61+AC61</f>
        <v>4</v>
      </c>
      <c r="AJ61" s="384">
        <f t="shared" si="34"/>
        <v>0</v>
      </c>
      <c r="AK61" s="345">
        <f t="shared" si="23"/>
        <v>-100</v>
      </c>
    </row>
    <row r="62" spans="1:37" s="355" customFormat="1" ht="20.100000000000001" customHeight="1" x14ac:dyDescent="0.3">
      <c r="A62" s="416" t="s">
        <v>206</v>
      </c>
      <c r="B62" s="344">
        <v>386481.63</v>
      </c>
      <c r="C62" s="344">
        <v>421038.68377202982</v>
      </c>
      <c r="D62" s="269">
        <f t="shared" si="19"/>
        <v>8.9</v>
      </c>
      <c r="E62" s="144">
        <f>SUM(E45+E46+E60+E61)</f>
        <v>9922.0731979200009</v>
      </c>
      <c r="F62" s="344">
        <f>SUM(F45+F46+F60+F61)</f>
        <v>10550.831841800002</v>
      </c>
      <c r="G62" s="269">
        <f>IF(E62=0, "    ---- ", IF(ABS(ROUND(100/E62*F62-100,1))&lt;999,ROUND(100/E62*F62-100,1),IF(ROUND(100/E62*F62-100,1)&gt;999,999,-999)))</f>
        <v>6.3</v>
      </c>
      <c r="H62" s="144">
        <f>SUM(H45+H46+H60+H61)</f>
        <v>2088.6860000000001</v>
      </c>
      <c r="I62" s="344">
        <f>SUM(I45+I46+I60+I61)</f>
        <v>2482.5680000000002</v>
      </c>
      <c r="J62" s="269">
        <f>IF(H62=0, "    ---- ", IF(ABS(ROUND(100/H62*I62-100,1))&lt;999,ROUND(100/H62*I62-100,1),IF(ROUND(100/H62*I62-100,1)&gt;999,999,-999)))</f>
        <v>18.899999999999999</v>
      </c>
      <c r="K62" s="144">
        <f>SUM(K45+K46+K60+K61)</f>
        <v>84033</v>
      </c>
      <c r="L62" s="344">
        <f>SUM(L45+L46+L60+L61)</f>
        <v>99603</v>
      </c>
      <c r="M62" s="269">
        <f>IF(K62=0, "    ---- ", IF(ABS(ROUND(100/K62*L62-100,1))&lt;999,ROUND(100/K62*L62-100,1),IF(ROUND(100/K62*L62-100,1)&gt;999,999,-999)))</f>
        <v>18.5</v>
      </c>
      <c r="N62" s="144">
        <v>793262.95195507002</v>
      </c>
      <c r="O62" s="344">
        <v>859406.42816315009</v>
      </c>
      <c r="P62" s="269">
        <f>IF(N62=0, "    ---- ", IF(ABS(ROUND(100/N62*O62-100,1))&lt;999,ROUND(100/N62*O62-100,1),IF(ROUND(100/N62*O62-100,1)&gt;999,999,-999)))</f>
        <v>8.3000000000000007</v>
      </c>
      <c r="Q62" s="144">
        <f>SUM(Q45+Q46+Q60+Q61)</f>
        <v>232006.29032136005</v>
      </c>
      <c r="R62" s="344">
        <f>SUM(R45+R46+R60+R61)</f>
        <v>260426.54200597992</v>
      </c>
      <c r="S62" s="269">
        <f t="shared" si="25"/>
        <v>12.2</v>
      </c>
      <c r="T62" s="144">
        <v>131717</v>
      </c>
      <c r="U62" s="344">
        <f>SUM(U45+U46+U60+U61)</f>
        <v>140789</v>
      </c>
      <c r="V62" s="269">
        <f>IF(T62=0, "    ---- ", IF(ABS(ROUND(100/T62*U62-100,1))&lt;999,ROUND(100/T62*U62-100,1),IF(ROUND(100/T62*U62-100,1)&gt;999,999,-999)))</f>
        <v>6.9</v>
      </c>
      <c r="W62" s="144">
        <f>SUM(W45+W46+W60+W61)</f>
        <v>105570.95199999999</v>
      </c>
      <c r="X62" s="344">
        <f>SUM(X45+X46+X60+X61)</f>
        <v>119558.07064218979</v>
      </c>
      <c r="Y62" s="269">
        <f t="shared" si="27"/>
        <v>13.2</v>
      </c>
      <c r="Z62" s="144">
        <f>SUM(Z45+Z46+Z60+Z61)</f>
        <v>460914.03409725864</v>
      </c>
      <c r="AA62" s="344">
        <f>SUM(AA45+AA46+AA60+AA61)</f>
        <v>502023.54747292184</v>
      </c>
      <c r="AB62" s="269">
        <f t="shared" si="28"/>
        <v>8.9</v>
      </c>
      <c r="AC62" s="144">
        <f>SUM(AC45+AC46+AC60+AC61)</f>
        <v>16</v>
      </c>
      <c r="AD62" s="344">
        <f>SUM(AD45+AD46+AD60+AD61)</f>
        <v>18</v>
      </c>
      <c r="AE62" s="269">
        <f>IF(AC62=0, "    ---- ", IF(ABS(ROUND(100/AC62*AD62-100,1))&lt;999,ROUND(100/AC62*AD62-100,1),IF(ROUND(100/AC62*AD62-100,1)&gt;999,999,-999)))</f>
        <v>12.5</v>
      </c>
      <c r="AF62" s="384">
        <f t="shared" si="33"/>
        <v>2205996.6175716086</v>
      </c>
      <c r="AG62" s="384">
        <f t="shared" si="33"/>
        <v>2415878.6718980717</v>
      </c>
      <c r="AH62" s="269">
        <f t="shared" si="21"/>
        <v>9.5</v>
      </c>
      <c r="AI62" s="384">
        <f>B62+E62+H62+K62+N62+Q62+T62+W62+Z62+AC62</f>
        <v>2206012.6175716086</v>
      </c>
      <c r="AJ62" s="384">
        <f t="shared" si="34"/>
        <v>2415896.6718980717</v>
      </c>
      <c r="AK62" s="345">
        <f t="shared" si="23"/>
        <v>9.5</v>
      </c>
    </row>
    <row r="63" spans="1:37" s="363" customFormat="1" ht="20.100000000000001" customHeight="1" x14ac:dyDescent="0.3">
      <c r="A63" s="428"/>
      <c r="B63" s="343"/>
      <c r="C63" s="343"/>
      <c r="D63" s="342"/>
      <c r="E63" s="146"/>
      <c r="F63" s="343"/>
      <c r="G63" s="342"/>
      <c r="H63" s="146"/>
      <c r="I63" s="343"/>
      <c r="J63" s="342"/>
      <c r="K63" s="146"/>
      <c r="L63" s="343"/>
      <c r="M63" s="346"/>
      <c r="N63" s="146"/>
      <c r="O63" s="343"/>
      <c r="P63" s="342"/>
      <c r="Q63" s="146"/>
      <c r="R63" s="343"/>
      <c r="S63" s="342"/>
      <c r="T63" s="146"/>
      <c r="U63" s="343"/>
      <c r="V63" s="342"/>
      <c r="W63" s="146"/>
      <c r="X63" s="343"/>
      <c r="Y63" s="342"/>
      <c r="Z63" s="146"/>
      <c r="AA63" s="343"/>
      <c r="AB63" s="342"/>
      <c r="AC63" s="146"/>
      <c r="AD63" s="343"/>
      <c r="AE63" s="342"/>
      <c r="AF63" s="346"/>
      <c r="AG63" s="346"/>
      <c r="AH63" s="342"/>
      <c r="AI63" s="346"/>
      <c r="AJ63" s="346"/>
      <c r="AK63" s="347"/>
    </row>
    <row r="64" spans="1:37" s="363" customFormat="1" ht="20.100000000000001" customHeight="1" x14ac:dyDescent="0.3">
      <c r="A64" s="428" t="s">
        <v>207</v>
      </c>
      <c r="B64" s="343">
        <v>419917.63</v>
      </c>
      <c r="C64" s="343">
        <v>451541.36984759982</v>
      </c>
      <c r="D64" s="342">
        <f t="shared" si="19"/>
        <v>7.5</v>
      </c>
      <c r="E64" s="146">
        <f>SUM(E29+E62)</f>
        <v>14086.2488543</v>
      </c>
      <c r="F64" s="343">
        <f>SUM(F29+F62)</f>
        <v>14485.338161570002</v>
      </c>
      <c r="G64" s="342">
        <f>IF(E64=0, "    ---- ", IF(ABS(ROUND(100/E64*F64-100,1))&lt;999,ROUND(100/E64*F64-100,1),IF(ROUND(100/E64*F64-100,1)&gt;999,999,-999)))</f>
        <v>2.8</v>
      </c>
      <c r="H64" s="146">
        <f>SUM(H29+H62)</f>
        <v>2959.125</v>
      </c>
      <c r="I64" s="343">
        <f>SUM(I29+I62)</f>
        <v>3435.143</v>
      </c>
      <c r="J64" s="342">
        <f>IF(H64=0, "    ---- ", IF(ABS(ROUND(100/H64*I64-100,1))&lt;999,ROUND(100/H64*I64-100,1),IF(ROUND(100/H64*I64-100,1)&gt;999,999,-999)))</f>
        <v>16.100000000000001</v>
      </c>
      <c r="K64" s="146">
        <f>SUM(K29+K62)</f>
        <v>85626</v>
      </c>
      <c r="L64" s="343">
        <f>SUM(L29+L62)</f>
        <v>102011</v>
      </c>
      <c r="M64" s="346">
        <f>IF(K64=0, "    ---- ", IF(ABS(ROUND(100/K64*L64-100,1))&lt;999,ROUND(100/K64*L64-100,1),IF(ROUND(100/K64*L64-100,1)&gt;999,999,-999)))</f>
        <v>19.100000000000001</v>
      </c>
      <c r="N64" s="146">
        <v>851023.06180620007</v>
      </c>
      <c r="O64" s="343">
        <v>912617.56038692011</v>
      </c>
      <c r="P64" s="342">
        <f>IF(N64=0, "    ---- ", IF(ABS(ROUND(100/N64*O64-100,1))&lt;999,ROUND(100/N64*O64-100,1),IF(ROUND(100/N64*O64-100,1)&gt;999,999,-999)))</f>
        <v>7.2</v>
      </c>
      <c r="Q64" s="146">
        <f>SUM(Q29+Q62)</f>
        <v>244898.19032136005</v>
      </c>
      <c r="R64" s="343">
        <f>SUM(R29+R62)</f>
        <v>271444.53200597991</v>
      </c>
      <c r="S64" s="342">
        <f t="shared" si="25"/>
        <v>10.8</v>
      </c>
      <c r="T64" s="146">
        <v>143931</v>
      </c>
      <c r="U64" s="343">
        <f>SUM(U29+U62)</f>
        <v>153729</v>
      </c>
      <c r="V64" s="342">
        <f>IF(T64=0, "    ---- ", IF(ABS(ROUND(100/T64*U64-100,1))&lt;999,ROUND(100/T64*U64-100,1),IF(ROUND(100/T64*U64-100,1)&gt;999,999,-999)))</f>
        <v>6.8</v>
      </c>
      <c r="W64" s="146">
        <f>SUM(W29+W62)</f>
        <v>112541.85599999999</v>
      </c>
      <c r="X64" s="343">
        <v>126414.42987332978</v>
      </c>
      <c r="Y64" s="342">
        <f t="shared" si="27"/>
        <v>12.3</v>
      </c>
      <c r="Z64" s="146">
        <f>SUM(Z29+Z62)</f>
        <v>539709.42243286618</v>
      </c>
      <c r="AA64" s="343">
        <v>563545.82963559998</v>
      </c>
      <c r="AB64" s="342">
        <f t="shared" si="28"/>
        <v>4.4000000000000004</v>
      </c>
      <c r="AC64" s="146">
        <f>SUM(AC29+AC62)</f>
        <v>128</v>
      </c>
      <c r="AD64" s="343">
        <f>SUM(AD29+AD62)</f>
        <v>242</v>
      </c>
      <c r="AE64" s="342">
        <f>IF(AC64=0, "    ---- ", IF(ABS(ROUND(100/AC64*AD64-100,1))&lt;999,ROUND(100/AC64*AD64-100,1),IF(ROUND(100/AC64*AD64-100,1)&gt;999,999,-999)))</f>
        <v>89.1</v>
      </c>
      <c r="AF64" s="455">
        <f t="shared" ref="AF64:AG64" si="37">B64+E64+H64+K64+N64+Q64+T64+W64+Z64</f>
        <v>2414692.5344147263</v>
      </c>
      <c r="AG64" s="455">
        <f t="shared" si="37"/>
        <v>2599224.2029109998</v>
      </c>
      <c r="AH64" s="342">
        <f t="shared" si="21"/>
        <v>7.6</v>
      </c>
      <c r="AI64" s="455">
        <f>B64+E64+H64+K64+N64+Q64+T64+W64+Z64+AC64</f>
        <v>2414820.5344147263</v>
      </c>
      <c r="AJ64" s="455">
        <f>C64+F64+I64+L64+O64+R64+U64+X64+AA64+AD64</f>
        <v>2599466.2029109998</v>
      </c>
      <c r="AK64" s="347">
        <f t="shared" si="23"/>
        <v>7.6</v>
      </c>
    </row>
    <row r="65" spans="1:37" s="355" customFormat="1" ht="20.100000000000001" customHeight="1" x14ac:dyDescent="0.3">
      <c r="A65" s="454"/>
      <c r="B65" s="344"/>
      <c r="C65" s="544"/>
      <c r="D65" s="269"/>
      <c r="E65" s="144"/>
      <c r="F65" s="543"/>
      <c r="G65" s="269"/>
      <c r="H65" s="144"/>
      <c r="I65" s="543"/>
      <c r="J65" s="269"/>
      <c r="K65" s="144"/>
      <c r="L65" s="544"/>
      <c r="M65" s="341"/>
      <c r="N65" s="144"/>
      <c r="O65" s="542"/>
      <c r="P65" s="269"/>
      <c r="Q65" s="144"/>
      <c r="R65" s="546"/>
      <c r="S65" s="269"/>
      <c r="T65" s="144"/>
      <c r="U65" s="344"/>
      <c r="V65" s="269"/>
      <c r="W65" s="144"/>
      <c r="X65" s="344"/>
      <c r="Y65" s="269"/>
      <c r="Z65" s="144"/>
      <c r="AA65" s="344"/>
      <c r="AB65" s="269"/>
      <c r="AC65" s="144"/>
      <c r="AD65" s="344"/>
      <c r="AE65" s="269"/>
      <c r="AF65" s="341"/>
      <c r="AG65" s="546"/>
      <c r="AH65" s="269"/>
      <c r="AI65" s="341"/>
      <c r="AJ65" s="545"/>
      <c r="AK65" s="345"/>
    </row>
    <row r="66" spans="1:37" s="355" customFormat="1" ht="20.100000000000001" customHeight="1" x14ac:dyDescent="0.3">
      <c r="A66" s="428" t="s">
        <v>208</v>
      </c>
      <c r="B66" s="344"/>
      <c r="C66" s="344"/>
      <c r="D66" s="269"/>
      <c r="E66" s="144"/>
      <c r="F66" s="344"/>
      <c r="G66" s="269"/>
      <c r="H66" s="144"/>
      <c r="I66" s="344"/>
      <c r="J66" s="269"/>
      <c r="K66" s="144"/>
      <c r="L66" s="344"/>
      <c r="M66" s="341"/>
      <c r="N66" s="144"/>
      <c r="O66" s="344"/>
      <c r="P66" s="269"/>
      <c r="Q66" s="144"/>
      <c r="R66" s="541"/>
      <c r="S66" s="269"/>
      <c r="T66" s="144"/>
      <c r="U66" s="344"/>
      <c r="V66" s="269"/>
      <c r="W66" s="144"/>
      <c r="X66" s="344"/>
      <c r="Y66" s="269"/>
      <c r="Z66" s="144"/>
      <c r="AA66" s="344"/>
      <c r="AB66" s="269"/>
      <c r="AC66" s="144"/>
      <c r="AD66" s="344"/>
      <c r="AE66" s="269"/>
      <c r="AF66" s="341"/>
      <c r="AG66" s="341"/>
      <c r="AH66" s="269"/>
      <c r="AI66" s="341"/>
      <c r="AJ66" s="341"/>
      <c r="AK66" s="345"/>
    </row>
    <row r="67" spans="1:37" s="355" customFormat="1" ht="20.100000000000001" customHeight="1" x14ac:dyDescent="0.3">
      <c r="A67" s="428"/>
      <c r="B67" s="344"/>
      <c r="C67" s="344"/>
      <c r="D67" s="269"/>
      <c r="E67" s="144"/>
      <c r="F67" s="344"/>
      <c r="G67" s="269"/>
      <c r="H67" s="144"/>
      <c r="I67" s="344"/>
      <c r="J67" s="269"/>
      <c r="K67" s="144"/>
      <c r="L67" s="344"/>
      <c r="M67" s="341"/>
      <c r="N67" s="144"/>
      <c r="O67" s="344"/>
      <c r="P67" s="269"/>
      <c r="Q67" s="144"/>
      <c r="R67" s="541"/>
      <c r="S67" s="269"/>
      <c r="T67" s="144"/>
      <c r="U67" s="344"/>
      <c r="V67" s="269"/>
      <c r="W67" s="144"/>
      <c r="X67" s="344"/>
      <c r="Y67" s="269"/>
      <c r="Z67" s="144"/>
      <c r="AA67" s="344"/>
      <c r="AB67" s="269"/>
      <c r="AC67" s="144"/>
      <c r="AD67" s="344"/>
      <c r="AE67" s="269"/>
      <c r="AF67" s="341"/>
      <c r="AG67" s="341"/>
      <c r="AH67" s="269"/>
      <c r="AI67" s="341"/>
      <c r="AJ67" s="341"/>
      <c r="AK67" s="345"/>
    </row>
    <row r="68" spans="1:37" s="355" customFormat="1" ht="20.100000000000001" customHeight="1" x14ac:dyDescent="0.3">
      <c r="A68" s="416" t="s">
        <v>209</v>
      </c>
      <c r="B68" s="344">
        <v>7657</v>
      </c>
      <c r="C68" s="344">
        <v>7657.0531522000001</v>
      </c>
      <c r="D68" s="269">
        <f t="shared" si="19"/>
        <v>0</v>
      </c>
      <c r="E68" s="144">
        <v>2452.057311</v>
      </c>
      <c r="F68" s="344">
        <v>2452.057311</v>
      </c>
      <c r="G68" s="269">
        <f>IF(E68=0, "    ---- ", IF(ABS(ROUND(100/E68*F68-100,1))&lt;999,ROUND(100/E68*F68-100,1),IF(ROUND(100/E68*F68-100,1)&gt;999,999,-999)))</f>
        <v>0</v>
      </c>
      <c r="H68" s="144">
        <v>221.25</v>
      </c>
      <c r="I68" s="344">
        <v>221.25</v>
      </c>
      <c r="J68" s="269">
        <f>IF(H68=0, "    ---- ", IF(ABS(ROUND(100/H68*I68-100,1))&lt;999,ROUND(100/H68*I68-100,1),IF(ROUND(100/H68*I68-100,1)&gt;999,999,-999)))</f>
        <v>0</v>
      </c>
      <c r="K68" s="144">
        <v>124</v>
      </c>
      <c r="L68" s="344">
        <v>625</v>
      </c>
      <c r="M68" s="341">
        <f>IF(K68=0, "    ---- ", IF(ABS(ROUND(100/K68*L68-100,1))&lt;999,ROUND(100/K68*L68-100,1),IF(ROUND(100/K68*L68-100,1)&gt;999,999,-999)))</f>
        <v>404</v>
      </c>
      <c r="N68" s="144">
        <v>24226.001853000002</v>
      </c>
      <c r="O68" s="344">
        <v>26573.659904</v>
      </c>
      <c r="P68" s="269">
        <f t="shared" ref="P68:P80" si="38">IF(N68=0, "    ---- ", IF(ABS(ROUND(100/N68*O68-100,1))&lt;999,ROUND(100/N68*O68-100,1),IF(ROUND(100/N68*O68-100,1)&gt;999,999,-999)))</f>
        <v>9.6999999999999993</v>
      </c>
      <c r="Q68" s="144">
        <v>1126.76</v>
      </c>
      <c r="R68" s="344">
        <v>1126.76</v>
      </c>
      <c r="S68" s="269">
        <f t="shared" si="25"/>
        <v>0</v>
      </c>
      <c r="T68" s="144">
        <v>1430</v>
      </c>
      <c r="U68" s="344">
        <v>1430</v>
      </c>
      <c r="V68" s="269">
        <f>IF(T68=0, "    ---- ", IF(ABS(ROUND(100/T68*U68-100,1))&lt;999,ROUND(100/T68*U68-100,1),IF(ROUND(100/T68*U68-100,1)&gt;999,999,-999)))</f>
        <v>0</v>
      </c>
      <c r="W68" s="144">
        <v>4972.6959999999999</v>
      </c>
      <c r="X68" s="344">
        <v>4972.6955527999999</v>
      </c>
      <c r="Y68" s="269">
        <f t="shared" si="27"/>
        <v>0</v>
      </c>
      <c r="Z68" s="144">
        <v>15958.56135475</v>
      </c>
      <c r="AA68" s="344">
        <v>16427.475083239999</v>
      </c>
      <c r="AB68" s="269">
        <f t="shared" si="28"/>
        <v>2.9</v>
      </c>
      <c r="AC68" s="144">
        <v>86</v>
      </c>
      <c r="AD68" s="344">
        <v>86</v>
      </c>
      <c r="AE68" s="269">
        <f>IF(AC68=0, "    ---- ", IF(ABS(ROUND(100/AC68*AD68-100,1))&lt;999,ROUND(100/AC68*AD68-100,1),IF(ROUND(100/AC68*AD68-100,1)&gt;999,999,-999)))</f>
        <v>0</v>
      </c>
      <c r="AF68" s="384">
        <f t="shared" ref="AF68:AG71" si="39">B68+E68+H68+K68+N68+Q68+T68+W68+Z68</f>
        <v>58168.326518750007</v>
      </c>
      <c r="AG68" s="384">
        <f t="shared" si="39"/>
        <v>61485.951003239999</v>
      </c>
      <c r="AH68" s="269">
        <f t="shared" si="21"/>
        <v>5.7</v>
      </c>
      <c r="AI68" s="384">
        <f t="shared" ref="AI68:AJ71" si="40">B68+E68+H68+K68+N68+Q68+T68+W68+Z68+AC68</f>
        <v>58254.326518750007</v>
      </c>
      <c r="AJ68" s="384">
        <f t="shared" si="40"/>
        <v>61571.951003239999</v>
      </c>
      <c r="AK68" s="345">
        <f t="shared" si="23"/>
        <v>5.7</v>
      </c>
    </row>
    <row r="69" spans="1:37" s="355" customFormat="1" ht="20.100000000000001" customHeight="1" x14ac:dyDescent="0.3">
      <c r="A69" s="416" t="s">
        <v>210</v>
      </c>
      <c r="B69" s="344">
        <v>17469</v>
      </c>
      <c r="C69" s="344">
        <v>16328.445295920012</v>
      </c>
      <c r="D69" s="269">
        <f t="shared" si="19"/>
        <v>-6.5</v>
      </c>
      <c r="E69" s="144">
        <v>781.37242498000137</v>
      </c>
      <c r="F69" s="344">
        <v>885.82923336999841</v>
      </c>
      <c r="G69" s="269">
        <f>IF(E69=0, "    ---- ", IF(ABS(ROUND(100/E69*F69-100,1))&lt;999,ROUND(100/E69*F69-100,1),IF(ROUND(100/E69*F69-100,1)&gt;999,999,-999)))</f>
        <v>13.4</v>
      </c>
      <c r="H69" s="144">
        <v>448.38</v>
      </c>
      <c r="I69" s="344">
        <v>506.65100000000001</v>
      </c>
      <c r="J69" s="269">
        <f>IF(H69=0, "    ---- ", IF(ABS(ROUND(100/H69*I69-100,1))&lt;999,ROUND(100/H69*I69-100,1),IF(ROUND(100/H69*I69-100,1)&gt;999,999,-999)))</f>
        <v>13</v>
      </c>
      <c r="K69" s="144">
        <v>836</v>
      </c>
      <c r="L69" s="344">
        <v>733</v>
      </c>
      <c r="M69" s="341">
        <f>IF(K69=0, "    ---- ", IF(ABS(ROUND(100/K69*L69-100,1))&lt;999,ROUND(100/K69*L69-100,1),IF(ROUND(100/K69*L69-100,1)&gt;999,999,-999)))</f>
        <v>-12.3</v>
      </c>
      <c r="N69" s="144">
        <v>22374.543585299998</v>
      </c>
      <c r="O69" s="344">
        <v>23778.926179300001</v>
      </c>
      <c r="P69" s="269">
        <f t="shared" si="38"/>
        <v>6.3</v>
      </c>
      <c r="Q69" s="144">
        <v>8142.72</v>
      </c>
      <c r="R69" s="344">
        <v>7109.6</v>
      </c>
      <c r="S69" s="269">
        <f t="shared" si="25"/>
        <v>-12.7</v>
      </c>
      <c r="T69" s="144">
        <v>11673</v>
      </c>
      <c r="U69" s="344">
        <v>12824</v>
      </c>
      <c r="V69" s="269">
        <f>IF(T69=0, "    ---- ", IF(ABS(ROUND(100/T69*U69-100,1))&lt;999,ROUND(100/T69*U69-100,1),IF(ROUND(100/T69*U69-100,1)&gt;999,999,-999)))</f>
        <v>9.9</v>
      </c>
      <c r="W69" s="144">
        <v>1277.0139999999999</v>
      </c>
      <c r="X69" s="344">
        <v>1295.3594956800002</v>
      </c>
      <c r="Y69" s="269">
        <f t="shared" si="27"/>
        <v>1.4</v>
      </c>
      <c r="Z69" s="144">
        <v>12560.340025575122</v>
      </c>
      <c r="AA69" s="344">
        <v>11240.613436332784</v>
      </c>
      <c r="AB69" s="269">
        <f t="shared" si="28"/>
        <v>-10.5</v>
      </c>
      <c r="AC69" s="144">
        <v>-105</v>
      </c>
      <c r="AD69" s="344">
        <v>-129</v>
      </c>
      <c r="AE69" s="269">
        <f>IF(AC69=0, "    ---- ", IF(ABS(ROUND(100/AC69*AD69-100,1))&lt;999,ROUND(100/AC69*AD69-100,1),IF(ROUND(100/AC69*AD69-100,1)&gt;999,999,-999)))</f>
        <v>22.9</v>
      </c>
      <c r="AF69" s="384">
        <f t="shared" si="39"/>
        <v>75562.370035855129</v>
      </c>
      <c r="AG69" s="384">
        <f t="shared" si="39"/>
        <v>74702.424640602796</v>
      </c>
      <c r="AH69" s="269">
        <f t="shared" si="21"/>
        <v>-1.1000000000000001</v>
      </c>
      <c r="AI69" s="384">
        <f t="shared" si="40"/>
        <v>75457.370035855129</v>
      </c>
      <c r="AJ69" s="384">
        <f t="shared" si="40"/>
        <v>74573.424640602796</v>
      </c>
      <c r="AK69" s="345">
        <f t="shared" si="23"/>
        <v>-1.2</v>
      </c>
    </row>
    <row r="70" spans="1:37" s="355" customFormat="1" ht="20.100000000000001" customHeight="1" x14ac:dyDescent="0.3">
      <c r="A70" s="416" t="s">
        <v>211</v>
      </c>
      <c r="B70" s="344">
        <v>1291</v>
      </c>
      <c r="C70" s="344">
        <v>1471.6213673099999</v>
      </c>
      <c r="D70" s="269">
        <f>IF(B70=0, "    ---- ", IF(ABS(ROUND(100/B70*C70-100,1))&lt;999,ROUND(100/B70*C70-100,1),IF(ROUND(100/B70*C70-100,1)&gt;999,999,-999)))</f>
        <v>14</v>
      </c>
      <c r="E70" s="144"/>
      <c r="F70" s="344"/>
      <c r="G70" s="269"/>
      <c r="H70" s="144"/>
      <c r="I70" s="344"/>
      <c r="J70" s="269"/>
      <c r="K70" s="144">
        <v>53</v>
      </c>
      <c r="L70" s="344">
        <v>70</v>
      </c>
      <c r="M70" s="269">
        <f>IF(K70=0, "    ---- ", IF(ABS(ROUND(100/K70*L70-100,1))&lt;999,ROUND(100/K70*L70-100,1),IF(ROUND(100/K70*L70-100,1)&gt;999,999,-999)))</f>
        <v>32.1</v>
      </c>
      <c r="N70" s="144">
        <v>3931.1035582099998</v>
      </c>
      <c r="O70" s="344">
        <v>4219.7766272099998</v>
      </c>
      <c r="P70" s="269">
        <f t="shared" si="38"/>
        <v>7.3</v>
      </c>
      <c r="Q70" s="144">
        <v>288.87</v>
      </c>
      <c r="R70" s="344">
        <v>330.52</v>
      </c>
      <c r="S70" s="269">
        <f t="shared" si="25"/>
        <v>14.4</v>
      </c>
      <c r="T70" s="144"/>
      <c r="U70" s="344"/>
      <c r="V70" s="269"/>
      <c r="W70" s="144">
        <v>338.78899999999999</v>
      </c>
      <c r="X70" s="344">
        <v>321.9903663500001</v>
      </c>
      <c r="Y70" s="269">
        <f>IF(W70=0, "    ---- ", IF(ABS(ROUND(100/W70*X70-100,1))&lt;999,ROUND(100/W70*X70-100,1),IF(ROUND(100/W70*X70-100,1)&gt;999,999,-999)))</f>
        <v>-5</v>
      </c>
      <c r="Z70" s="144">
        <v>1198.3411280599996</v>
      </c>
      <c r="AA70" s="344">
        <v>1376.60348905</v>
      </c>
      <c r="AB70" s="269">
        <f t="shared" si="28"/>
        <v>14.9</v>
      </c>
      <c r="AC70" s="144"/>
      <c r="AD70" s="344"/>
      <c r="AE70" s="269"/>
      <c r="AF70" s="384">
        <f t="shared" si="39"/>
        <v>7101.1036862699984</v>
      </c>
      <c r="AG70" s="384">
        <f t="shared" si="39"/>
        <v>7790.5118499199998</v>
      </c>
      <c r="AH70" s="269">
        <f t="shared" si="21"/>
        <v>9.6999999999999993</v>
      </c>
      <c r="AI70" s="384">
        <f t="shared" si="40"/>
        <v>7101.1036862699984</v>
      </c>
      <c r="AJ70" s="384">
        <f t="shared" si="40"/>
        <v>7790.5118499199998</v>
      </c>
      <c r="AK70" s="345">
        <f t="shared" si="23"/>
        <v>9.6999999999999993</v>
      </c>
    </row>
    <row r="71" spans="1:37" s="355" customFormat="1" ht="20.100000000000001" customHeight="1" x14ac:dyDescent="0.3">
      <c r="A71" s="416" t="s">
        <v>212</v>
      </c>
      <c r="B71" s="344">
        <v>7000</v>
      </c>
      <c r="C71" s="344">
        <v>5500</v>
      </c>
      <c r="D71" s="269">
        <f t="shared" si="19"/>
        <v>-21.4</v>
      </c>
      <c r="E71" s="144">
        <v>550</v>
      </c>
      <c r="F71" s="344">
        <v>250</v>
      </c>
      <c r="G71" s="344">
        <f>IF(E71=0, "    ---- ", IF(ABS(ROUND(100/E71*F71-100,1))&lt;999,ROUND(100/E71*F71-100,1),IF(ROUND(100/E71*F71-100,1)&gt;999,999,-999)))</f>
        <v>-54.5</v>
      </c>
      <c r="H71" s="144"/>
      <c r="I71" s="344"/>
      <c r="J71" s="269"/>
      <c r="K71" s="144">
        <v>301</v>
      </c>
      <c r="L71" s="344">
        <v>301</v>
      </c>
      <c r="M71" s="269">
        <f>IF(K71=0, "    ---- ", IF(ABS(ROUND(100/K71*L71-100,1))&lt;999,ROUND(100/K71*L71-100,1),IF(ROUND(100/K71*L71-100,1)&gt;999,999,-999)))</f>
        <v>0</v>
      </c>
      <c r="N71" s="144">
        <v>4975.51320115</v>
      </c>
      <c r="O71" s="344">
        <v>1274.75597255</v>
      </c>
      <c r="P71" s="269">
        <f t="shared" si="38"/>
        <v>-74.400000000000006</v>
      </c>
      <c r="Q71" s="144">
        <v>2830</v>
      </c>
      <c r="R71" s="344">
        <v>2000</v>
      </c>
      <c r="S71" s="269">
        <f t="shared" si="25"/>
        <v>-29.3</v>
      </c>
      <c r="T71" s="144"/>
      <c r="U71" s="344"/>
      <c r="V71" s="269"/>
      <c r="W71" s="144"/>
      <c r="X71" s="344"/>
      <c r="Y71" s="269"/>
      <c r="Z71" s="144">
        <v>10061.277431269998</v>
      </c>
      <c r="AA71" s="344">
        <v>9833.2808511000003</v>
      </c>
      <c r="AB71" s="269">
        <f t="shared" si="28"/>
        <v>-2.2999999999999998</v>
      </c>
      <c r="AC71" s="144"/>
      <c r="AD71" s="344"/>
      <c r="AE71" s="269"/>
      <c r="AF71" s="384">
        <f t="shared" si="39"/>
        <v>25717.790632419998</v>
      </c>
      <c r="AG71" s="384">
        <f t="shared" si="39"/>
        <v>19159.03682365</v>
      </c>
      <c r="AH71" s="269">
        <f t="shared" si="21"/>
        <v>-25.5</v>
      </c>
      <c r="AI71" s="384">
        <f t="shared" si="40"/>
        <v>25717.790632419998</v>
      </c>
      <c r="AJ71" s="384">
        <f t="shared" si="40"/>
        <v>19159.03682365</v>
      </c>
      <c r="AK71" s="345">
        <f t="shared" si="23"/>
        <v>-25.5</v>
      </c>
    </row>
    <row r="72" spans="1:37" s="355" customFormat="1" ht="20.100000000000001" customHeight="1" x14ac:dyDescent="0.3">
      <c r="A72" s="416" t="s">
        <v>213</v>
      </c>
      <c r="B72" s="344"/>
      <c r="C72" s="344"/>
      <c r="D72" s="269"/>
      <c r="E72" s="144"/>
      <c r="F72" s="344"/>
      <c r="G72" s="269"/>
      <c r="H72" s="144"/>
      <c r="I72" s="344"/>
      <c r="J72" s="269"/>
      <c r="K72" s="144"/>
      <c r="L72" s="344"/>
      <c r="M72" s="341"/>
      <c r="N72" s="144"/>
      <c r="O72" s="344"/>
      <c r="P72" s="269"/>
      <c r="Q72" s="144"/>
      <c r="R72" s="344"/>
      <c r="S72" s="269"/>
      <c r="T72" s="144"/>
      <c r="U72" s="344"/>
      <c r="V72" s="269"/>
      <c r="W72" s="144"/>
      <c r="X72" s="344"/>
      <c r="Y72" s="269"/>
      <c r="Z72" s="144"/>
      <c r="AA72" s="344"/>
      <c r="AB72" s="269"/>
      <c r="AC72" s="144"/>
      <c r="AD72" s="344"/>
      <c r="AE72" s="269"/>
      <c r="AF72" s="341"/>
      <c r="AG72" s="341"/>
      <c r="AH72" s="269"/>
      <c r="AI72" s="341"/>
      <c r="AJ72" s="341"/>
      <c r="AK72" s="345"/>
    </row>
    <row r="73" spans="1:37" s="355" customFormat="1" ht="20.100000000000001" customHeight="1" x14ac:dyDescent="0.3">
      <c r="A73" s="416" t="s">
        <v>352</v>
      </c>
      <c r="B73" s="344">
        <v>175429</v>
      </c>
      <c r="C73" s="344">
        <v>170035.10315162994</v>
      </c>
      <c r="D73" s="269">
        <f t="shared" si="19"/>
        <v>-3.1</v>
      </c>
      <c r="E73" s="144">
        <v>9513.0419073499979</v>
      </c>
      <c r="F73" s="344">
        <v>10252.537980789995</v>
      </c>
      <c r="G73" s="269">
        <f>IF(E73=0, "    ---- ", IF(ABS(ROUND(100/E73*F73-100,1))&lt;999,ROUND(100/E73*F73-100,1),IF(ROUND(100/E73*F73-100,1)&gt;999,999,-999)))</f>
        <v>7.8</v>
      </c>
      <c r="H73" s="144">
        <v>2068</v>
      </c>
      <c r="I73" s="344">
        <v>2428.1849999999999</v>
      </c>
      <c r="J73" s="269">
        <f>IF(H73=0, "    ---- ", IF(ABS(ROUND(100/H73*I73-100,1))&lt;999,ROUND(100/H73*I73-100,1),IF(ROUND(100/H73*I73-100,1)&gt;999,999,-999)))</f>
        <v>17.399999999999999</v>
      </c>
      <c r="K73" s="144">
        <v>10261</v>
      </c>
      <c r="L73" s="344">
        <v>11265</v>
      </c>
      <c r="M73" s="341">
        <f>IF(K73=0, "    ---- ", IF(ABS(ROUND(100/K73*L73-100,1))&lt;999,ROUND(100/K73*L73-100,1),IF(ROUND(100/K73*L73-100,1)&gt;999,999,-999)))</f>
        <v>9.8000000000000007</v>
      </c>
      <c r="N73" s="144">
        <v>608764.00640425005</v>
      </c>
      <c r="O73" s="344">
        <v>650423.71768977004</v>
      </c>
      <c r="P73" s="269">
        <f t="shared" si="38"/>
        <v>6.8</v>
      </c>
      <c r="Q73" s="144">
        <v>47752.62</v>
      </c>
      <c r="R73" s="344">
        <v>48646.58</v>
      </c>
      <c r="S73" s="269">
        <f t="shared" si="25"/>
        <v>1.9</v>
      </c>
      <c r="T73" s="144">
        <v>91061</v>
      </c>
      <c r="U73" s="344">
        <v>96866</v>
      </c>
      <c r="V73" s="269">
        <f>IF(T73=0, "    ---- ", IF(ABS(ROUND(100/T73*U73-100,1))&lt;999,ROUND(100/T73*U73-100,1),IF(ROUND(100/T73*U73-100,1)&gt;999,999,-999)))</f>
        <v>6.4</v>
      </c>
      <c r="W73" s="144">
        <v>19851.058000000001</v>
      </c>
      <c r="X73" s="344">
        <v>21626.588054499985</v>
      </c>
      <c r="Y73" s="269">
        <f t="shared" si="27"/>
        <v>8.9</v>
      </c>
      <c r="Z73" s="144">
        <v>195029.45308750001</v>
      </c>
      <c r="AA73" s="344">
        <v>200472.34377221006</v>
      </c>
      <c r="AB73" s="269">
        <f t="shared" si="28"/>
        <v>2.8</v>
      </c>
      <c r="AC73" s="144">
        <v>111</v>
      </c>
      <c r="AD73" s="344">
        <v>200</v>
      </c>
      <c r="AE73" s="269">
        <f t="shared" ref="AE73:AE77" si="41">IF(AC73=0, "    ---- ", IF(ABS(ROUND(100/AC73*AD73-100,1))&lt;999,ROUND(100/AC73*AD73-100,1),IF(ROUND(100/AC73*AD73-100,1)&gt;999,999,-999)))</f>
        <v>80.2</v>
      </c>
      <c r="AF73" s="384">
        <f t="shared" ref="AF73:AG80" si="42">B73+E73+H73+K73+N73+Q73+T73+W73+Z73</f>
        <v>1159729.1793990999</v>
      </c>
      <c r="AG73" s="384">
        <f t="shared" si="42"/>
        <v>1212016.0556489001</v>
      </c>
      <c r="AH73" s="269">
        <f t="shared" si="21"/>
        <v>4.5</v>
      </c>
      <c r="AI73" s="384">
        <f t="shared" ref="AI73:AJ80" si="43">B73+E73+H73+K73+N73+Q73+T73+W73+Z73+AC73</f>
        <v>1159840.1793990999</v>
      </c>
      <c r="AJ73" s="384">
        <f t="shared" si="43"/>
        <v>1212216.0556489001</v>
      </c>
      <c r="AK73" s="345">
        <f t="shared" si="23"/>
        <v>4.5</v>
      </c>
    </row>
    <row r="74" spans="1:37" s="355" customFormat="1" ht="20.100000000000001" customHeight="1" x14ac:dyDescent="0.3">
      <c r="A74" s="533" t="s">
        <v>421</v>
      </c>
      <c r="B74" s="344"/>
      <c r="C74" s="344"/>
      <c r="D74" s="269"/>
      <c r="E74" s="144"/>
      <c r="F74" s="344"/>
      <c r="G74" s="269"/>
      <c r="H74" s="144"/>
      <c r="I74" s="344"/>
      <c r="J74" s="269"/>
      <c r="K74" s="144"/>
      <c r="L74" s="344"/>
      <c r="M74" s="341"/>
      <c r="N74" s="144"/>
      <c r="O74" s="344"/>
      <c r="P74" s="269"/>
      <c r="Q74" s="424"/>
      <c r="R74" s="344"/>
      <c r="S74" s="269"/>
      <c r="T74" s="424"/>
      <c r="U74" s="344"/>
      <c r="V74" s="269"/>
      <c r="W74" s="424"/>
      <c r="X74" s="344"/>
      <c r="Y74" s="269"/>
      <c r="Z74" s="424"/>
      <c r="AA74" s="344"/>
      <c r="AB74" s="269"/>
      <c r="AC74" s="144"/>
      <c r="AD74" s="344"/>
      <c r="AE74" s="269"/>
      <c r="AF74" s="384">
        <f t="shared" si="42"/>
        <v>0</v>
      </c>
      <c r="AG74" s="384">
        <f t="shared" si="42"/>
        <v>0</v>
      </c>
      <c r="AH74" s="269" t="str">
        <f t="shared" si="21"/>
        <v xml:space="preserve">    ---- </v>
      </c>
      <c r="AI74" s="384">
        <f t="shared" si="43"/>
        <v>0</v>
      </c>
      <c r="AJ74" s="384">
        <f t="shared" si="43"/>
        <v>0</v>
      </c>
      <c r="AK74" s="345" t="str">
        <f t="shared" si="23"/>
        <v xml:space="preserve">    ---- </v>
      </c>
    </row>
    <row r="75" spans="1:37" s="355" customFormat="1" ht="20.100000000000001" customHeight="1" x14ac:dyDescent="0.3">
      <c r="A75" s="533" t="s">
        <v>402</v>
      </c>
      <c r="B75" s="344"/>
      <c r="C75" s="344"/>
      <c r="D75" s="269"/>
      <c r="E75" s="144"/>
      <c r="F75" s="344"/>
      <c r="G75" s="269"/>
      <c r="H75" s="144"/>
      <c r="I75" s="344"/>
      <c r="J75" s="269"/>
      <c r="K75" s="144"/>
      <c r="L75" s="344"/>
      <c r="M75" s="341"/>
      <c r="N75" s="144">
        <v>1E-8</v>
      </c>
      <c r="O75" s="344">
        <v>1E-8</v>
      </c>
      <c r="P75" s="269">
        <f t="shared" si="38"/>
        <v>0</v>
      </c>
      <c r="Q75" s="424"/>
      <c r="R75" s="344"/>
      <c r="S75" s="269"/>
      <c r="T75" s="424"/>
      <c r="U75" s="344"/>
      <c r="V75" s="269"/>
      <c r="W75" s="424"/>
      <c r="X75" s="344"/>
      <c r="Y75" s="269"/>
      <c r="Z75" s="424">
        <v>52.909759459999869</v>
      </c>
      <c r="AA75" s="344">
        <v>70.674802160000013</v>
      </c>
      <c r="AB75" s="269">
        <f t="shared" si="28"/>
        <v>33.6</v>
      </c>
      <c r="AC75" s="144"/>
      <c r="AD75" s="344"/>
      <c r="AE75" s="269"/>
      <c r="AF75" s="384">
        <f t="shared" si="42"/>
        <v>52.909759469999869</v>
      </c>
      <c r="AG75" s="384">
        <f t="shared" si="42"/>
        <v>70.674802170000007</v>
      </c>
      <c r="AH75" s="269">
        <f t="shared" si="21"/>
        <v>33.6</v>
      </c>
      <c r="AI75" s="384">
        <f t="shared" si="43"/>
        <v>52.909759469999869</v>
      </c>
      <c r="AJ75" s="384">
        <f t="shared" si="43"/>
        <v>70.674802170000007</v>
      </c>
      <c r="AK75" s="345">
        <f t="shared" si="23"/>
        <v>33.6</v>
      </c>
    </row>
    <row r="76" spans="1:37" s="355" customFormat="1" ht="20.100000000000001" customHeight="1" x14ac:dyDescent="0.3">
      <c r="A76" s="416" t="s">
        <v>386</v>
      </c>
      <c r="B76" s="344">
        <v>6380</v>
      </c>
      <c r="C76" s="344">
        <v>9549.4957529300009</v>
      </c>
      <c r="D76" s="269">
        <f>IF(B76=0, "    ---- ", IF(ABS(ROUND(100/B76*C76-100,1))&lt;999,ROUND(100/B76*C76-100,1),IF(ROUND(100/B76*C76-100,1)&gt;999,999,-999)))</f>
        <v>49.7</v>
      </c>
      <c r="E76" s="144">
        <v>112.97187583</v>
      </c>
      <c r="F76" s="344">
        <v>9.13512111</v>
      </c>
      <c r="G76" s="269">
        <f>IF(E76=0, "    ---- ", IF(ABS(ROUND(100/E76*F76-100,1))&lt;999,ROUND(100/E76*F76-100,1),IF(ROUND(100/E76*F76-100,1)&gt;999,999,-999)))</f>
        <v>-91.9</v>
      </c>
      <c r="H76" s="144">
        <v>11.3</v>
      </c>
      <c r="I76" s="344">
        <v>53.33</v>
      </c>
      <c r="J76" s="269">
        <f>IF(H76=0, "    ---- ", IF(ABS(ROUND(100/H76*I76-100,1))&lt;999,ROUND(100/H76*I76-100,1),IF(ROUND(100/H76*I76-100,1)&gt;999,999,-999)))</f>
        <v>371.9</v>
      </c>
      <c r="K76" s="144">
        <v>303</v>
      </c>
      <c r="L76" s="344">
        <v>421</v>
      </c>
      <c r="M76" s="269">
        <f>IF(K76=0, "    ---- ", IF(ABS(ROUND(100/K76*L76-100,1))&lt;999,ROUND(100/K76*L76-100,1),IF(ROUND(100/K76*L76-100,1)&gt;999,999,-999)))</f>
        <v>38.9</v>
      </c>
      <c r="N76" s="144">
        <v>108930.19140364</v>
      </c>
      <c r="O76" s="344">
        <v>121996.22150364</v>
      </c>
      <c r="P76" s="269">
        <f>IF(N76=0, "    ---- ", IF(ABS(ROUND(100/N76*O76-100,1))&lt;999,ROUND(100/N76*O76-100,1),IF(ROUND(100/N76*O76-100,1)&gt;999,999,-999)))</f>
        <v>12</v>
      </c>
      <c r="Q76" s="144">
        <v>6052.57</v>
      </c>
      <c r="R76" s="344">
        <v>6231.7</v>
      </c>
      <c r="S76" s="269">
        <f>IF(Q76=0, "    ---- ", IF(ABS(ROUND(100/Q76*R76-100,1))&lt;999,ROUND(100/Q76*R76-100,1),IF(ROUND(100/Q76*R76-100,1)&gt;999,999,-999)))</f>
        <v>3</v>
      </c>
      <c r="T76" s="144">
        <v>29966</v>
      </c>
      <c r="U76" s="344">
        <v>32468</v>
      </c>
      <c r="V76" s="269">
        <f>IF(T76=0, "    ---- ", IF(ABS(ROUND(100/T76*U76-100,1))&lt;999,ROUND(100/T76*U76-100,1),IF(ROUND(100/T76*U76-100,1)&gt;999,999,-999)))</f>
        <v>8.3000000000000007</v>
      </c>
      <c r="W76" s="144">
        <v>3304.17</v>
      </c>
      <c r="X76" s="344">
        <v>3599.6506786600003</v>
      </c>
      <c r="Y76" s="269">
        <f>IF(W76=0, "    ---- ", IF(ABS(ROUND(100/W76*X76-100,1))&lt;999,ROUND(100/W76*X76-100,1),IF(ROUND(100/W76*X76-100,1)&gt;999,999,-999)))</f>
        <v>8.9</v>
      </c>
      <c r="Z76" s="144">
        <v>14209.380242200001</v>
      </c>
      <c r="AA76" s="344">
        <v>16297.598297760002</v>
      </c>
      <c r="AB76" s="269">
        <f>IF(Z76=0, "    ---- ", IF(ABS(ROUND(100/Z76*AA76-100,1))&lt;999,ROUND(100/Z76*AA76-100,1),IF(ROUND(100/Z76*AA76-100,1)&gt;999,999,-999)))</f>
        <v>14.7</v>
      </c>
      <c r="AC76" s="144">
        <v>2</v>
      </c>
      <c r="AD76" s="344">
        <v>2</v>
      </c>
      <c r="AE76" s="269">
        <f t="shared" si="41"/>
        <v>0</v>
      </c>
      <c r="AF76" s="384">
        <f t="shared" si="42"/>
        <v>169269.58352167002</v>
      </c>
      <c r="AG76" s="384">
        <f t="shared" si="42"/>
        <v>190626.13135410001</v>
      </c>
      <c r="AH76" s="269">
        <f>IF(AF76=0, "    ---- ", IF(ABS(ROUND(100/AF76*AG76-100,1))&lt;999,ROUND(100/AF76*AG76-100,1),IF(ROUND(100/AF76*AG76-100,1)&gt;999,999,-999)))</f>
        <v>12.6</v>
      </c>
      <c r="AI76" s="384">
        <f t="shared" si="43"/>
        <v>169271.58352167002</v>
      </c>
      <c r="AJ76" s="384">
        <f t="shared" si="43"/>
        <v>190628.13135410001</v>
      </c>
      <c r="AK76" s="269">
        <f>IF(AI76=0, "    ---- ", IF(ABS(ROUND(100/AI76*AJ76-100,1))&lt;999,ROUND(100/AI76*AJ76-100,1),IF(ROUND(100/AI76*AJ76-100,1)&gt;999,999,-999)))</f>
        <v>12.6</v>
      </c>
    </row>
    <row r="77" spans="1:37" s="355" customFormat="1" ht="20.100000000000001" customHeight="1" x14ac:dyDescent="0.3">
      <c r="A77" s="416" t="s">
        <v>401</v>
      </c>
      <c r="B77" s="344">
        <v>330</v>
      </c>
      <c r="C77" s="344">
        <v>399.7761070599999</v>
      </c>
      <c r="D77" s="269">
        <f t="shared" si="19"/>
        <v>21.1</v>
      </c>
      <c r="E77" s="144"/>
      <c r="F77" s="344"/>
      <c r="G77" s="269"/>
      <c r="H77" s="144"/>
      <c r="I77" s="344"/>
      <c r="J77" s="269"/>
      <c r="K77" s="144">
        <v>2</v>
      </c>
      <c r="L77" s="344">
        <v>5</v>
      </c>
      <c r="M77" s="269">
        <f>IF(K77=0, "    ---- ", IF(ABS(ROUND(100/K77*L77-100,1))&lt;999,ROUND(100/K77*L77-100,1),IF(ROUND(100/K77*L77-100,1)&gt;999,999,-999)))</f>
        <v>150</v>
      </c>
      <c r="N77" s="144">
        <v>27430.227531650002</v>
      </c>
      <c r="O77" s="344">
        <v>41004.03802865</v>
      </c>
      <c r="P77" s="269">
        <f t="shared" si="38"/>
        <v>49.5</v>
      </c>
      <c r="Q77" s="144">
        <v>969.88</v>
      </c>
      <c r="R77" s="344">
        <v>1050.6099999999999</v>
      </c>
      <c r="S77" s="269">
        <f t="shared" si="25"/>
        <v>8.3000000000000007</v>
      </c>
      <c r="T77" s="144">
        <v>2230</v>
      </c>
      <c r="U77" s="344">
        <v>2537</v>
      </c>
      <c r="V77" s="269">
        <f>IF(T77=0, "    ---- ", IF(ABS(ROUND(100/T77*U77-100,1))&lt;999,ROUND(100/T77*U77-100,1),IF(ROUND(100/T77*U77-100,1)&gt;999,999,-999)))</f>
        <v>13.8</v>
      </c>
      <c r="W77" s="144">
        <v>241.85</v>
      </c>
      <c r="X77" s="344">
        <v>236.87978461999992</v>
      </c>
      <c r="Y77" s="269">
        <f t="shared" si="27"/>
        <v>-2.1</v>
      </c>
      <c r="Z77" s="144">
        <v>3035.4195619899997</v>
      </c>
      <c r="AA77" s="344">
        <v>3545.3356310000008</v>
      </c>
      <c r="AB77" s="269">
        <f t="shared" si="28"/>
        <v>16.8</v>
      </c>
      <c r="AC77" s="144">
        <v>4</v>
      </c>
      <c r="AD77" s="344">
        <v>5</v>
      </c>
      <c r="AE77" s="269">
        <f t="shared" si="41"/>
        <v>25</v>
      </c>
      <c r="AF77" s="384">
        <f t="shared" si="42"/>
        <v>34239.377093640003</v>
      </c>
      <c r="AG77" s="384">
        <f t="shared" si="42"/>
        <v>48778.639551330009</v>
      </c>
      <c r="AH77" s="269">
        <f t="shared" si="21"/>
        <v>42.5</v>
      </c>
      <c r="AI77" s="384">
        <f t="shared" si="43"/>
        <v>34243.377093640003</v>
      </c>
      <c r="AJ77" s="384">
        <f t="shared" si="43"/>
        <v>48783.639551330009</v>
      </c>
      <c r="AK77" s="345">
        <f t="shared" si="23"/>
        <v>42.5</v>
      </c>
    </row>
    <row r="78" spans="1:37" s="355" customFormat="1" ht="20.100000000000001" customHeight="1" x14ac:dyDescent="0.3">
      <c r="A78" s="416" t="s">
        <v>387</v>
      </c>
      <c r="B78" s="344">
        <v>3647</v>
      </c>
      <c r="C78" s="344">
        <v>3796.0577346599998</v>
      </c>
      <c r="D78" s="269">
        <f t="shared" si="19"/>
        <v>4.0999999999999996</v>
      </c>
      <c r="E78" s="144"/>
      <c r="F78" s="344"/>
      <c r="G78" s="269"/>
      <c r="H78" s="144">
        <v>63.74</v>
      </c>
      <c r="I78" s="344">
        <v>76.671000000000006</v>
      </c>
      <c r="J78" s="269">
        <f>IF(H78=0, "    ---- ", IF(ABS(ROUND(100/H78*I78-100,1))&lt;999,ROUND(100/H78*I78-100,1),IF(ROUND(100/H78*I78-100,1)&gt;999,999,-999)))</f>
        <v>20.3</v>
      </c>
      <c r="K78" s="144"/>
      <c r="L78" s="344"/>
      <c r="M78" s="341"/>
      <c r="N78" s="144"/>
      <c r="O78" s="344"/>
      <c r="P78" s="269"/>
      <c r="Q78" s="144"/>
      <c r="R78" s="344"/>
      <c r="S78" s="269"/>
      <c r="T78" s="144"/>
      <c r="U78" s="344"/>
      <c r="V78" s="269"/>
      <c r="W78" s="144"/>
      <c r="X78" s="344"/>
      <c r="Y78" s="269"/>
      <c r="Z78" s="144">
        <v>857.76439020999987</v>
      </c>
      <c r="AA78" s="344">
        <v>1013.0986996399999</v>
      </c>
      <c r="AB78" s="269">
        <f t="shared" si="28"/>
        <v>18.100000000000001</v>
      </c>
      <c r="AC78" s="144"/>
      <c r="AD78" s="344"/>
      <c r="AE78" s="269"/>
      <c r="AF78" s="384">
        <f t="shared" si="42"/>
        <v>4568.5043902099997</v>
      </c>
      <c r="AG78" s="384">
        <f t="shared" si="42"/>
        <v>4885.8274342999994</v>
      </c>
      <c r="AH78" s="269">
        <f t="shared" si="21"/>
        <v>6.9</v>
      </c>
      <c r="AI78" s="384">
        <f t="shared" si="43"/>
        <v>4568.5043902099997</v>
      </c>
      <c r="AJ78" s="384">
        <f t="shared" si="43"/>
        <v>4885.8274342999994</v>
      </c>
      <c r="AK78" s="345">
        <f t="shared" si="23"/>
        <v>6.9</v>
      </c>
    </row>
    <row r="79" spans="1:37" s="355" customFormat="1" ht="20.100000000000001" customHeight="1" x14ac:dyDescent="0.3">
      <c r="A79" s="416" t="s">
        <v>214</v>
      </c>
      <c r="B79" s="344"/>
      <c r="C79" s="344"/>
      <c r="D79" s="269"/>
      <c r="E79" s="144">
        <v>5.8272639100000001</v>
      </c>
      <c r="F79" s="344">
        <v>6.4296136100000005</v>
      </c>
      <c r="G79" s="344">
        <f>IF(E79=0, "    ---- ", IF(ABS(ROUND(100/E79*F79-100,1))&lt;999,ROUND(100/E79*F79-100,1),IF(ROUND(100/E79*F79-100,1)&gt;999,999,-999)))</f>
        <v>10.3</v>
      </c>
      <c r="H79" s="144"/>
      <c r="I79" s="344"/>
      <c r="J79" s="269"/>
      <c r="K79" s="144"/>
      <c r="L79" s="344"/>
      <c r="M79" s="341"/>
      <c r="N79" s="144">
        <v>40433.806153999998</v>
      </c>
      <c r="O79" s="344">
        <v>33226.402243999997</v>
      </c>
      <c r="P79" s="269">
        <f t="shared" si="38"/>
        <v>-17.8</v>
      </c>
      <c r="Q79" s="144"/>
      <c r="R79" s="344"/>
      <c r="S79" s="269"/>
      <c r="T79" s="144">
        <v>6093</v>
      </c>
      <c r="U79" s="344">
        <v>5902</v>
      </c>
      <c r="V79" s="269">
        <f>IF(T79=0, "    ---- ", IF(ABS(ROUND(100/T79*U79-100,1))&lt;999,ROUND(100/T79*U79-100,1),IF(ROUND(100/T79*U79-100,1)&gt;999,999,-999)))</f>
        <v>-3.1</v>
      </c>
      <c r="W79" s="144">
        <v>710.64514892000045</v>
      </c>
      <c r="X79" s="344">
        <v>664.46028118999993</v>
      </c>
      <c r="Y79" s="269">
        <f t="shared" si="27"/>
        <v>-6.5</v>
      </c>
      <c r="Z79" s="144">
        <v>1339.1477629999999</v>
      </c>
      <c r="AA79" s="344">
        <v>2487.785061</v>
      </c>
      <c r="AB79" s="269">
        <f t="shared" si="28"/>
        <v>85.8</v>
      </c>
      <c r="AC79" s="144"/>
      <c r="AD79" s="344"/>
      <c r="AE79" s="269"/>
      <c r="AF79" s="384">
        <f t="shared" si="42"/>
        <v>48582.426329829999</v>
      </c>
      <c r="AG79" s="384">
        <f t="shared" si="42"/>
        <v>42287.077199799998</v>
      </c>
      <c r="AH79" s="269">
        <f t="shared" si="21"/>
        <v>-13</v>
      </c>
      <c r="AI79" s="384">
        <f t="shared" si="43"/>
        <v>48582.426329829999</v>
      </c>
      <c r="AJ79" s="384">
        <f t="shared" si="43"/>
        <v>42287.077199799998</v>
      </c>
      <c r="AK79" s="345">
        <f t="shared" si="23"/>
        <v>-13</v>
      </c>
    </row>
    <row r="80" spans="1:37" s="355" customFormat="1" ht="20.100000000000001" customHeight="1" x14ac:dyDescent="0.3">
      <c r="A80" s="452" t="s">
        <v>215</v>
      </c>
      <c r="B80" s="344">
        <v>185786</v>
      </c>
      <c r="C80" s="344">
        <v>183780.43274627993</v>
      </c>
      <c r="D80" s="269">
        <f t="shared" si="19"/>
        <v>-1.1000000000000001</v>
      </c>
      <c r="E80" s="144">
        <f>SUM(E73:E79)</f>
        <v>9631.841047089998</v>
      </c>
      <c r="F80" s="344">
        <f>SUM(F73:F79)</f>
        <v>10268.102715509996</v>
      </c>
      <c r="G80" s="269">
        <f>IF(E80=0, "    ---- ", IF(ABS(ROUND(100/E80*F80-100,1))&lt;999,ROUND(100/E80*F80-100,1),IF(ROUND(100/E80*F80-100,1)&gt;999,999,-999)))</f>
        <v>6.6</v>
      </c>
      <c r="H80" s="144">
        <f>SUM(H73:H79)</f>
        <v>2143.04</v>
      </c>
      <c r="I80" s="344">
        <f>SUM(I73:I79)</f>
        <v>2558.1859999999997</v>
      </c>
      <c r="J80" s="269">
        <f>IF(H80=0, "    ---- ", IF(ABS(ROUND(100/H80*I80-100,1))&lt;999,ROUND(100/H80*I80-100,1),IF(ROUND(100/H80*I80-100,1)&gt;999,999,-999)))</f>
        <v>19.399999999999999</v>
      </c>
      <c r="K80" s="144">
        <f>SUM(K73:K79)</f>
        <v>10566</v>
      </c>
      <c r="L80" s="344">
        <f>SUM(L73:L79)</f>
        <v>11691</v>
      </c>
      <c r="M80" s="341">
        <f>IF(K80=0, "    ---- ", IF(ABS(ROUND(100/K80*L80-100,1))&lt;999,ROUND(100/K80*L80-100,1),IF(ROUND(100/K80*L80-100,1)&gt;999,999,-999)))</f>
        <v>10.6</v>
      </c>
      <c r="N80" s="144">
        <v>785558.23149355</v>
      </c>
      <c r="O80" s="344">
        <v>846650.3794660701</v>
      </c>
      <c r="P80" s="269">
        <f t="shared" si="38"/>
        <v>7.8</v>
      </c>
      <c r="Q80" s="144">
        <f>SUM(Q73:Q79)</f>
        <v>54775.07</v>
      </c>
      <c r="R80" s="344">
        <f>SUM(R73:R79)</f>
        <v>55928.89</v>
      </c>
      <c r="S80" s="269">
        <f t="shared" si="25"/>
        <v>2.1</v>
      </c>
      <c r="T80" s="144">
        <v>129350</v>
      </c>
      <c r="U80" s="344">
        <f>SUM(U73:U79)</f>
        <v>137773</v>
      </c>
      <c r="V80" s="269">
        <f>IF(T80=0, "    ---- ", IF(ABS(ROUND(100/T80*U80-100,1))&lt;999,ROUND(100/T80*U80-100,1),IF(ROUND(100/T80*U80-100,1)&gt;999,999,-999)))</f>
        <v>6.5</v>
      </c>
      <c r="W80" s="144">
        <f>SUM(W73:W79)</f>
        <v>24107.723148920002</v>
      </c>
      <c r="X80" s="344">
        <f>SUM(X73:X79)</f>
        <v>26127.578798969986</v>
      </c>
      <c r="Y80" s="269">
        <f t="shared" si="27"/>
        <v>8.4</v>
      </c>
      <c r="Z80" s="144">
        <f>SUM(Z73:Z79)</f>
        <v>214524.07480436002</v>
      </c>
      <c r="AA80" s="344">
        <f>SUM(AA73:AA79)</f>
        <v>223886.83626377006</v>
      </c>
      <c r="AB80" s="269">
        <f t="shared" si="28"/>
        <v>4.4000000000000004</v>
      </c>
      <c r="AC80" s="144">
        <f>SUM(AC73:AC79)</f>
        <v>117</v>
      </c>
      <c r="AD80" s="344">
        <f>SUM(AD73:AD79)</f>
        <v>207</v>
      </c>
      <c r="AE80" s="269">
        <f>IF(AC80=0, "    ---- ", IF(ABS(ROUND(100/AC80*AD80-100,1))&lt;999,ROUND(100/AC80*AD80-100,1),IF(ROUND(100/AC80*AD80-100,1)&gt;999,999,-999)))</f>
        <v>76.900000000000006</v>
      </c>
      <c r="AF80" s="384">
        <f t="shared" si="42"/>
        <v>1416441.9804939202</v>
      </c>
      <c r="AG80" s="384">
        <f t="shared" si="42"/>
        <v>1498664.4059905999</v>
      </c>
      <c r="AH80" s="269">
        <f t="shared" si="21"/>
        <v>5.8</v>
      </c>
      <c r="AI80" s="384">
        <f t="shared" si="43"/>
        <v>1416558.9804939202</v>
      </c>
      <c r="AJ80" s="384">
        <f t="shared" si="43"/>
        <v>1498871.4059905999</v>
      </c>
      <c r="AK80" s="345">
        <f t="shared" si="23"/>
        <v>5.8</v>
      </c>
    </row>
    <row r="81" spans="1:37" s="355" customFormat="1" ht="20.100000000000001" customHeight="1" x14ac:dyDescent="0.3">
      <c r="A81" s="416" t="s">
        <v>216</v>
      </c>
      <c r="B81" s="344"/>
      <c r="C81" s="344"/>
      <c r="D81" s="269"/>
      <c r="E81" s="144"/>
      <c r="F81" s="344"/>
      <c r="G81" s="269"/>
      <c r="H81" s="144"/>
      <c r="I81" s="344"/>
      <c r="J81" s="269"/>
      <c r="K81" s="144"/>
      <c r="L81" s="344"/>
      <c r="M81" s="341"/>
      <c r="N81" s="144"/>
      <c r="O81" s="344"/>
      <c r="P81" s="269"/>
      <c r="Q81" s="144"/>
      <c r="R81" s="344"/>
      <c r="S81" s="269"/>
      <c r="T81" s="144"/>
      <c r="U81" s="344"/>
      <c r="V81" s="269"/>
      <c r="W81" s="144"/>
      <c r="X81" s="344"/>
      <c r="Y81" s="269"/>
      <c r="Z81" s="144"/>
      <c r="AA81" s="344"/>
      <c r="AB81" s="269"/>
      <c r="AC81" s="144"/>
      <c r="AD81" s="344"/>
      <c r="AE81" s="269"/>
      <c r="AF81" s="341"/>
      <c r="AG81" s="341"/>
      <c r="AH81" s="269"/>
      <c r="AI81" s="341"/>
      <c r="AJ81" s="341"/>
      <c r="AK81" s="345"/>
    </row>
    <row r="82" spans="1:37" s="355" customFormat="1" ht="20.100000000000001" customHeight="1" x14ac:dyDescent="0.3">
      <c r="A82" s="416" t="s">
        <v>388</v>
      </c>
      <c r="B82" s="344">
        <v>196364</v>
      </c>
      <c r="C82" s="344">
        <v>232514.57496236</v>
      </c>
      <c r="D82" s="269">
        <f t="shared" si="19"/>
        <v>18.399999999999999</v>
      </c>
      <c r="E82" s="144"/>
      <c r="F82" s="344"/>
      <c r="G82" s="269"/>
      <c r="H82" s="144"/>
      <c r="I82" s="344"/>
      <c r="J82" s="269"/>
      <c r="K82" s="144">
        <v>73303</v>
      </c>
      <c r="L82" s="344">
        <v>87698</v>
      </c>
      <c r="M82" s="341">
        <f>IF(K82=0, "    ---- ", IF(ABS(ROUND(100/K82*L82-100,1))&lt;999,ROUND(100/K82*L82-100,1),IF(ROUND(100/K82*L82-100,1)&gt;999,999,-999)))</f>
        <v>19.600000000000001</v>
      </c>
      <c r="N82" s="144">
        <v>2299.88597854</v>
      </c>
      <c r="O82" s="344">
        <v>2397.7211015399998</v>
      </c>
      <c r="P82" s="269">
        <f t="shared" ref="P82:P93" si="44">IF(N82=0, "    ---- ", IF(ABS(ROUND(100/N82*O82-100,1))&lt;999,ROUND(100/N82*O82-100,1),IF(ROUND(100/N82*O82-100,1)&gt;999,999,-999)))</f>
        <v>4.3</v>
      </c>
      <c r="Q82" s="144">
        <v>176350.13</v>
      </c>
      <c r="R82" s="344">
        <v>203536.57</v>
      </c>
      <c r="S82" s="269">
        <f t="shared" si="25"/>
        <v>15.4</v>
      </c>
      <c r="T82" s="144"/>
      <c r="U82" s="344"/>
      <c r="V82" s="269"/>
      <c r="W82" s="144">
        <v>80489.995999999999</v>
      </c>
      <c r="X82" s="344">
        <v>92024.785957129876</v>
      </c>
      <c r="Y82" s="269">
        <f t="shared" si="27"/>
        <v>14.3</v>
      </c>
      <c r="Z82" s="144">
        <v>242595.26997207984</v>
      </c>
      <c r="AA82" s="344">
        <v>272557.63112694997</v>
      </c>
      <c r="AB82" s="269">
        <f t="shared" si="28"/>
        <v>12.4</v>
      </c>
      <c r="AC82" s="144"/>
      <c r="AD82" s="344"/>
      <c r="AE82" s="269"/>
      <c r="AF82" s="384">
        <f t="shared" ref="AF82:AG91" si="45">B82+E82+H82+K82+N82+Q82+T82+W82+Z82</f>
        <v>771402.28195061977</v>
      </c>
      <c r="AG82" s="384">
        <f t="shared" si="45"/>
        <v>890729.28314797999</v>
      </c>
      <c r="AH82" s="269">
        <f t="shared" si="21"/>
        <v>15.5</v>
      </c>
      <c r="AI82" s="384">
        <f t="shared" ref="AI82:AJ91" si="46">B82+E82+H82+K82+N82+Q82+T82+W82+Z82+AC82</f>
        <v>771402.28195061977</v>
      </c>
      <c r="AJ82" s="384">
        <f t="shared" si="46"/>
        <v>890729.28314797999</v>
      </c>
      <c r="AK82" s="345">
        <f t="shared" si="23"/>
        <v>15.5</v>
      </c>
    </row>
    <row r="83" spans="1:37" s="355" customFormat="1" ht="20.100000000000001" customHeight="1" x14ac:dyDescent="0.3">
      <c r="A83" s="533" t="s">
        <v>421</v>
      </c>
      <c r="B83" s="344"/>
      <c r="C83" s="344"/>
      <c r="D83" s="269"/>
      <c r="E83" s="144"/>
      <c r="F83" s="344"/>
      <c r="G83" s="269"/>
      <c r="H83" s="144"/>
      <c r="I83" s="344"/>
      <c r="J83" s="269"/>
      <c r="K83" s="144"/>
      <c r="L83" s="344"/>
      <c r="M83" s="269"/>
      <c r="N83" s="144"/>
      <c r="O83" s="344"/>
      <c r="P83" s="269"/>
      <c r="Q83" s="144"/>
      <c r="R83" s="344"/>
      <c r="S83" s="269"/>
      <c r="T83" s="144"/>
      <c r="U83" s="344"/>
      <c r="V83" s="269"/>
      <c r="W83" s="144"/>
      <c r="X83" s="344">
        <v>-1.7108172178268432E-9</v>
      </c>
      <c r="Y83" s="269" t="str">
        <f t="shared" si="27"/>
        <v xml:space="preserve">    ---- </v>
      </c>
      <c r="Z83" s="144"/>
      <c r="AA83" s="344"/>
      <c r="AB83" s="269"/>
      <c r="AC83" s="144"/>
      <c r="AD83" s="344"/>
      <c r="AE83" s="269"/>
      <c r="AF83" s="384">
        <f t="shared" si="45"/>
        <v>0</v>
      </c>
      <c r="AG83" s="384">
        <f t="shared" si="45"/>
        <v>-1.7108172178268432E-9</v>
      </c>
      <c r="AH83" s="269" t="str">
        <f t="shared" si="21"/>
        <v xml:space="preserve">    ---- </v>
      </c>
      <c r="AI83" s="384">
        <f t="shared" si="46"/>
        <v>0</v>
      </c>
      <c r="AJ83" s="384">
        <f t="shared" si="46"/>
        <v>-1.7108172178268432E-9</v>
      </c>
      <c r="AK83" s="345" t="str">
        <f t="shared" si="23"/>
        <v xml:space="preserve">    ---- </v>
      </c>
    </row>
    <row r="84" spans="1:37" s="355" customFormat="1" ht="20.100000000000001" customHeight="1" x14ac:dyDescent="0.3">
      <c r="A84" s="416" t="s">
        <v>389</v>
      </c>
      <c r="B84" s="344"/>
      <c r="C84" s="344"/>
      <c r="D84" s="269"/>
      <c r="E84" s="144"/>
      <c r="F84" s="344"/>
      <c r="G84" s="269"/>
      <c r="H84" s="144"/>
      <c r="I84" s="344"/>
      <c r="J84" s="269"/>
      <c r="K84" s="144"/>
      <c r="L84" s="344"/>
      <c r="M84" s="269"/>
      <c r="N84" s="144">
        <v>185.00298753999999</v>
      </c>
      <c r="O84" s="344">
        <v>259.79510754</v>
      </c>
      <c r="P84" s="269">
        <f t="shared" si="44"/>
        <v>40.4</v>
      </c>
      <c r="Q84" s="144"/>
      <c r="R84" s="344"/>
      <c r="S84" s="269"/>
      <c r="T84" s="144"/>
      <c r="U84" s="344"/>
      <c r="V84" s="269"/>
      <c r="W84" s="144"/>
      <c r="X84" s="344"/>
      <c r="Y84" s="269"/>
      <c r="Z84" s="144"/>
      <c r="AA84" s="344"/>
      <c r="AB84" s="269"/>
      <c r="AC84" s="144"/>
      <c r="AD84" s="344"/>
      <c r="AE84" s="269"/>
      <c r="AF84" s="384">
        <f t="shared" si="45"/>
        <v>185.00298753999999</v>
      </c>
      <c r="AG84" s="384">
        <f t="shared" si="45"/>
        <v>259.79510754</v>
      </c>
      <c r="AH84" s="269"/>
      <c r="AI84" s="384">
        <f t="shared" si="46"/>
        <v>185.00298753999999</v>
      </c>
      <c r="AJ84" s="384">
        <f t="shared" si="46"/>
        <v>259.79510754</v>
      </c>
      <c r="AK84" s="345">
        <f t="shared" si="23"/>
        <v>40.4</v>
      </c>
    </row>
    <row r="85" spans="1:37" s="355" customFormat="1" ht="20.100000000000001" customHeight="1" x14ac:dyDescent="0.3">
      <c r="A85" s="416" t="s">
        <v>390</v>
      </c>
      <c r="B85" s="269">
        <v>285</v>
      </c>
      <c r="C85" s="269">
        <v>113.31402904000092</v>
      </c>
      <c r="D85" s="269">
        <f t="shared" si="19"/>
        <v>-60.2</v>
      </c>
      <c r="E85" s="424"/>
      <c r="F85" s="269"/>
      <c r="G85" s="269"/>
      <c r="H85" s="424"/>
      <c r="I85" s="269"/>
      <c r="J85" s="269"/>
      <c r="K85" s="424">
        <v>102</v>
      </c>
      <c r="L85" s="269">
        <v>121</v>
      </c>
      <c r="M85" s="269">
        <f>IF(K85=0, "    ---- ", IF(ABS(ROUND(100/K85*L85-100,1))&lt;999,ROUND(100/K85*L85-100,1),IF(ROUND(100/K85*L85-100,1)&gt;999,999,-999)))</f>
        <v>18.600000000000001</v>
      </c>
      <c r="N85" s="144">
        <v>424.86007425000003</v>
      </c>
      <c r="O85" s="269">
        <v>512.22927225000001</v>
      </c>
      <c r="P85" s="269">
        <f t="shared" si="44"/>
        <v>20.6</v>
      </c>
      <c r="Q85" s="424"/>
      <c r="R85" s="269"/>
      <c r="S85" s="269"/>
      <c r="T85" s="424"/>
      <c r="U85" s="269"/>
      <c r="V85" s="269"/>
      <c r="W85" s="424">
        <v>914.96900000000005</v>
      </c>
      <c r="X85" s="269">
        <v>1078.2050859500002</v>
      </c>
      <c r="Y85" s="269">
        <f t="shared" si="27"/>
        <v>17.8</v>
      </c>
      <c r="Z85" s="424"/>
      <c r="AA85" s="269"/>
      <c r="AB85" s="269"/>
      <c r="AC85" s="424"/>
      <c r="AD85" s="269"/>
      <c r="AE85" s="269"/>
      <c r="AF85" s="384">
        <f t="shared" si="45"/>
        <v>1726.8290742500001</v>
      </c>
      <c r="AG85" s="384">
        <f t="shared" si="45"/>
        <v>1824.7483872400012</v>
      </c>
      <c r="AH85" s="269">
        <f t="shared" si="21"/>
        <v>5.7</v>
      </c>
      <c r="AI85" s="384">
        <f t="shared" si="46"/>
        <v>1726.8290742500001</v>
      </c>
      <c r="AJ85" s="384">
        <f t="shared" si="46"/>
        <v>1824.7483872400012</v>
      </c>
      <c r="AK85" s="345">
        <f t="shared" si="23"/>
        <v>5.7</v>
      </c>
    </row>
    <row r="86" spans="1:37" s="355" customFormat="1" ht="20.100000000000001" customHeight="1" x14ac:dyDescent="0.3">
      <c r="A86" s="416" t="s">
        <v>214</v>
      </c>
      <c r="B86" s="344"/>
      <c r="C86" s="344"/>
      <c r="D86" s="344"/>
      <c r="E86" s="144"/>
      <c r="F86" s="344"/>
      <c r="G86" s="344"/>
      <c r="H86" s="144"/>
      <c r="I86" s="344"/>
      <c r="J86" s="344"/>
      <c r="K86" s="144"/>
      <c r="L86" s="344"/>
      <c r="M86" s="341"/>
      <c r="N86" s="144">
        <v>200.01986299999999</v>
      </c>
      <c r="O86" s="344">
        <v>147.048078</v>
      </c>
      <c r="P86" s="269">
        <f t="shared" si="44"/>
        <v>-26.5</v>
      </c>
      <c r="Q86" s="144"/>
      <c r="R86" s="344"/>
      <c r="S86" s="269"/>
      <c r="T86" s="144"/>
      <c r="U86" s="344"/>
      <c r="V86" s="269"/>
      <c r="W86" s="144"/>
      <c r="X86" s="344"/>
      <c r="Y86" s="269"/>
      <c r="Z86" s="144">
        <v>-13.724919999999999</v>
      </c>
      <c r="AA86" s="344">
        <v>-39.886294999999997</v>
      </c>
      <c r="AB86" s="269">
        <f t="shared" si="28"/>
        <v>190.6</v>
      </c>
      <c r="AC86" s="144"/>
      <c r="AD86" s="344"/>
      <c r="AE86" s="269"/>
      <c r="AF86" s="384">
        <f t="shared" si="45"/>
        <v>186.29494299999999</v>
      </c>
      <c r="AG86" s="384">
        <f t="shared" si="45"/>
        <v>107.16178300000001</v>
      </c>
      <c r="AH86" s="269">
        <f t="shared" si="21"/>
        <v>-42.5</v>
      </c>
      <c r="AI86" s="384">
        <f t="shared" si="46"/>
        <v>186.29494299999999</v>
      </c>
      <c r="AJ86" s="384">
        <f t="shared" si="46"/>
        <v>107.16178300000001</v>
      </c>
      <c r="AK86" s="345">
        <f t="shared" si="23"/>
        <v>-42.5</v>
      </c>
    </row>
    <row r="87" spans="1:37" s="355" customFormat="1" ht="20.100000000000001" customHeight="1" x14ac:dyDescent="0.3">
      <c r="A87" s="452" t="s">
        <v>217</v>
      </c>
      <c r="B87" s="344">
        <v>196649</v>
      </c>
      <c r="C87" s="344">
        <v>232627.88899139999</v>
      </c>
      <c r="D87" s="344">
        <f t="shared" si="19"/>
        <v>18.3</v>
      </c>
      <c r="E87" s="144"/>
      <c r="F87" s="344"/>
      <c r="G87" s="344"/>
      <c r="H87" s="144"/>
      <c r="I87" s="344"/>
      <c r="J87" s="344"/>
      <c r="K87" s="144">
        <f>SUM(K82:K86)</f>
        <v>73405</v>
      </c>
      <c r="L87" s="344">
        <f>SUM(L82:L86)</f>
        <v>87819</v>
      </c>
      <c r="M87" s="341">
        <f>IF(K87=0, "    ---- ", IF(ABS(ROUND(100/K87*L87-100,1))&lt;999,ROUND(100/K87*L87-100,1),IF(ROUND(100/K87*L87-100,1)&gt;999,999,-999)))</f>
        <v>19.600000000000001</v>
      </c>
      <c r="N87" s="144">
        <v>3109.7689033299998</v>
      </c>
      <c r="O87" s="344">
        <v>3316.7935593299999</v>
      </c>
      <c r="P87" s="269">
        <f t="shared" si="44"/>
        <v>6.7</v>
      </c>
      <c r="Q87" s="144">
        <f>SUM(Q82:Q86)</f>
        <v>176350.13</v>
      </c>
      <c r="R87" s="344">
        <f>SUM(R82:R86)</f>
        <v>203536.57</v>
      </c>
      <c r="S87" s="269">
        <f t="shared" si="25"/>
        <v>15.4</v>
      </c>
      <c r="T87" s="144"/>
      <c r="U87" s="344"/>
      <c r="V87" s="269"/>
      <c r="W87" s="144">
        <f>SUM(W82:W86)</f>
        <v>81404.964999999997</v>
      </c>
      <c r="X87" s="344">
        <f>SUM(X82:X86)</f>
        <v>93102.99104307816</v>
      </c>
      <c r="Y87" s="269">
        <f t="shared" si="27"/>
        <v>14.4</v>
      </c>
      <c r="Z87" s="144">
        <f>SUM(Z82:Z86)</f>
        <v>242581.54505207983</v>
      </c>
      <c r="AA87" s="344">
        <f>SUM(AA82:AA86)</f>
        <v>272517.74483195</v>
      </c>
      <c r="AB87" s="269">
        <f t="shared" si="28"/>
        <v>12.3</v>
      </c>
      <c r="AC87" s="144"/>
      <c r="AD87" s="344"/>
      <c r="AE87" s="269"/>
      <c r="AF87" s="384">
        <f t="shared" si="45"/>
        <v>773500.40895540989</v>
      </c>
      <c r="AG87" s="384">
        <f t="shared" si="45"/>
        <v>892920.9884257582</v>
      </c>
      <c r="AH87" s="269">
        <f t="shared" si="21"/>
        <v>15.4</v>
      </c>
      <c r="AI87" s="384">
        <f t="shared" si="46"/>
        <v>773500.40895540989</v>
      </c>
      <c r="AJ87" s="384">
        <f t="shared" si="46"/>
        <v>892920.9884257582</v>
      </c>
      <c r="AK87" s="345">
        <f t="shared" si="23"/>
        <v>15.4</v>
      </c>
    </row>
    <row r="88" spans="1:37" s="355" customFormat="1" ht="20.100000000000001" customHeight="1" x14ac:dyDescent="0.3">
      <c r="A88" s="416" t="s">
        <v>218</v>
      </c>
      <c r="B88" s="344">
        <v>1647</v>
      </c>
      <c r="C88" s="344">
        <v>1515.15537021</v>
      </c>
      <c r="D88" s="269">
        <f t="shared" si="19"/>
        <v>-8</v>
      </c>
      <c r="E88" s="144">
        <v>311.61797014999996</v>
      </c>
      <c r="F88" s="344">
        <v>344.41576280000004</v>
      </c>
      <c r="G88" s="269">
        <f>IF(E88=0, "    ---- ", IF(ABS(ROUND(100/E88*F88-100,1))&lt;999,ROUND(100/E88*F88-100,1),IF(ROUND(100/E88*F88-100,1)&gt;999,999,-999)))</f>
        <v>10.5</v>
      </c>
      <c r="H88" s="144"/>
      <c r="I88" s="344"/>
      <c r="J88" s="269"/>
      <c r="K88" s="144">
        <v>118</v>
      </c>
      <c r="L88" s="344">
        <v>557</v>
      </c>
      <c r="M88" s="269">
        <f>IF(K88=0, "    ---- ", IF(ABS(ROUND(100/K88*L88-100,1))&lt;999,ROUND(100/K88*L88-100,1),IF(ROUND(100/K88*L88-100,1)&gt;999,999,-999)))</f>
        <v>372</v>
      </c>
      <c r="N88" s="144">
        <v>1316.8423145899999</v>
      </c>
      <c r="O88" s="344">
        <v>1733.0270341500002</v>
      </c>
      <c r="P88" s="269">
        <f t="shared" si="44"/>
        <v>31.6</v>
      </c>
      <c r="Q88" s="144">
        <v>875.38</v>
      </c>
      <c r="R88" s="344">
        <v>921.81</v>
      </c>
      <c r="S88" s="269">
        <f t="shared" si="25"/>
        <v>5.3</v>
      </c>
      <c r="T88" s="144">
        <v>1478</v>
      </c>
      <c r="U88" s="344">
        <f>712+660+329+1</f>
        <v>1702</v>
      </c>
      <c r="V88" s="269">
        <f>IF(T88=0, "    ---- ", IF(ABS(ROUND(100/T88*U88-100,1))&lt;999,ROUND(100/T88*U88-100,1),IF(ROUND(100/T88*U88-100,1)&gt;999,999,-999)))</f>
        <v>15.2</v>
      </c>
      <c r="W88" s="144">
        <v>241.37899999999999</v>
      </c>
      <c r="X88" s="344">
        <v>332.17586370000009</v>
      </c>
      <c r="Y88" s="269">
        <f t="shared" si="27"/>
        <v>37.6</v>
      </c>
      <c r="Z88" s="144">
        <v>198.62623305126789</v>
      </c>
      <c r="AA88" s="344">
        <v>158.29005191819707</v>
      </c>
      <c r="AB88" s="269">
        <f t="shared" si="28"/>
        <v>-20.3</v>
      </c>
      <c r="AC88" s="144"/>
      <c r="AD88" s="344"/>
      <c r="AE88" s="269"/>
      <c r="AF88" s="384">
        <f t="shared" si="45"/>
        <v>6186.8455177912683</v>
      </c>
      <c r="AG88" s="384">
        <f t="shared" si="45"/>
        <v>7263.8740827781967</v>
      </c>
      <c r="AH88" s="269">
        <f t="shared" si="21"/>
        <v>17.399999999999999</v>
      </c>
      <c r="AI88" s="384">
        <f t="shared" si="46"/>
        <v>6186.8455177912683</v>
      </c>
      <c r="AJ88" s="384">
        <f t="shared" si="46"/>
        <v>7263.8740827781967</v>
      </c>
      <c r="AK88" s="345">
        <f t="shared" si="23"/>
        <v>17.399999999999999</v>
      </c>
    </row>
    <row r="89" spans="1:37" s="355" customFormat="1" ht="20.100000000000001" customHeight="1" x14ac:dyDescent="0.3">
      <c r="A89" s="416" t="s">
        <v>219</v>
      </c>
      <c r="B89" s="344"/>
      <c r="C89" s="344"/>
      <c r="D89" s="269"/>
      <c r="E89" s="144">
        <v>268.07203937999998</v>
      </c>
      <c r="F89" s="344">
        <v>195.22346647999998</v>
      </c>
      <c r="G89" s="344">
        <f t="shared" ref="G89:G90" si="47">IF(E89=0, "    ---- ", IF(ABS(ROUND(100/E89*F89-100,1))&lt;999,ROUND(100/E89*F89-100,1),IF(ROUND(100/E89*F89-100,1)&gt;999,999,-999)))</f>
        <v>-27.2</v>
      </c>
      <c r="H89" s="144"/>
      <c r="I89" s="344"/>
      <c r="J89" s="269"/>
      <c r="K89" s="144"/>
      <c r="L89" s="344"/>
      <c r="M89" s="269"/>
      <c r="N89" s="144"/>
      <c r="O89" s="344"/>
      <c r="P89" s="269"/>
      <c r="Q89" s="144"/>
      <c r="R89" s="344"/>
      <c r="S89" s="269"/>
      <c r="T89" s="144"/>
      <c r="U89" s="344"/>
      <c r="V89" s="269"/>
      <c r="W89" s="144">
        <v>12.79</v>
      </c>
      <c r="X89" s="344">
        <v>17.662426999999997</v>
      </c>
      <c r="Y89" s="269">
        <f t="shared" si="27"/>
        <v>38.1</v>
      </c>
      <c r="Z89" s="144"/>
      <c r="AA89" s="344"/>
      <c r="AB89" s="269"/>
      <c r="AC89" s="144"/>
      <c r="AD89" s="344"/>
      <c r="AE89" s="269"/>
      <c r="AF89" s="384">
        <f t="shared" si="45"/>
        <v>280.86203938</v>
      </c>
      <c r="AG89" s="384">
        <f t="shared" si="45"/>
        <v>212.88589347999999</v>
      </c>
      <c r="AH89" s="269">
        <f t="shared" si="21"/>
        <v>-24.2</v>
      </c>
      <c r="AI89" s="384">
        <f t="shared" si="46"/>
        <v>280.86203938</v>
      </c>
      <c r="AJ89" s="384">
        <f t="shared" si="46"/>
        <v>212.88589347999999</v>
      </c>
      <c r="AK89" s="345">
        <f t="shared" si="23"/>
        <v>-24.2</v>
      </c>
    </row>
    <row r="90" spans="1:37" s="355" customFormat="1" ht="20.100000000000001" customHeight="1" x14ac:dyDescent="0.3">
      <c r="A90" s="416" t="s">
        <v>220</v>
      </c>
      <c r="B90" s="344">
        <v>3643</v>
      </c>
      <c r="C90" s="344">
        <v>4025.7354041799954</v>
      </c>
      <c r="D90" s="344">
        <f t="shared" si="19"/>
        <v>10.5</v>
      </c>
      <c r="E90" s="144">
        <v>91.288061699999972</v>
      </c>
      <c r="F90" s="344">
        <v>89.709672409999996</v>
      </c>
      <c r="G90" s="344">
        <f t="shared" si="47"/>
        <v>-1.7</v>
      </c>
      <c r="H90" s="144">
        <v>103.913</v>
      </c>
      <c r="I90" s="344">
        <v>120.105</v>
      </c>
      <c r="J90" s="344">
        <f>IF(H90=0, "    ---- ", IF(ABS(ROUND(100/H90*I90-100,1))&lt;999,ROUND(100/H90*I90-100,1),IF(ROUND(100/H90*I90-100,1)&gt;999,999,-999)))</f>
        <v>15.6</v>
      </c>
      <c r="K90" s="144">
        <v>239</v>
      </c>
      <c r="L90" s="344">
        <v>249</v>
      </c>
      <c r="M90" s="341">
        <f>IF(K90=0, "    ---- ", IF(ABS(ROUND(100/K90*L90-100,1))&lt;999,ROUND(100/K90*L90-100,1),IF(ROUND(100/K90*L90-100,1)&gt;999,999,-999)))</f>
        <v>4.2</v>
      </c>
      <c r="N90" s="144">
        <v>9337.71042949</v>
      </c>
      <c r="O90" s="344">
        <v>9026.7220241299983</v>
      </c>
      <c r="P90" s="269">
        <f t="shared" si="44"/>
        <v>-3.3</v>
      </c>
      <c r="Q90" s="144">
        <v>725.12</v>
      </c>
      <c r="R90" s="344">
        <v>727.78</v>
      </c>
      <c r="S90" s="269">
        <f t="shared" si="25"/>
        <v>0.4</v>
      </c>
      <c r="T90" s="144"/>
      <c r="U90" s="344"/>
      <c r="V90" s="269"/>
      <c r="W90" s="144">
        <v>480.45100000000002</v>
      </c>
      <c r="X90" s="344">
        <v>515.15271808998352</v>
      </c>
      <c r="Y90" s="269">
        <f t="shared" si="27"/>
        <v>7.2</v>
      </c>
      <c r="Z90" s="144">
        <v>43398.200239239923</v>
      </c>
      <c r="AA90" s="344">
        <v>29038.306329889627</v>
      </c>
      <c r="AB90" s="269">
        <f t="shared" si="28"/>
        <v>-33.1</v>
      </c>
      <c r="AC90" s="144">
        <v>28</v>
      </c>
      <c r="AD90" s="344">
        <v>74</v>
      </c>
      <c r="AE90" s="269">
        <f>IF(AC90=0, "    ---- ", IF(ABS(ROUND(100/AC90*AD90-100,1))&lt;999,ROUND(100/AC90*AD90-100,1),IF(ROUND(100/AC90*AD90-100,1)&gt;999,999,-999)))</f>
        <v>164.3</v>
      </c>
      <c r="AF90" s="384">
        <f t="shared" si="45"/>
        <v>58018.682730429922</v>
      </c>
      <c r="AG90" s="384">
        <f t="shared" si="45"/>
        <v>43792.511148699603</v>
      </c>
      <c r="AH90" s="269">
        <f t="shared" si="21"/>
        <v>-24.5</v>
      </c>
      <c r="AI90" s="384">
        <f t="shared" si="46"/>
        <v>58046.682730429922</v>
      </c>
      <c r="AJ90" s="384">
        <f t="shared" si="46"/>
        <v>43866.511148699603</v>
      </c>
      <c r="AK90" s="345">
        <f t="shared" si="23"/>
        <v>-24.4</v>
      </c>
    </row>
    <row r="91" spans="1:37" s="355" customFormat="1" ht="20.100000000000001" customHeight="1" x14ac:dyDescent="0.3">
      <c r="A91" s="416" t="s">
        <v>221</v>
      </c>
      <c r="B91" s="344">
        <v>67</v>
      </c>
      <c r="C91" s="344">
        <v>106.65888740999999</v>
      </c>
      <c r="D91" s="344">
        <f t="shared" si="19"/>
        <v>59.2</v>
      </c>
      <c r="E91" s="144"/>
      <c r="F91" s="344"/>
      <c r="G91" s="344"/>
      <c r="H91" s="144">
        <v>42.106000000000002</v>
      </c>
      <c r="I91" s="344">
        <v>28.954999999999998</v>
      </c>
      <c r="J91" s="344">
        <f>IF(H91=0, "    ---- ", IF(ABS(ROUND(100/H91*I91-100,1))&lt;999,ROUND(100/H91*I91-100,1),IF(ROUND(100/H91*I91-100,1)&gt;999,999,-999)))</f>
        <v>-31.2</v>
      </c>
      <c r="K91" s="144">
        <v>37</v>
      </c>
      <c r="L91" s="344">
        <v>36</v>
      </c>
      <c r="M91" s="269">
        <f>IF(K91=0, "    ---- ", IF(ABS(ROUND(100/K91*L91-100,1))&lt;999,ROUND(100/K91*L91-100,1),IF(ROUND(100/K91*L91-100,1)&gt;999,999,-999)))</f>
        <v>-2.7</v>
      </c>
      <c r="N91" s="144">
        <v>124.45002475</v>
      </c>
      <c r="O91" s="344">
        <v>263.29624825999997</v>
      </c>
      <c r="P91" s="269">
        <f t="shared" si="44"/>
        <v>111.6</v>
      </c>
      <c r="Q91" s="144">
        <v>72.7</v>
      </c>
      <c r="R91" s="344">
        <v>93.61</v>
      </c>
      <c r="S91" s="269">
        <f t="shared" si="25"/>
        <v>28.8</v>
      </c>
      <c r="T91" s="144"/>
      <c r="U91" s="344"/>
      <c r="V91" s="269"/>
      <c r="W91" s="144">
        <v>44.838000000000001</v>
      </c>
      <c r="X91" s="344">
        <v>50.813974009999953</v>
      </c>
      <c r="Y91" s="269">
        <f t="shared" si="27"/>
        <v>13.3</v>
      </c>
      <c r="Z91" s="144">
        <v>426.7985607112679</v>
      </c>
      <c r="AA91" s="344">
        <v>443.28278742819708</v>
      </c>
      <c r="AB91" s="269">
        <f t="shared" si="28"/>
        <v>3.9</v>
      </c>
      <c r="AC91" s="144">
        <v>2</v>
      </c>
      <c r="AD91" s="344">
        <v>4</v>
      </c>
      <c r="AE91" s="269">
        <f>IF(AC91=0, "    ---- ", IF(ABS(ROUND(100/AC91*AD91-100,1))&lt;999,ROUND(100/AC91*AD91-100,1),IF(ROUND(100/AC91*AD91-100,1)&gt;999,999,-999)))</f>
        <v>100</v>
      </c>
      <c r="AF91" s="384">
        <f t="shared" si="45"/>
        <v>814.89258546126791</v>
      </c>
      <c r="AG91" s="384">
        <f t="shared" si="45"/>
        <v>1022.616897108197</v>
      </c>
      <c r="AH91" s="269">
        <f t="shared" si="21"/>
        <v>25.5</v>
      </c>
      <c r="AI91" s="384">
        <f t="shared" si="46"/>
        <v>816.89258546126791</v>
      </c>
      <c r="AJ91" s="384">
        <f t="shared" si="46"/>
        <v>1026.616897108197</v>
      </c>
      <c r="AK91" s="345">
        <f t="shared" si="23"/>
        <v>25.7</v>
      </c>
    </row>
    <row r="92" spans="1:37" s="355" customFormat="1" ht="20.100000000000001" customHeight="1" x14ac:dyDescent="0.3">
      <c r="A92" s="416"/>
      <c r="B92" s="344"/>
      <c r="C92" s="344"/>
      <c r="D92" s="269"/>
      <c r="E92" s="144"/>
      <c r="F92" s="344"/>
      <c r="G92" s="269"/>
      <c r="H92" s="144"/>
      <c r="I92" s="344"/>
      <c r="J92" s="269"/>
      <c r="K92" s="144"/>
      <c r="L92" s="344"/>
      <c r="M92" s="269"/>
      <c r="N92" s="144"/>
      <c r="O92" s="344"/>
      <c r="P92" s="269"/>
      <c r="Q92" s="144"/>
      <c r="R92" s="344"/>
      <c r="S92" s="269"/>
      <c r="T92" s="144"/>
      <c r="U92" s="344"/>
      <c r="V92" s="269"/>
      <c r="W92" s="144"/>
      <c r="X92" s="344"/>
      <c r="Y92" s="269"/>
      <c r="Z92" s="144"/>
      <c r="AA92" s="344"/>
      <c r="AB92" s="269"/>
      <c r="AC92" s="144"/>
      <c r="AD92" s="344"/>
      <c r="AE92" s="269"/>
      <c r="AF92" s="341"/>
      <c r="AG92" s="341"/>
      <c r="AH92" s="269"/>
      <c r="AI92" s="341"/>
      <c r="AJ92" s="341"/>
      <c r="AK92" s="345"/>
    </row>
    <row r="93" spans="1:37" s="363" customFormat="1" ht="20.100000000000001" customHeight="1" x14ac:dyDescent="0.3">
      <c r="A93" s="427" t="s">
        <v>222</v>
      </c>
      <c r="B93" s="348">
        <v>419918</v>
      </c>
      <c r="C93" s="348">
        <v>451541.3698476</v>
      </c>
      <c r="D93" s="349">
        <f t="shared" si="19"/>
        <v>7.5</v>
      </c>
      <c r="E93" s="147">
        <f>SUM(E68+E69+E71+E80+E87+E88+E89+E90+E91)</f>
        <v>14086.248854299998</v>
      </c>
      <c r="F93" s="348">
        <f>SUM(F68+F69+F71+F80+F87+F88+F89+F90+F91)</f>
        <v>14485.338161569993</v>
      </c>
      <c r="G93" s="349">
        <f>IF(E93=0, "    ---- ", IF(ABS(ROUND(100/E93*F93-100,1))&lt;999,ROUND(100/E93*F93-100,1),IF(ROUND(100/E93*F93-100,1)&gt;999,999,-999)))</f>
        <v>2.8</v>
      </c>
      <c r="H93" s="147">
        <f>SUM(H68+H69+H71+H80+H87+H88+H89+H90+H91)</f>
        <v>2958.6890000000003</v>
      </c>
      <c r="I93" s="348">
        <f>SUM(I68+I69+I71+I80+I87+I88+I89+I90+I91)</f>
        <v>3435.1469999999995</v>
      </c>
      <c r="J93" s="349">
        <f>IF(H93=0, "    ---- ", IF(ABS(ROUND(100/H93*I93-100,1))&lt;999,ROUND(100/H93*I93-100,1),IF(ROUND(100/H93*I93-100,1)&gt;999,999,-999)))</f>
        <v>16.100000000000001</v>
      </c>
      <c r="K93" s="147">
        <f>SUM(K68+K69+K71+K80+K87+K88+K89+K90+K91)</f>
        <v>85626</v>
      </c>
      <c r="L93" s="348">
        <f>SUM(L68+L69+L71+L80+L87+L88+L89+L90+L91)</f>
        <v>102011</v>
      </c>
      <c r="M93" s="349">
        <f>IF(K93=0, "    ---- ", IF(ABS(ROUND(100/K93*L93-100,1))&lt;999,ROUND(100/K93*L93-100,1),IF(ROUND(100/K93*L93-100,1)&gt;999,999,-999)))</f>
        <v>19.100000000000001</v>
      </c>
      <c r="N93" s="147">
        <v>851023.0618051599</v>
      </c>
      <c r="O93" s="348">
        <v>912617.56038779009</v>
      </c>
      <c r="P93" s="349">
        <f t="shared" si="44"/>
        <v>7.2</v>
      </c>
      <c r="Q93" s="147">
        <f>SUM(Q68+Q69+Q71+Q80+Q87+Q88+Q89+Q90+Q91)</f>
        <v>244897.88</v>
      </c>
      <c r="R93" s="348">
        <f>SUM(R68+R69+R71+R80+R87+R88+R89+R90+R91)</f>
        <v>271445.02</v>
      </c>
      <c r="S93" s="349">
        <f t="shared" si="25"/>
        <v>10.8</v>
      </c>
      <c r="T93" s="147">
        <v>143931</v>
      </c>
      <c r="U93" s="348">
        <f>SUM(U68+U69+U71+U80+U87+U88+U89+U90+U91)</f>
        <v>153729</v>
      </c>
      <c r="V93" s="349">
        <f>IF(T93=0, "    ---- ", IF(ABS(ROUND(100/T93*U93-100,1))&lt;999,ROUND(100/T93*U93-100,1),IF(ROUND(100/T93*U93-100,1)&gt;999,999,-999)))</f>
        <v>6.8</v>
      </c>
      <c r="W93" s="147">
        <f>SUM(W68+W69+W71+W80+W87+W88+W89+W90+W91)</f>
        <v>112541.85614891999</v>
      </c>
      <c r="X93" s="348">
        <v>126414.42987332999</v>
      </c>
      <c r="Y93" s="349">
        <f t="shared" si="27"/>
        <v>12.3</v>
      </c>
      <c r="Z93" s="147">
        <f>SUM(Z68+Z69+Z71+Z80+Z87+Z88+Z89+Z90+Z91)</f>
        <v>539709.42370103742</v>
      </c>
      <c r="AA93" s="348">
        <v>563545.82963559998</v>
      </c>
      <c r="AB93" s="349">
        <f t="shared" si="28"/>
        <v>4.4000000000000004</v>
      </c>
      <c r="AC93" s="147">
        <f>SUM(AC68+AC69+AC71+AC80+AC87+AC88+AC89+AC90+AC91)</f>
        <v>128</v>
      </c>
      <c r="AD93" s="348">
        <f>SUM(AD68+AD69+AD71+AD80+AD87+AD88+AD89+AD90+AD91)</f>
        <v>242</v>
      </c>
      <c r="AE93" s="349">
        <f>IF(AC93=0, "    ---- ", IF(ABS(ROUND(100/AC93*AD93-100,1))&lt;999,ROUND(100/AC93*AD93-100,1),IF(ROUND(100/AC93*AD93-100,1)&gt;999,999,-999)))</f>
        <v>89.1</v>
      </c>
      <c r="AF93" s="495">
        <f t="shared" ref="AF93:AG93" si="48">B93+E93+H93+K93+N93+Q93+T93+W93+Z93</f>
        <v>2414692.1595094176</v>
      </c>
      <c r="AG93" s="495">
        <f t="shared" si="48"/>
        <v>2599224.6949058902</v>
      </c>
      <c r="AH93" s="349">
        <f t="shared" si="21"/>
        <v>7.6</v>
      </c>
      <c r="AI93" s="348">
        <f>B93+E93+H93+K93+N93+Q93+T93+W93+Z93+AC93</f>
        <v>2414820.1595094176</v>
      </c>
      <c r="AJ93" s="348">
        <f>C93+F93+I93+L93+O93+R93+U93+X93+AA93+AD93</f>
        <v>2599466.6949058902</v>
      </c>
      <c r="AK93" s="350">
        <f t="shared" si="23"/>
        <v>7.6</v>
      </c>
    </row>
    <row r="94" spans="1:37" ht="18.75" customHeight="1" x14ac:dyDescent="0.3">
      <c r="A94" s="353" t="s">
        <v>223</v>
      </c>
      <c r="N94" s="353"/>
      <c r="R94" s="456"/>
      <c r="S94" s="456"/>
      <c r="T94" s="456"/>
      <c r="U94" s="456"/>
      <c r="V94" s="456"/>
      <c r="W94" s="353"/>
      <c r="Z94" s="353"/>
      <c r="AC94" s="353"/>
      <c r="AD94" s="348"/>
    </row>
    <row r="95" spans="1:37" ht="18.75" customHeight="1" x14ac:dyDescent="0.3">
      <c r="A95" s="353" t="s">
        <v>224</v>
      </c>
      <c r="N95" s="353"/>
      <c r="R95" s="456"/>
      <c r="S95" s="456"/>
      <c r="T95" s="456"/>
      <c r="U95" s="456"/>
      <c r="V95" s="456"/>
      <c r="W95" s="353"/>
      <c r="Z95" s="353"/>
      <c r="AC95" s="353"/>
    </row>
    <row r="96" spans="1:37" s="356" customFormat="1" ht="18.75" customHeight="1" x14ac:dyDescent="0.3">
      <c r="A96" s="353" t="s">
        <v>225</v>
      </c>
      <c r="S96" s="457"/>
      <c r="T96" s="457"/>
      <c r="U96" s="457"/>
      <c r="V96" s="457"/>
    </row>
    <row r="97" s="356" customFormat="1" ht="18.75" x14ac:dyDescent="0.3"/>
    <row r="98" s="356" customFormat="1" ht="18.75" x14ac:dyDescent="0.3"/>
    <row r="99" s="356" customFormat="1" ht="18.75" x14ac:dyDescent="0.3"/>
    <row r="100" s="356" customFormat="1" ht="18.75" x14ac:dyDescent="0.3"/>
    <row r="101" s="356" customFormat="1" ht="18.75" x14ac:dyDescent="0.3"/>
    <row r="102" s="356" customFormat="1" ht="18.75" x14ac:dyDescent="0.3"/>
    <row r="103" s="356" customFormat="1" ht="18.75" x14ac:dyDescent="0.3"/>
    <row r="104" s="356" customFormat="1" ht="18.75" x14ac:dyDescent="0.3"/>
    <row r="105" s="356" customFormat="1" ht="18.75" x14ac:dyDescent="0.3"/>
    <row r="106" s="356" customFormat="1" ht="18.75" x14ac:dyDescent="0.3"/>
    <row r="107" s="356" customFormat="1" ht="18.75" x14ac:dyDescent="0.3"/>
    <row r="108" s="356" customFormat="1" ht="18.75" x14ac:dyDescent="0.3"/>
    <row r="109" s="356" customFormat="1" ht="18.75" x14ac:dyDescent="0.3"/>
    <row r="110" s="356" customFormat="1" ht="18.75" x14ac:dyDescent="0.3"/>
    <row r="111" s="356" customFormat="1" ht="18.75" x14ac:dyDescent="0.3"/>
    <row r="112" s="364" customFormat="1" ht="15.75" x14ac:dyDescent="0.25"/>
    <row r="113" s="364" customFormat="1" ht="15.75" x14ac:dyDescent="0.25"/>
  </sheetData>
  <mergeCells count="30">
    <mergeCell ref="W5:Y5"/>
    <mergeCell ref="B5:D5"/>
    <mergeCell ref="E5:G5"/>
    <mergeCell ref="H5:J5"/>
    <mergeCell ref="K5:M5"/>
    <mergeCell ref="T5:V5"/>
    <mergeCell ref="AT5:AV5"/>
    <mergeCell ref="AW5:AY5"/>
    <mergeCell ref="B6:D6"/>
    <mergeCell ref="E6:G6"/>
    <mergeCell ref="H6:J6"/>
    <mergeCell ref="K6:M6"/>
    <mergeCell ref="N6:P6"/>
    <mergeCell ref="Q6:S6"/>
    <mergeCell ref="T6:V6"/>
    <mergeCell ref="W6:Y6"/>
    <mergeCell ref="Z5:AB5"/>
    <mergeCell ref="AC5:AE5"/>
    <mergeCell ref="AF5:AH5"/>
    <mergeCell ref="AI5:AK5"/>
    <mergeCell ref="AN5:AP5"/>
    <mergeCell ref="AQ5:AS5"/>
    <mergeCell ref="AT6:AV6"/>
    <mergeCell ref="AW6:AY6"/>
    <mergeCell ref="Z6:AB6"/>
    <mergeCell ref="AC6:AE6"/>
    <mergeCell ref="AF6:AH6"/>
    <mergeCell ref="AI6:AK6"/>
    <mergeCell ref="AN6:AP6"/>
    <mergeCell ref="AQ6:AS6"/>
  </mergeCells>
  <conditionalFormatting sqref="B35:C35">
    <cfRule type="expression" dxfId="123" priority="381">
      <formula>#REF! ="35≠36+38"</formula>
    </cfRule>
  </conditionalFormatting>
  <conditionalFormatting sqref="B39:C39">
    <cfRule type="expression" dxfId="122" priority="382">
      <formula>#REF! ="39≠40+41+42+43+44"</formula>
    </cfRule>
  </conditionalFormatting>
  <conditionalFormatting sqref="B45:C45">
    <cfRule type="expression" dxfId="121" priority="383">
      <formula>#REF! ="45≠33+34+35+39"</formula>
    </cfRule>
  </conditionalFormatting>
  <conditionalFormatting sqref="B50:C50">
    <cfRule type="expression" dxfId="120" priority="384">
      <formula>#REF! ="50≠51+53"</formula>
    </cfRule>
  </conditionalFormatting>
  <conditionalFormatting sqref="B54:C54">
    <cfRule type="expression" dxfId="119" priority="385">
      <formula>#REF! ="54≠55+56+57+58+59"</formula>
    </cfRule>
  </conditionalFormatting>
  <conditionalFormatting sqref="B60:C60">
    <cfRule type="expression" dxfId="118" priority="386">
      <formula>#REF! ="60≠48+49+50+54"</formula>
    </cfRule>
  </conditionalFormatting>
  <conditionalFormatting sqref="B62:C62">
    <cfRule type="expression" dxfId="117" priority="387">
      <formula>#REF! ="62≠45+46+60+61"</formula>
    </cfRule>
  </conditionalFormatting>
  <conditionalFormatting sqref="B64:C64">
    <cfRule type="expression" dxfId="116" priority="378">
      <formula>#REF! ="64≠29+62"</formula>
    </cfRule>
  </conditionalFormatting>
  <conditionalFormatting sqref="B80:C80">
    <cfRule type="expression" dxfId="115" priority="388">
      <formula>#REF! ="80≠73+74+75+76+77+78+79"</formula>
    </cfRule>
  </conditionalFormatting>
  <conditionalFormatting sqref="B87:C87">
    <cfRule type="expression" dxfId="114" priority="389">
      <formula>#REF! ="88≠82+83+84+85+86+87"</formula>
    </cfRule>
  </conditionalFormatting>
  <conditionalFormatting sqref="B93:C93">
    <cfRule type="expression" dxfId="113" priority="380">
      <formula>#REF! = "94≠68+69+71+80+88+89+90+91+92"</formula>
    </cfRule>
    <cfRule type="expression" dxfId="112" priority="379">
      <formula>#REF! = "64≠94"</formula>
    </cfRule>
  </conditionalFormatting>
  <conditionalFormatting sqref="E35:F35">
    <cfRule type="expression" dxfId="111" priority="206">
      <formula>#REF! ="35≠36+38"</formula>
    </cfRule>
  </conditionalFormatting>
  <conditionalFormatting sqref="E39:F39">
    <cfRule type="expression" dxfId="110" priority="207">
      <formula>#REF! ="39≠40+41+42+43+44"</formula>
    </cfRule>
  </conditionalFormatting>
  <conditionalFormatting sqref="E45:F45">
    <cfRule type="expression" dxfId="109" priority="208">
      <formula>#REF! ="45≠33+34+35+39"</formula>
    </cfRule>
  </conditionalFormatting>
  <conditionalFormatting sqref="E50:F50">
    <cfRule type="expression" dxfId="108" priority="209">
      <formula>#REF! ="50≠51+53"</formula>
    </cfRule>
  </conditionalFormatting>
  <conditionalFormatting sqref="E54:F54">
    <cfRule type="expression" dxfId="107" priority="210">
      <formula>#REF! ="54≠55+56+57+58+59"</formula>
    </cfRule>
  </conditionalFormatting>
  <conditionalFormatting sqref="E60:F60">
    <cfRule type="expression" dxfId="106" priority="211">
      <formula>#REF! ="60≠48+49+50+54"</formula>
    </cfRule>
  </conditionalFormatting>
  <conditionalFormatting sqref="E62:F62">
    <cfRule type="expression" dxfId="105" priority="212">
      <formula>#REF! ="62≠45+46+60+61"</formula>
    </cfRule>
  </conditionalFormatting>
  <conditionalFormatting sqref="E64:F64">
    <cfRule type="expression" dxfId="104" priority="213">
      <formula>#REF! ="64≠29+62"</formula>
    </cfRule>
  </conditionalFormatting>
  <conditionalFormatting sqref="E80:F80">
    <cfRule type="expression" dxfId="103" priority="214">
      <formula>#REF! ="80≠73+74+75+76+77+78+79"</formula>
    </cfRule>
  </conditionalFormatting>
  <conditionalFormatting sqref="E87:F87">
    <cfRule type="expression" dxfId="102" priority="215">
      <formula>#REF! ="88≠82+83+84+85+86+87"</formula>
    </cfRule>
  </conditionalFormatting>
  <conditionalFormatting sqref="E93:F93">
    <cfRule type="expression" dxfId="101" priority="217">
      <formula>#REF! = "64≠94"</formula>
    </cfRule>
    <cfRule type="expression" dxfId="100" priority="216">
      <formula>#REF! = "94≠68+69+71+80+88+89+90+91+92"</formula>
    </cfRule>
  </conditionalFormatting>
  <conditionalFormatting sqref="H35:I35">
    <cfRule type="expression" dxfId="99" priority="3">
      <formula>#REF! ="35≠36+38"</formula>
    </cfRule>
  </conditionalFormatting>
  <conditionalFormatting sqref="H39:I39">
    <cfRule type="expression" dxfId="98" priority="4">
      <formula>#REF! ="39≠40+41+42+43+44"</formula>
    </cfRule>
  </conditionalFormatting>
  <conditionalFormatting sqref="H45:I45">
    <cfRule type="expression" dxfId="97" priority="5">
      <formula>#REF! ="45≠33+34+35+39"</formula>
    </cfRule>
  </conditionalFormatting>
  <conditionalFormatting sqref="H50:I50">
    <cfRule type="expression" dxfId="96" priority="6">
      <formula>#REF! ="50≠51+53"</formula>
    </cfRule>
  </conditionalFormatting>
  <conditionalFormatting sqref="H54:I54">
    <cfRule type="expression" dxfId="95" priority="7">
      <formula>#REF! ="54≠55+56+57+58+59"</formula>
    </cfRule>
  </conditionalFormatting>
  <conditionalFormatting sqref="H60:I60">
    <cfRule type="expression" dxfId="94" priority="8">
      <formula>#REF! ="60≠48+49+50+54"</formula>
    </cfRule>
  </conditionalFormatting>
  <conditionalFormatting sqref="H62:I62">
    <cfRule type="expression" dxfId="93" priority="9">
      <formula>#REF! ="62≠45+46+60+61"</formula>
    </cfRule>
  </conditionalFormatting>
  <conditionalFormatting sqref="H64:I64">
    <cfRule type="expression" dxfId="92" priority="10">
      <formula>#REF! ="64≠29+62"</formula>
    </cfRule>
  </conditionalFormatting>
  <conditionalFormatting sqref="H80:I80">
    <cfRule type="expression" dxfId="91" priority="11">
      <formula>#REF! ="80≠73+74+75+76+77+78+79"</formula>
    </cfRule>
  </conditionalFormatting>
  <conditionalFormatting sqref="H87:I87">
    <cfRule type="expression" dxfId="90" priority="12">
      <formula>#REF! ="88≠82+83+84+85+86+87"</formula>
    </cfRule>
  </conditionalFormatting>
  <conditionalFormatting sqref="H93:I93">
    <cfRule type="expression" dxfId="89" priority="13">
      <formula>#REF! = "94≠68+69+71+80+88+89+90+91+92"</formula>
    </cfRule>
    <cfRule type="expression" dxfId="88" priority="14">
      <formula>#REF! = "64≠94"</formula>
    </cfRule>
  </conditionalFormatting>
  <conditionalFormatting sqref="K35:L35">
    <cfRule type="expression" dxfId="87" priority="110">
      <formula>#REF! ="35≠36+38"</formula>
    </cfRule>
  </conditionalFormatting>
  <conditionalFormatting sqref="K39:L39">
    <cfRule type="expression" dxfId="86" priority="111">
      <formula>#REF! ="39≠40+41+42+43+44"</formula>
    </cfRule>
  </conditionalFormatting>
  <conditionalFormatting sqref="K45:L45">
    <cfRule type="expression" dxfId="85" priority="112">
      <formula>#REF! ="45≠33+34+35+39"</formula>
    </cfRule>
  </conditionalFormatting>
  <conditionalFormatting sqref="K50:L50">
    <cfRule type="expression" dxfId="84" priority="113">
      <formula>#REF! ="50≠51+53"</formula>
    </cfRule>
  </conditionalFormatting>
  <conditionalFormatting sqref="K54:L54">
    <cfRule type="expression" dxfId="83" priority="114">
      <formula>#REF! ="54≠55+56+57+58+59"</formula>
    </cfRule>
  </conditionalFormatting>
  <conditionalFormatting sqref="K60:L60">
    <cfRule type="expression" dxfId="82" priority="115">
      <formula>#REF! ="60≠48+49+50+54"</formula>
    </cfRule>
  </conditionalFormatting>
  <conditionalFormatting sqref="K62:L62">
    <cfRule type="expression" dxfId="81" priority="116">
      <formula>#REF! ="62≠45+46+60+61"</formula>
    </cfRule>
  </conditionalFormatting>
  <conditionalFormatting sqref="K64:L64">
    <cfRule type="expression" dxfId="80" priority="117">
      <formula>#REF! ="64≠29+62"</formula>
    </cfRule>
  </conditionalFormatting>
  <conditionalFormatting sqref="K80:L80">
    <cfRule type="expression" dxfId="79" priority="118">
      <formula>#REF! ="80≠73+74+75+76+77+78+79"</formula>
    </cfRule>
  </conditionalFormatting>
  <conditionalFormatting sqref="K87:L87">
    <cfRule type="expression" dxfId="78" priority="119">
      <formula>#REF! ="88≠82+83+84+85+86+87"</formula>
    </cfRule>
  </conditionalFormatting>
  <conditionalFormatting sqref="K93:L93">
    <cfRule type="expression" dxfId="77" priority="121">
      <formula>#REF! = "94≠68+69+71+80+88+89+90+91+92"</formula>
    </cfRule>
    <cfRule type="expression" dxfId="76" priority="120">
      <formula>#REF! = "64≠94"</formula>
    </cfRule>
  </conditionalFormatting>
  <conditionalFormatting sqref="N35:O35">
    <cfRule type="expression" dxfId="75" priority="27">
      <formula>#REF! ="35≠36+38"</formula>
    </cfRule>
  </conditionalFormatting>
  <conditionalFormatting sqref="N39:O39">
    <cfRule type="expression" dxfId="74" priority="28">
      <formula>#REF! ="39≠40+41+42+43+44"</formula>
    </cfRule>
  </conditionalFormatting>
  <conditionalFormatting sqref="N45:O45">
    <cfRule type="expression" dxfId="73" priority="29">
      <formula>#REF! ="45≠33+34+35+39"</formula>
    </cfRule>
  </conditionalFormatting>
  <conditionalFormatting sqref="N50:O50">
    <cfRule type="expression" dxfId="72" priority="30">
      <formula>#REF! ="50≠51+53"</formula>
    </cfRule>
  </conditionalFormatting>
  <conditionalFormatting sqref="N54:O54">
    <cfRule type="expression" dxfId="71" priority="31">
      <formula>#REF! ="54≠55+56+57+58+59"</formula>
    </cfRule>
  </conditionalFormatting>
  <conditionalFormatting sqref="N60:O60">
    <cfRule type="expression" dxfId="70" priority="32">
      <formula>#REF! ="60≠48+49+50+54"</formula>
    </cfRule>
  </conditionalFormatting>
  <conditionalFormatting sqref="N62:O62">
    <cfRule type="expression" dxfId="69" priority="33">
      <formula>#REF! ="62≠45+46+60+61"</formula>
    </cfRule>
  </conditionalFormatting>
  <conditionalFormatting sqref="N64:O64">
    <cfRule type="expression" dxfId="68" priority="34">
      <formula>#REF! ="64≠29+62"</formula>
    </cfRule>
  </conditionalFormatting>
  <conditionalFormatting sqref="N80:O80">
    <cfRule type="expression" dxfId="67" priority="35">
      <formula>#REF! ="80≠73+74+75+76+77+78+79"</formula>
    </cfRule>
  </conditionalFormatting>
  <conditionalFormatting sqref="N87:O87">
    <cfRule type="expression" dxfId="66" priority="36">
      <formula>#REF! ="88≠82+83+84+85+86+87"</formula>
    </cfRule>
  </conditionalFormatting>
  <conditionalFormatting sqref="N93:O93">
    <cfRule type="expression" dxfId="65" priority="37">
      <formula>#REF! = "94≠68+69+71+80+88+89+90+91+92"</formula>
    </cfRule>
    <cfRule type="expression" dxfId="64" priority="38">
      <formula>#REF! = "64≠94"</formula>
    </cfRule>
  </conditionalFormatting>
  <conditionalFormatting sqref="Q35:R35">
    <cfRule type="expression" dxfId="63" priority="86">
      <formula>#REF! ="35≠36+38"</formula>
    </cfRule>
  </conditionalFormatting>
  <conditionalFormatting sqref="Q39:R39">
    <cfRule type="expression" dxfId="62" priority="87">
      <formula>#REF! ="39≠40+41+42+43+44"</formula>
    </cfRule>
  </conditionalFormatting>
  <conditionalFormatting sqref="Q45:R45">
    <cfRule type="expression" dxfId="61" priority="88">
      <formula>#REF! ="45≠33+34+35+39"</formula>
    </cfRule>
  </conditionalFormatting>
  <conditionalFormatting sqref="Q50:R50">
    <cfRule type="expression" dxfId="60" priority="89">
      <formula>#REF! ="50≠51+53"</formula>
    </cfRule>
  </conditionalFormatting>
  <conditionalFormatting sqref="Q54:R54">
    <cfRule type="expression" dxfId="59" priority="90">
      <formula>#REF! ="54≠55+56+57+58+59"</formula>
    </cfRule>
  </conditionalFormatting>
  <conditionalFormatting sqref="Q60:R60">
    <cfRule type="expression" dxfId="58" priority="91">
      <formula>#REF! ="60≠48+49+50+54"</formula>
    </cfRule>
  </conditionalFormatting>
  <conditionalFormatting sqref="Q62:R62">
    <cfRule type="expression" dxfId="57" priority="92">
      <formula>#REF! ="62≠45+46+60+61"</formula>
    </cfRule>
  </conditionalFormatting>
  <conditionalFormatting sqref="Q64:R64">
    <cfRule type="expression" dxfId="56" priority="93">
      <formula>#REF! ="64≠29+62"</formula>
    </cfRule>
  </conditionalFormatting>
  <conditionalFormatting sqref="Q80:R80">
    <cfRule type="expression" dxfId="55" priority="94">
      <formula>#REF! ="80≠73+74+75+76+77+78+79"</formula>
    </cfRule>
  </conditionalFormatting>
  <conditionalFormatting sqref="Q87:R87">
    <cfRule type="expression" dxfId="54" priority="95">
      <formula>#REF! ="88≠82+83+84+85+86+87"</formula>
    </cfRule>
  </conditionalFormatting>
  <conditionalFormatting sqref="Q93:R93">
    <cfRule type="expression" dxfId="53" priority="96">
      <formula>#REF! = "64≠94"</formula>
    </cfRule>
    <cfRule type="expression" dxfId="52" priority="97">
      <formula>#REF! = "94≠68+69+71+80+88+89+90+91+92"</formula>
    </cfRule>
  </conditionalFormatting>
  <conditionalFormatting sqref="T35:U35">
    <cfRule type="expression" dxfId="51" priority="134">
      <formula>#REF! ="35≠36+38"</formula>
    </cfRule>
  </conditionalFormatting>
  <conditionalFormatting sqref="T39:U39">
    <cfRule type="expression" dxfId="50" priority="135">
      <formula>#REF! ="39≠40+41+42+43+44"</formula>
    </cfRule>
  </conditionalFormatting>
  <conditionalFormatting sqref="T45:U45">
    <cfRule type="expression" dxfId="49" priority="136">
      <formula>#REF! ="45≠33+34+35+39"</formula>
    </cfRule>
  </conditionalFormatting>
  <conditionalFormatting sqref="T50:U50">
    <cfRule type="expression" dxfId="48" priority="137">
      <formula>#REF! ="50≠51+53"</formula>
    </cfRule>
  </conditionalFormatting>
  <conditionalFormatting sqref="T54:U54">
    <cfRule type="expression" dxfId="47" priority="138">
      <formula>#REF! ="54≠55+56+57+58+59"</formula>
    </cfRule>
  </conditionalFormatting>
  <conditionalFormatting sqref="T60:U60">
    <cfRule type="expression" dxfId="46" priority="139">
      <formula>#REF! ="60≠48+49+50+54"</formula>
    </cfRule>
  </conditionalFormatting>
  <conditionalFormatting sqref="T62:U62">
    <cfRule type="expression" dxfId="45" priority="140">
      <formula>#REF! ="62≠45+46+60+61"</formula>
    </cfRule>
  </conditionalFormatting>
  <conditionalFormatting sqref="T64:U64">
    <cfRule type="expression" dxfId="44" priority="141">
      <formula>#REF! ="64≠29+62"</formula>
    </cfRule>
  </conditionalFormatting>
  <conditionalFormatting sqref="T80:U80">
    <cfRule type="expression" dxfId="43" priority="142">
      <formula>#REF! ="80≠73+74+75+76+77+78+79"</formula>
    </cfRule>
  </conditionalFormatting>
  <conditionalFormatting sqref="T87:U87">
    <cfRule type="expression" dxfId="42" priority="143">
      <formula>#REF! ="88≠82+83+84+85+86+87"</formula>
    </cfRule>
  </conditionalFormatting>
  <conditionalFormatting sqref="T93:U93">
    <cfRule type="expression" dxfId="41" priority="145">
      <formula>#REF! = "64≠94"</formula>
    </cfRule>
    <cfRule type="expression" dxfId="40" priority="144">
      <formula>#REF! = "94≠68+69+71+80+88+89+90+91+92"</formula>
    </cfRule>
  </conditionalFormatting>
  <conditionalFormatting sqref="W35:X35">
    <cfRule type="expression" dxfId="39" priority="182">
      <formula>#REF! ="35≠36+38"</formula>
    </cfRule>
  </conditionalFormatting>
  <conditionalFormatting sqref="W39:X39">
    <cfRule type="expression" dxfId="38" priority="183">
      <formula>#REF! ="39≠40+41+42+43+44"</formula>
    </cfRule>
  </conditionalFormatting>
  <conditionalFormatting sqref="W45:X45">
    <cfRule type="expression" dxfId="37" priority="184">
      <formula>#REF! ="45≠33+34+35+39"</formula>
    </cfRule>
  </conditionalFormatting>
  <conditionalFormatting sqref="W50:X50">
    <cfRule type="expression" dxfId="36" priority="185">
      <formula>#REF! ="50≠51+53"</formula>
    </cfRule>
  </conditionalFormatting>
  <conditionalFormatting sqref="W54:X54">
    <cfRule type="expression" dxfId="35" priority="186">
      <formula>#REF! ="54≠55+56+57+58+59"</formula>
    </cfRule>
  </conditionalFormatting>
  <conditionalFormatting sqref="W60:X60">
    <cfRule type="expression" dxfId="34" priority="187">
      <formula>#REF! ="60≠48+49+50+54"</formula>
    </cfRule>
  </conditionalFormatting>
  <conditionalFormatting sqref="W62:X62">
    <cfRule type="expression" dxfId="33" priority="188">
      <formula>#REF! ="62≠45+46+60+61"</formula>
    </cfRule>
  </conditionalFormatting>
  <conditionalFormatting sqref="W64:X64">
    <cfRule type="expression" dxfId="32" priority="189">
      <formula>#REF! ="64≠29+62"</formula>
    </cfRule>
  </conditionalFormatting>
  <conditionalFormatting sqref="W80:X80">
    <cfRule type="expression" dxfId="31" priority="190">
      <formula>#REF! ="80≠73+74+75+76+77+78+79"</formula>
    </cfRule>
  </conditionalFormatting>
  <conditionalFormatting sqref="W87:X87">
    <cfRule type="expression" dxfId="30" priority="191">
      <formula>#REF! ="88≠82+83+84+85+86+87"</formula>
    </cfRule>
  </conditionalFormatting>
  <conditionalFormatting sqref="W93:X93">
    <cfRule type="expression" dxfId="29" priority="192">
      <formula>#REF! = "94≠68+69+71+80+88+89+90+91+92"</formula>
    </cfRule>
    <cfRule type="expression" dxfId="28" priority="193">
      <formula>#REF! = "64≠94"</formula>
    </cfRule>
  </conditionalFormatting>
  <conditionalFormatting sqref="Z35:AA35">
    <cfRule type="expression" dxfId="27" priority="76">
      <formula>#REF! ="35≠36+38"</formula>
    </cfRule>
  </conditionalFormatting>
  <conditionalFormatting sqref="Z39:AA39">
    <cfRule type="expression" dxfId="26" priority="75">
      <formula>#REF! ="39≠40+41+42+43+44"</formula>
    </cfRule>
  </conditionalFormatting>
  <conditionalFormatting sqref="Z45:AA45">
    <cfRule type="expression" dxfId="25" priority="74">
      <formula>#REF! ="45≠33+34+35+39"</formula>
    </cfRule>
  </conditionalFormatting>
  <conditionalFormatting sqref="Z50:AA50">
    <cfRule type="expression" dxfId="24" priority="66">
      <formula>#REF! ="50≠51+53"</formula>
    </cfRule>
  </conditionalFormatting>
  <conditionalFormatting sqref="Z54:AA54">
    <cfRule type="expression" dxfId="23" priority="73">
      <formula>#REF! ="54≠55+56+57+58+59"</formula>
    </cfRule>
  </conditionalFormatting>
  <conditionalFormatting sqref="Z60:AA60">
    <cfRule type="expression" dxfId="22" priority="72">
      <formula>#REF! ="60≠48+49+50+54"</formula>
    </cfRule>
  </conditionalFormatting>
  <conditionalFormatting sqref="Z62:AA62">
    <cfRule type="expression" dxfId="21" priority="71">
      <formula>#REF! ="62≠45+46+60+61"</formula>
    </cfRule>
  </conditionalFormatting>
  <conditionalFormatting sqref="Z64:AA64">
    <cfRule type="expression" dxfId="20" priority="70">
      <formula>#REF! ="64≠29+62"</formula>
    </cfRule>
  </conditionalFormatting>
  <conditionalFormatting sqref="Z80:AA80">
    <cfRule type="expression" dxfId="19" priority="412">
      <formula>#REF! ="80≠73+74+75+76+77+78+79"</formula>
    </cfRule>
  </conditionalFormatting>
  <conditionalFormatting sqref="Z87:AA87">
    <cfRule type="expression" dxfId="18" priority="413">
      <formula>#REF! ="88≠82+83+84+85+86+87"</formula>
    </cfRule>
  </conditionalFormatting>
  <conditionalFormatting sqref="Z93:AA93">
    <cfRule type="expression" dxfId="17" priority="414">
      <formula>#REF! = "64≠94"</formula>
    </cfRule>
    <cfRule type="expression" dxfId="16" priority="414">
      <formula>#REF! = "94≠68+69+71+80+88+89+90+91+92"</formula>
    </cfRule>
  </conditionalFormatting>
  <conditionalFormatting sqref="AC35:AD35">
    <cfRule type="expression" dxfId="15" priority="51">
      <formula>#REF! ="35≠36+38"</formula>
    </cfRule>
  </conditionalFormatting>
  <conditionalFormatting sqref="AC39:AD39">
    <cfRule type="expression" dxfId="14" priority="52">
      <formula>#REF! ="39≠40+41+42+43+44"</formula>
    </cfRule>
  </conditionalFormatting>
  <conditionalFormatting sqref="AC45:AD45">
    <cfRule type="expression" dxfId="13" priority="53">
      <formula>#REF! ="45≠33+34+35+39"</formula>
    </cfRule>
  </conditionalFormatting>
  <conditionalFormatting sqref="AC50:AD50">
    <cfRule type="expression" dxfId="12" priority="54">
      <formula>#REF! ="50≠51+53"</formula>
    </cfRule>
  </conditionalFormatting>
  <conditionalFormatting sqref="AC54:AD54">
    <cfRule type="expression" dxfId="11" priority="55">
      <formula>#REF! ="54≠55+56+57+58+59"</formula>
    </cfRule>
  </conditionalFormatting>
  <conditionalFormatting sqref="AC60:AD60">
    <cfRule type="expression" dxfId="10" priority="56">
      <formula>#REF! ="60≠48+49+50+54"</formula>
    </cfRule>
  </conditionalFormatting>
  <conditionalFormatting sqref="AC62:AD62">
    <cfRule type="expression" dxfId="9" priority="57">
      <formula>#REF! ="62≠45+46+60+61"</formula>
    </cfRule>
  </conditionalFormatting>
  <conditionalFormatting sqref="AC64:AD64">
    <cfRule type="expression" dxfId="8" priority="58">
      <formula>#REF! ="64≠29+62"</formula>
    </cfRule>
  </conditionalFormatting>
  <conditionalFormatting sqref="AC80:AD80">
    <cfRule type="expression" dxfId="7" priority="59">
      <formula>#REF! ="80≠73+74+75+76+77+78+79"</formula>
    </cfRule>
  </conditionalFormatting>
  <conditionalFormatting sqref="AC87:AD87">
    <cfRule type="expression" dxfId="6" priority="60">
      <formula>#REF! ="88≠82+83+84+85+86+87"</formula>
    </cfRule>
  </conditionalFormatting>
  <conditionalFormatting sqref="AC93:AD93">
    <cfRule type="expression" dxfId="5" priority="62">
      <formula>#REF! = "64≠94"</formula>
    </cfRule>
    <cfRule type="expression" dxfId="4" priority="61">
      <formula>#REF! = "94≠68+69+71+80+88+89+90+91+92"</formula>
    </cfRule>
  </conditionalFormatting>
  <conditionalFormatting sqref="AD94">
    <cfRule type="expression" dxfId="3" priority="2">
      <formula>#REF! = "64≠94"</formula>
    </cfRule>
    <cfRule type="expression" dxfId="2" priority="1">
      <formula>#REF! = "94≠68+69+71+80+88+89+90+91+92"</formula>
    </cfRule>
  </conditionalFormatting>
  <conditionalFormatting sqref="AF93:AG93">
    <cfRule type="expression" dxfId="1" priority="431">
      <formula>#REF! = "64≠94"</formula>
    </cfRule>
    <cfRule type="expression" dxfId="0" priority="433">
      <formula>#REF! = "94≠68+69+71+80+88+89+90+91+92"</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67B5-A844-47AB-BA92-DDA1529D92A0}">
  <dimension ref="A1:AP17"/>
  <sheetViews>
    <sheetView showGridLines="0" zoomScale="70" zoomScaleNormal="70" workbookViewId="0">
      <pane xSplit="1" ySplit="8" topLeftCell="B9" activePane="bottomRight" state="frozen"/>
      <selection activeCell="A42" sqref="A42"/>
      <selection pane="topRight" activeCell="A42" sqref="A42"/>
      <selection pane="bottomLeft" activeCell="A42" sqref="A42"/>
      <selection pane="bottomRight" activeCell="A4" sqref="A4"/>
    </sheetView>
  </sheetViews>
  <sheetFormatPr baseColWidth="10" defaultColWidth="11.42578125" defaultRowHeight="12.75" x14ac:dyDescent="0.2"/>
  <cols>
    <col min="1" max="1" width="62" style="386" customWidth="1"/>
    <col min="2" max="31" width="11.7109375" style="386" customWidth="1"/>
    <col min="32" max="244" width="11.42578125" style="386"/>
    <col min="245" max="245" width="62" style="386" customWidth="1"/>
    <col min="246" max="281" width="11.7109375" style="386" customWidth="1"/>
    <col min="282" max="500" width="11.42578125" style="386"/>
    <col min="501" max="501" width="62" style="386" customWidth="1"/>
    <col min="502" max="537" width="11.7109375" style="386" customWidth="1"/>
    <col min="538" max="756" width="11.42578125" style="386"/>
    <col min="757" max="757" width="62" style="386" customWidth="1"/>
    <col min="758" max="793" width="11.7109375" style="386" customWidth="1"/>
    <col min="794" max="1012" width="11.42578125" style="386"/>
    <col min="1013" max="1013" width="62" style="386" customWidth="1"/>
    <col min="1014" max="1049" width="11.7109375" style="386" customWidth="1"/>
    <col min="1050" max="1268" width="11.42578125" style="386"/>
    <col min="1269" max="1269" width="62" style="386" customWidth="1"/>
    <col min="1270" max="1305" width="11.7109375" style="386" customWidth="1"/>
    <col min="1306" max="1524" width="11.42578125" style="386"/>
    <col min="1525" max="1525" width="62" style="386" customWidth="1"/>
    <col min="1526" max="1561" width="11.7109375" style="386" customWidth="1"/>
    <col min="1562" max="1780" width="11.42578125" style="386"/>
    <col min="1781" max="1781" width="62" style="386" customWidth="1"/>
    <col min="1782" max="1817" width="11.7109375" style="386" customWidth="1"/>
    <col min="1818" max="2036" width="11.42578125" style="386"/>
    <col min="2037" max="2037" width="62" style="386" customWidth="1"/>
    <col min="2038" max="2073" width="11.7109375" style="386" customWidth="1"/>
    <col min="2074" max="2292" width="11.42578125" style="386"/>
    <col min="2293" max="2293" width="62" style="386" customWidth="1"/>
    <col min="2294" max="2329" width="11.7109375" style="386" customWidth="1"/>
    <col min="2330" max="2548" width="11.42578125" style="386"/>
    <col min="2549" max="2549" width="62" style="386" customWidth="1"/>
    <col min="2550" max="2585" width="11.7109375" style="386" customWidth="1"/>
    <col min="2586" max="2804" width="11.42578125" style="386"/>
    <col min="2805" max="2805" width="62" style="386" customWidth="1"/>
    <col min="2806" max="2841" width="11.7109375" style="386" customWidth="1"/>
    <col min="2842" max="3060" width="11.42578125" style="386"/>
    <col min="3061" max="3061" width="62" style="386" customWidth="1"/>
    <col min="3062" max="3097" width="11.7109375" style="386" customWidth="1"/>
    <col min="3098" max="3316" width="11.42578125" style="386"/>
    <col min="3317" max="3317" width="62" style="386" customWidth="1"/>
    <col min="3318" max="3353" width="11.7109375" style="386" customWidth="1"/>
    <col min="3354" max="3572" width="11.42578125" style="386"/>
    <col min="3573" max="3573" width="62" style="386" customWidth="1"/>
    <col min="3574" max="3609" width="11.7109375" style="386" customWidth="1"/>
    <col min="3610" max="3828" width="11.42578125" style="386"/>
    <col min="3829" max="3829" width="62" style="386" customWidth="1"/>
    <col min="3830" max="3865" width="11.7109375" style="386" customWidth="1"/>
    <col min="3866" max="4084" width="11.42578125" style="386"/>
    <col min="4085" max="4085" width="62" style="386" customWidth="1"/>
    <col min="4086" max="4121" width="11.7109375" style="386" customWidth="1"/>
    <col min="4122" max="4340" width="11.42578125" style="386"/>
    <col min="4341" max="4341" width="62" style="386" customWidth="1"/>
    <col min="4342" max="4377" width="11.7109375" style="386" customWidth="1"/>
    <col min="4378" max="4596" width="11.42578125" style="386"/>
    <col min="4597" max="4597" width="62" style="386" customWidth="1"/>
    <col min="4598" max="4633" width="11.7109375" style="386" customWidth="1"/>
    <col min="4634" max="4852" width="11.42578125" style="386"/>
    <col min="4853" max="4853" width="62" style="386" customWidth="1"/>
    <col min="4854" max="4889" width="11.7109375" style="386" customWidth="1"/>
    <col min="4890" max="5108" width="11.42578125" style="386"/>
    <col min="5109" max="5109" width="62" style="386" customWidth="1"/>
    <col min="5110" max="5145" width="11.7109375" style="386" customWidth="1"/>
    <col min="5146" max="5364" width="11.42578125" style="386"/>
    <col min="5365" max="5365" width="62" style="386" customWidth="1"/>
    <col min="5366" max="5401" width="11.7109375" style="386" customWidth="1"/>
    <col min="5402" max="5620" width="11.42578125" style="386"/>
    <col min="5621" max="5621" width="62" style="386" customWidth="1"/>
    <col min="5622" max="5657" width="11.7109375" style="386" customWidth="1"/>
    <col min="5658" max="5876" width="11.42578125" style="386"/>
    <col min="5877" max="5877" width="62" style="386" customWidth="1"/>
    <col min="5878" max="5913" width="11.7109375" style="386" customWidth="1"/>
    <col min="5914" max="6132" width="11.42578125" style="386"/>
    <col min="6133" max="6133" width="62" style="386" customWidth="1"/>
    <col min="6134" max="6169" width="11.7109375" style="386" customWidth="1"/>
    <col min="6170" max="6388" width="11.42578125" style="386"/>
    <col min="6389" max="6389" width="62" style="386" customWidth="1"/>
    <col min="6390" max="6425" width="11.7109375" style="386" customWidth="1"/>
    <col min="6426" max="6644" width="11.42578125" style="386"/>
    <col min="6645" max="6645" width="62" style="386" customWidth="1"/>
    <col min="6646" max="6681" width="11.7109375" style="386" customWidth="1"/>
    <col min="6682" max="6900" width="11.42578125" style="386"/>
    <col min="6901" max="6901" width="62" style="386" customWidth="1"/>
    <col min="6902" max="6937" width="11.7109375" style="386" customWidth="1"/>
    <col min="6938" max="7156" width="11.42578125" style="386"/>
    <col min="7157" max="7157" width="62" style="386" customWidth="1"/>
    <col min="7158" max="7193" width="11.7109375" style="386" customWidth="1"/>
    <col min="7194" max="7412" width="11.42578125" style="386"/>
    <col min="7413" max="7413" width="62" style="386" customWidth="1"/>
    <col min="7414" max="7449" width="11.7109375" style="386" customWidth="1"/>
    <col min="7450" max="7668" width="11.42578125" style="386"/>
    <col min="7669" max="7669" width="62" style="386" customWidth="1"/>
    <col min="7670" max="7705" width="11.7109375" style="386" customWidth="1"/>
    <col min="7706" max="7924" width="11.42578125" style="386"/>
    <col min="7925" max="7925" width="62" style="386" customWidth="1"/>
    <col min="7926" max="7961" width="11.7109375" style="386" customWidth="1"/>
    <col min="7962" max="8180" width="11.42578125" style="386"/>
    <col min="8181" max="8181" width="62" style="386" customWidth="1"/>
    <col min="8182" max="8217" width="11.7109375" style="386" customWidth="1"/>
    <col min="8218" max="8436" width="11.42578125" style="386"/>
    <col min="8437" max="8437" width="62" style="386" customWidth="1"/>
    <col min="8438" max="8473" width="11.7109375" style="386" customWidth="1"/>
    <col min="8474" max="8692" width="11.42578125" style="386"/>
    <col min="8693" max="8693" width="62" style="386" customWidth="1"/>
    <col min="8694" max="8729" width="11.7109375" style="386" customWidth="1"/>
    <col min="8730" max="8948" width="11.42578125" style="386"/>
    <col min="8949" max="8949" width="62" style="386" customWidth="1"/>
    <col min="8950" max="8985" width="11.7109375" style="386" customWidth="1"/>
    <col min="8986" max="9204" width="11.42578125" style="386"/>
    <col min="9205" max="9205" width="62" style="386" customWidth="1"/>
    <col min="9206" max="9241" width="11.7109375" style="386" customWidth="1"/>
    <col min="9242" max="9460" width="11.42578125" style="386"/>
    <col min="9461" max="9461" width="62" style="386" customWidth="1"/>
    <col min="9462" max="9497" width="11.7109375" style="386" customWidth="1"/>
    <col min="9498" max="9716" width="11.42578125" style="386"/>
    <col min="9717" max="9717" width="62" style="386" customWidth="1"/>
    <col min="9718" max="9753" width="11.7109375" style="386" customWidth="1"/>
    <col min="9754" max="9972" width="11.42578125" style="386"/>
    <col min="9973" max="9973" width="62" style="386" customWidth="1"/>
    <col min="9974" max="10009" width="11.7109375" style="386" customWidth="1"/>
    <col min="10010" max="10228" width="11.42578125" style="386"/>
    <col min="10229" max="10229" width="62" style="386" customWidth="1"/>
    <col min="10230" max="10265" width="11.7109375" style="386" customWidth="1"/>
    <col min="10266" max="10484" width="11.42578125" style="386"/>
    <col min="10485" max="10485" width="62" style="386" customWidth="1"/>
    <col min="10486" max="10521" width="11.7109375" style="386" customWidth="1"/>
    <col min="10522" max="10740" width="11.42578125" style="386"/>
    <col min="10741" max="10741" width="62" style="386" customWidth="1"/>
    <col min="10742" max="10777" width="11.7109375" style="386" customWidth="1"/>
    <col min="10778" max="10996" width="11.42578125" style="386"/>
    <col min="10997" max="10997" width="62" style="386" customWidth="1"/>
    <col min="10998" max="11033" width="11.7109375" style="386" customWidth="1"/>
    <col min="11034" max="11252" width="11.42578125" style="386"/>
    <col min="11253" max="11253" width="62" style="386" customWidth="1"/>
    <col min="11254" max="11289" width="11.7109375" style="386" customWidth="1"/>
    <col min="11290" max="11508" width="11.42578125" style="386"/>
    <col min="11509" max="11509" width="62" style="386" customWidth="1"/>
    <col min="11510" max="11545" width="11.7109375" style="386" customWidth="1"/>
    <col min="11546" max="11764" width="11.42578125" style="386"/>
    <col min="11765" max="11765" width="62" style="386" customWidth="1"/>
    <col min="11766" max="11801" width="11.7109375" style="386" customWidth="1"/>
    <col min="11802" max="12020" width="11.42578125" style="386"/>
    <col min="12021" max="12021" width="62" style="386" customWidth="1"/>
    <col min="12022" max="12057" width="11.7109375" style="386" customWidth="1"/>
    <col min="12058" max="12276" width="11.42578125" style="386"/>
    <col min="12277" max="12277" width="62" style="386" customWidth="1"/>
    <col min="12278" max="12313" width="11.7109375" style="386" customWidth="1"/>
    <col min="12314" max="12532" width="11.42578125" style="386"/>
    <col min="12533" max="12533" width="62" style="386" customWidth="1"/>
    <col min="12534" max="12569" width="11.7109375" style="386" customWidth="1"/>
    <col min="12570" max="12788" width="11.42578125" style="386"/>
    <col min="12789" max="12789" width="62" style="386" customWidth="1"/>
    <col min="12790" max="12825" width="11.7109375" style="386" customWidth="1"/>
    <col min="12826" max="13044" width="11.42578125" style="386"/>
    <col min="13045" max="13045" width="62" style="386" customWidth="1"/>
    <col min="13046" max="13081" width="11.7109375" style="386" customWidth="1"/>
    <col min="13082" max="13300" width="11.42578125" style="386"/>
    <col min="13301" max="13301" width="62" style="386" customWidth="1"/>
    <col min="13302" max="13337" width="11.7109375" style="386" customWidth="1"/>
    <col min="13338" max="13556" width="11.42578125" style="386"/>
    <col min="13557" max="13557" width="62" style="386" customWidth="1"/>
    <col min="13558" max="13593" width="11.7109375" style="386" customWidth="1"/>
    <col min="13594" max="13812" width="11.42578125" style="386"/>
    <col min="13813" max="13813" width="62" style="386" customWidth="1"/>
    <col min="13814" max="13849" width="11.7109375" style="386" customWidth="1"/>
    <col min="13850" max="14068" width="11.42578125" style="386"/>
    <col min="14069" max="14069" width="62" style="386" customWidth="1"/>
    <col min="14070" max="14105" width="11.7109375" style="386" customWidth="1"/>
    <col min="14106" max="14324" width="11.42578125" style="386"/>
    <col min="14325" max="14325" width="62" style="386" customWidth="1"/>
    <col min="14326" max="14361" width="11.7109375" style="386" customWidth="1"/>
    <col min="14362" max="14580" width="11.42578125" style="386"/>
    <col min="14581" max="14581" width="62" style="386" customWidth="1"/>
    <col min="14582" max="14617" width="11.7109375" style="386" customWidth="1"/>
    <col min="14618" max="14836" width="11.42578125" style="386"/>
    <col min="14837" max="14837" width="62" style="386" customWidth="1"/>
    <col min="14838" max="14873" width="11.7109375" style="386" customWidth="1"/>
    <col min="14874" max="15092" width="11.42578125" style="386"/>
    <col min="15093" max="15093" width="62" style="386" customWidth="1"/>
    <col min="15094" max="15129" width="11.7109375" style="386" customWidth="1"/>
    <col min="15130" max="15348" width="11.42578125" style="386"/>
    <col min="15349" max="15349" width="62" style="386" customWidth="1"/>
    <col min="15350" max="15385" width="11.7109375" style="386" customWidth="1"/>
    <col min="15386" max="15604" width="11.42578125" style="386"/>
    <col min="15605" max="15605" width="62" style="386" customWidth="1"/>
    <col min="15606" max="15641" width="11.7109375" style="386" customWidth="1"/>
    <col min="15642" max="15860" width="11.42578125" style="386"/>
    <col min="15861" max="15861" width="62" style="386" customWidth="1"/>
    <col min="15862" max="15897" width="11.7109375" style="386" customWidth="1"/>
    <col min="15898" max="16116" width="11.42578125" style="386"/>
    <col min="16117" max="16117" width="62" style="386" customWidth="1"/>
    <col min="16118" max="16153" width="11.7109375" style="386" customWidth="1"/>
    <col min="16154" max="16384" width="11.42578125" style="386"/>
  </cols>
  <sheetData>
    <row r="1" spans="1:42" ht="20.25" x14ac:dyDescent="0.3">
      <c r="A1" s="385" t="s">
        <v>153</v>
      </c>
    </row>
    <row r="2" spans="1:42" ht="20.25" x14ac:dyDescent="0.3">
      <c r="A2" s="385" t="s">
        <v>240</v>
      </c>
      <c r="C2" s="531"/>
    </row>
    <row r="3" spans="1:42" ht="18.75" x14ac:dyDescent="0.3">
      <c r="A3" s="387" t="s">
        <v>297</v>
      </c>
    </row>
    <row r="4" spans="1:42" ht="18.75" x14ac:dyDescent="0.3">
      <c r="A4" s="388" t="s">
        <v>410</v>
      </c>
      <c r="B4" s="389"/>
      <c r="C4" s="390"/>
      <c r="D4" s="391"/>
      <c r="E4" s="390"/>
      <c r="F4" s="390"/>
      <c r="G4" s="391"/>
      <c r="H4" s="390"/>
      <c r="I4" s="390"/>
      <c r="J4" s="391"/>
      <c r="K4" s="389"/>
      <c r="L4" s="390"/>
      <c r="M4" s="391"/>
      <c r="N4" s="389"/>
      <c r="O4" s="390"/>
      <c r="P4" s="391"/>
      <c r="Q4" s="389"/>
      <c r="R4" s="390"/>
      <c r="S4" s="391"/>
      <c r="T4" s="389"/>
      <c r="U4" s="390"/>
      <c r="V4" s="391"/>
      <c r="W4" s="389"/>
      <c r="X4" s="390"/>
      <c r="Y4" s="391"/>
      <c r="Z4" s="389"/>
      <c r="AA4" s="390"/>
      <c r="AB4" s="391"/>
      <c r="AC4" s="389"/>
      <c r="AD4" s="392"/>
      <c r="AE4" s="391"/>
      <c r="AF4" s="393"/>
      <c r="AG4" s="393"/>
      <c r="AH4" s="393"/>
      <c r="AI4" s="393"/>
      <c r="AJ4" s="393"/>
      <c r="AK4" s="393"/>
      <c r="AL4" s="393"/>
      <c r="AM4" s="393"/>
      <c r="AN4" s="393"/>
      <c r="AO4" s="393"/>
      <c r="AP4" s="393"/>
    </row>
    <row r="5" spans="1:42" ht="18.75" x14ac:dyDescent="0.3">
      <c r="A5" s="394"/>
      <c r="B5" s="586" t="s">
        <v>156</v>
      </c>
      <c r="C5" s="587"/>
      <c r="D5" s="588"/>
      <c r="E5" s="500"/>
      <c r="F5" s="500"/>
      <c r="G5" s="501"/>
      <c r="H5" s="586" t="s">
        <v>157</v>
      </c>
      <c r="I5" s="587"/>
      <c r="J5" s="588"/>
      <c r="K5" s="586" t="s">
        <v>158</v>
      </c>
      <c r="L5" s="587"/>
      <c r="M5" s="588"/>
      <c r="N5" s="499" t="s">
        <v>159</v>
      </c>
      <c r="O5" s="500"/>
      <c r="P5" s="501"/>
      <c r="Q5" s="499"/>
      <c r="R5" s="500"/>
      <c r="S5" s="501"/>
      <c r="T5" s="586" t="s">
        <v>160</v>
      </c>
      <c r="U5" s="587"/>
      <c r="V5" s="588"/>
      <c r="W5" s="586" t="s">
        <v>65</v>
      </c>
      <c r="X5" s="587"/>
      <c r="Y5" s="588"/>
      <c r="Z5" s="586" t="s">
        <v>68</v>
      </c>
      <c r="AA5" s="587"/>
      <c r="AB5" s="588"/>
      <c r="AC5" s="586" t="s">
        <v>257</v>
      </c>
      <c r="AD5" s="587"/>
      <c r="AE5" s="588"/>
      <c r="AF5" s="503"/>
      <c r="AG5" s="503"/>
      <c r="AH5" s="582"/>
      <c r="AI5" s="582"/>
      <c r="AJ5" s="582"/>
      <c r="AK5" s="582"/>
      <c r="AL5" s="582"/>
      <c r="AM5" s="582"/>
      <c r="AN5" s="582"/>
      <c r="AO5" s="582"/>
      <c r="AP5" s="582"/>
    </row>
    <row r="6" spans="1:42" ht="18.75" x14ac:dyDescent="0.3">
      <c r="A6" s="395"/>
      <c r="B6" s="583" t="s">
        <v>162</v>
      </c>
      <c r="C6" s="584"/>
      <c r="D6" s="585"/>
      <c r="E6" s="583" t="s">
        <v>353</v>
      </c>
      <c r="F6" s="584"/>
      <c r="G6" s="585"/>
      <c r="H6" s="583" t="s">
        <v>162</v>
      </c>
      <c r="I6" s="584"/>
      <c r="J6" s="585"/>
      <c r="K6" s="583" t="s">
        <v>163</v>
      </c>
      <c r="L6" s="584"/>
      <c r="M6" s="585"/>
      <c r="N6" s="583" t="s">
        <v>61</v>
      </c>
      <c r="O6" s="584"/>
      <c r="P6" s="585"/>
      <c r="Q6" s="583" t="s">
        <v>63</v>
      </c>
      <c r="R6" s="584"/>
      <c r="S6" s="585"/>
      <c r="T6" s="583" t="s">
        <v>161</v>
      </c>
      <c r="U6" s="584"/>
      <c r="V6" s="585"/>
      <c r="W6" s="583" t="s">
        <v>367</v>
      </c>
      <c r="X6" s="584"/>
      <c r="Y6" s="585"/>
      <c r="Z6" s="583" t="s">
        <v>162</v>
      </c>
      <c r="AA6" s="584"/>
      <c r="AB6" s="585"/>
      <c r="AC6" s="583" t="s">
        <v>258</v>
      </c>
      <c r="AD6" s="584"/>
      <c r="AE6" s="585"/>
      <c r="AF6" s="503"/>
      <c r="AG6" s="503"/>
      <c r="AH6" s="582"/>
      <c r="AI6" s="582"/>
      <c r="AJ6" s="582"/>
      <c r="AK6" s="582"/>
      <c r="AL6" s="582"/>
      <c r="AM6" s="582"/>
      <c r="AN6" s="582"/>
      <c r="AO6" s="582"/>
      <c r="AP6" s="582"/>
    </row>
    <row r="7" spans="1:42" ht="18.75" x14ac:dyDescent="0.3">
      <c r="A7" s="395"/>
      <c r="B7" s="396"/>
      <c r="C7" s="396"/>
      <c r="D7" s="397" t="s">
        <v>76</v>
      </c>
      <c r="E7" s="396"/>
      <c r="F7" s="396"/>
      <c r="G7" s="397" t="s">
        <v>76</v>
      </c>
      <c r="H7" s="396"/>
      <c r="I7" s="396"/>
      <c r="J7" s="397" t="s">
        <v>76</v>
      </c>
      <c r="K7" s="396"/>
      <c r="L7" s="396"/>
      <c r="M7" s="397" t="s">
        <v>76</v>
      </c>
      <c r="N7" s="396"/>
      <c r="O7" s="396"/>
      <c r="P7" s="397" t="s">
        <v>76</v>
      </c>
      <c r="Q7" s="396"/>
      <c r="R7" s="396"/>
      <c r="S7" s="397" t="s">
        <v>76</v>
      </c>
      <c r="T7" s="396"/>
      <c r="U7" s="396"/>
      <c r="V7" s="397" t="s">
        <v>76</v>
      </c>
      <c r="W7" s="396"/>
      <c r="X7" s="396"/>
      <c r="Y7" s="397" t="s">
        <v>76</v>
      </c>
      <c r="Z7" s="396"/>
      <c r="AA7" s="396"/>
      <c r="AB7" s="397" t="s">
        <v>76</v>
      </c>
      <c r="AC7" s="396"/>
      <c r="AD7" s="396"/>
      <c r="AE7" s="397" t="s">
        <v>76</v>
      </c>
      <c r="AF7" s="503"/>
      <c r="AG7" s="503"/>
      <c r="AH7" s="503"/>
      <c r="AI7" s="503"/>
      <c r="AJ7" s="503"/>
      <c r="AK7" s="503"/>
      <c r="AL7" s="503"/>
      <c r="AM7" s="503"/>
      <c r="AN7" s="503"/>
      <c r="AO7" s="503"/>
      <c r="AP7" s="503"/>
    </row>
    <row r="8" spans="1:42" ht="15.75" x14ac:dyDescent="0.25">
      <c r="A8" s="398" t="s">
        <v>260</v>
      </c>
      <c r="B8" s="399">
        <v>2024</v>
      </c>
      <c r="C8" s="399">
        <v>2025</v>
      </c>
      <c r="D8" s="400" t="s">
        <v>78</v>
      </c>
      <c r="E8" s="399">
        <f>$B$8</f>
        <v>2024</v>
      </c>
      <c r="F8" s="399">
        <f>$C$8</f>
        <v>2025</v>
      </c>
      <c r="G8" s="400" t="s">
        <v>78</v>
      </c>
      <c r="H8" s="399">
        <f>$B$8</f>
        <v>2024</v>
      </c>
      <c r="I8" s="399">
        <f>$C$8</f>
        <v>2025</v>
      </c>
      <c r="J8" s="400" t="s">
        <v>78</v>
      </c>
      <c r="K8" s="399">
        <f>$B$8</f>
        <v>2024</v>
      </c>
      <c r="L8" s="399">
        <f>$C$8</f>
        <v>2025</v>
      </c>
      <c r="M8" s="400" t="s">
        <v>78</v>
      </c>
      <c r="N8" s="399">
        <f>$B$8</f>
        <v>2024</v>
      </c>
      <c r="O8" s="399">
        <f>$C$8</f>
        <v>2025</v>
      </c>
      <c r="P8" s="400" t="s">
        <v>78</v>
      </c>
      <c r="Q8" s="399">
        <f>$B$8</f>
        <v>2024</v>
      </c>
      <c r="R8" s="399">
        <f>$C$8</f>
        <v>2025</v>
      </c>
      <c r="S8" s="400" t="s">
        <v>78</v>
      </c>
      <c r="T8" s="399">
        <f>$B$8</f>
        <v>2024</v>
      </c>
      <c r="U8" s="399">
        <f>$C$8</f>
        <v>2025</v>
      </c>
      <c r="V8" s="400" t="s">
        <v>78</v>
      </c>
      <c r="W8" s="399">
        <f>$B$8</f>
        <v>2024</v>
      </c>
      <c r="X8" s="399">
        <f>$C$8</f>
        <v>2025</v>
      </c>
      <c r="Y8" s="400" t="s">
        <v>78</v>
      </c>
      <c r="Z8" s="399">
        <f>$B$8</f>
        <v>2024</v>
      </c>
      <c r="AA8" s="399">
        <f>$C$8</f>
        <v>2025</v>
      </c>
      <c r="AB8" s="400" t="s">
        <v>78</v>
      </c>
      <c r="AC8" s="399">
        <f>$B$8</f>
        <v>2024</v>
      </c>
      <c r="AD8" s="399">
        <f>$C$8</f>
        <v>2025</v>
      </c>
      <c r="AE8" s="400" t="s">
        <v>78</v>
      </c>
      <c r="AF8" s="402"/>
      <c r="AG8" s="401"/>
      <c r="AH8" s="402"/>
      <c r="AI8" s="402"/>
      <c r="AJ8" s="401"/>
      <c r="AK8" s="402"/>
      <c r="AL8" s="402"/>
      <c r="AM8" s="401"/>
      <c r="AN8" s="402"/>
      <c r="AO8" s="402"/>
      <c r="AP8" s="401"/>
    </row>
    <row r="9" spans="1:42" ht="18.75" x14ac:dyDescent="0.3">
      <c r="A9" s="403"/>
      <c r="B9" s="409"/>
      <c r="C9" s="409"/>
      <c r="D9" s="409"/>
      <c r="E9" s="409"/>
      <c r="F9" s="409"/>
      <c r="G9" s="409"/>
      <c r="H9" s="409"/>
      <c r="I9" s="409"/>
      <c r="J9" s="409"/>
      <c r="K9" s="409"/>
      <c r="L9" s="409"/>
      <c r="M9" s="409"/>
      <c r="N9" s="409"/>
      <c r="O9" s="409"/>
      <c r="P9" s="409"/>
      <c r="Q9" s="409"/>
      <c r="R9" s="380"/>
      <c r="S9" s="409"/>
      <c r="T9" s="409"/>
      <c r="U9" s="409"/>
      <c r="V9" s="409"/>
      <c r="W9" s="409"/>
      <c r="X9" s="409"/>
      <c r="Y9" s="409"/>
      <c r="Z9" s="409"/>
      <c r="AA9" s="409"/>
      <c r="AB9" s="409"/>
      <c r="AC9" s="404"/>
      <c r="AD9" s="404"/>
      <c r="AE9" s="404"/>
    </row>
    <row r="10" spans="1:42" ht="18.75" x14ac:dyDescent="0.3">
      <c r="A10" s="405" t="s">
        <v>357</v>
      </c>
      <c r="B10" s="409"/>
      <c r="C10" s="409"/>
      <c r="D10" s="409"/>
      <c r="E10" s="409"/>
      <c r="F10" s="409"/>
      <c r="G10" s="409"/>
      <c r="H10" s="409"/>
      <c r="I10" s="409"/>
      <c r="J10" s="409"/>
      <c r="K10" s="409"/>
      <c r="L10" s="409"/>
      <c r="M10" s="409"/>
      <c r="N10" s="409"/>
      <c r="O10" s="409"/>
      <c r="P10" s="409"/>
      <c r="Q10" s="409"/>
      <c r="R10" s="380"/>
      <c r="S10" s="409"/>
      <c r="T10" s="409"/>
      <c r="U10" s="380"/>
      <c r="V10" s="409"/>
      <c r="W10" s="409"/>
      <c r="X10" s="380"/>
      <c r="Y10" s="409"/>
      <c r="Z10" s="409"/>
      <c r="AA10" s="380"/>
      <c r="AB10" s="409"/>
      <c r="AC10" s="409"/>
      <c r="AD10" s="409"/>
      <c r="AE10" s="410"/>
    </row>
    <row r="11" spans="1:42" ht="18.75" x14ac:dyDescent="0.3">
      <c r="A11" s="511" t="s">
        <v>406</v>
      </c>
      <c r="B11" s="409">
        <v>3.7</v>
      </c>
      <c r="C11" s="409">
        <v>3.71</v>
      </c>
      <c r="D11" s="410">
        <f>IF(B11=0, "    ---- ", IF(ABS(ROUND(100/B11*C11-100,1))&lt;999,ROUND(100/B11*C11-100,1),IF(ROUND(100/B11*C11-100,1)&gt;999,999,-999)))</f>
        <v>0.3</v>
      </c>
      <c r="E11" s="409">
        <v>2.8</v>
      </c>
      <c r="F11" s="409">
        <v>4.3</v>
      </c>
      <c r="G11" s="409"/>
      <c r="H11" s="409"/>
      <c r="I11" s="409"/>
      <c r="J11" s="409"/>
      <c r="K11" s="409">
        <v>3.02</v>
      </c>
      <c r="L11" s="409">
        <v>2.9</v>
      </c>
      <c r="M11" s="409"/>
      <c r="N11" s="409">
        <v>7</v>
      </c>
      <c r="O11" s="409">
        <v>5.52</v>
      </c>
      <c r="P11" s="409"/>
      <c r="Q11" s="409">
        <v>3.5</v>
      </c>
      <c r="R11" s="380">
        <v>4.45</v>
      </c>
      <c r="S11" s="409"/>
      <c r="T11" s="409">
        <v>6.3</v>
      </c>
      <c r="U11" s="380">
        <v>5.8</v>
      </c>
      <c r="V11" s="409"/>
      <c r="W11" s="409">
        <v>4.5711358030677802</v>
      </c>
      <c r="X11" s="380">
        <v>2.7939124724319999</v>
      </c>
      <c r="Y11" s="409"/>
      <c r="Z11" s="409">
        <v>4.08</v>
      </c>
      <c r="AA11" s="380">
        <v>4.0199999999999996</v>
      </c>
      <c r="AB11" s="409"/>
      <c r="AC11" s="410"/>
      <c r="AD11" s="410"/>
      <c r="AE11" s="410"/>
    </row>
    <row r="12" spans="1:42" ht="18.75" x14ac:dyDescent="0.3">
      <c r="A12" s="405"/>
      <c r="B12" s="409"/>
      <c r="C12" s="409"/>
      <c r="D12" s="409"/>
      <c r="E12" s="409"/>
      <c r="F12" s="409"/>
      <c r="G12" s="409"/>
      <c r="H12" s="409"/>
      <c r="I12" s="409"/>
      <c r="J12" s="409"/>
      <c r="K12" s="409"/>
      <c r="L12" s="409"/>
      <c r="M12" s="409"/>
      <c r="N12" s="409"/>
      <c r="O12" s="409"/>
      <c r="P12" s="409"/>
      <c r="Q12" s="409"/>
      <c r="R12" s="380"/>
      <c r="S12" s="409"/>
      <c r="T12" s="409"/>
      <c r="U12" s="380"/>
      <c r="V12" s="409"/>
      <c r="W12" s="409"/>
      <c r="X12" s="380"/>
      <c r="Y12" s="409"/>
      <c r="Z12" s="409"/>
      <c r="AA12" s="380"/>
      <c r="AB12" s="409"/>
      <c r="AC12" s="409"/>
      <c r="AD12" s="409"/>
      <c r="AE12" s="409"/>
    </row>
    <row r="13" spans="1:42" ht="18.75" x14ac:dyDescent="0.3">
      <c r="A13" s="405" t="s">
        <v>358</v>
      </c>
      <c r="B13" s="409">
        <v>21.5</v>
      </c>
      <c r="C13" s="409">
        <v>20.22</v>
      </c>
      <c r="D13" s="410">
        <f>IF(B13=0, "    ---- ", IF(ABS(ROUND(100/B13*C13-100,1))&lt;999,ROUND(100/B13*C13-100,1),IF(ROUND(100/B13*C13-100,1)&gt;999,999,-999)))</f>
        <v>-6</v>
      </c>
      <c r="E13" s="409">
        <v>39.28</v>
      </c>
      <c r="F13" s="409">
        <v>34.94</v>
      </c>
      <c r="G13" s="410">
        <f>IF(E13=0, "    ---- ", IF(ABS(ROUND(100/E13*F13-100,1))&lt;999,ROUND(100/E13*F13-100,1),IF(ROUND(100/E13*F13-100,1)&gt;999,999,-999)))</f>
        <v>-11</v>
      </c>
      <c r="H13" s="409">
        <v>27.9</v>
      </c>
      <c r="I13" s="409">
        <v>28.5</v>
      </c>
      <c r="J13" s="410">
        <f>IF(H13=0, "    ---- ", IF(ABS(ROUND(100/H13*I13-100,1))&lt;999,ROUND(100/H13*I13-100,1),IF(ROUND(100/H13*I13-100,1)&gt;999,999,-999)))</f>
        <v>2.2000000000000002</v>
      </c>
      <c r="K13" s="409">
        <v>8.8000000000000007</v>
      </c>
      <c r="L13" s="409">
        <v>12.02</v>
      </c>
      <c r="M13" s="410">
        <f>IF(K13=0, "    ---- ", IF(ABS(ROUND(100/K13*L13-100,1))&lt;999,ROUND(100/K13*L13-100,1),IF(ROUND(100/K13*L13-100,1)&gt;999,999,-999)))</f>
        <v>36.6</v>
      </c>
      <c r="N13" s="409">
        <v>24.5</v>
      </c>
      <c r="O13" s="409">
        <v>23.8</v>
      </c>
      <c r="P13" s="410">
        <f>IF(N13=0, "    ---- ", IF(ABS(ROUND(100/N13*O13-100,1))&lt;999,ROUND(100/N13*O13-100,1),IF(ROUND(100/N13*O13-100,1)&gt;999,999,-999)))</f>
        <v>-2.9</v>
      </c>
      <c r="Q13" s="409"/>
      <c r="R13" s="380"/>
      <c r="S13" s="410"/>
      <c r="T13" s="409">
        <v>42.444457860420187</v>
      </c>
      <c r="U13" s="409">
        <v>46.109272355965118</v>
      </c>
      <c r="V13" s="410">
        <f>IF(T13=0, "    ---- ", IF(ABS(ROUND(100/T13*U13-100,1))&lt;999,ROUND(100/T13*U13-100,1),IF(ROUND(100/T13*U13-100,1)&gt;999,999,-999)))</f>
        <v>8.6</v>
      </c>
      <c r="W13" s="409">
        <v>41.724198037219544</v>
      </c>
      <c r="X13" s="380">
        <v>38.929278853542236</v>
      </c>
      <c r="Y13" s="410">
        <f>IF(W13=0, "    ---- ", IF(ABS(ROUND(100/W13*X13-100,1))&lt;999,ROUND(100/W13*X13-100,1),IF(ROUND(100/W13*X13-100,1)&gt;999,999,-999)))</f>
        <v>-6.7</v>
      </c>
      <c r="Z13" s="409">
        <v>11.4</v>
      </c>
      <c r="AA13" s="380">
        <v>11.73</v>
      </c>
      <c r="AB13" s="410">
        <f>IF(Z13=0, "    ---- ", IF(ABS(ROUND(100/Z13*AA13-100,1))&lt;999,ROUND(100/Z13*AA13-100,1),IF(ROUND(100/Z13*AA13-100,1)&gt;999,999,-999)))</f>
        <v>2.9</v>
      </c>
      <c r="AC13" s="410"/>
      <c r="AD13" s="410"/>
      <c r="AE13" s="410"/>
    </row>
    <row r="14" spans="1:42" ht="18.75" x14ac:dyDescent="0.3">
      <c r="A14" s="405"/>
      <c r="B14" s="409"/>
      <c r="C14" s="409"/>
      <c r="D14" s="409"/>
      <c r="E14" s="409"/>
      <c r="F14" s="409"/>
      <c r="G14" s="409"/>
      <c r="H14" s="409"/>
      <c r="I14" s="409"/>
      <c r="J14" s="409"/>
      <c r="K14" s="409"/>
      <c r="L14" s="409"/>
      <c r="M14" s="409"/>
      <c r="N14" s="409"/>
      <c r="O14" s="409"/>
      <c r="P14" s="409"/>
      <c r="Q14" s="409"/>
      <c r="R14" s="380"/>
      <c r="S14" s="409"/>
      <c r="T14" s="409"/>
      <c r="U14" s="380"/>
      <c r="V14" s="409"/>
      <c r="W14" s="409"/>
      <c r="X14" s="380"/>
      <c r="Y14" s="409"/>
      <c r="Z14" s="409"/>
      <c r="AA14" s="380"/>
      <c r="AB14" s="409"/>
      <c r="AC14" s="409"/>
      <c r="AD14" s="409"/>
      <c r="AE14" s="409"/>
    </row>
    <row r="15" spans="1:42" ht="18.75" x14ac:dyDescent="0.3">
      <c r="A15" s="405" t="s">
        <v>378</v>
      </c>
      <c r="B15" s="410">
        <v>6380</v>
      </c>
      <c r="C15" s="410">
        <v>9549.4959999999992</v>
      </c>
      <c r="D15" s="410">
        <f>IF(B15=0, "    ---- ", IF(ABS(ROUND(100/B15*C15-100,1))&lt;999,ROUND(100/B15*C15-100,1),IF(ROUND(100/B15*C15-100,1)&gt;999,999,-999)))</f>
        <v>49.7</v>
      </c>
      <c r="E15" s="410"/>
      <c r="F15" s="410"/>
      <c r="G15" s="410"/>
      <c r="H15" s="410"/>
      <c r="I15" s="410"/>
      <c r="J15" s="410"/>
      <c r="K15" s="410">
        <v>303</v>
      </c>
      <c r="L15" s="410">
        <v>421</v>
      </c>
      <c r="M15" s="410">
        <f>IF(K15=0, "    ---- ", IF(ABS(ROUND(100/K15*L15-100,1))&lt;999,ROUND(100/K15*L15-100,1),IF(ROUND(100/K15*L15-100,1)&gt;999,999,-999)))</f>
        <v>38.9</v>
      </c>
      <c r="N15" s="410">
        <v>108930.19140364999</v>
      </c>
      <c r="O15" s="410">
        <v>121996</v>
      </c>
      <c r="P15" s="410">
        <f>IF(N15=0, "    ---- ", IF(ABS(ROUND(100/N15*O15-100,1))&lt;999,ROUND(100/N15*O15-100,1),IF(ROUND(100/N15*O15-100,1)&gt;999,999,-999)))</f>
        <v>12</v>
      </c>
      <c r="Q15" s="410">
        <v>6053</v>
      </c>
      <c r="R15" s="381">
        <v>6232</v>
      </c>
      <c r="S15" s="410">
        <f>IF(Q15=0, "    ---- ", IF(ABS(ROUND(100/Q15*R15-100,1))&lt;999,ROUND(100/Q15*R15-100,1),IF(ROUND(100/Q15*R15-100,1)&gt;999,999,-999)))</f>
        <v>3</v>
      </c>
      <c r="T15" s="410">
        <v>29966</v>
      </c>
      <c r="U15" s="381">
        <v>32468</v>
      </c>
      <c r="V15" s="410">
        <f>IF(T15=0, "    ---- ", IF(ABS(ROUND(100/T15*U15-100,1))&lt;999,ROUND(100/T15*U15-100,1),IF(ROUND(100/T15*U15-100,1)&gt;999,999,-999)))</f>
        <v>8.3000000000000007</v>
      </c>
      <c r="W15" s="410">
        <v>3304.17</v>
      </c>
      <c r="X15" s="381">
        <v>3599.6506786600003</v>
      </c>
      <c r="Y15" s="410">
        <f>IF(W15=0, "    ---- ", IF(ABS(ROUND(100/W15*X15-100,1))&lt;999,ROUND(100/W15*X15-100,1),IF(ROUND(100/W15*X15-100,1)&gt;999,999,-999)))</f>
        <v>8.9</v>
      </c>
      <c r="Z15" s="410">
        <v>14209.380242200001</v>
      </c>
      <c r="AA15" s="381">
        <v>16297.598297760002</v>
      </c>
      <c r="AB15" s="410">
        <f>IF(Z15=0, "    ---- ", IF(ABS(ROUND(100/Z15*AA15-100,1))&lt;999,ROUND(100/Z15*AA15-100,1),IF(ROUND(100/Z15*AA15-100,1)&gt;999,999,-999)))</f>
        <v>14.7</v>
      </c>
      <c r="AC15" s="410">
        <f>B15+E15+H15+K15+N15+Q15+T15+W15+Z15</f>
        <v>169145.74164585001</v>
      </c>
      <c r="AD15" s="410">
        <f>C15+F15+I15+L15+O15+R15+U15+X15+AA15</f>
        <v>190563.74497641998</v>
      </c>
      <c r="AE15" s="410">
        <f>IF(AC15=0, "    ---- ", IF(ABS(ROUND(100/AC15*AD15-100,1))&lt;999,ROUND(100/AC15*AD15-100,1),IF(ROUND(100/AC15*AD15-100,1)&gt;999,999,-999)))</f>
        <v>12.7</v>
      </c>
    </row>
    <row r="16" spans="1:42" ht="18.75" x14ac:dyDescent="0.3">
      <c r="A16" s="405"/>
      <c r="B16" s="410"/>
      <c r="C16" s="410"/>
      <c r="D16" s="410"/>
      <c r="E16" s="410"/>
      <c r="F16" s="410"/>
      <c r="G16" s="410"/>
      <c r="H16" s="410"/>
      <c r="I16" s="410"/>
      <c r="J16" s="410"/>
      <c r="K16" s="410"/>
      <c r="L16" s="410"/>
      <c r="M16" s="410"/>
      <c r="N16" s="410"/>
      <c r="O16" s="410"/>
      <c r="P16" s="410"/>
      <c r="Q16" s="410"/>
      <c r="R16" s="381"/>
      <c r="S16" s="410"/>
      <c r="T16" s="410"/>
      <c r="U16" s="381"/>
      <c r="V16" s="410"/>
      <c r="W16" s="410"/>
      <c r="X16" s="381"/>
      <c r="Y16" s="410"/>
      <c r="Z16" s="410"/>
      <c r="AA16" s="381"/>
      <c r="AB16" s="410"/>
      <c r="AC16" s="410"/>
      <c r="AD16" s="410"/>
      <c r="AE16" s="410"/>
    </row>
    <row r="17" spans="1:31" ht="18.75" x14ac:dyDescent="0.3">
      <c r="A17" s="406" t="s">
        <v>359</v>
      </c>
      <c r="B17" s="411">
        <v>-2993.0859999999998</v>
      </c>
      <c r="C17" s="411">
        <v>-5009.57296460001</v>
      </c>
      <c r="D17" s="411">
        <f>IF(B17=0, "    ---- ", IF(ABS(ROUND(100/B17*C17-100,1))&lt;999,ROUND(100/B17*C17-100,1),IF(ROUND(100/B17*C17-100,1)&gt;999,999,-999)))</f>
        <v>67.400000000000006</v>
      </c>
      <c r="E17" s="412">
        <v>40.799999999999997</v>
      </c>
      <c r="F17" s="412">
        <v>2.16</v>
      </c>
      <c r="G17" s="411">
        <f>IF(E17=0, "    ---- ", IF(ABS(ROUND(100/E17*F17-100,1))&lt;999,ROUND(100/E17*F17-100,1),IF(ROUND(100/E17*F17-100,1)&gt;999,999,-999)))</f>
        <v>-94.7</v>
      </c>
      <c r="H17" s="411"/>
      <c r="I17" s="411"/>
      <c r="J17" s="411"/>
      <c r="K17" s="411">
        <v>-13</v>
      </c>
      <c r="L17" s="411">
        <v>-12</v>
      </c>
      <c r="M17" s="411">
        <f>IF(K17=0, "    ---- ", IF(ABS(ROUND(100/K17*L17-100,1))&lt;999,ROUND(100/K17*L17-100,1),IF(ROUND(100/K17*L17-100,1)&gt;999,999,-999)))</f>
        <v>-7.7</v>
      </c>
      <c r="N17" s="411">
        <v>-602</v>
      </c>
      <c r="O17" s="411">
        <v>-573</v>
      </c>
      <c r="P17" s="411">
        <f>IF(N17=0, "    ---- ", IF(ABS(ROUND(100/N17*O17-100,1))&lt;999,ROUND(100/N17*O17-100,1),IF(ROUND(100/N17*O17-100,1)&gt;999,999,-999)))</f>
        <v>-4.8</v>
      </c>
      <c r="Q17" s="411">
        <v>-1875</v>
      </c>
      <c r="R17" s="382">
        <v>-2637</v>
      </c>
      <c r="S17" s="411">
        <f>IF(Q17=0, "    ---- ", IF(ABS(ROUND(100/Q17*R17-100,1))&lt;999,ROUND(100/Q17*R17-100,1),IF(ROUND(100/Q17*R17-100,1)&gt;999,999,-999)))</f>
        <v>40.6</v>
      </c>
      <c r="T17" s="411">
        <v>-886</v>
      </c>
      <c r="U17" s="382">
        <v>-888</v>
      </c>
      <c r="V17" s="411">
        <f>IF(T17=0, "    ---- ", IF(ABS(ROUND(100/T17*U17-100,1))&lt;999,ROUND(100/T17*U17-100,1),IF(ROUND(100/T17*U17-100,1)&gt;999,999,-999)))</f>
        <v>0.2</v>
      </c>
      <c r="W17" s="411">
        <v>-38.576000000000001</v>
      </c>
      <c r="X17" s="382">
        <v>-47.1</v>
      </c>
      <c r="Y17" s="411">
        <f>IF(W17=0, "    ---- ", IF(ABS(ROUND(100/W17*X17-100,1))&lt;999,ROUND(100/W17*X17-100,1),IF(ROUND(100/W17*X17-100,1)&gt;999,999,-999)))</f>
        <v>22.1</v>
      </c>
      <c r="Z17" s="411">
        <v>-10410.819549</v>
      </c>
      <c r="AA17" s="382">
        <v>-12709.183698999999</v>
      </c>
      <c r="AB17" s="411">
        <f>IF(Z17=0, "    ---- ", IF(ABS(ROUND(100/Z17*AA17-100,1))&lt;999,ROUND(100/Z17*AA17-100,1),IF(ROUND(100/Z17*AA17-100,1)&gt;999,999,-999)))</f>
        <v>22.1</v>
      </c>
      <c r="AC17" s="411">
        <f>B17+E17+H17+K17+N17+Q17+T17+W17+Z17</f>
        <v>-16777.681549000001</v>
      </c>
      <c r="AD17" s="411">
        <f>C17+F17+I17+L17+O17+R17+U17+X17+AA17</f>
        <v>-21873.696663600011</v>
      </c>
      <c r="AE17" s="411">
        <f>IF(AC17=0, "    ---- ", IF(ABS(ROUND(100/AC17*AD17-100,1))&lt;999,ROUND(100/AC17*AD17-100,1),IF(ROUND(100/AC17*AD17-100,1)&gt;999,999,-999)))</f>
        <v>30.4</v>
      </c>
    </row>
  </sheetData>
  <protectedRanges>
    <protectedRange sqref="Z9:AA10" name="Område1_10_1_1_1_1"/>
    <protectedRange sqref="Z11:AA17" name="Område1_8_1_1_1_1_1"/>
    <protectedRange sqref="W9:X17" name="Område1_11_1_1_1_1"/>
    <protectedRange sqref="R9:R10" name="Område1_13_3_1_1_1"/>
    <protectedRange sqref="R11:R17" name="Område1_5_1_2_1_1"/>
    <protectedRange sqref="Q14:Q17 Q9:Q12" name="Område1_9_3_1_1"/>
    <protectedRange sqref="Q13" name="Område1_4_2_3_1_1"/>
    <protectedRange sqref="F9:F10" name="Område1_13_5_2_1"/>
    <protectedRange sqref="F11:F17" name="Område1_2_1_2_2_1"/>
    <protectedRange sqref="E14:E17 E9:E12" name="Område1_9_6_1_1_1"/>
    <protectedRange sqref="E13" name="Område1_4_2_6_1_1_1"/>
    <protectedRange sqref="U9:U10" name="Område1_13_4_1_1_1"/>
    <protectedRange sqref="U11:U12 U14:U17" name="Område1_6_1_2_1_1"/>
    <protectedRange sqref="T14:T17 T9:T12" name="Område1_9_5_1"/>
    <protectedRange sqref="T13:U13" name="Område1_4_2_5_1"/>
    <protectedRange sqref="C9:C10" name="Område1_13_5_1_1_1"/>
    <protectedRange sqref="C11:C17" name="Område1_2_1_2_1_1_1"/>
    <protectedRange sqref="B9:B10" name="Område1_13_5_1_1_1_1"/>
    <protectedRange sqref="B11:B17" name="Område1_2_1_2_1_1_1_1"/>
    <protectedRange sqref="L9:L12 L14:L17" name="Område1_9_6_1"/>
    <protectedRange sqref="L13" name="Område1_4_2_6_1"/>
    <protectedRange sqref="K9:K12 K14:K17" name="Område1_9"/>
    <protectedRange sqref="K13" name="Område1_4_2"/>
    <protectedRange sqref="O9:O10" name="Område1_13_2_1_1"/>
    <protectedRange sqref="O11:O17" name="Område1_3_1_2_1"/>
    <protectedRange sqref="N9:N12 N14:N17" name="Område1_9_4"/>
    <protectedRange sqref="N13" name="Område1_4_2_4"/>
    <protectedRange sqref="I9:I12 I14:I17" name="Område1_13_1_1_1"/>
    <protectedRange sqref="I13" name="Område1_4_1_2_1"/>
  </protectedRanges>
  <mergeCells count="23">
    <mergeCell ref="AC5:AE5"/>
    <mergeCell ref="AH5:AJ5"/>
    <mergeCell ref="AK5:AM5"/>
    <mergeCell ref="AN5:AP5"/>
    <mergeCell ref="B6:D6"/>
    <mergeCell ref="E6:G6"/>
    <mergeCell ref="H6:J6"/>
    <mergeCell ref="K6:M6"/>
    <mergeCell ref="N6:P6"/>
    <mergeCell ref="Q6:S6"/>
    <mergeCell ref="B5:D5"/>
    <mergeCell ref="H5:J5"/>
    <mergeCell ref="K5:M5"/>
    <mergeCell ref="T5:V5"/>
    <mergeCell ref="W5:Y5"/>
    <mergeCell ref="Z5:AB5"/>
    <mergeCell ref="AN6:AP6"/>
    <mergeCell ref="T6:V6"/>
    <mergeCell ref="W6:Y6"/>
    <mergeCell ref="Z6:AB6"/>
    <mergeCell ref="AC6:AE6"/>
    <mergeCell ref="AH6:AJ6"/>
    <mergeCell ref="AK6:AM6"/>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9"/>
  <dimension ref="A2:N65"/>
  <sheetViews>
    <sheetView showGridLines="0" zoomScale="90" zoomScaleNormal="90" workbookViewId="0"/>
  </sheetViews>
  <sheetFormatPr baseColWidth="10" defaultColWidth="11.42578125" defaultRowHeight="12.75" x14ac:dyDescent="0.2"/>
  <cols>
    <col min="1" max="1" width="66.28515625" style="1" customWidth="1"/>
    <col min="2" max="2" width="4.28515625" style="39" customWidth="1"/>
    <col min="3" max="3" width="105.28515625" style="1" customWidth="1"/>
    <col min="4" max="8" width="12.7109375" style="1" customWidth="1"/>
    <col min="9" max="257" width="11.42578125" style="1"/>
    <col min="258" max="258" width="2.7109375" style="1" customWidth="1"/>
    <col min="259" max="259" width="176.7109375" style="1" customWidth="1"/>
    <col min="260" max="260" width="11.42578125" style="1"/>
    <col min="261" max="261" width="176.7109375" style="1" customWidth="1"/>
    <col min="262" max="262" width="11.42578125" style="1"/>
    <col min="263" max="263" width="88.7109375" style="1" customWidth="1"/>
    <col min="264" max="513" width="11.42578125" style="1"/>
    <col min="514" max="514" width="2.7109375" style="1" customWidth="1"/>
    <col min="515" max="515" width="176.7109375" style="1" customWidth="1"/>
    <col min="516" max="516" width="11.42578125" style="1"/>
    <col min="517" max="517" width="176.7109375" style="1" customWidth="1"/>
    <col min="518" max="518" width="11.42578125" style="1"/>
    <col min="519" max="519" width="88.7109375" style="1" customWidth="1"/>
    <col min="520" max="769" width="11.42578125" style="1"/>
    <col min="770" max="770" width="2.7109375" style="1" customWidth="1"/>
    <col min="771" max="771" width="176.7109375" style="1" customWidth="1"/>
    <col min="772" max="772" width="11.42578125" style="1"/>
    <col min="773" max="773" width="176.7109375" style="1" customWidth="1"/>
    <col min="774" max="774" width="11.42578125" style="1"/>
    <col min="775" max="775" width="88.7109375" style="1" customWidth="1"/>
    <col min="776" max="1025" width="11.42578125" style="1"/>
    <col min="1026" max="1026" width="2.7109375" style="1" customWidth="1"/>
    <col min="1027" max="1027" width="176.7109375" style="1" customWidth="1"/>
    <col min="1028" max="1028" width="11.42578125" style="1"/>
    <col min="1029" max="1029" width="176.7109375" style="1" customWidth="1"/>
    <col min="1030" max="1030" width="11.42578125" style="1"/>
    <col min="1031" max="1031" width="88.7109375" style="1" customWidth="1"/>
    <col min="1032" max="1281" width="11.42578125" style="1"/>
    <col min="1282" max="1282" width="2.7109375" style="1" customWidth="1"/>
    <col min="1283" max="1283" width="176.7109375" style="1" customWidth="1"/>
    <col min="1284" max="1284" width="11.42578125" style="1"/>
    <col min="1285" max="1285" width="176.7109375" style="1" customWidth="1"/>
    <col min="1286" max="1286" width="11.42578125" style="1"/>
    <col min="1287" max="1287" width="88.7109375" style="1" customWidth="1"/>
    <col min="1288" max="1537" width="11.42578125" style="1"/>
    <col min="1538" max="1538" width="2.7109375" style="1" customWidth="1"/>
    <col min="1539" max="1539" width="176.7109375" style="1" customWidth="1"/>
    <col min="1540" max="1540" width="11.42578125" style="1"/>
    <col min="1541" max="1541" width="176.7109375" style="1" customWidth="1"/>
    <col min="1542" max="1542" width="11.42578125" style="1"/>
    <col min="1543" max="1543" width="88.7109375" style="1" customWidth="1"/>
    <col min="1544" max="1793" width="11.42578125" style="1"/>
    <col min="1794" max="1794" width="2.7109375" style="1" customWidth="1"/>
    <col min="1795" max="1795" width="176.7109375" style="1" customWidth="1"/>
    <col min="1796" max="1796" width="11.42578125" style="1"/>
    <col min="1797" max="1797" width="176.7109375" style="1" customWidth="1"/>
    <col min="1798" max="1798" width="11.42578125" style="1"/>
    <col min="1799" max="1799" width="88.7109375" style="1" customWidth="1"/>
    <col min="1800" max="2049" width="11.42578125" style="1"/>
    <col min="2050" max="2050" width="2.7109375" style="1" customWidth="1"/>
    <col min="2051" max="2051" width="176.7109375" style="1" customWidth="1"/>
    <col min="2052" max="2052" width="11.42578125" style="1"/>
    <col min="2053" max="2053" width="176.7109375" style="1" customWidth="1"/>
    <col min="2054" max="2054" width="11.42578125" style="1"/>
    <col min="2055" max="2055" width="88.7109375" style="1" customWidth="1"/>
    <col min="2056" max="2305" width="11.42578125" style="1"/>
    <col min="2306" max="2306" width="2.7109375" style="1" customWidth="1"/>
    <col min="2307" max="2307" width="176.7109375" style="1" customWidth="1"/>
    <col min="2308" max="2308" width="11.42578125" style="1"/>
    <col min="2309" max="2309" width="176.7109375" style="1" customWidth="1"/>
    <col min="2310" max="2310" width="11.42578125" style="1"/>
    <col min="2311" max="2311" width="88.7109375" style="1" customWidth="1"/>
    <col min="2312" max="2561" width="11.42578125" style="1"/>
    <col min="2562" max="2562" width="2.7109375" style="1" customWidth="1"/>
    <col min="2563" max="2563" width="176.7109375" style="1" customWidth="1"/>
    <col min="2564" max="2564" width="11.42578125" style="1"/>
    <col min="2565" max="2565" width="176.7109375" style="1" customWidth="1"/>
    <col min="2566" max="2566" width="11.42578125" style="1"/>
    <col min="2567" max="2567" width="88.7109375" style="1" customWidth="1"/>
    <col min="2568" max="2817" width="11.42578125" style="1"/>
    <col min="2818" max="2818" width="2.7109375" style="1" customWidth="1"/>
    <col min="2819" max="2819" width="176.7109375" style="1" customWidth="1"/>
    <col min="2820" max="2820" width="11.42578125" style="1"/>
    <col min="2821" max="2821" width="176.7109375" style="1" customWidth="1"/>
    <col min="2822" max="2822" width="11.42578125" style="1"/>
    <col min="2823" max="2823" width="88.7109375" style="1" customWidth="1"/>
    <col min="2824" max="3073" width="11.42578125" style="1"/>
    <col min="3074" max="3074" width="2.7109375" style="1" customWidth="1"/>
    <col min="3075" max="3075" width="176.7109375" style="1" customWidth="1"/>
    <col min="3076" max="3076" width="11.42578125" style="1"/>
    <col min="3077" max="3077" width="176.7109375" style="1" customWidth="1"/>
    <col min="3078" max="3078" width="11.42578125" style="1"/>
    <col min="3079" max="3079" width="88.7109375" style="1" customWidth="1"/>
    <col min="3080" max="3329" width="11.42578125" style="1"/>
    <col min="3330" max="3330" width="2.7109375" style="1" customWidth="1"/>
    <col min="3331" max="3331" width="176.7109375" style="1" customWidth="1"/>
    <col min="3332" max="3332" width="11.42578125" style="1"/>
    <col min="3333" max="3333" width="176.7109375" style="1" customWidth="1"/>
    <col min="3334" max="3334" width="11.42578125" style="1"/>
    <col min="3335" max="3335" width="88.7109375" style="1" customWidth="1"/>
    <col min="3336" max="3585" width="11.42578125" style="1"/>
    <col min="3586" max="3586" width="2.7109375" style="1" customWidth="1"/>
    <col min="3587" max="3587" width="176.7109375" style="1" customWidth="1"/>
    <col min="3588" max="3588" width="11.42578125" style="1"/>
    <col min="3589" max="3589" width="176.7109375" style="1" customWidth="1"/>
    <col min="3590" max="3590" width="11.42578125" style="1"/>
    <col min="3591" max="3591" width="88.7109375" style="1" customWidth="1"/>
    <col min="3592" max="3841" width="11.42578125" style="1"/>
    <col min="3842" max="3842" width="2.7109375" style="1" customWidth="1"/>
    <col min="3843" max="3843" width="176.7109375" style="1" customWidth="1"/>
    <col min="3844" max="3844" width="11.42578125" style="1"/>
    <col min="3845" max="3845" width="176.7109375" style="1" customWidth="1"/>
    <col min="3846" max="3846" width="11.42578125" style="1"/>
    <col min="3847" max="3847" width="88.7109375" style="1" customWidth="1"/>
    <col min="3848" max="4097" width="11.42578125" style="1"/>
    <col min="4098" max="4098" width="2.7109375" style="1" customWidth="1"/>
    <col min="4099" max="4099" width="176.7109375" style="1" customWidth="1"/>
    <col min="4100" max="4100" width="11.42578125" style="1"/>
    <col min="4101" max="4101" width="176.7109375" style="1" customWidth="1"/>
    <col min="4102" max="4102" width="11.42578125" style="1"/>
    <col min="4103" max="4103" width="88.7109375" style="1" customWidth="1"/>
    <col min="4104" max="4353" width="11.42578125" style="1"/>
    <col min="4354" max="4354" width="2.7109375" style="1" customWidth="1"/>
    <col min="4355" max="4355" width="176.7109375" style="1" customWidth="1"/>
    <col min="4356" max="4356" width="11.42578125" style="1"/>
    <col min="4357" max="4357" width="176.7109375" style="1" customWidth="1"/>
    <col min="4358" max="4358" width="11.42578125" style="1"/>
    <col min="4359" max="4359" width="88.7109375" style="1" customWidth="1"/>
    <col min="4360" max="4609" width="11.42578125" style="1"/>
    <col min="4610" max="4610" width="2.7109375" style="1" customWidth="1"/>
    <col min="4611" max="4611" width="176.7109375" style="1" customWidth="1"/>
    <col min="4612" max="4612" width="11.42578125" style="1"/>
    <col min="4613" max="4613" width="176.7109375" style="1" customWidth="1"/>
    <col min="4614" max="4614" width="11.42578125" style="1"/>
    <col min="4615" max="4615" width="88.7109375" style="1" customWidth="1"/>
    <col min="4616" max="4865" width="11.42578125" style="1"/>
    <col min="4866" max="4866" width="2.7109375" style="1" customWidth="1"/>
    <col min="4867" max="4867" width="176.7109375" style="1" customWidth="1"/>
    <col min="4868" max="4868" width="11.42578125" style="1"/>
    <col min="4869" max="4869" width="176.7109375" style="1" customWidth="1"/>
    <col min="4870" max="4870" width="11.42578125" style="1"/>
    <col min="4871" max="4871" width="88.7109375" style="1" customWidth="1"/>
    <col min="4872" max="5121" width="11.42578125" style="1"/>
    <col min="5122" max="5122" width="2.7109375" style="1" customWidth="1"/>
    <col min="5123" max="5123" width="176.7109375" style="1" customWidth="1"/>
    <col min="5124" max="5124" width="11.42578125" style="1"/>
    <col min="5125" max="5125" width="176.7109375" style="1" customWidth="1"/>
    <col min="5126" max="5126" width="11.42578125" style="1"/>
    <col min="5127" max="5127" width="88.7109375" style="1" customWidth="1"/>
    <col min="5128" max="5377" width="11.42578125" style="1"/>
    <col min="5378" max="5378" width="2.7109375" style="1" customWidth="1"/>
    <col min="5379" max="5379" width="176.7109375" style="1" customWidth="1"/>
    <col min="5380" max="5380" width="11.42578125" style="1"/>
    <col min="5381" max="5381" width="176.7109375" style="1" customWidth="1"/>
    <col min="5382" max="5382" width="11.42578125" style="1"/>
    <col min="5383" max="5383" width="88.7109375" style="1" customWidth="1"/>
    <col min="5384" max="5633" width="11.42578125" style="1"/>
    <col min="5634" max="5634" width="2.7109375" style="1" customWidth="1"/>
    <col min="5635" max="5635" width="176.7109375" style="1" customWidth="1"/>
    <col min="5636" max="5636" width="11.42578125" style="1"/>
    <col min="5637" max="5637" width="176.7109375" style="1" customWidth="1"/>
    <col min="5638" max="5638" width="11.42578125" style="1"/>
    <col min="5639" max="5639" width="88.7109375" style="1" customWidth="1"/>
    <col min="5640" max="5889" width="11.42578125" style="1"/>
    <col min="5890" max="5890" width="2.7109375" style="1" customWidth="1"/>
    <col min="5891" max="5891" width="176.7109375" style="1" customWidth="1"/>
    <col min="5892" max="5892" width="11.42578125" style="1"/>
    <col min="5893" max="5893" width="176.7109375" style="1" customWidth="1"/>
    <col min="5894" max="5894" width="11.42578125" style="1"/>
    <col min="5895" max="5895" width="88.7109375" style="1" customWidth="1"/>
    <col min="5896" max="6145" width="11.42578125" style="1"/>
    <col min="6146" max="6146" width="2.7109375" style="1" customWidth="1"/>
    <col min="6147" max="6147" width="176.7109375" style="1" customWidth="1"/>
    <col min="6148" max="6148" width="11.42578125" style="1"/>
    <col min="6149" max="6149" width="176.7109375" style="1" customWidth="1"/>
    <col min="6150" max="6150" width="11.42578125" style="1"/>
    <col min="6151" max="6151" width="88.7109375" style="1" customWidth="1"/>
    <col min="6152" max="6401" width="11.42578125" style="1"/>
    <col min="6402" max="6402" width="2.7109375" style="1" customWidth="1"/>
    <col min="6403" max="6403" width="176.7109375" style="1" customWidth="1"/>
    <col min="6404" max="6404" width="11.42578125" style="1"/>
    <col min="6405" max="6405" width="176.7109375" style="1" customWidth="1"/>
    <col min="6406" max="6406" width="11.42578125" style="1"/>
    <col min="6407" max="6407" width="88.7109375" style="1" customWidth="1"/>
    <col min="6408" max="6657" width="11.42578125" style="1"/>
    <col min="6658" max="6658" width="2.7109375" style="1" customWidth="1"/>
    <col min="6659" max="6659" width="176.7109375" style="1" customWidth="1"/>
    <col min="6660" max="6660" width="11.42578125" style="1"/>
    <col min="6661" max="6661" width="176.7109375" style="1" customWidth="1"/>
    <col min="6662" max="6662" width="11.42578125" style="1"/>
    <col min="6663" max="6663" width="88.7109375" style="1" customWidth="1"/>
    <col min="6664" max="6913" width="11.42578125" style="1"/>
    <col min="6914" max="6914" width="2.7109375" style="1" customWidth="1"/>
    <col min="6915" max="6915" width="176.7109375" style="1" customWidth="1"/>
    <col min="6916" max="6916" width="11.42578125" style="1"/>
    <col min="6917" max="6917" width="176.7109375" style="1" customWidth="1"/>
    <col min="6918" max="6918" width="11.42578125" style="1"/>
    <col min="6919" max="6919" width="88.7109375" style="1" customWidth="1"/>
    <col min="6920" max="7169" width="11.42578125" style="1"/>
    <col min="7170" max="7170" width="2.7109375" style="1" customWidth="1"/>
    <col min="7171" max="7171" width="176.7109375" style="1" customWidth="1"/>
    <col min="7172" max="7172" width="11.42578125" style="1"/>
    <col min="7173" max="7173" width="176.7109375" style="1" customWidth="1"/>
    <col min="7174" max="7174" width="11.42578125" style="1"/>
    <col min="7175" max="7175" width="88.7109375" style="1" customWidth="1"/>
    <col min="7176" max="7425" width="11.42578125" style="1"/>
    <col min="7426" max="7426" width="2.7109375" style="1" customWidth="1"/>
    <col min="7427" max="7427" width="176.7109375" style="1" customWidth="1"/>
    <col min="7428" max="7428" width="11.42578125" style="1"/>
    <col min="7429" max="7429" width="176.7109375" style="1" customWidth="1"/>
    <col min="7430" max="7430" width="11.42578125" style="1"/>
    <col min="7431" max="7431" width="88.7109375" style="1" customWidth="1"/>
    <col min="7432" max="7681" width="11.42578125" style="1"/>
    <col min="7682" max="7682" width="2.7109375" style="1" customWidth="1"/>
    <col min="7683" max="7683" width="176.7109375" style="1" customWidth="1"/>
    <col min="7684" max="7684" width="11.42578125" style="1"/>
    <col min="7685" max="7685" width="176.7109375" style="1" customWidth="1"/>
    <col min="7686" max="7686" width="11.42578125" style="1"/>
    <col min="7687" max="7687" width="88.7109375" style="1" customWidth="1"/>
    <col min="7688" max="7937" width="11.42578125" style="1"/>
    <col min="7938" max="7938" width="2.7109375" style="1" customWidth="1"/>
    <col min="7939" max="7939" width="176.7109375" style="1" customWidth="1"/>
    <col min="7940" max="7940" width="11.42578125" style="1"/>
    <col min="7941" max="7941" width="176.7109375" style="1" customWidth="1"/>
    <col min="7942" max="7942" width="11.42578125" style="1"/>
    <col min="7943" max="7943" width="88.7109375" style="1" customWidth="1"/>
    <col min="7944" max="8193" width="11.42578125" style="1"/>
    <col min="8194" max="8194" width="2.7109375" style="1" customWidth="1"/>
    <col min="8195" max="8195" width="176.7109375" style="1" customWidth="1"/>
    <col min="8196" max="8196" width="11.42578125" style="1"/>
    <col min="8197" max="8197" width="176.7109375" style="1" customWidth="1"/>
    <col min="8198" max="8198" width="11.42578125" style="1"/>
    <col min="8199" max="8199" width="88.7109375" style="1" customWidth="1"/>
    <col min="8200" max="8449" width="11.42578125" style="1"/>
    <col min="8450" max="8450" width="2.7109375" style="1" customWidth="1"/>
    <col min="8451" max="8451" width="176.7109375" style="1" customWidth="1"/>
    <col min="8452" max="8452" width="11.42578125" style="1"/>
    <col min="8453" max="8453" width="176.7109375" style="1" customWidth="1"/>
    <col min="8454" max="8454" width="11.42578125" style="1"/>
    <col min="8455" max="8455" width="88.7109375" style="1" customWidth="1"/>
    <col min="8456" max="8705" width="11.42578125" style="1"/>
    <col min="8706" max="8706" width="2.7109375" style="1" customWidth="1"/>
    <col min="8707" max="8707" width="176.7109375" style="1" customWidth="1"/>
    <col min="8708" max="8708" width="11.42578125" style="1"/>
    <col min="8709" max="8709" width="176.7109375" style="1" customWidth="1"/>
    <col min="8710" max="8710" width="11.42578125" style="1"/>
    <col min="8711" max="8711" width="88.7109375" style="1" customWidth="1"/>
    <col min="8712" max="8961" width="11.42578125" style="1"/>
    <col min="8962" max="8962" width="2.7109375" style="1" customWidth="1"/>
    <col min="8963" max="8963" width="176.7109375" style="1" customWidth="1"/>
    <col min="8964" max="8964" width="11.42578125" style="1"/>
    <col min="8965" max="8965" width="176.7109375" style="1" customWidth="1"/>
    <col min="8966" max="8966" width="11.42578125" style="1"/>
    <col min="8967" max="8967" width="88.7109375" style="1" customWidth="1"/>
    <col min="8968" max="9217" width="11.42578125" style="1"/>
    <col min="9218" max="9218" width="2.7109375" style="1" customWidth="1"/>
    <col min="9219" max="9219" width="176.7109375" style="1" customWidth="1"/>
    <col min="9220" max="9220" width="11.42578125" style="1"/>
    <col min="9221" max="9221" width="176.7109375" style="1" customWidth="1"/>
    <col min="9222" max="9222" width="11.42578125" style="1"/>
    <col min="9223" max="9223" width="88.7109375" style="1" customWidth="1"/>
    <col min="9224" max="9473" width="11.42578125" style="1"/>
    <col min="9474" max="9474" width="2.7109375" style="1" customWidth="1"/>
    <col min="9475" max="9475" width="176.7109375" style="1" customWidth="1"/>
    <col min="9476" max="9476" width="11.42578125" style="1"/>
    <col min="9477" max="9477" width="176.7109375" style="1" customWidth="1"/>
    <col min="9478" max="9478" width="11.42578125" style="1"/>
    <col min="9479" max="9479" width="88.7109375" style="1" customWidth="1"/>
    <col min="9480" max="9729" width="11.42578125" style="1"/>
    <col min="9730" max="9730" width="2.7109375" style="1" customWidth="1"/>
    <col min="9731" max="9731" width="176.7109375" style="1" customWidth="1"/>
    <col min="9732" max="9732" width="11.42578125" style="1"/>
    <col min="9733" max="9733" width="176.7109375" style="1" customWidth="1"/>
    <col min="9734" max="9734" width="11.42578125" style="1"/>
    <col min="9735" max="9735" width="88.7109375" style="1" customWidth="1"/>
    <col min="9736" max="9985" width="11.42578125" style="1"/>
    <col min="9986" max="9986" width="2.7109375" style="1" customWidth="1"/>
    <col min="9987" max="9987" width="176.7109375" style="1" customWidth="1"/>
    <col min="9988" max="9988" width="11.42578125" style="1"/>
    <col min="9989" max="9989" width="176.7109375" style="1" customWidth="1"/>
    <col min="9990" max="9990" width="11.42578125" style="1"/>
    <col min="9991" max="9991" width="88.7109375" style="1" customWidth="1"/>
    <col min="9992" max="10241" width="11.42578125" style="1"/>
    <col min="10242" max="10242" width="2.7109375" style="1" customWidth="1"/>
    <col min="10243" max="10243" width="176.7109375" style="1" customWidth="1"/>
    <col min="10244" max="10244" width="11.42578125" style="1"/>
    <col min="10245" max="10245" width="176.7109375" style="1" customWidth="1"/>
    <col min="10246" max="10246" width="11.42578125" style="1"/>
    <col min="10247" max="10247" width="88.7109375" style="1" customWidth="1"/>
    <col min="10248" max="10497" width="11.42578125" style="1"/>
    <col min="10498" max="10498" width="2.7109375" style="1" customWidth="1"/>
    <col min="10499" max="10499" width="176.7109375" style="1" customWidth="1"/>
    <col min="10500" max="10500" width="11.42578125" style="1"/>
    <col min="10501" max="10501" width="176.7109375" style="1" customWidth="1"/>
    <col min="10502" max="10502" width="11.42578125" style="1"/>
    <col min="10503" max="10503" width="88.7109375" style="1" customWidth="1"/>
    <col min="10504" max="10753" width="11.42578125" style="1"/>
    <col min="10754" max="10754" width="2.7109375" style="1" customWidth="1"/>
    <col min="10755" max="10755" width="176.7109375" style="1" customWidth="1"/>
    <col min="10756" max="10756" width="11.42578125" style="1"/>
    <col min="10757" max="10757" width="176.7109375" style="1" customWidth="1"/>
    <col min="10758" max="10758" width="11.42578125" style="1"/>
    <col min="10759" max="10759" width="88.7109375" style="1" customWidth="1"/>
    <col min="10760" max="11009" width="11.42578125" style="1"/>
    <col min="11010" max="11010" width="2.7109375" style="1" customWidth="1"/>
    <col min="11011" max="11011" width="176.7109375" style="1" customWidth="1"/>
    <col min="11012" max="11012" width="11.42578125" style="1"/>
    <col min="11013" max="11013" width="176.7109375" style="1" customWidth="1"/>
    <col min="11014" max="11014" width="11.42578125" style="1"/>
    <col min="11015" max="11015" width="88.7109375" style="1" customWidth="1"/>
    <col min="11016" max="11265" width="11.42578125" style="1"/>
    <col min="11266" max="11266" width="2.7109375" style="1" customWidth="1"/>
    <col min="11267" max="11267" width="176.7109375" style="1" customWidth="1"/>
    <col min="11268" max="11268" width="11.42578125" style="1"/>
    <col min="11269" max="11269" width="176.7109375" style="1" customWidth="1"/>
    <col min="11270" max="11270" width="11.42578125" style="1"/>
    <col min="11271" max="11271" width="88.7109375" style="1" customWidth="1"/>
    <col min="11272" max="11521" width="11.42578125" style="1"/>
    <col min="11522" max="11522" width="2.7109375" style="1" customWidth="1"/>
    <col min="11523" max="11523" width="176.7109375" style="1" customWidth="1"/>
    <col min="11524" max="11524" width="11.42578125" style="1"/>
    <col min="11525" max="11525" width="176.7109375" style="1" customWidth="1"/>
    <col min="11526" max="11526" width="11.42578125" style="1"/>
    <col min="11527" max="11527" width="88.7109375" style="1" customWidth="1"/>
    <col min="11528" max="11777" width="11.42578125" style="1"/>
    <col min="11778" max="11778" width="2.7109375" style="1" customWidth="1"/>
    <col min="11779" max="11779" width="176.7109375" style="1" customWidth="1"/>
    <col min="11780" max="11780" width="11.42578125" style="1"/>
    <col min="11781" max="11781" width="176.7109375" style="1" customWidth="1"/>
    <col min="11782" max="11782" width="11.42578125" style="1"/>
    <col min="11783" max="11783" width="88.7109375" style="1" customWidth="1"/>
    <col min="11784" max="12033" width="11.42578125" style="1"/>
    <col min="12034" max="12034" width="2.7109375" style="1" customWidth="1"/>
    <col min="12035" max="12035" width="176.7109375" style="1" customWidth="1"/>
    <col min="12036" max="12036" width="11.42578125" style="1"/>
    <col min="12037" max="12037" width="176.7109375" style="1" customWidth="1"/>
    <col min="12038" max="12038" width="11.42578125" style="1"/>
    <col min="12039" max="12039" width="88.7109375" style="1" customWidth="1"/>
    <col min="12040" max="12289" width="11.42578125" style="1"/>
    <col min="12290" max="12290" width="2.7109375" style="1" customWidth="1"/>
    <col min="12291" max="12291" width="176.7109375" style="1" customWidth="1"/>
    <col min="12292" max="12292" width="11.42578125" style="1"/>
    <col min="12293" max="12293" width="176.7109375" style="1" customWidth="1"/>
    <col min="12294" max="12294" width="11.42578125" style="1"/>
    <col min="12295" max="12295" width="88.7109375" style="1" customWidth="1"/>
    <col min="12296" max="12545" width="11.42578125" style="1"/>
    <col min="12546" max="12546" width="2.7109375" style="1" customWidth="1"/>
    <col min="12547" max="12547" width="176.7109375" style="1" customWidth="1"/>
    <col min="12548" max="12548" width="11.42578125" style="1"/>
    <col min="12549" max="12549" width="176.7109375" style="1" customWidth="1"/>
    <col min="12550" max="12550" width="11.42578125" style="1"/>
    <col min="12551" max="12551" width="88.7109375" style="1" customWidth="1"/>
    <col min="12552" max="12801" width="11.42578125" style="1"/>
    <col min="12802" max="12802" width="2.7109375" style="1" customWidth="1"/>
    <col min="12803" max="12803" width="176.7109375" style="1" customWidth="1"/>
    <col min="12804" max="12804" width="11.42578125" style="1"/>
    <col min="12805" max="12805" width="176.7109375" style="1" customWidth="1"/>
    <col min="12806" max="12806" width="11.42578125" style="1"/>
    <col min="12807" max="12807" width="88.7109375" style="1" customWidth="1"/>
    <col min="12808" max="13057" width="11.42578125" style="1"/>
    <col min="13058" max="13058" width="2.7109375" style="1" customWidth="1"/>
    <col min="13059" max="13059" width="176.7109375" style="1" customWidth="1"/>
    <col min="13060" max="13060" width="11.42578125" style="1"/>
    <col min="13061" max="13061" width="176.7109375" style="1" customWidth="1"/>
    <col min="13062" max="13062" width="11.42578125" style="1"/>
    <col min="13063" max="13063" width="88.7109375" style="1" customWidth="1"/>
    <col min="13064" max="13313" width="11.42578125" style="1"/>
    <col min="13314" max="13314" width="2.7109375" style="1" customWidth="1"/>
    <col min="13315" max="13315" width="176.7109375" style="1" customWidth="1"/>
    <col min="13316" max="13316" width="11.42578125" style="1"/>
    <col min="13317" max="13317" width="176.7109375" style="1" customWidth="1"/>
    <col min="13318" max="13318" width="11.42578125" style="1"/>
    <col min="13319" max="13319" width="88.7109375" style="1" customWidth="1"/>
    <col min="13320" max="13569" width="11.42578125" style="1"/>
    <col min="13570" max="13570" width="2.7109375" style="1" customWidth="1"/>
    <col min="13571" max="13571" width="176.7109375" style="1" customWidth="1"/>
    <col min="13572" max="13572" width="11.42578125" style="1"/>
    <col min="13573" max="13573" width="176.7109375" style="1" customWidth="1"/>
    <col min="13574" max="13574" width="11.42578125" style="1"/>
    <col min="13575" max="13575" width="88.7109375" style="1" customWidth="1"/>
    <col min="13576" max="13825" width="11.42578125" style="1"/>
    <col min="13826" max="13826" width="2.7109375" style="1" customWidth="1"/>
    <col min="13827" max="13827" width="176.7109375" style="1" customWidth="1"/>
    <col min="13828" max="13828" width="11.42578125" style="1"/>
    <col min="13829" max="13829" width="176.7109375" style="1" customWidth="1"/>
    <col min="13830" max="13830" width="11.42578125" style="1"/>
    <col min="13831" max="13831" width="88.7109375" style="1" customWidth="1"/>
    <col min="13832" max="14081" width="11.42578125" style="1"/>
    <col min="14082" max="14082" width="2.7109375" style="1" customWidth="1"/>
    <col min="14083" max="14083" width="176.7109375" style="1" customWidth="1"/>
    <col min="14084" max="14084" width="11.42578125" style="1"/>
    <col min="14085" max="14085" width="176.7109375" style="1" customWidth="1"/>
    <col min="14086" max="14086" width="11.42578125" style="1"/>
    <col min="14087" max="14087" width="88.7109375" style="1" customWidth="1"/>
    <col min="14088" max="14337" width="11.42578125" style="1"/>
    <col min="14338" max="14338" width="2.7109375" style="1" customWidth="1"/>
    <col min="14339" max="14339" width="176.7109375" style="1" customWidth="1"/>
    <col min="14340" max="14340" width="11.42578125" style="1"/>
    <col min="14341" max="14341" width="176.7109375" style="1" customWidth="1"/>
    <col min="14342" max="14342" width="11.42578125" style="1"/>
    <col min="14343" max="14343" width="88.7109375" style="1" customWidth="1"/>
    <col min="14344" max="14593" width="11.42578125" style="1"/>
    <col min="14594" max="14594" width="2.7109375" style="1" customWidth="1"/>
    <col min="14595" max="14595" width="176.7109375" style="1" customWidth="1"/>
    <col min="14596" max="14596" width="11.42578125" style="1"/>
    <col min="14597" max="14597" width="176.7109375" style="1" customWidth="1"/>
    <col min="14598" max="14598" width="11.42578125" style="1"/>
    <col min="14599" max="14599" width="88.7109375" style="1" customWidth="1"/>
    <col min="14600" max="14849" width="11.42578125" style="1"/>
    <col min="14850" max="14850" width="2.7109375" style="1" customWidth="1"/>
    <col min="14851" max="14851" width="176.7109375" style="1" customWidth="1"/>
    <col min="14852" max="14852" width="11.42578125" style="1"/>
    <col min="14853" max="14853" width="176.7109375" style="1" customWidth="1"/>
    <col min="14854" max="14854" width="11.42578125" style="1"/>
    <col min="14855" max="14855" width="88.7109375" style="1" customWidth="1"/>
    <col min="14856" max="15105" width="11.42578125" style="1"/>
    <col min="15106" max="15106" width="2.7109375" style="1" customWidth="1"/>
    <col min="15107" max="15107" width="176.7109375" style="1" customWidth="1"/>
    <col min="15108" max="15108" width="11.42578125" style="1"/>
    <col min="15109" max="15109" width="176.7109375" style="1" customWidth="1"/>
    <col min="15110" max="15110" width="11.42578125" style="1"/>
    <col min="15111" max="15111" width="88.7109375" style="1" customWidth="1"/>
    <col min="15112" max="15361" width="11.42578125" style="1"/>
    <col min="15362" max="15362" width="2.7109375" style="1" customWidth="1"/>
    <col min="15363" max="15363" width="176.7109375" style="1" customWidth="1"/>
    <col min="15364" max="15364" width="11.42578125" style="1"/>
    <col min="15365" max="15365" width="176.7109375" style="1" customWidth="1"/>
    <col min="15366" max="15366" width="11.42578125" style="1"/>
    <col min="15367" max="15367" width="88.7109375" style="1" customWidth="1"/>
    <col min="15368" max="15617" width="11.42578125" style="1"/>
    <col min="15618" max="15618" width="2.7109375" style="1" customWidth="1"/>
    <col min="15619" max="15619" width="176.7109375" style="1" customWidth="1"/>
    <col min="15620" max="15620" width="11.42578125" style="1"/>
    <col min="15621" max="15621" width="176.7109375" style="1" customWidth="1"/>
    <col min="15622" max="15622" width="11.42578125" style="1"/>
    <col min="15623" max="15623" width="88.7109375" style="1" customWidth="1"/>
    <col min="15624" max="15873" width="11.42578125" style="1"/>
    <col min="15874" max="15874" width="2.7109375" style="1" customWidth="1"/>
    <col min="15875" max="15875" width="176.7109375" style="1" customWidth="1"/>
    <col min="15876" max="15876" width="11.42578125" style="1"/>
    <col min="15877" max="15877" width="176.7109375" style="1" customWidth="1"/>
    <col min="15878" max="15878" width="11.42578125" style="1"/>
    <col min="15879" max="15879" width="88.7109375" style="1" customWidth="1"/>
    <col min="15880" max="16129" width="11.42578125" style="1"/>
    <col min="16130" max="16130" width="2.7109375" style="1" customWidth="1"/>
    <col min="16131" max="16131" width="176.7109375" style="1" customWidth="1"/>
    <col min="16132" max="16132" width="11.42578125" style="1"/>
    <col min="16133" max="16133" width="176.7109375" style="1" customWidth="1"/>
    <col min="16134" max="16134" width="11.42578125" style="1"/>
    <col min="16135" max="16135" width="88.7109375" style="1" customWidth="1"/>
    <col min="16136" max="16384" width="11.42578125" style="1"/>
  </cols>
  <sheetData>
    <row r="2" spans="1:11" x14ac:dyDescent="0.2">
      <c r="C2" s="263"/>
      <c r="D2" s="263"/>
      <c r="E2" s="263"/>
    </row>
    <row r="3" spans="1:11" x14ac:dyDescent="0.2">
      <c r="A3" s="34" t="s">
        <v>51</v>
      </c>
    </row>
    <row r="4" spans="1:11" x14ac:dyDescent="0.2">
      <c r="C4" s="263"/>
      <c r="D4" s="263"/>
      <c r="E4" s="263"/>
      <c r="F4" s="263"/>
      <c r="G4" s="263"/>
      <c r="H4" s="263"/>
      <c r="I4" s="263"/>
      <c r="J4" s="263"/>
      <c r="K4" s="263"/>
    </row>
    <row r="6" spans="1:11" ht="15.75" x14ac:dyDescent="0.25">
      <c r="C6" s="268" t="s">
        <v>16</v>
      </c>
      <c r="E6" s="268"/>
    </row>
    <row r="7" spans="1:11" ht="18.75" customHeight="1" x14ac:dyDescent="0.2">
      <c r="E7" s="39"/>
    </row>
    <row r="8" spans="1:11" ht="15.75" x14ac:dyDescent="0.25">
      <c r="B8" s="264">
        <v>1</v>
      </c>
      <c r="C8" s="265" t="s">
        <v>310</v>
      </c>
      <c r="E8" s="271"/>
    </row>
    <row r="9" spans="1:11" ht="31.5" x14ac:dyDescent="0.2">
      <c r="B9" s="264">
        <v>2</v>
      </c>
      <c r="C9" s="265" t="s">
        <v>248</v>
      </c>
      <c r="E9" s="5"/>
    </row>
    <row r="10" spans="1:11" ht="47.25" x14ac:dyDescent="0.2">
      <c r="B10" s="264">
        <v>3</v>
      </c>
      <c r="C10" s="265" t="s">
        <v>249</v>
      </c>
      <c r="E10" s="5"/>
    </row>
    <row r="11" spans="1:11" ht="31.5" x14ac:dyDescent="0.2">
      <c r="B11" s="264">
        <v>4</v>
      </c>
      <c r="C11" s="513" t="s">
        <v>407</v>
      </c>
      <c r="E11" s="5"/>
    </row>
    <row r="12" spans="1:11" ht="31.5" x14ac:dyDescent="0.2">
      <c r="B12" s="264">
        <v>5</v>
      </c>
      <c r="C12" s="265" t="s">
        <v>21</v>
      </c>
    </row>
    <row r="13" spans="1:11" ht="15.75" x14ac:dyDescent="0.2">
      <c r="B13" s="264">
        <v>6</v>
      </c>
      <c r="C13" s="265" t="s">
        <v>311</v>
      </c>
    </row>
    <row r="14" spans="1:11" ht="15.75" x14ac:dyDescent="0.2">
      <c r="B14" s="264">
        <v>7</v>
      </c>
      <c r="C14" s="265" t="s">
        <v>17</v>
      </c>
    </row>
    <row r="15" spans="1:11" ht="18.75" customHeight="1" x14ac:dyDescent="0.2">
      <c r="B15" s="264">
        <v>8</v>
      </c>
      <c r="C15" s="265" t="s">
        <v>18</v>
      </c>
    </row>
    <row r="16" spans="1:11" ht="18.75" customHeight="1" x14ac:dyDescent="0.2">
      <c r="B16" s="264">
        <v>9</v>
      </c>
      <c r="C16" s="265" t="s">
        <v>22</v>
      </c>
    </row>
    <row r="17" spans="2:9" ht="63" x14ac:dyDescent="0.25">
      <c r="B17" s="264">
        <v>10</v>
      </c>
      <c r="C17" s="265" t="s">
        <v>320</v>
      </c>
      <c r="E17" s="268"/>
    </row>
    <row r="18" spans="2:9" ht="15.75" x14ac:dyDescent="0.2">
      <c r="B18" s="264">
        <v>11</v>
      </c>
      <c r="C18" s="265" t="s">
        <v>19</v>
      </c>
      <c r="E18" s="5"/>
    </row>
    <row r="19" spans="2:9" ht="15.75" x14ac:dyDescent="0.2">
      <c r="B19" s="264">
        <v>12</v>
      </c>
      <c r="C19" s="265" t="s">
        <v>251</v>
      </c>
      <c r="E19" s="5"/>
    </row>
    <row r="20" spans="2:9" ht="15.75" x14ac:dyDescent="0.2">
      <c r="B20" s="264">
        <v>13</v>
      </c>
      <c r="C20" s="265" t="s">
        <v>20</v>
      </c>
    </row>
    <row r="21" spans="2:9" ht="47.25" x14ac:dyDescent="0.2">
      <c r="B21" s="264">
        <v>14</v>
      </c>
      <c r="C21" s="265" t="s">
        <v>252</v>
      </c>
      <c r="E21" s="272"/>
    </row>
    <row r="22" spans="2:9" ht="31.5" x14ac:dyDescent="0.2">
      <c r="B22" s="264">
        <v>15</v>
      </c>
      <c r="C22" s="265" t="s">
        <v>300</v>
      </c>
    </row>
    <row r="23" spans="2:9" ht="15.75" x14ac:dyDescent="0.25">
      <c r="B23" s="264">
        <v>16</v>
      </c>
      <c r="C23" s="267" t="s">
        <v>250</v>
      </c>
      <c r="D23" s="2"/>
      <c r="E23" s="263"/>
      <c r="F23" s="2"/>
      <c r="G23" s="2"/>
      <c r="H23" s="2"/>
      <c r="I23" s="2"/>
    </row>
    <row r="24" spans="2:9" ht="18.75" customHeight="1" x14ac:dyDescent="0.25">
      <c r="B24" s="266">
        <v>17</v>
      </c>
      <c r="C24" s="267" t="s">
        <v>253</v>
      </c>
    </row>
    <row r="25" spans="2:9" ht="18.75" customHeight="1" x14ac:dyDescent="0.2">
      <c r="B25" s="414">
        <v>18</v>
      </c>
      <c r="C25" s="589" t="s">
        <v>373</v>
      </c>
    </row>
    <row r="26" spans="2:9" ht="18.75" customHeight="1" x14ac:dyDescent="0.25">
      <c r="B26" s="415"/>
      <c r="C26" s="589"/>
    </row>
    <row r="27" spans="2:9" ht="18.75" customHeight="1" x14ac:dyDescent="0.25">
      <c r="B27" s="506">
        <v>19</v>
      </c>
      <c r="C27" s="507" t="s">
        <v>403</v>
      </c>
    </row>
    <row r="28" spans="2:9" ht="18.75" customHeight="1" x14ac:dyDescent="0.2">
      <c r="C28" s="270"/>
    </row>
    <row r="29" spans="2:9" ht="18.75" customHeight="1" x14ac:dyDescent="0.2">
      <c r="C29" s="270"/>
    </row>
    <row r="31" spans="2:9" ht="18.75" customHeight="1" x14ac:dyDescent="0.2"/>
    <row r="32" spans="2:9" ht="18.75" customHeight="1" x14ac:dyDescent="0.2"/>
    <row r="33" spans="2:2" ht="18.75" customHeight="1" x14ac:dyDescent="0.2"/>
    <row r="34" spans="2:2" ht="18.75" customHeight="1" x14ac:dyDescent="0.2"/>
    <row r="35" spans="2:2" ht="18.75" customHeight="1" x14ac:dyDescent="0.2"/>
    <row r="36" spans="2:2" ht="18.75" customHeight="1" x14ac:dyDescent="0.2"/>
    <row r="37" spans="2:2" ht="18.75" customHeight="1" x14ac:dyDescent="0.2"/>
    <row r="38" spans="2:2" ht="18.75" customHeight="1" x14ac:dyDescent="0.2"/>
    <row r="39" spans="2:2" ht="18.75" customHeight="1" x14ac:dyDescent="0.2"/>
    <row r="40" spans="2:2" ht="18.75" customHeight="1" x14ac:dyDescent="0.2">
      <c r="B40" s="5"/>
    </row>
    <row r="41" spans="2:2" ht="18.75" customHeight="1" x14ac:dyDescent="0.2">
      <c r="B41" s="5"/>
    </row>
    <row r="42" spans="2:2" ht="18.75" customHeight="1" x14ac:dyDescent="0.2">
      <c r="B42" s="5"/>
    </row>
    <row r="43" spans="2:2" ht="18.75" customHeight="1" x14ac:dyDescent="0.2">
      <c r="B43" s="5"/>
    </row>
    <row r="44" spans="2:2" ht="18.75" customHeight="1" x14ac:dyDescent="0.2">
      <c r="B44" s="5"/>
    </row>
    <row r="45" spans="2:2" ht="18.75" customHeight="1" x14ac:dyDescent="0.2">
      <c r="B45" s="5"/>
    </row>
    <row r="46" spans="2:2" ht="18.75" customHeight="1" x14ac:dyDescent="0.2"/>
    <row r="47" spans="2:2" ht="18.75" customHeight="1" x14ac:dyDescent="0.2"/>
    <row r="48" spans="2:2" ht="18.75" customHeight="1" x14ac:dyDescent="0.2"/>
    <row r="49" spans="4:14" ht="18.75" customHeight="1" x14ac:dyDescent="0.2"/>
    <row r="50" spans="4:14" ht="18.75" customHeight="1" x14ac:dyDescent="0.2">
      <c r="D50" s="263"/>
      <c r="E50" s="263"/>
      <c r="F50" s="263"/>
      <c r="G50" s="263"/>
      <c r="H50" s="263"/>
      <c r="I50" s="263"/>
      <c r="J50" s="263"/>
      <c r="K50" s="263"/>
      <c r="L50" s="263"/>
      <c r="M50" s="263"/>
      <c r="N50" s="263"/>
    </row>
    <row r="51" spans="4:14" ht="18.75" customHeight="1" x14ac:dyDescent="0.2"/>
    <row r="52" spans="4:14" ht="18.75" customHeight="1" x14ac:dyDescent="0.2"/>
    <row r="53" spans="4:14" ht="18.75" customHeight="1" x14ac:dyDescent="0.2"/>
    <row r="54" spans="4:14" ht="18.75" customHeight="1" x14ac:dyDescent="0.2"/>
    <row r="55" spans="4:14" ht="18.75" customHeight="1" x14ac:dyDescent="0.2"/>
    <row r="56" spans="4:14" ht="18.75" customHeight="1" x14ac:dyDescent="0.2"/>
    <row r="57" spans="4:14" ht="18.75" customHeight="1" x14ac:dyDescent="0.2"/>
    <row r="58" spans="4:14" ht="18.75" customHeight="1" x14ac:dyDescent="0.2"/>
    <row r="59" spans="4:14" ht="18.75" customHeight="1" x14ac:dyDescent="0.2"/>
    <row r="60" spans="4:14" ht="18.75" customHeight="1" x14ac:dyDescent="0.2"/>
    <row r="61" spans="4:14" ht="18.75" customHeight="1" x14ac:dyDescent="0.2"/>
    <row r="62" spans="4:14" ht="18.75" customHeight="1" x14ac:dyDescent="0.2"/>
    <row r="63" spans="4:14" ht="18.75" customHeight="1" x14ac:dyDescent="0.2"/>
    <row r="64" spans="4:14" ht="18.75" customHeight="1" x14ac:dyDescent="0.2"/>
    <row r="65" ht="18.75" customHeight="1" x14ac:dyDescent="0.2"/>
  </sheetData>
  <sortState xmlns:xlrd2="http://schemas.microsoft.com/office/spreadsheetml/2017/richdata2" ref="B5:E41">
    <sortCondition ref="B5:B41"/>
  </sortState>
  <mergeCells count="1">
    <mergeCell ref="C25:C26"/>
  </mergeCells>
  <pageMargins left="0.78740157480314965" right="0.78740157480314965" top="0.98425196850393704" bottom="0.98425196850393704" header="0.51181102362204722" footer="0.51181102362204722"/>
  <pageSetup paperSize="9" scale="65" fitToWidth="3" orientation="portrait" r:id="rId1"/>
  <headerFooter alignWithMargins="0"/>
  <colBreaks count="2" manualBreakCount="2">
    <brk id="1" max="42" man="1"/>
    <brk id="3" min="4"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IF109"/>
  <sheetViews>
    <sheetView showGridLines="0" showZeros="0" zoomScale="70" zoomScaleNormal="70" workbookViewId="0">
      <pane xSplit="1" ySplit="7" topLeftCell="B8" activePane="bottomRight" state="frozen"/>
      <selection activeCell="H73" sqref="H73"/>
      <selection pane="topRight" activeCell="H73" sqref="H73"/>
      <selection pane="bottomLeft" activeCell="H73" sqref="H73"/>
      <selection pane="bottomRight" activeCell="A4" sqref="A4"/>
    </sheetView>
  </sheetViews>
  <sheetFormatPr baseColWidth="10" defaultColWidth="11.42578125" defaultRowHeight="12.75" x14ac:dyDescent="0.2"/>
  <cols>
    <col min="1" max="1" width="49" style="58" customWidth="1"/>
    <col min="2" max="3" width="15.7109375" style="58" customWidth="1"/>
    <col min="4" max="4" width="8.7109375" style="58" customWidth="1"/>
    <col min="5" max="5" width="12.140625" style="58" bestFit="1" customWidth="1"/>
    <col min="6" max="6" width="4.7109375" style="58" customWidth="1"/>
    <col min="7" max="7" width="18.42578125" style="58" customWidth="1"/>
    <col min="8" max="8" width="17.7109375" style="58" customWidth="1"/>
    <col min="9" max="9" width="8.7109375" style="58" customWidth="1"/>
    <col min="10" max="10" width="12.140625" style="58" bestFit="1" customWidth="1"/>
    <col min="11" max="11" width="13.42578125" style="58" hidden="1" customWidth="1"/>
    <col min="12" max="12" width="14.7109375" style="58" hidden="1" customWidth="1"/>
    <col min="13" max="13" width="13.7109375" style="58" hidden="1" customWidth="1"/>
    <col min="14" max="15" width="15.7109375" style="58" hidden="1" customWidth="1"/>
    <col min="16" max="16" width="11.42578125" style="58" hidden="1" customWidth="1"/>
    <col min="17" max="19" width="11.42578125" style="58" customWidth="1"/>
    <col min="20" max="16384" width="11.42578125" style="58"/>
  </cols>
  <sheetData>
    <row r="1" spans="1:18" ht="20.25" x14ac:dyDescent="0.3">
      <c r="A1" s="51" t="s">
        <v>72</v>
      </c>
      <c r="B1" s="46" t="s">
        <v>52</v>
      </c>
      <c r="C1" s="47"/>
      <c r="D1" s="47"/>
      <c r="E1" s="47"/>
      <c r="F1" s="47"/>
      <c r="G1" s="47"/>
      <c r="H1" s="47"/>
      <c r="I1" s="47"/>
      <c r="J1" s="47"/>
      <c r="K1" s="47"/>
    </row>
    <row r="2" spans="1:18" ht="20.25" x14ac:dyDescent="0.3">
      <c r="A2" s="51" t="s">
        <v>73</v>
      </c>
      <c r="B2" s="47"/>
      <c r="C2" s="47"/>
      <c r="D2" s="47"/>
      <c r="E2" s="504"/>
      <c r="F2" s="49"/>
      <c r="G2" s="49"/>
      <c r="H2" s="49"/>
      <c r="I2" s="49"/>
      <c r="J2" s="49"/>
      <c r="K2" s="49"/>
      <c r="L2" s="505"/>
      <c r="M2" s="505"/>
      <c r="N2" s="505"/>
      <c r="O2" s="505"/>
      <c r="P2" s="505"/>
      <c r="Q2" s="505"/>
    </row>
    <row r="3" spans="1:18" ht="18.75" x14ac:dyDescent="0.3">
      <c r="A3" s="550" t="s">
        <v>74</v>
      </c>
      <c r="B3" s="550"/>
      <c r="C3" s="47"/>
      <c r="D3" s="47"/>
      <c r="E3" s="47"/>
      <c r="F3" s="47"/>
      <c r="G3" s="47"/>
      <c r="H3" s="47"/>
      <c r="I3" s="47"/>
      <c r="J3" s="47"/>
      <c r="K3" s="47"/>
    </row>
    <row r="4" spans="1:18" ht="18.75" x14ac:dyDescent="0.3">
      <c r="A4" s="53" t="s">
        <v>410</v>
      </c>
      <c r="B4" s="54"/>
      <c r="C4" s="55"/>
      <c r="D4" s="55"/>
      <c r="E4" s="56"/>
      <c r="F4" s="57"/>
      <c r="G4" s="54"/>
      <c r="H4" s="55"/>
      <c r="I4" s="55"/>
      <c r="J4" s="56"/>
      <c r="K4" s="47"/>
      <c r="L4" s="156"/>
      <c r="M4" s="157"/>
      <c r="N4" s="158"/>
      <c r="O4" s="157"/>
    </row>
    <row r="5" spans="1:18" ht="22.5" x14ac:dyDescent="0.3">
      <c r="A5" s="59"/>
      <c r="B5" s="551" t="s">
        <v>75</v>
      </c>
      <c r="C5" s="552"/>
      <c r="D5" s="552"/>
      <c r="E5" s="553"/>
      <c r="F5" s="61"/>
      <c r="G5" s="551" t="s">
        <v>350</v>
      </c>
      <c r="H5" s="552"/>
      <c r="I5" s="552"/>
      <c r="J5" s="553"/>
      <c r="K5" s="60"/>
      <c r="L5" s="554" t="s">
        <v>125</v>
      </c>
      <c r="M5" s="549"/>
      <c r="N5" s="548" t="s">
        <v>126</v>
      </c>
      <c r="O5" s="549"/>
    </row>
    <row r="6" spans="1:18" ht="18.75" x14ac:dyDescent="0.3">
      <c r="A6" s="62"/>
      <c r="B6" s="63"/>
      <c r="C6" s="64"/>
      <c r="D6" s="64" t="s">
        <v>76</v>
      </c>
      <c r="E6" s="65" t="s">
        <v>29</v>
      </c>
      <c r="F6" s="66"/>
      <c r="G6" s="63"/>
      <c r="H6" s="64"/>
      <c r="I6" s="64" t="s">
        <v>76</v>
      </c>
      <c r="J6" s="65" t="s">
        <v>29</v>
      </c>
      <c r="K6" s="71"/>
      <c r="L6" s="159"/>
      <c r="M6" s="160"/>
      <c r="N6" s="161"/>
      <c r="O6" s="160"/>
    </row>
    <row r="7" spans="1:18" ht="15.75" x14ac:dyDescent="0.25">
      <c r="A7" s="67" t="s">
        <v>77</v>
      </c>
      <c r="B7" s="68">
        <v>2024</v>
      </c>
      <c r="C7" s="68">
        <v>2025</v>
      </c>
      <c r="D7" s="69" t="s">
        <v>78</v>
      </c>
      <c r="E7" s="70" t="s">
        <v>30</v>
      </c>
      <c r="F7" s="66"/>
      <c r="G7" s="68">
        <v>2024</v>
      </c>
      <c r="H7" s="68">
        <v>2025</v>
      </c>
      <c r="I7" s="69" t="s">
        <v>78</v>
      </c>
      <c r="J7" s="70" t="s">
        <v>30</v>
      </c>
      <c r="K7" s="71"/>
      <c r="L7" s="162">
        <v>2015</v>
      </c>
      <c r="M7" s="163">
        <v>2016</v>
      </c>
      <c r="N7" s="164">
        <v>2015</v>
      </c>
      <c r="O7" s="163">
        <v>2016</v>
      </c>
      <c r="P7" s="58" t="s">
        <v>129</v>
      </c>
    </row>
    <row r="8" spans="1:18" ht="18.75" x14ac:dyDescent="0.3">
      <c r="A8" s="72" t="s">
        <v>0</v>
      </c>
      <c r="B8" s="96"/>
      <c r="C8" s="74"/>
      <c r="D8" s="75"/>
      <c r="E8" s="318"/>
      <c r="F8" s="130"/>
      <c r="G8" s="96"/>
      <c r="H8" s="96"/>
      <c r="I8" s="74"/>
      <c r="J8" s="318"/>
      <c r="K8" s="50"/>
      <c r="L8" s="165" t="s">
        <v>0</v>
      </c>
      <c r="M8" s="166"/>
      <c r="N8" s="167"/>
      <c r="O8" s="166"/>
      <c r="P8" s="58" t="s">
        <v>134</v>
      </c>
    </row>
    <row r="9" spans="1:18" ht="18.75" x14ac:dyDescent="0.3">
      <c r="A9" s="76" t="s">
        <v>79</v>
      </c>
      <c r="B9" s="130">
        <f>'DNB Livsforsikring'!B7+'DNB Livsforsikring'!B22+'DNB Livsforsikring'!B36+'DNB Livsforsikring'!B47+'DNB Livsforsikring'!B66+'DNB Livsforsikring'!B134</f>
        <v>2786261.05822</v>
      </c>
      <c r="C9" s="130">
        <f>'DNB Livsforsikring'!C7+'DNB Livsforsikring'!C22+'DNB Livsforsikring'!C36+'DNB Livsforsikring'!C47+'DNB Livsforsikring'!C66+'DNB Livsforsikring'!C134</f>
        <v>2965819.5959999999</v>
      </c>
      <c r="D9" s="75">
        <f t="shared" ref="D9:D31" si="0">IF(B9=0, "    ---- ", IF(ABS(ROUND(100/B9*C9-100,1))&lt;999,ROUND(100/B9*C9-100,1),IF(ROUND(100/B9*C9-100,1)&gt;999,999,-999)))</f>
        <v>6.4</v>
      </c>
      <c r="E9" s="318">
        <f t="shared" ref="E9:E32" si="1">100/C$33*C9</f>
        <v>3.5567042454049971</v>
      </c>
      <c r="F9" s="74"/>
      <c r="G9" s="130">
        <f>'DNB Livsforsikring'!B10+'DNB Livsforsikring'!B29+'DNB Livsforsikring'!B37+'DNB Livsforsikring'!B87+'DNB Livsforsikring'!B135</f>
        <v>181650880.99984998</v>
      </c>
      <c r="H9" s="130">
        <f>'DNB Livsforsikring'!C10+'DNB Livsforsikring'!C29+'DNB Livsforsikring'!C37+'DNB Livsforsikring'!C87+'DNB Livsforsikring'!C135</f>
        <v>179486854.61621866</v>
      </c>
      <c r="I9" s="75">
        <f t="shared" ref="I9:I28" si="2">IF(G9=0, "    ---- ", IF(ABS(ROUND(100/G9*H9-100,1))&lt;999,ROUND(100/G9*H9-100,1),IF(ROUND(100/G9*H9-100,1)&gt;999,999,-999)))</f>
        <v>-1.2</v>
      </c>
      <c r="J9" s="318">
        <f t="shared" ref="J9:J32" si="3">100/H$33*H9</f>
        <v>12.34154016929357</v>
      </c>
      <c r="K9" s="155" t="s">
        <v>131</v>
      </c>
      <c r="L9" s="168" t="e">
        <f ca="1">INDIRECT("'" &amp;#REF! &amp; "'!" &amp; $P$7)</f>
        <v>#REF!</v>
      </c>
      <c r="M9" s="166" t="e">
        <f ca="1">INDIRECT("'" &amp;#REF! &amp; "'!" &amp; $P$8)</f>
        <v>#REF!</v>
      </c>
      <c r="N9" s="168" t="e">
        <f ca="1">INDIRECT("'" &amp;#REF! &amp; "'!" &amp;#REF!)</f>
        <v>#REF!</v>
      </c>
      <c r="O9" s="166" t="e">
        <f ca="1">INDIRECT("'" &amp;#REF! &amp; "'!" &amp; $P$9)</f>
        <v>#REF!</v>
      </c>
      <c r="P9" s="58" t="s">
        <v>139</v>
      </c>
    </row>
    <row r="10" spans="1:18" ht="18.75" x14ac:dyDescent="0.3">
      <c r="A10" s="76" t="s">
        <v>80</v>
      </c>
      <c r="B10" s="130">
        <f>'Eika Forsikring AS'!B7+'Eika Forsikring AS'!B22+'Eika Forsikring AS'!B36+'Eika Forsikring AS'!B47+'Eika Forsikring AS'!B66+'Eika Forsikring AS'!B134</f>
        <v>452553</v>
      </c>
      <c r="C10" s="130">
        <f>'Eika Forsikring AS'!C7+'Eika Forsikring AS'!C22+'Eika Forsikring AS'!C36+'Eika Forsikring AS'!C47+'Eika Forsikring AS'!C66+'Eika Forsikring AS'!C134</f>
        <v>0</v>
      </c>
      <c r="D10" s="75">
        <f t="shared" si="0"/>
        <v>-100</v>
      </c>
      <c r="E10" s="318">
        <f t="shared" si="1"/>
        <v>0</v>
      </c>
      <c r="F10" s="74"/>
      <c r="G10" s="130">
        <f>'Eika Forsikring AS'!B10+'Eika Forsikring AS'!B29+'Eika Forsikring AS'!B37+'Eika Forsikring AS'!B87+'Eika Forsikring AS'!B135</f>
        <v>0</v>
      </c>
      <c r="H10" s="130">
        <f>'Eika Forsikring AS'!C10+'Eika Forsikring AS'!C29+'Eika Forsikring AS'!C37+'Eika Forsikring AS'!C87+'Eika Forsikring AS'!C135</f>
        <v>0</v>
      </c>
      <c r="I10" s="75"/>
      <c r="J10" s="318">
        <f t="shared" si="3"/>
        <v>0</v>
      </c>
      <c r="K10" s="58" t="s">
        <v>127</v>
      </c>
      <c r="L10" s="168">
        <f ca="1">INDIRECT("'" &amp; $A9 &amp; "'!" &amp; $P$7)</f>
        <v>0</v>
      </c>
      <c r="M10" s="166">
        <f ca="1">INDIRECT("'" &amp; $A9 &amp; "'!" &amp; $P$8)</f>
        <v>0</v>
      </c>
      <c r="N10" s="168" t="e">
        <f ca="1">INDIRECT("'" &amp; $A9 &amp; "'!" &amp;#REF!)</f>
        <v>#REF!</v>
      </c>
      <c r="O10" s="166">
        <f ca="1">INDIRECT("'" &amp; $A9 &amp; "'!" &amp; $P$9)</f>
        <v>0</v>
      </c>
    </row>
    <row r="11" spans="1:18" ht="18.75" x14ac:dyDescent="0.3">
      <c r="A11" s="76" t="s">
        <v>365</v>
      </c>
      <c r="B11" s="130">
        <f>'Euro Accident'!B7+'Euro Accident'!B22+'Euro Accident'!B36+'Euro Accident'!B47+'Euro Accident'!B66+'Euro Accident'!B134</f>
        <v>71355</v>
      </c>
      <c r="C11" s="130">
        <f>'Euro Accident'!C7+'Euro Accident'!C22+'Euro Accident'!C36+'Euro Accident'!C47+'Euro Accident'!C66+'Euro Accident'!C134</f>
        <v>99295</v>
      </c>
      <c r="D11" s="75">
        <f t="shared" ref="D11" si="4">IF(B11=0, "    ---- ", IF(ABS(ROUND(100/B11*C11-100,1))&lt;999,ROUND(100/B11*C11-100,1),IF(ROUND(100/B11*C11-100,1)&gt;999,999,-999)))</f>
        <v>39.200000000000003</v>
      </c>
      <c r="E11" s="318">
        <f t="shared" si="1"/>
        <v>0.11907769053916831</v>
      </c>
      <c r="F11" s="74"/>
      <c r="G11" s="130">
        <f>'Euro Accident'!B10+'Euro Accident'!B29+'Euro Accident'!B37+'Euro Accident'!B87+'Euro Accident'!B135</f>
        <v>0</v>
      </c>
      <c r="H11" s="130">
        <f>'Euro Accident'!C10+'Euro Accident'!C29+'Euro Accident'!C37+'Euro Accident'!C87+'Euro Accident'!C135</f>
        <v>0</v>
      </c>
      <c r="I11" s="75"/>
      <c r="J11" s="318">
        <f t="shared" si="3"/>
        <v>0</v>
      </c>
      <c r="L11" s="168"/>
      <c r="M11" s="166"/>
      <c r="N11" s="168"/>
      <c r="O11" s="166"/>
    </row>
    <row r="12" spans="1:18" ht="18.75" x14ac:dyDescent="0.3">
      <c r="A12" s="76" t="s">
        <v>353</v>
      </c>
      <c r="B12" s="130">
        <f>'Fremtind Livsforsikring'!B7+'Fremtind Livsforsikring'!B22+'Fremtind Livsforsikring'!B36+'Fremtind Livsforsikring'!B47+'Fremtind Livsforsikring'!B66+'Fremtind Livsforsikring'!B134</f>
        <v>2813938.0383600001</v>
      </c>
      <c r="C12" s="130">
        <f>'Fremtind Livsforsikring'!C7+'Fremtind Livsforsikring'!C22+'Fremtind Livsforsikring'!C36+'Fremtind Livsforsikring'!C47+'Fremtind Livsforsikring'!C66+'Fremtind Livsforsikring'!C134</f>
        <v>3462010.0061499998</v>
      </c>
      <c r="D12" s="75">
        <f t="shared" si="0"/>
        <v>23</v>
      </c>
      <c r="E12" s="318">
        <f t="shared" si="1"/>
        <v>4.1517514089917302</v>
      </c>
      <c r="F12" s="74"/>
      <c r="G12" s="130">
        <f>'Fremtind Livsforsikring'!B10+'Fremtind Livsforsikring'!B29+'Fremtind Livsforsikring'!B37+'Fremtind Livsforsikring'!B87+'Fremtind Livsforsikring'!B135</f>
        <v>5738350.5694500003</v>
      </c>
      <c r="H12" s="130">
        <f>'Fremtind Livsforsikring'!C10+'Fremtind Livsforsikring'!C29+'Fremtind Livsforsikring'!C37+'Fremtind Livsforsikring'!C87+'Fremtind Livsforsikring'!C135</f>
        <v>6270147.1001199996</v>
      </c>
      <c r="I12" s="75">
        <f t="shared" si="2"/>
        <v>9.3000000000000007</v>
      </c>
      <c r="J12" s="318">
        <f t="shared" si="3"/>
        <v>0.43113615461685245</v>
      </c>
      <c r="K12" s="58" t="s">
        <v>132</v>
      </c>
      <c r="L12" s="168">
        <f ca="1">INDIRECT("'" &amp; $A10 &amp; "'!" &amp; $P$7)</f>
        <v>0</v>
      </c>
      <c r="M12" s="166">
        <f ca="1">INDIRECT("'" &amp; $A10 &amp; "'!" &amp; $P$8)</f>
        <v>0</v>
      </c>
      <c r="N12" s="168" t="e">
        <f ca="1">INDIRECT("'" &amp; $A10 &amp; "'!" &amp;#REF!)</f>
        <v>#REF!</v>
      </c>
      <c r="O12" s="166">
        <f ca="1">INDIRECT("'" &amp; $A10 &amp; "'!" &amp; $P$9)</f>
        <v>0</v>
      </c>
      <c r="R12" s="413"/>
    </row>
    <row r="13" spans="1:18" ht="18.75" x14ac:dyDescent="0.3">
      <c r="A13" s="76" t="s">
        <v>81</v>
      </c>
      <c r="B13" s="130">
        <f>'Frende Livsforsikring'!B7+'Frende Livsforsikring'!B22+'Frende Livsforsikring'!B36+'Frende Livsforsikring'!B47+'Frende Livsforsikring'!B66+'Frende Livsforsikring'!B134</f>
        <v>633438.71653000009</v>
      </c>
      <c r="C13" s="130">
        <f>'Frende Livsforsikring'!C7+'Frende Livsforsikring'!C22+'Frende Livsforsikring'!C36+'Frende Livsforsikring'!C47+'Frende Livsforsikring'!C66+'Frende Livsforsikring'!C134</f>
        <v>711774</v>
      </c>
      <c r="D13" s="75">
        <f t="shared" si="0"/>
        <v>12.4</v>
      </c>
      <c r="E13" s="318">
        <f t="shared" si="1"/>
        <v>0.85358179269677215</v>
      </c>
      <c r="F13" s="74"/>
      <c r="G13" s="130">
        <f>'Frende Livsforsikring'!B10+'Frende Livsforsikring'!B29+'Frende Livsforsikring'!B37+'Frende Livsforsikring'!B87+'Frende Livsforsikring'!B135</f>
        <v>1889136.3959733311</v>
      </c>
      <c r="H13" s="130">
        <f>'Frende Livsforsikring'!C10+'Frende Livsforsikring'!C29+'Frende Livsforsikring'!C37+'Frende Livsforsikring'!C87+'Frende Livsforsikring'!C135</f>
        <v>2334043</v>
      </c>
      <c r="I13" s="75">
        <f t="shared" si="2"/>
        <v>23.6</v>
      </c>
      <c r="J13" s="318">
        <f t="shared" si="3"/>
        <v>0.16048910937211083</v>
      </c>
      <c r="L13" s="168"/>
      <c r="M13" s="166"/>
      <c r="N13" s="168"/>
      <c r="O13" s="166"/>
    </row>
    <row r="14" spans="1:18" ht="18.75" x14ac:dyDescent="0.3">
      <c r="A14" s="76" t="s">
        <v>82</v>
      </c>
      <c r="B14" s="130">
        <f>'Frende Skadeforsikring'!B7+'Frende Skadeforsikring'!B22+'Frende Skadeforsikring'!B36+'Frende Skadeforsikring'!B47+'Frende Skadeforsikring'!B66+'Frende Skadeforsikring'!B134</f>
        <v>2550.4560000000001</v>
      </c>
      <c r="C14" s="130">
        <f>'Frende Skadeforsikring'!C7+'Frende Skadeforsikring'!C22+'Frende Skadeforsikring'!C36+'Frende Skadeforsikring'!C47+'Frende Skadeforsikring'!C66+'Frende Skadeforsikring'!C134</f>
        <v>294.02600000000001</v>
      </c>
      <c r="D14" s="75">
        <f t="shared" si="0"/>
        <v>-88.5</v>
      </c>
      <c r="E14" s="318">
        <f t="shared" si="1"/>
        <v>3.5260523730771442E-4</v>
      </c>
      <c r="F14" s="74"/>
      <c r="G14" s="130">
        <f>'Frende Skadeforsikring'!B10+'Frende Skadeforsikring'!B29+'Frende Skadeforsikring'!B37+'Frende Skadeforsikring'!B87+'Frende Skadeforsikring'!B135</f>
        <v>0</v>
      </c>
      <c r="H14" s="130">
        <f>'Frende Skadeforsikring'!C10+'Frende Skadeforsikring'!C29+'Frende Skadeforsikring'!C37+'Frende Skadeforsikring'!C87+'Frende Skadeforsikring'!C135</f>
        <v>0</v>
      </c>
      <c r="I14" s="75"/>
      <c r="J14" s="318">
        <f t="shared" si="3"/>
        <v>0</v>
      </c>
      <c r="K14" s="58" t="s">
        <v>128</v>
      </c>
      <c r="L14" s="168">
        <f t="shared" ref="L14:L31" ca="1" si="5">INDIRECT("'" &amp; $A13 &amp; "'!" &amp; $P$7)</f>
        <v>0</v>
      </c>
      <c r="M14" s="166">
        <f t="shared" ref="M14:M31" ca="1" si="6">INDIRECT("'" &amp; $A13 &amp; "'!" &amp; $P$8)</f>
        <v>0</v>
      </c>
      <c r="N14" s="168" t="e">
        <f ca="1">INDIRECT("'" &amp; $A13 &amp; "'!" &amp;#REF!)</f>
        <v>#REF!</v>
      </c>
      <c r="O14" s="166">
        <f t="shared" ref="O14:O31" ca="1" si="7">INDIRECT("'" &amp; $A13 &amp; "'!" &amp; $P$9)</f>
        <v>0</v>
      </c>
    </row>
    <row r="15" spans="1:18" ht="18.75" x14ac:dyDescent="0.3">
      <c r="A15" s="76" t="s">
        <v>83</v>
      </c>
      <c r="B15" s="130">
        <f>'Gjensidige Forsikring'!B7+'Gjensidige Forsikring'!B22+'Gjensidige Forsikring'!B36+'Gjensidige Forsikring'!B47+'Gjensidige Forsikring'!B66+'Gjensidige Forsikring'!B134</f>
        <v>1979927.014771</v>
      </c>
      <c r="C15" s="130">
        <f>'Gjensidige Forsikring'!C7+'Gjensidige Forsikring'!C22+'Gjensidige Forsikring'!C36+'Gjensidige Forsikring'!C47+'Gjensidige Forsikring'!C66+'Gjensidige Forsikring'!C134</f>
        <v>2112841.6972000003</v>
      </c>
      <c r="D15" s="75">
        <f t="shared" si="0"/>
        <v>6.7</v>
      </c>
      <c r="E15" s="318">
        <f t="shared" si="1"/>
        <v>2.5337862911267717</v>
      </c>
      <c r="F15" s="74"/>
      <c r="G15" s="130">
        <f>'Gjensidige Forsikring'!B10+'Gjensidige Forsikring'!B29+'Gjensidige Forsikring'!B37+'Gjensidige Forsikring'!B87+'Gjensidige Forsikring'!B135</f>
        <v>0</v>
      </c>
      <c r="H15" s="130">
        <f>'Gjensidige Forsikring'!C10+'Gjensidige Forsikring'!C29+'Gjensidige Forsikring'!C37+'Gjensidige Forsikring'!C87+'Gjensidige Forsikring'!C135</f>
        <v>0</v>
      </c>
      <c r="I15" s="75"/>
      <c r="J15" s="318">
        <f t="shared" si="3"/>
        <v>0</v>
      </c>
      <c r="K15" s="58" t="s">
        <v>133</v>
      </c>
      <c r="L15" s="168">
        <f t="shared" ca="1" si="5"/>
        <v>0</v>
      </c>
      <c r="M15" s="166">
        <f t="shared" ca="1" si="6"/>
        <v>0</v>
      </c>
      <c r="N15" s="168" t="e">
        <f ca="1">INDIRECT("'" &amp; $A14 &amp; "'!" &amp;#REF!)</f>
        <v>#REF!</v>
      </c>
      <c r="O15" s="166">
        <f t="shared" ca="1" si="7"/>
        <v>0</v>
      </c>
    </row>
    <row r="16" spans="1:18" ht="18.75" x14ac:dyDescent="0.3">
      <c r="A16" s="76" t="s">
        <v>84</v>
      </c>
      <c r="B16" s="130">
        <f>'Gjensidige Pensjon'!B7+'Gjensidige Pensjon'!B22+'Gjensidige Pensjon'!B36+'Gjensidige Pensjon'!B47+'Gjensidige Pensjon'!B66+'Gjensidige Pensjon'!B134</f>
        <v>804951</v>
      </c>
      <c r="C16" s="130">
        <f>'Gjensidige Pensjon'!C7+'Gjensidige Pensjon'!C22+'Gjensidige Pensjon'!C36+'Gjensidige Pensjon'!C47+'Gjensidige Pensjon'!C66+'Gjensidige Pensjon'!C134</f>
        <v>922743</v>
      </c>
      <c r="D16" s="75">
        <f t="shared" si="0"/>
        <v>14.6</v>
      </c>
      <c r="E16" s="318">
        <f t="shared" si="1"/>
        <v>1.1065824603573573</v>
      </c>
      <c r="F16" s="74"/>
      <c r="G16" s="130">
        <f>'Gjensidige Pensjon'!B10+'Gjensidige Pensjon'!B29+'Gjensidige Pensjon'!B37+'Gjensidige Pensjon'!B87+'Gjensidige Pensjon'!B135</f>
        <v>10565598</v>
      </c>
      <c r="H16" s="130">
        <f>'Gjensidige Pensjon'!C10+'Gjensidige Pensjon'!C29+'Gjensidige Pensjon'!C37+'Gjensidige Pensjon'!C87+'Gjensidige Pensjon'!C135</f>
        <v>11690672</v>
      </c>
      <c r="I16" s="75">
        <f t="shared" si="2"/>
        <v>10.6</v>
      </c>
      <c r="J16" s="318">
        <f t="shared" si="3"/>
        <v>0.80385217292118172</v>
      </c>
      <c r="K16" s="58" t="s">
        <v>129</v>
      </c>
      <c r="L16" s="168">
        <f t="shared" ca="1" si="5"/>
        <v>0</v>
      </c>
      <c r="M16" s="166">
        <f t="shared" ca="1" si="6"/>
        <v>0</v>
      </c>
      <c r="N16" s="168" t="e">
        <f ca="1">INDIRECT("'" &amp; $A15 &amp; "'!" &amp;#REF!)</f>
        <v>#REF!</v>
      </c>
      <c r="O16" s="166">
        <f t="shared" ca="1" si="7"/>
        <v>0</v>
      </c>
    </row>
    <row r="17" spans="1:18" ht="18.75" x14ac:dyDescent="0.3">
      <c r="A17" s="76" t="s">
        <v>85</v>
      </c>
      <c r="B17" s="130">
        <f>'If Skadeforsikring NUF'!B7+'If Skadeforsikring NUF'!B22+'If Skadeforsikring NUF'!B36+'If Skadeforsikring NUF'!B47+'If Skadeforsikring NUF'!B66+'If Skadeforsikring NUF'!B134</f>
        <v>569992.80272692</v>
      </c>
      <c r="C17" s="130">
        <f>'If Skadeforsikring NUF'!C7+'If Skadeforsikring NUF'!C22+'If Skadeforsikring NUF'!C36+'If Skadeforsikring NUF'!C47+'If Skadeforsikring NUF'!C66+'If Skadeforsikring NUF'!C134</f>
        <v>641858.92080210301</v>
      </c>
      <c r="D17" s="75">
        <f t="shared" si="0"/>
        <v>12.6</v>
      </c>
      <c r="E17" s="318">
        <f t="shared" si="1"/>
        <v>0.76973742828014868</v>
      </c>
      <c r="F17" s="74"/>
      <c r="G17" s="130">
        <f>'If Skadeforsikring NUF'!B10+'If Skadeforsikring NUF'!B29+'If Skadeforsikring NUF'!B37+'If Skadeforsikring NUF'!B87+'If Skadeforsikring NUF'!B135</f>
        <v>0</v>
      </c>
      <c r="H17" s="130">
        <f>'If Skadeforsikring NUF'!C10+'If Skadeforsikring NUF'!C29+'If Skadeforsikring NUF'!C37+'If Skadeforsikring NUF'!C87+'If Skadeforsikring NUF'!C135</f>
        <v>0</v>
      </c>
      <c r="I17" s="75"/>
      <c r="J17" s="318">
        <f t="shared" si="3"/>
        <v>0</v>
      </c>
      <c r="K17" s="50"/>
      <c r="L17" s="168" t="e">
        <f ca="1">INDIRECT("'" &amp;#REF! &amp; "'!" &amp; $P$7)</f>
        <v>#REF!</v>
      </c>
      <c r="M17" s="166" t="e">
        <f ca="1">INDIRECT("'" &amp;#REF! &amp; "'!" &amp; $P$8)</f>
        <v>#REF!</v>
      </c>
      <c r="N17" s="168" t="e">
        <f ca="1">INDIRECT("'" &amp;#REF! &amp; "'!" &amp;#REF!)</f>
        <v>#REF!</v>
      </c>
      <c r="O17" s="166" t="e">
        <f ca="1">INDIRECT("'" &amp;#REF! &amp; "'!" &amp; $P$9)</f>
        <v>#REF!</v>
      </c>
    </row>
    <row r="18" spans="1:18" ht="18.75" x14ac:dyDescent="0.3">
      <c r="A18" s="76" t="s">
        <v>61</v>
      </c>
      <c r="B18" s="130">
        <f>KLP!B7+KLP!B22+KLP!B36+KLP!B47+KLP!B66+KLP!B134</f>
        <v>51622820.619410001</v>
      </c>
      <c r="C18" s="130">
        <f>KLP!C7+KLP!C22+KLP!C36+KLP!C47+KLP!C66+KLP!C134</f>
        <v>53411640.652769998</v>
      </c>
      <c r="D18" s="75">
        <f t="shared" si="0"/>
        <v>3.5</v>
      </c>
      <c r="E18" s="318">
        <f t="shared" si="1"/>
        <v>64.05292126330437</v>
      </c>
      <c r="F18" s="74"/>
      <c r="G18" s="130">
        <f>KLP!B10+KLP!B29+KLP!B37+KLP!B87+KLP!B135</f>
        <v>785558231.49354005</v>
      </c>
      <c r="H18" s="130">
        <f>KLP!C10+KLP!C29+KLP!C37+KLP!C87+KLP!C135</f>
        <v>846650379.46606004</v>
      </c>
      <c r="I18" s="75">
        <f t="shared" si="2"/>
        <v>7.8</v>
      </c>
      <c r="J18" s="318">
        <f t="shared" si="3"/>
        <v>58.215793517971882</v>
      </c>
      <c r="K18" s="50"/>
      <c r="L18" s="168" t="e">
        <f ca="1">INDIRECT("'" &amp;#REF! &amp; "'!" &amp; $P$7)</f>
        <v>#REF!</v>
      </c>
      <c r="M18" s="166" t="e">
        <f ca="1">INDIRECT("'" &amp;#REF! &amp; "'!" &amp; $P$8)</f>
        <v>#REF!</v>
      </c>
      <c r="N18" s="168" t="e">
        <f ca="1">INDIRECT("'" &amp;#REF! &amp; "'!" &amp;#REF!)</f>
        <v>#REF!</v>
      </c>
      <c r="O18" s="166" t="e">
        <f ca="1">INDIRECT("'" &amp;#REF! &amp; "'!" &amp; $P$9)</f>
        <v>#REF!</v>
      </c>
    </row>
    <row r="19" spans="1:18" ht="18.75" x14ac:dyDescent="0.3">
      <c r="A19" s="76" t="s">
        <v>86</v>
      </c>
      <c r="B19" s="130">
        <f>'KLP Skadeforsikring AS'!B7+'KLP Skadeforsikring AS'!B22+'KLP Skadeforsikring AS'!B36+'KLP Skadeforsikring AS'!B47+'KLP Skadeforsikring AS'!B66+'KLP Skadeforsikring AS'!B134</f>
        <v>351084.87199999997</v>
      </c>
      <c r="C19" s="130">
        <f>'KLP Skadeforsikring AS'!C7+'KLP Skadeforsikring AS'!C22+'KLP Skadeforsikring AS'!C36+'KLP Skadeforsikring AS'!C47+'KLP Skadeforsikring AS'!C66+'KLP Skadeforsikring AS'!C134</f>
        <v>390250.82899999997</v>
      </c>
      <c r="D19" s="75">
        <f t="shared" si="0"/>
        <v>11.2</v>
      </c>
      <c r="E19" s="318">
        <f t="shared" si="1"/>
        <v>0.46800108211204883</v>
      </c>
      <c r="F19" s="74"/>
      <c r="G19" s="130">
        <f>'KLP Skadeforsikring AS'!B10+'KLP Skadeforsikring AS'!B29+'KLP Skadeforsikring AS'!B37+'KLP Skadeforsikring AS'!B87+'KLP Skadeforsikring AS'!B135</f>
        <v>163752.0116</v>
      </c>
      <c r="H19" s="130">
        <f>'KLP Skadeforsikring AS'!C10+'KLP Skadeforsikring AS'!C29+'KLP Skadeforsikring AS'!C37+'KLP Skadeforsikring AS'!C87+'KLP Skadeforsikring AS'!C135</f>
        <v>198920.58899999998</v>
      </c>
      <c r="I19" s="75">
        <f t="shared" si="2"/>
        <v>21.5</v>
      </c>
      <c r="J19" s="318">
        <f t="shared" si="3"/>
        <v>1.367780634906285E-2</v>
      </c>
      <c r="K19" s="50"/>
      <c r="L19" s="168">
        <f ca="1">INDIRECT("'" &amp; $A32 &amp; "'!" &amp; $P$7)</f>
        <v>0</v>
      </c>
      <c r="M19" s="166">
        <f ca="1">INDIRECT("'" &amp; $A32 &amp; "'!" &amp; $P$8)</f>
        <v>0</v>
      </c>
      <c r="N19" s="168" t="e">
        <f ca="1">INDIRECT("'" &amp; $A32 &amp; "'!" &amp;#REF!)</f>
        <v>#REF!</v>
      </c>
      <c r="O19" s="166">
        <f ca="1">INDIRECT("'" &amp; $A32 &amp; "'!" &amp; $P$9)</f>
        <v>0</v>
      </c>
    </row>
    <row r="20" spans="1:18" ht="18.75" x14ac:dyDescent="0.3">
      <c r="A20" s="76" t="s">
        <v>408</v>
      </c>
      <c r="B20" s="130">
        <f>'Knif Trygghet Forsikring'!B7+'Knif Trygghet Forsikring'!B22+'Knif Trygghet Forsikring'!B36+'Knif Trygghet Forsikring'!B47+'Knif Trygghet Forsikring'!B66+'Knif Trygghet Forsikring'!B134</f>
        <v>45112</v>
      </c>
      <c r="C20" s="130">
        <f>'Knif Trygghet Forsikring'!C7+'Knif Trygghet Forsikring'!C22+'Knif Trygghet Forsikring'!C36+'Knif Trygghet Forsikring'!C47+'Knif Trygghet Forsikring'!C66+'Knif Trygghet Forsikring'!C134</f>
        <v>47931</v>
      </c>
      <c r="D20" s="75">
        <f t="shared" ref="D20" si="8">IF(B20=0, "    ---- ", IF(ABS(ROUND(100/B20*C20-100,1))&lt;999,ROUND(100/B20*C20-100,1),IF(ROUND(100/B20*C20-100,1)&gt;999,999,-999)))</f>
        <v>6.2</v>
      </c>
      <c r="E20" s="318">
        <f t="shared" si="1"/>
        <v>5.7480364421500341E-2</v>
      </c>
      <c r="F20" s="74"/>
      <c r="G20" s="130">
        <f>'Knif Trygghet Forsikring'!B10+'Knif Trygghet Forsikring'!B29+'Knif Trygghet Forsikring'!B37+'Knif Trygghet Forsikring'!B87+'Knif Trygghet Forsikring'!B66+'Knif Trygghet Forsikring'!B135</f>
        <v>0</v>
      </c>
      <c r="H20" s="130">
        <f>'Knif Trygghet Forsikring'!C10+'Knif Trygghet Forsikring'!C29+'Knif Trygghet Forsikring'!C37+'Knif Trygghet Forsikring'!C87+'Knif Trygghet Forsikring'!C66+'Knif Trygghet Forsikring'!C135</f>
        <v>0</v>
      </c>
      <c r="I20" s="75"/>
      <c r="J20" s="318">
        <f t="shared" si="3"/>
        <v>0</v>
      </c>
      <c r="K20" s="50"/>
      <c r="L20" s="168"/>
      <c r="M20" s="166"/>
      <c r="N20" s="168"/>
      <c r="O20" s="166"/>
    </row>
    <row r="21" spans="1:18" ht="18.75" x14ac:dyDescent="0.3">
      <c r="A21" s="76" t="s">
        <v>360</v>
      </c>
      <c r="B21" s="130">
        <f>'Landkreditt Forsikring'!B7+'Landkreditt Forsikring'!B22+'Landkreditt Forsikring'!B36+'Landkreditt Forsikring'!B47+'Landkreditt Forsikring'!B66+'Landkreditt Forsikring'!B134</f>
        <v>33530</v>
      </c>
      <c r="C21" s="130">
        <f>'Landkreditt Forsikring'!C7+'Landkreditt Forsikring'!C22+'Landkreditt Forsikring'!C36+'Landkreditt Forsikring'!C47+'Landkreditt Forsikring'!C66+'Landkreditt Forsikring'!C134</f>
        <v>95312</v>
      </c>
      <c r="D21" s="75">
        <f t="shared" si="0"/>
        <v>184.3</v>
      </c>
      <c r="E21" s="318">
        <f t="shared" si="1"/>
        <v>0.11430115152494295</v>
      </c>
      <c r="F21" s="74"/>
      <c r="G21" s="130">
        <f>'Landkreditt Forsikring'!B10+'Landkreditt Forsikring'!B29+'Landkreditt Forsikring'!B37+'Landkreditt Forsikring'!B87+'Landkreditt Forsikring'!B135</f>
        <v>0</v>
      </c>
      <c r="H21" s="130">
        <f>'Landkreditt Forsikring'!C10+'Landkreditt Forsikring'!C29+'Landkreditt Forsikring'!C37+'Landkreditt Forsikring'!C87+'Landkreditt Forsikring'!C135</f>
        <v>0</v>
      </c>
      <c r="I21" s="75"/>
      <c r="J21" s="318">
        <f t="shared" si="3"/>
        <v>0</v>
      </c>
      <c r="K21" s="50"/>
      <c r="L21" s="168">
        <f ca="1">INDIRECT("'" &amp; $A19 &amp; "'!" &amp; $P$7)</f>
        <v>0</v>
      </c>
      <c r="M21" s="166">
        <f ca="1">INDIRECT("'" &amp; $A19 &amp; "'!" &amp; $P$8)</f>
        <v>0</v>
      </c>
      <c r="N21" s="168" t="e">
        <f ca="1">INDIRECT("'" &amp; $A19 &amp; "'!" &amp;#REF!)</f>
        <v>#REF!</v>
      </c>
      <c r="O21" s="166">
        <f ca="1">INDIRECT("'" &amp; $A19 &amp; "'!" &amp; $P$9)</f>
        <v>0</v>
      </c>
    </row>
    <row r="22" spans="1:18" ht="18.75" x14ac:dyDescent="0.3">
      <c r="A22" s="76" t="s">
        <v>369</v>
      </c>
      <c r="B22" s="130">
        <f>'Ly Forsikring'!B7+'Ly Forsikring'!B22+'Ly Forsikring'!B36+'Ly Forsikring'!B47+'Ly Forsikring'!B66+'Ly Forsikring'!B134</f>
        <v>26022</v>
      </c>
      <c r="C22" s="130">
        <f>'Ly Forsikring'!C7+'Ly Forsikring'!C22+'Ly Forsikring'!C36+'Ly Forsikring'!C47+'Ly Forsikring'!C66+'Ly Forsikring'!C134</f>
        <v>28003.901999999998</v>
      </c>
      <c r="D22" s="75">
        <f t="shared" ref="D22" si="9">IF(B22=0, "    ---- ", IF(ABS(ROUND(100/B22*C22-100,1))&lt;999,ROUND(100/B22*C22-100,1),IF(ROUND(100/B22*C22-100,1)&gt;999,999,-999)))</f>
        <v>7.6</v>
      </c>
      <c r="E22" s="318">
        <f t="shared" si="1"/>
        <v>3.3583161047839233E-2</v>
      </c>
      <c r="F22" s="74"/>
      <c r="G22" s="130">
        <f>'Ly Forsikring'!B10+'Ly Forsikring'!B29+'Ly Forsikring'!B37+'Ly Forsikring'!B87+'Ly Forsikring'!B135</f>
        <v>0</v>
      </c>
      <c r="H22" s="130">
        <f>'Ly Forsikring'!C10+'Ly Forsikring'!C29+'Ly Forsikring'!C37+'Ly Forsikring'!C87+'Ly Forsikring'!C135</f>
        <v>0</v>
      </c>
      <c r="I22" s="75"/>
      <c r="J22" s="318">
        <f t="shared" si="3"/>
        <v>0</v>
      </c>
      <c r="K22" s="50"/>
      <c r="L22" s="168"/>
      <c r="M22" s="166"/>
      <c r="N22" s="168"/>
      <c r="O22" s="166"/>
    </row>
    <row r="23" spans="1:18" ht="18.75" x14ac:dyDescent="0.3">
      <c r="A23" s="76" t="s">
        <v>87</v>
      </c>
      <c r="B23" s="130">
        <f>'Nordea Liv '!B7+'Nordea Liv '!B22+'Nordea Liv '!B36+'Nordea Liv '!B47+'Nordea Liv '!B66+'Nordea Liv '!B134</f>
        <v>1459976.8272531251</v>
      </c>
      <c r="C23" s="130">
        <f>'Nordea Liv '!C7+'Nordea Liv '!C22+'Nordea Liv '!C36+'Nordea Liv '!C47+'Nordea Liv '!C66+'Nordea Liv '!C134</f>
        <v>1620085.9491118481</v>
      </c>
      <c r="D23" s="75">
        <f t="shared" si="0"/>
        <v>11</v>
      </c>
      <c r="E23" s="318">
        <f t="shared" si="1"/>
        <v>1.9428580824331076</v>
      </c>
      <c r="F23" s="74"/>
      <c r="G23" s="130">
        <f>'Nordea Liv '!B10+'Nordea Liv '!B29+'Nordea Liv '!B37+'Nordea Liv '!B87+'Nordea Liv '!B135</f>
        <v>54775070.000001468</v>
      </c>
      <c r="H23" s="130">
        <f>'Nordea Liv '!C10+'Nordea Liv '!C29+'Nordea Liv '!C37+'Nordea Liv '!C87+'Nordea Liv '!C135</f>
        <v>55928890.000000685</v>
      </c>
      <c r="I23" s="75">
        <f t="shared" si="2"/>
        <v>2.1</v>
      </c>
      <c r="J23" s="318">
        <f t="shared" si="3"/>
        <v>3.8456779692023093</v>
      </c>
      <c r="K23" s="50"/>
      <c r="L23" s="168">
        <f ca="1">INDIRECT("'" &amp; $A21 &amp; "'!" &amp; $P$7)</f>
        <v>0</v>
      </c>
      <c r="M23" s="166">
        <f ca="1">INDIRECT("'" &amp; $A21 &amp; "'!" &amp; $P$8)</f>
        <v>0</v>
      </c>
      <c r="N23" s="168" t="e">
        <f ca="1">INDIRECT("'" &amp; $A21 &amp; "'!" &amp;#REF!)</f>
        <v>#REF!</v>
      </c>
      <c r="O23" s="166">
        <f ca="1">INDIRECT("'" &amp; $A21 &amp; "'!" &amp; $P$9)</f>
        <v>0</v>
      </c>
    </row>
    <row r="24" spans="1:18" ht="18.75" x14ac:dyDescent="0.3">
      <c r="A24" s="76" t="s">
        <v>398</v>
      </c>
      <c r="B24" s="130">
        <f>'Oslo Forsikring'!B7+'Oslo Forsikring'!B22+'Oslo Forsikring'!B36+'Oslo Forsikring'!B47+'Oslo Forsikring'!B66+'Oslo Forsikring'!B134</f>
        <v>25648</v>
      </c>
      <c r="C24" s="130">
        <f>'Oslo Forsikring'!C7+'Oslo Forsikring'!C22+'Oslo Forsikring'!C36+'Oslo Forsikring'!C47+'Oslo Forsikring'!C66+'Oslo Forsikring'!C134</f>
        <v>27203</v>
      </c>
      <c r="D24" s="75">
        <f t="shared" ref="D24" si="10">IF(B24=0, "    ---- ", IF(ABS(ROUND(100/B24*C24-100,1))&lt;999,ROUND(100/B24*C24-100,1),IF(ROUND(100/B24*C24-100,1)&gt;999,999,-999)))</f>
        <v>6.1</v>
      </c>
      <c r="E24" s="318">
        <f t="shared" si="1"/>
        <v>3.2622694151135459E-2</v>
      </c>
      <c r="F24" s="74"/>
      <c r="G24" s="130">
        <f>'Oslo Forsikring'!B10+'Oslo Forsikring'!B29+'Oslo Forsikring'!B37+'Oslo Forsikring'!B87+'Oslo Forsikring'!B135</f>
        <v>0</v>
      </c>
      <c r="H24" s="130">
        <f>'Oslo Forsikring'!C10+'Oslo Forsikring'!C29+'Oslo Forsikring'!C37+'Oslo Forsikring'!C87+'Oslo Forsikring'!C135</f>
        <v>0</v>
      </c>
      <c r="I24" s="75"/>
      <c r="J24" s="318">
        <f t="shared" si="3"/>
        <v>0</v>
      </c>
      <c r="K24" s="50"/>
      <c r="L24" s="168"/>
      <c r="M24" s="166"/>
      <c r="N24" s="168"/>
      <c r="O24" s="166"/>
    </row>
    <row r="25" spans="1:18" ht="18.75" x14ac:dyDescent="0.3">
      <c r="A25" s="76" t="s">
        <v>88</v>
      </c>
      <c r="B25" s="130">
        <f>'Oslo Pensjonsforsikring'!B7+'Oslo Pensjonsforsikring'!B22+'Oslo Pensjonsforsikring'!B36+'Oslo Pensjonsforsikring'!B47+'Oslo Pensjonsforsikring'!B66+'Oslo Pensjonsforsikring'!B134</f>
        <v>7128000</v>
      </c>
      <c r="C25" s="130">
        <f>'Oslo Pensjonsforsikring'!C7+'Oslo Pensjonsforsikring'!C22+'Oslo Pensjonsforsikring'!C36+'Oslo Pensjonsforsikring'!C47+'Oslo Pensjonsforsikring'!C66+'Oslo Pensjonsforsikring'!C134</f>
        <v>7353000</v>
      </c>
      <c r="D25" s="75">
        <f t="shared" si="0"/>
        <v>3.2</v>
      </c>
      <c r="E25" s="318">
        <f t="shared" si="1"/>
        <v>8.8179491266881982</v>
      </c>
      <c r="F25" s="74"/>
      <c r="G25" s="130">
        <f>'Oslo Pensjonsforsikring'!B10+'Oslo Pensjonsforsikring'!B29+'Oslo Pensjonsforsikring'!B37+'Oslo Pensjonsforsikring'!B87+'Oslo Pensjonsforsikring'!B135</f>
        <v>99384000</v>
      </c>
      <c r="H25" s="130">
        <f>'Oslo Pensjonsforsikring'!C10+'Oslo Pensjonsforsikring'!C29+'Oslo Pensjonsforsikring'!C37+'Oslo Pensjonsforsikring'!C87+'Oslo Pensjonsforsikring'!C135</f>
        <v>105305000</v>
      </c>
      <c r="I25" s="75">
        <f t="shared" si="2"/>
        <v>6</v>
      </c>
      <c r="J25" s="318">
        <f t="shared" si="3"/>
        <v>7.2407859077275489</v>
      </c>
      <c r="K25" s="50"/>
      <c r="L25" s="168">
        <f ca="1">INDIRECT("'" &amp; $A23 &amp; "'!" &amp; $P$7)</f>
        <v>0</v>
      </c>
      <c r="M25" s="166">
        <f ca="1">INDIRECT("'" &amp; $A23 &amp; "'!" &amp; $P$8)</f>
        <v>0</v>
      </c>
      <c r="N25" s="168" t="e">
        <f ca="1">INDIRECT("'" &amp; $A23 &amp; "'!" &amp;#REF!)</f>
        <v>#REF!</v>
      </c>
      <c r="O25" s="166">
        <f ca="1">INDIRECT("'" &amp; $A23 &amp; "'!" &amp; $P$9)</f>
        <v>0</v>
      </c>
    </row>
    <row r="26" spans="1:18" ht="18.75" x14ac:dyDescent="0.3">
      <c r="A26" s="76" t="s">
        <v>321</v>
      </c>
      <c r="B26" s="130">
        <f>'Protector Forsikring'!B7+'Protector Forsikring'!B22+'Protector Forsikring'!B36+'Protector Forsikring'!B47+'Protector Forsikring'!B66+'Protector Forsikring'!B134</f>
        <v>394500</v>
      </c>
      <c r="C26" s="130">
        <f>'Protector Forsikring'!C7+'Protector Forsikring'!C22+'Protector Forsikring'!C36+'Protector Forsikring'!C47+'Protector Forsikring'!C66+'Protector Forsikring'!C134</f>
        <v>406788.94739192334</v>
      </c>
      <c r="D26" s="75">
        <f t="shared" si="0"/>
        <v>3.1</v>
      </c>
      <c r="E26" s="318">
        <f t="shared" si="1"/>
        <v>0.48783411442962349</v>
      </c>
      <c r="F26" s="74"/>
      <c r="G26" s="130">
        <f>'Protector Forsikring'!B10+'Protector Forsikring'!B29+'Protector Forsikring'!B37+'Protector Forsikring'!B87+'Protector Forsikring'!B135</f>
        <v>0</v>
      </c>
      <c r="H26" s="130">
        <f>'Protector Forsikring'!C10+'Protector Forsikring'!C29+'Protector Forsikring'!C37+'Protector Forsikring'!C87+'Protector Forsikring'!C135</f>
        <v>0</v>
      </c>
      <c r="I26" s="75"/>
      <c r="J26" s="318">
        <f t="shared" si="3"/>
        <v>0</v>
      </c>
      <c r="K26" s="50"/>
      <c r="L26" s="168">
        <f t="shared" ca="1" si="5"/>
        <v>0</v>
      </c>
      <c r="M26" s="166">
        <f t="shared" ca="1" si="6"/>
        <v>0</v>
      </c>
      <c r="N26" s="168" t="e">
        <f ca="1">INDIRECT("'" &amp; $A25 &amp; "'!" &amp;#REF!)</f>
        <v>#REF!</v>
      </c>
      <c r="O26" s="166">
        <f t="shared" ca="1" si="7"/>
        <v>0</v>
      </c>
    </row>
    <row r="27" spans="1:18" ht="18.75" x14ac:dyDescent="0.3">
      <c r="A27" s="76" t="s">
        <v>368</v>
      </c>
      <c r="B27" s="130">
        <f>'Sparebank 1 Fors.'!B7+'Sparebank 1 Fors.'!B22+'Sparebank 1 Fors.'!B36+'Sparebank 1 Fors.'!B47+'Sparebank 1 Fors.'!B66+'Sparebank 1 Fors.'!B134</f>
        <v>699214.96857000003</v>
      </c>
      <c r="C27" s="130">
        <f>'Sparebank 1 Fors.'!C7+'Sparebank 1 Fors.'!C22+'Sparebank 1 Fors.'!C36+'Sparebank 1 Fors.'!C47+'Sparebank 1 Fors.'!C66+'Sparebank 1 Fors.'!C134</f>
        <v>755360.10631000006</v>
      </c>
      <c r="D27" s="75">
        <f t="shared" si="0"/>
        <v>8</v>
      </c>
      <c r="E27" s="318">
        <f t="shared" si="1"/>
        <v>0.90585162379591588</v>
      </c>
      <c r="F27" s="74"/>
      <c r="G27" s="130">
        <f>'Sparebank 1 Fors.'!B10+'Sparebank 1 Fors.'!B29+'Sparebank 1 Fors.'!B37+'Sparebank 1 Fors.'!B87+'Sparebank 1 Fors.'!B135</f>
        <v>22132201.059449997</v>
      </c>
      <c r="H27" s="130">
        <f>'Sparebank 1 Fors.'!C10+'Sparebank 1 Fors.'!C29+'Sparebank 1 Fors.'!C37+'Sparebank 1 Fors.'!C87+'Sparebank 1 Fors.'!C135</f>
        <v>26100532.247189995</v>
      </c>
      <c r="I27" s="75">
        <f t="shared" si="2"/>
        <v>17.899999999999999</v>
      </c>
      <c r="J27" s="318">
        <f t="shared" si="3"/>
        <v>1.7946760940092281</v>
      </c>
      <c r="K27" s="50"/>
      <c r="L27" s="168">
        <f t="shared" ca="1" si="5"/>
        <v>0</v>
      </c>
      <c r="M27" s="166">
        <f t="shared" ca="1" si="6"/>
        <v>0</v>
      </c>
      <c r="N27" s="168" t="e">
        <f ca="1">INDIRECT("'" &amp; $A26 &amp; "'!" &amp;#REF!)</f>
        <v>#REF!</v>
      </c>
      <c r="O27" s="166">
        <f t="shared" ca="1" si="7"/>
        <v>0</v>
      </c>
    </row>
    <row r="28" spans="1:18" ht="18.75" x14ac:dyDescent="0.3">
      <c r="A28" s="76" t="s">
        <v>89</v>
      </c>
      <c r="B28" s="130">
        <f>'Storebrand Livsforsikring'!B7+'Storebrand Livsforsikring'!B22+'Storebrand Livsforsikring'!B36+'Storebrand Livsforsikring'!B47+'Storebrand Livsforsikring'!B66+'Storebrand Livsforsikring'!B134</f>
        <v>6441646.2694199998</v>
      </c>
      <c r="C28" s="130">
        <f>'Storebrand Livsforsikring'!C7+'Storebrand Livsforsikring'!C22+'Storebrand Livsforsikring'!C36+'Storebrand Livsforsikring'!C47+'Storebrand Livsforsikring'!C66+'Storebrand Livsforsikring'!C134</f>
        <v>7381887.6245199991</v>
      </c>
      <c r="D28" s="75">
        <f t="shared" si="0"/>
        <v>14.6</v>
      </c>
      <c r="E28" s="318">
        <f t="shared" si="1"/>
        <v>8.8525920756081256</v>
      </c>
      <c r="F28" s="74"/>
      <c r="G28" s="130">
        <f>'Storebrand Livsforsikring'!B10+'Storebrand Livsforsikring'!B29+'Storebrand Livsforsikring'!B37+'Storebrand Livsforsikring'!B87+'Storebrand Livsforsikring'!B135</f>
        <v>211234403.15035003</v>
      </c>
      <c r="H28" s="130">
        <f>'Storebrand Livsforsikring'!C10+'Storebrand Livsforsikring'!C29+'Storebrand Livsforsikring'!C37+'Storebrand Livsforsikring'!C87+'Storebrand Livsforsikring'!C135</f>
        <v>220282916.46823996</v>
      </c>
      <c r="I28" s="75">
        <f t="shared" si="2"/>
        <v>4.3</v>
      </c>
      <c r="J28" s="318">
        <f t="shared" si="3"/>
        <v>15.14668284769343</v>
      </c>
      <c r="K28" s="50"/>
      <c r="L28" s="168" t="e">
        <f t="shared" ca="1" si="5"/>
        <v>#REF!</v>
      </c>
      <c r="M28" s="166" t="e">
        <f t="shared" ca="1" si="6"/>
        <v>#REF!</v>
      </c>
      <c r="N28" s="168" t="e">
        <f ca="1">INDIRECT("'" &amp; $A27 &amp; "'!" &amp;#REF!)</f>
        <v>#REF!</v>
      </c>
      <c r="O28" s="166" t="e">
        <f t="shared" ca="1" si="7"/>
        <v>#REF!</v>
      </c>
    </row>
    <row r="29" spans="1:18" ht="18.75" x14ac:dyDescent="0.3">
      <c r="A29" s="76" t="s">
        <v>90</v>
      </c>
      <c r="B29" s="130">
        <f>'Telenor Forsikring'!B7+'Telenor Forsikring'!B22+'Telenor Forsikring'!B36+'Telenor Forsikring'!B47+'Telenor Forsikring'!B66+'Telenor Forsikring'!B134</f>
        <v>7051</v>
      </c>
      <c r="C29" s="130">
        <f>'Telenor Forsikring'!C7+'Telenor Forsikring'!C22+'Telenor Forsikring'!C36+'Telenor Forsikring'!C47+'Telenor Forsikring'!C66+'Telenor Forsikring'!C134</f>
        <v>5952</v>
      </c>
      <c r="D29" s="75">
        <f t="shared" si="0"/>
        <v>-15.6</v>
      </c>
      <c r="E29" s="318">
        <f t="shared" si="1"/>
        <v>7.1378258128720461E-3</v>
      </c>
      <c r="F29" s="74"/>
      <c r="G29" s="130">
        <f>'Telenor Forsikring'!B10+'Telenor Forsikring'!B29+'Telenor Forsikring'!B37+'Telenor Forsikring'!B87+'Telenor Forsikring'!B135</f>
        <v>0</v>
      </c>
      <c r="H29" s="130">
        <f>'Telenor Forsikring'!C10+'Telenor Forsikring'!C29+'Telenor Forsikring'!C37+'Telenor Forsikring'!C87+'Telenor Forsikring'!C135</f>
        <v>0</v>
      </c>
      <c r="I29" s="75"/>
      <c r="J29" s="318">
        <f t="shared" si="3"/>
        <v>0</v>
      </c>
      <c r="K29" s="50"/>
      <c r="L29" s="168">
        <f t="shared" ca="1" si="5"/>
        <v>0</v>
      </c>
      <c r="M29" s="166">
        <f t="shared" ca="1" si="6"/>
        <v>0</v>
      </c>
      <c r="N29" s="168" t="e">
        <f ca="1">INDIRECT("'" &amp; $A28 &amp; "'!" &amp;#REF!)</f>
        <v>#REF!</v>
      </c>
      <c r="O29" s="166">
        <f t="shared" ca="1" si="7"/>
        <v>0</v>
      </c>
      <c r="R29" s="413"/>
    </row>
    <row r="30" spans="1:18" ht="18.75" x14ac:dyDescent="0.3">
      <c r="A30" s="76" t="s">
        <v>91</v>
      </c>
      <c r="B30" s="130">
        <f>'Tryg Forsikring'!B7+'Tryg Forsikring'!B22+'Tryg Forsikring'!B36+'Tryg Forsikring'!B47+'Tryg Forsikring'!B66+'Tryg Forsikring'!B134</f>
        <v>858841.02</v>
      </c>
      <c r="C30" s="130">
        <f>'Tryg Forsikring'!C7+'Tryg Forsikring'!C22+'Tryg Forsikring'!C36+'Tryg Forsikring'!C47+'Tryg Forsikring'!C66+'Tryg Forsikring'!C134</f>
        <v>861588.31699999992</v>
      </c>
      <c r="D30" s="75">
        <f t="shared" si="0"/>
        <v>0.3</v>
      </c>
      <c r="E30" s="318">
        <f t="shared" si="1"/>
        <v>1.0332438389031557</v>
      </c>
      <c r="F30" s="74"/>
      <c r="G30" s="547"/>
      <c r="I30" s="75"/>
      <c r="J30" s="318">
        <f t="shared" si="3"/>
        <v>0</v>
      </c>
      <c r="K30" s="155"/>
      <c r="L30" s="168">
        <f t="shared" ca="1" si="5"/>
        <v>0</v>
      </c>
      <c r="M30" s="166">
        <f t="shared" ca="1" si="6"/>
        <v>0</v>
      </c>
      <c r="N30" s="168" t="e">
        <f ca="1">INDIRECT("'" &amp; $A29 &amp; "'!" &amp;#REF!)</f>
        <v>#REF!</v>
      </c>
      <c r="O30" s="166">
        <f t="shared" ca="1" si="7"/>
        <v>0</v>
      </c>
    </row>
    <row r="31" spans="1:18" ht="18.75" x14ac:dyDescent="0.3">
      <c r="A31" s="76" t="s">
        <v>363</v>
      </c>
      <c r="B31" s="130">
        <f>'WaterCircles F'!B7+'WaterCircles F'!B22+'WaterCircles F'!B36+'WaterCircles F'!B47+'WaterCircles F'!B66+'WaterCircles F'!B136</f>
        <v>1799.9657</v>
      </c>
      <c r="C31" s="130">
        <f>'WaterCircles F'!C7+'WaterCircles F'!C22+'WaterCircles F'!C36+'WaterCircles F'!C47+'WaterCircles F'!C66+'WaterCircles F'!C136</f>
        <v>1617.8920000000001</v>
      </c>
      <c r="D31" s="75">
        <f t="shared" si="0"/>
        <v>-10.1</v>
      </c>
      <c r="E31" s="318">
        <f t="shared" si="1"/>
        <v>1.9402270295764753E-3</v>
      </c>
      <c r="F31" s="76"/>
      <c r="G31" s="74">
        <f>'WaterCircles F'!B10+'WaterCircles F'!B29+'WaterCircles F'!B37+'WaterCircles F'!B87+'WaterCircles F'!B135</f>
        <v>0</v>
      </c>
      <c r="H31" s="74">
        <f>'WaterCircles F'!C10+'WaterCircles F'!C29+'WaterCircles F'!C37+'WaterCircles F'!C87+'WaterCircles F'!C135</f>
        <v>0</v>
      </c>
      <c r="I31" s="75"/>
      <c r="J31" s="318">
        <f t="shared" si="3"/>
        <v>0</v>
      </c>
      <c r="K31" s="155"/>
      <c r="L31" s="168">
        <f t="shared" ca="1" si="5"/>
        <v>0</v>
      </c>
      <c r="M31" s="166">
        <f t="shared" ca="1" si="6"/>
        <v>0</v>
      </c>
      <c r="N31" s="168" t="e">
        <f ca="1">INDIRECT("'" &amp; $A30 &amp; "'!" &amp;#REF!)</f>
        <v>#REF!</v>
      </c>
      <c r="O31" s="166">
        <f t="shared" ca="1" si="7"/>
        <v>0</v>
      </c>
    </row>
    <row r="32" spans="1:18" ht="18.75" x14ac:dyDescent="0.3">
      <c r="A32" s="76" t="s">
        <v>370</v>
      </c>
      <c r="B32" s="130">
        <f>'Youplus Livsforsikring'!B7+'Youplus Livsforsikring'!B22+'Youplus Livsforsikring'!B36+'Youplus Livsforsikring'!B47+'Youplus Livsforsikring'!B66+'Youplus Livsforsikring'!B134</f>
        <v>58439</v>
      </c>
      <c r="C32" s="130">
        <f>'Youplus Livsforsikring'!C7+'Youplus Livsforsikring'!C22+'Youplus Livsforsikring'!C36+'Youplus Livsforsikring'!C47+'Youplus Livsforsikring'!C66+'Youplus Livsforsikring'!C134</f>
        <v>83478</v>
      </c>
      <c r="D32" s="75">
        <f>IF(B32=0, "    ---- ", IF(ABS(ROUND(100/B32*C32-100,1))&lt;999,ROUND(100/B32*C32-100,1),IF(ROUND(100/B32*C32-100,1)&gt;999,999,-999)))</f>
        <v>42.8</v>
      </c>
      <c r="E32" s="318">
        <f t="shared" si="1"/>
        <v>0.10010944610331529</v>
      </c>
      <c r="F32" s="74"/>
      <c r="G32" s="130">
        <f>'Youplus Livsforsikring'!B10+'Youplus Livsforsikring'!B29+'Youplus Livsforsikring'!B37+'Youplus Livsforsikring'!B87+'Youplus Livsforsikring'!B135</f>
        <v>62677</v>
      </c>
      <c r="H32" s="130">
        <f>'Youplus Livsforsikring'!C10+'Youplus Livsforsikring'!C29+'Youplus Livsforsikring'!C37+'Youplus Livsforsikring'!C87+'Youplus Livsforsikring'!C135</f>
        <v>82726</v>
      </c>
      <c r="I32" s="75">
        <f>IF(G32=0, "    ---- ", IF(ABS(ROUND(100/G32*H32-100,1))&lt;999,ROUND(100/G32*H32-100,1),IF(ROUND(100/G32*H32-100,1)&gt;999,999,-999)))</f>
        <v>32</v>
      </c>
      <c r="J32" s="318">
        <f t="shared" si="3"/>
        <v>5.6882508428153381E-3</v>
      </c>
      <c r="K32" s="50"/>
      <c r="L32" s="168">
        <f ca="1">INDIRECT("'" &amp; $A18 &amp; "'!" &amp; $P$7)</f>
        <v>0</v>
      </c>
      <c r="M32" s="166">
        <f ca="1">INDIRECT("'" &amp; $A18 &amp; "'!" &amp; $P$8)</f>
        <v>0</v>
      </c>
      <c r="N32" s="168" t="e">
        <f ca="1">INDIRECT("'" &amp; $A18 &amp; "'!" &amp;#REF!)</f>
        <v>#REF!</v>
      </c>
      <c r="O32" s="166">
        <f ca="1">INDIRECT("'" &amp; $A18 &amp; "'!" &amp; $P$9)</f>
        <v>0</v>
      </c>
    </row>
    <row r="33" spans="1:21" s="79" customFormat="1" ht="18.75" x14ac:dyDescent="0.3">
      <c r="A33" s="102" t="s">
        <v>92</v>
      </c>
      <c r="B33" s="62">
        <f>SUM(B9:B32)</f>
        <v>79268653.628961042</v>
      </c>
      <c r="C33" s="186">
        <f>SUM(C9:C32)</f>
        <v>83386736.466255888</v>
      </c>
      <c r="D33" s="75">
        <f t="shared" ref="D33" si="11">IF(B33=0, "    ---- ", IF(ABS(ROUND(100/B33*C33-100,1))&lt;999,ROUND(100/B33*C33-100,1),IF(ROUND(100/B33*C33-100,1)&gt;999,999,-999)))</f>
        <v>5.2</v>
      </c>
      <c r="E33" s="319">
        <f>SUM(E9:E32)</f>
        <v>99.999999999999986</v>
      </c>
      <c r="F33" s="77"/>
      <c r="G33" s="62">
        <f>SUM(G9:G32)</f>
        <v>1373154300.6802146</v>
      </c>
      <c r="H33" s="62">
        <f>SUM(H9:H32)</f>
        <v>1454331081.4868293</v>
      </c>
      <c r="I33" s="75">
        <f t="shared" ref="I33" si="12">IF(G33=0, "    ---- ", IF(ABS(ROUND(100/G33*H33-100,1))&lt;999,ROUND(100/G33*H33-100,1),IF(ROUND(100/G33*H33-100,1)&gt;999,999,-999)))</f>
        <v>5.9</v>
      </c>
      <c r="J33" s="319">
        <f>SUM(J9:J32)</f>
        <v>99.999999999999986</v>
      </c>
      <c r="K33" s="153"/>
      <c r="L33" s="168" t="e">
        <f ca="1">SUM(L9:L31)</f>
        <v>#REF!</v>
      </c>
      <c r="M33" s="166" t="e">
        <f ca="1">SUM(M9:M31)</f>
        <v>#REF!</v>
      </c>
      <c r="N33" s="168" t="e">
        <f ca="1">SUM(N9:N31)</f>
        <v>#REF!</v>
      </c>
      <c r="O33" s="166" t="e">
        <f ca="1">SUM(O9:O31)</f>
        <v>#REF!</v>
      </c>
      <c r="U33" s="153"/>
    </row>
    <row r="34" spans="1:21" ht="18.75" x14ac:dyDescent="0.3">
      <c r="A34" s="57"/>
      <c r="B34" s="130"/>
      <c r="C34" s="50"/>
      <c r="D34" s="75"/>
      <c r="E34" s="318"/>
      <c r="F34" s="74"/>
      <c r="G34" s="130"/>
      <c r="H34" s="74"/>
      <c r="I34" s="75"/>
      <c r="J34" s="318"/>
      <c r="K34" s="155"/>
      <c r="L34" s="165" t="s">
        <v>1</v>
      </c>
      <c r="M34" s="166"/>
      <c r="N34" s="168"/>
      <c r="O34" s="166"/>
    </row>
    <row r="35" spans="1:21" ht="18.75" x14ac:dyDescent="0.3">
      <c r="A35" s="72" t="s">
        <v>1</v>
      </c>
      <c r="B35" s="130"/>
      <c r="C35" s="50"/>
      <c r="D35" s="75"/>
      <c r="E35" s="318"/>
      <c r="F35" s="74"/>
      <c r="G35" s="130"/>
      <c r="H35" s="74"/>
      <c r="I35" s="75"/>
      <c r="J35" s="318"/>
      <c r="K35" s="155"/>
      <c r="L35" s="169">
        <v>2015</v>
      </c>
      <c r="M35" s="170">
        <v>2016</v>
      </c>
      <c r="N35" s="169">
        <v>2015</v>
      </c>
      <c r="O35" s="170">
        <v>2016</v>
      </c>
      <c r="P35" s="58" t="s">
        <v>137</v>
      </c>
    </row>
    <row r="36" spans="1:21" ht="18.75" x14ac:dyDescent="0.3">
      <c r="A36" s="57" t="s">
        <v>79</v>
      </c>
      <c r="B36" s="97">
        <f>'DNB Livsforsikring'!F7+'DNB Livsforsikring'!F22+'DNB Livsforsikring'!F66+'DNB Livsforsikring'!F134</f>
        <v>12094571</v>
      </c>
      <c r="C36" s="97">
        <f>'DNB Livsforsikring'!G7+'DNB Livsforsikring'!G22+'DNB Livsforsikring'!G66+'DNB Livsforsikring'!G134</f>
        <v>13229791.858069999</v>
      </c>
      <c r="D36" s="75">
        <f t="shared" ref="D36:D42" si="13">IF(B36=0, "    ---- ", IF(ABS(ROUND(100/B36*C36-100,1))&lt;999,ROUND(100/B36*C36-100,1),IF(ROUND(100/B36*C36-100,1)&gt;999,999,-999)))</f>
        <v>9.4</v>
      </c>
      <c r="E36" s="318">
        <f t="shared" ref="E36:E41" si="14">100/C$42*C36</f>
        <v>25.038281410151885</v>
      </c>
      <c r="F36" s="74"/>
      <c r="G36" s="130">
        <f>'DNB Livsforsikring'!F10+'DNB Livsforsikring'!F29+'DNB Livsforsikring'!F87+'DNB Livsforsikring'!F135</f>
        <v>196648401.42379001</v>
      </c>
      <c r="H36" s="130">
        <f>'DNB Livsforsikring'!G10+'DNB Livsforsikring'!G29+'DNB Livsforsikring'!G87+'DNB Livsforsikring'!G135</f>
        <v>232627888.99139962</v>
      </c>
      <c r="I36" s="75">
        <f t="shared" ref="I36:I42" si="15">IF(G36=0, "    ---- ", IF(ABS(ROUND(100/G36*H36-100,1))&lt;999,ROUND(100/G36*H36-100,1),IF(ROUND(100/G36*H36-100,1)&gt;999,999,-999)))</f>
        <v>18.3</v>
      </c>
      <c r="J36" s="318">
        <f t="shared" ref="J36:J41" si="16">100/H$42*H36</f>
        <v>26.058811142859589</v>
      </c>
      <c r="K36" s="58" t="s">
        <v>135</v>
      </c>
      <c r="L36" s="168">
        <f t="shared" ref="L36:L41" ca="1" si="17">INDIRECT("'" &amp; $A36 &amp; "'!" &amp; $P$35)</f>
        <v>0</v>
      </c>
      <c r="M36" s="166" t="e">
        <f ca="1">INDIRECT("'" &amp; $A36 &amp; "'!" &amp;#REF!)</f>
        <v>#REF!</v>
      </c>
      <c r="N36" s="168">
        <f t="shared" ref="N36:N41" ca="1" si="18">INDIRECT("'" &amp; $A36 &amp; "'!" &amp; $P$36)</f>
        <v>0</v>
      </c>
      <c r="O36" s="166" t="e">
        <f ca="1">INDIRECT("'"&amp;$A36&amp;"'!"&amp;#REF!)</f>
        <v>#REF!</v>
      </c>
      <c r="P36" s="58" t="s">
        <v>138</v>
      </c>
    </row>
    <row r="37" spans="1:21" ht="18.75" x14ac:dyDescent="0.3">
      <c r="A37" s="57" t="s">
        <v>84</v>
      </c>
      <c r="B37" s="97">
        <f>'Gjensidige Pensjon'!F7+'Gjensidige Pensjon'!F22+'Gjensidige Pensjon'!F66+'Gjensidige Pensjon'!F134</f>
        <v>4843361</v>
      </c>
      <c r="C37" s="97">
        <f>'Gjensidige Pensjon'!G7+'Gjensidige Pensjon'!G22+'Gjensidige Pensjon'!G66+'Gjensidige Pensjon'!G134</f>
        <v>5338467</v>
      </c>
      <c r="D37" s="75">
        <f t="shared" si="13"/>
        <v>10.199999999999999</v>
      </c>
      <c r="E37" s="318">
        <f t="shared" si="14"/>
        <v>10.103412092857287</v>
      </c>
      <c r="F37" s="74"/>
      <c r="G37" s="130">
        <f>'Gjensidige Pensjon'!F10+'Gjensidige Pensjon'!F29+'Gjensidige Pensjon'!F87+'Gjensidige Pensjon'!F135</f>
        <v>73405051</v>
      </c>
      <c r="H37" s="130">
        <f>'Gjensidige Pensjon'!G10+'Gjensidige Pensjon'!G29+'Gjensidige Pensjon'!G87+'Gjensidige Pensjon'!G135</f>
        <v>87818915</v>
      </c>
      <c r="I37" s="75">
        <f t="shared" si="15"/>
        <v>19.600000000000001</v>
      </c>
      <c r="J37" s="318">
        <f t="shared" si="16"/>
        <v>9.8374125762730227</v>
      </c>
      <c r="K37" s="58" t="s">
        <v>136</v>
      </c>
      <c r="L37" s="168">
        <f t="shared" ca="1" si="17"/>
        <v>0</v>
      </c>
      <c r="M37" s="166" t="e">
        <f ca="1">INDIRECT("'" &amp; $A37 &amp; "'!" &amp;#REF!)</f>
        <v>#REF!</v>
      </c>
      <c r="N37" s="168">
        <f t="shared" ca="1" si="18"/>
        <v>0</v>
      </c>
      <c r="O37" s="166" t="e">
        <f ca="1">INDIRECT("'"&amp;$A37&amp;"'!"&amp;#REF!)</f>
        <v>#REF!</v>
      </c>
    </row>
    <row r="38" spans="1:21" ht="18.75" x14ac:dyDescent="0.3">
      <c r="A38" s="57" t="s">
        <v>61</v>
      </c>
      <c r="B38" s="97">
        <f>KLP!F7+KLP!F22+KLP!F66+KLP!F134</f>
        <v>170993.152</v>
      </c>
      <c r="C38" s="97">
        <f>KLP!G7+KLP!G22+KLP!G66+KLP!G134</f>
        <v>170064.51</v>
      </c>
      <c r="D38" s="75">
        <f t="shared" si="13"/>
        <v>-0.5</v>
      </c>
      <c r="E38" s="318">
        <f t="shared" si="14"/>
        <v>0.32185865846877931</v>
      </c>
      <c r="F38" s="74"/>
      <c r="G38" s="130">
        <f>KLP!F10+KLP!F29+KLP!F87+KLP!F135</f>
        <v>2924765.91579</v>
      </c>
      <c r="H38" s="130">
        <f>KLP!G10+KLP!G29+KLP!G87+KLP!G135</f>
        <v>3056998.4517899998</v>
      </c>
      <c r="I38" s="75">
        <f t="shared" si="15"/>
        <v>4.5</v>
      </c>
      <c r="J38" s="318">
        <f t="shared" si="16"/>
        <v>0.34244279851653947</v>
      </c>
      <c r="K38" s="58" t="s">
        <v>130</v>
      </c>
      <c r="L38" s="168">
        <f t="shared" ca="1" si="17"/>
        <v>0</v>
      </c>
      <c r="M38" s="166" t="e">
        <f ca="1">INDIRECT("'" &amp; $A38 &amp; "'!" &amp;#REF!)</f>
        <v>#REF!</v>
      </c>
      <c r="N38" s="168">
        <f t="shared" ca="1" si="18"/>
        <v>0</v>
      </c>
      <c r="O38" s="166" t="e">
        <f ca="1">INDIRECT("'"&amp;$A38&amp;"'!"&amp;#REF!)</f>
        <v>#REF!</v>
      </c>
    </row>
    <row r="39" spans="1:21" ht="18.75" x14ac:dyDescent="0.3">
      <c r="A39" s="57" t="s">
        <v>87</v>
      </c>
      <c r="B39" s="97">
        <f>'Nordea Liv '!F7+'Nordea Liv '!F22+'Nordea Liv '!F66+'Nordea Liv '!F134</f>
        <v>15106038.54532</v>
      </c>
      <c r="C39" s="97">
        <f>'Nordea Liv '!G7+'Nordea Liv '!G22+'Nordea Liv '!G66+'Nordea Liv '!G134</f>
        <v>13708724.2082</v>
      </c>
      <c r="D39" s="75">
        <f t="shared" si="13"/>
        <v>-9.3000000000000007</v>
      </c>
      <c r="E39" s="318">
        <f t="shared" si="14"/>
        <v>25.94469347525672</v>
      </c>
      <c r="F39" s="74"/>
      <c r="G39" s="130">
        <f>'Nordea Liv '!F10+'Nordea Liv '!F29+'Nordea Liv '!F87+'Nordea Liv '!F135</f>
        <v>176350130</v>
      </c>
      <c r="H39" s="130">
        <f>'Nordea Liv '!G10+'Nordea Liv '!G29+'Nordea Liv '!G87+'Nordea Liv '!G135</f>
        <v>203536570</v>
      </c>
      <c r="I39" s="75">
        <f t="shared" si="15"/>
        <v>15.4</v>
      </c>
      <c r="J39" s="318">
        <f t="shared" si="16"/>
        <v>22.800022221288824</v>
      </c>
      <c r="K39" s="155"/>
      <c r="L39" s="168">
        <f t="shared" ca="1" si="17"/>
        <v>0</v>
      </c>
      <c r="M39" s="166" t="e">
        <f ca="1">INDIRECT("'" &amp; $A39 &amp; "'!" &amp;#REF!)</f>
        <v>#REF!</v>
      </c>
      <c r="N39" s="168">
        <f t="shared" ca="1" si="18"/>
        <v>0</v>
      </c>
      <c r="O39" s="166" t="e">
        <f ca="1">INDIRECT("'"&amp;$A39&amp;"'!"&amp;#REF!)</f>
        <v>#REF!</v>
      </c>
    </row>
    <row r="40" spans="1:21" ht="18.75" x14ac:dyDescent="0.3">
      <c r="A40" s="57" t="s">
        <v>368</v>
      </c>
      <c r="B40" s="97">
        <f>'Sparebank 1 Fors.'!F7+'Sparebank 1 Fors.'!F22+'Sparebank 1 Fors.'!F66+'Sparebank 1 Fors.'!F134</f>
        <v>5611244.9301099991</v>
      </c>
      <c r="C40" s="97">
        <f>'Sparebank 1 Fors.'!G7+'Sparebank 1 Fors.'!G22+'Sparebank 1 Fors.'!G66+'Sparebank 1 Fors.'!G134</f>
        <v>6177737.14004</v>
      </c>
      <c r="D40" s="75">
        <f t="shared" si="13"/>
        <v>10.1</v>
      </c>
      <c r="E40" s="318">
        <f t="shared" si="14"/>
        <v>11.691787947209137</v>
      </c>
      <c r="F40" s="74"/>
      <c r="G40" s="130">
        <f>'Sparebank 1 Fors.'!F10+'Sparebank 1 Fors.'!F29+'Sparebank 1 Fors.'!F87+'Sparebank 1 Fors.'!F135</f>
        <v>82868966.916639909</v>
      </c>
      <c r="H40" s="130">
        <f>'Sparebank 1 Fors.'!G10+'Sparebank 1 Fors.'!G29+'Sparebank 1 Fors.'!G87+'Sparebank 1 Fors.'!G135</f>
        <v>93102991.043080002</v>
      </c>
      <c r="I40" s="75">
        <f t="shared" si="15"/>
        <v>12.3</v>
      </c>
      <c r="J40" s="318">
        <f t="shared" si="16"/>
        <v>10.429331027100822</v>
      </c>
      <c r="K40" s="50"/>
      <c r="L40" s="168" t="e">
        <f t="shared" ca="1" si="17"/>
        <v>#REF!</v>
      </c>
      <c r="M40" s="166" t="e">
        <f ca="1">INDIRECT("'" &amp; $A40 &amp; "'!" &amp;#REF!)</f>
        <v>#REF!</v>
      </c>
      <c r="N40" s="168" t="e">
        <f t="shared" ca="1" si="18"/>
        <v>#REF!</v>
      </c>
      <c r="O40" s="166" t="e">
        <f ca="1">INDIRECT("'"&amp;$A40&amp;"'!"&amp;#REF!)</f>
        <v>#REF!</v>
      </c>
    </row>
    <row r="41" spans="1:21" ht="18.75" x14ac:dyDescent="0.3">
      <c r="A41" s="57" t="s">
        <v>89</v>
      </c>
      <c r="B41" s="97">
        <f>'Storebrand Livsforsikring'!F7+'Storebrand Livsforsikring'!F22+'Storebrand Livsforsikring'!F66+'Storebrand Livsforsikring'!F134</f>
        <v>13576041.978</v>
      </c>
      <c r="C41" s="97">
        <f>'Storebrand Livsforsikring'!G7+'Storebrand Livsforsikring'!G22+'Storebrand Livsforsikring'!G66+'Storebrand Livsforsikring'!G134</f>
        <v>14213473.79414</v>
      </c>
      <c r="D41" s="75">
        <f t="shared" si="13"/>
        <v>4.7</v>
      </c>
      <c r="E41" s="318">
        <f t="shared" si="14"/>
        <v>26.899966416056184</v>
      </c>
      <c r="F41" s="74"/>
      <c r="G41" s="130">
        <f>'Storebrand Livsforsikring'!F10+'Storebrand Livsforsikring'!F29+'Storebrand Livsforsikring'!F87+'Storebrand Livsforsikring'!F135</f>
        <v>242616126.13030002</v>
      </c>
      <c r="H41" s="130">
        <f>'Storebrand Livsforsikring'!G10+'Storebrand Livsforsikring'!G29+'Storebrand Livsforsikring'!G87+'Storebrand Livsforsikring'!G135</f>
        <v>272560020.85496998</v>
      </c>
      <c r="I41" s="75">
        <f t="shared" si="15"/>
        <v>12.3</v>
      </c>
      <c r="J41" s="318">
        <f t="shared" si="16"/>
        <v>30.531980233961203</v>
      </c>
      <c r="K41" s="50"/>
      <c r="L41" s="168">
        <f t="shared" ca="1" si="17"/>
        <v>0</v>
      </c>
      <c r="M41" s="166" t="e">
        <f ca="1">INDIRECT("'" &amp; $A41 &amp; "'!" &amp;#REF!)</f>
        <v>#REF!</v>
      </c>
      <c r="N41" s="168">
        <f t="shared" ca="1" si="18"/>
        <v>0</v>
      </c>
      <c r="O41" s="166" t="e">
        <f ca="1">INDIRECT("'"&amp;$A41&amp;"'!"&amp;#REF!)</f>
        <v>#REF!</v>
      </c>
    </row>
    <row r="42" spans="1:21" s="79" customFormat="1" ht="18.75" x14ac:dyDescent="0.3">
      <c r="A42" s="72" t="s">
        <v>93</v>
      </c>
      <c r="B42" s="186">
        <f>SUM(B36:B41)</f>
        <v>51402250.60543</v>
      </c>
      <c r="C42" s="186">
        <f>SUM(C36:C41)</f>
        <v>52838258.510450006</v>
      </c>
      <c r="D42" s="75">
        <f t="shared" si="13"/>
        <v>2.8</v>
      </c>
      <c r="E42" s="319">
        <f>SUM(E36:E41)</f>
        <v>100</v>
      </c>
      <c r="F42" s="77"/>
      <c r="G42" s="62">
        <f>SUM(G36:G41)</f>
        <v>774813441.38651991</v>
      </c>
      <c r="H42" s="62">
        <f>SUM(H36:H41)</f>
        <v>892703384.34123957</v>
      </c>
      <c r="I42" s="75">
        <f t="shared" si="15"/>
        <v>15.2</v>
      </c>
      <c r="J42" s="319">
        <f>SUM(J36:J41)</f>
        <v>100</v>
      </c>
      <c r="K42" s="50"/>
      <c r="L42" s="168" t="e">
        <f ca="1">SUM(L36:L41)</f>
        <v>#REF!</v>
      </c>
      <c r="M42" s="166" t="e">
        <f ca="1">SUM(M36:M41)</f>
        <v>#REF!</v>
      </c>
      <c r="N42" s="168" t="e">
        <f ca="1">SUM(N36:N41)</f>
        <v>#REF!</v>
      </c>
      <c r="O42" s="166" t="e">
        <f ca="1">SUM(O36:O41)</f>
        <v>#REF!</v>
      </c>
    </row>
    <row r="43" spans="1:21" ht="18.75" x14ac:dyDescent="0.3">
      <c r="A43" s="72"/>
      <c r="B43" s="97"/>
      <c r="C43" s="77"/>
      <c r="D43" s="78"/>
      <c r="E43" s="318"/>
      <c r="F43" s="77"/>
      <c r="G43" s="62"/>
      <c r="H43" s="77"/>
      <c r="I43" s="78"/>
      <c r="J43" s="319"/>
      <c r="K43" s="50"/>
      <c r="L43" s="165" t="s">
        <v>94</v>
      </c>
      <c r="M43" s="171"/>
      <c r="N43" s="172"/>
      <c r="O43" s="171"/>
    </row>
    <row r="44" spans="1:21" ht="18.75" x14ac:dyDescent="0.3">
      <c r="A44" s="57"/>
      <c r="B44" s="97"/>
      <c r="C44" s="74"/>
      <c r="D44" s="75"/>
      <c r="E44" s="318"/>
      <c r="F44" s="74"/>
      <c r="G44" s="130"/>
      <c r="H44" s="74"/>
      <c r="I44" s="75"/>
      <c r="J44" s="318"/>
      <c r="K44" s="50"/>
      <c r="L44" s="169">
        <v>2015</v>
      </c>
      <c r="M44" s="170">
        <v>2016</v>
      </c>
      <c r="N44" s="169">
        <v>2015</v>
      </c>
      <c r="O44" s="170">
        <v>2016</v>
      </c>
    </row>
    <row r="45" spans="1:21" ht="18.75" x14ac:dyDescent="0.3">
      <c r="A45" s="72" t="s">
        <v>94</v>
      </c>
      <c r="B45" s="97"/>
      <c r="C45" s="74"/>
      <c r="D45" s="75"/>
      <c r="E45" s="318"/>
      <c r="F45" s="74"/>
      <c r="G45" s="130"/>
      <c r="H45" s="74"/>
      <c r="I45" s="75"/>
      <c r="J45" s="318"/>
      <c r="K45" s="50"/>
      <c r="L45" s="168"/>
      <c r="M45" s="166"/>
      <c r="N45" s="168"/>
      <c r="O45" s="166"/>
      <c r="P45" s="155"/>
      <c r="Q45" s="155"/>
      <c r="R45" s="155"/>
      <c r="S45" s="133"/>
      <c r="T45" s="50"/>
    </row>
    <row r="46" spans="1:21" ht="18.75" x14ac:dyDescent="0.3">
      <c r="A46" s="57" t="s">
        <v>79</v>
      </c>
      <c r="B46" s="97">
        <f>B9+B36</f>
        <v>14880832.058219999</v>
      </c>
      <c r="C46" s="74">
        <f>+C9+C36</f>
        <v>16195611.454069998</v>
      </c>
      <c r="D46" s="75">
        <f t="shared" ref="D46:D68" si="19">IF(B46=0, "    ---- ", IF(ABS(ROUND(100/B46*C46-100,1))&lt;999,ROUND(100/B46*C46-100,1),IF(ROUND(100/B46*C46-100,1)&gt;999,999,-999)))</f>
        <v>8.8000000000000007</v>
      </c>
      <c r="E46" s="318">
        <f t="shared" ref="E46:E67" si="20">100/C$70*C46</f>
        <v>11.888869187948517</v>
      </c>
      <c r="F46" s="74"/>
      <c r="G46" s="130">
        <f>+G9+G36</f>
        <v>378299282.42364001</v>
      </c>
      <c r="H46" s="130">
        <f>+H9+H36</f>
        <v>412114743.60761827</v>
      </c>
      <c r="I46" s="75">
        <f t="shared" ref="I46:I65" si="21">IF(G46=0, "    ---- ", IF(ABS(ROUND(100/G46*H46-100,1))&lt;999,ROUND(100/G46*H46-100,1),IF(ROUND(100/G46*H46-100,1)&gt;999,999,-999)))</f>
        <v>8.9</v>
      </c>
      <c r="J46" s="318">
        <f t="shared" ref="J46:J67" si="22">100/H$70*H46</f>
        <v>17.558955763447553</v>
      </c>
      <c r="K46" s="50"/>
      <c r="L46" s="168">
        <f ca="1">L10+L36</f>
        <v>0</v>
      </c>
      <c r="M46" s="166" t="e">
        <f ca="1">+M10+M36</f>
        <v>#REF!</v>
      </c>
      <c r="N46" s="168" t="e">
        <f ca="1">+N10+N36</f>
        <v>#REF!</v>
      </c>
      <c r="O46" s="166" t="e">
        <f ca="1">+O10+O36</f>
        <v>#REF!</v>
      </c>
      <c r="P46" s="155"/>
      <c r="Q46" s="155"/>
      <c r="R46" s="155"/>
      <c r="S46" s="133"/>
      <c r="T46" s="50"/>
    </row>
    <row r="47" spans="1:21" ht="18.75" x14ac:dyDescent="0.3">
      <c r="A47" s="57" t="s">
        <v>80</v>
      </c>
      <c r="B47" s="97">
        <f t="shared" ref="B47:C51" si="23">B10</f>
        <v>452553</v>
      </c>
      <c r="C47" s="74">
        <f t="shared" si="23"/>
        <v>0</v>
      </c>
      <c r="D47" s="75">
        <f t="shared" si="19"/>
        <v>-100</v>
      </c>
      <c r="E47" s="318">
        <f t="shared" si="20"/>
        <v>0</v>
      </c>
      <c r="F47" s="74"/>
      <c r="G47" s="130">
        <f>+G10</f>
        <v>0</v>
      </c>
      <c r="H47" s="130">
        <f>H10</f>
        <v>0</v>
      </c>
      <c r="I47" s="75"/>
      <c r="J47" s="318">
        <f t="shared" si="22"/>
        <v>0</v>
      </c>
      <c r="K47" s="50"/>
      <c r="L47" s="168">
        <f ca="1">L12</f>
        <v>0</v>
      </c>
      <c r="M47" s="166">
        <f ca="1">M12</f>
        <v>0</v>
      </c>
      <c r="N47" s="168" t="e">
        <f ca="1">N12</f>
        <v>#REF!</v>
      </c>
      <c r="O47" s="166" t="e">
        <f ca="1">+O12+#REF!</f>
        <v>#REF!</v>
      </c>
      <c r="P47" s="155"/>
      <c r="Q47" s="155"/>
      <c r="R47" s="155"/>
      <c r="S47" s="133"/>
      <c r="T47" s="50"/>
    </row>
    <row r="48" spans="1:21" ht="18.75" x14ac:dyDescent="0.3">
      <c r="A48" s="57" t="s">
        <v>365</v>
      </c>
      <c r="B48" s="97">
        <f t="shared" si="23"/>
        <v>71355</v>
      </c>
      <c r="C48" s="97">
        <f t="shared" si="23"/>
        <v>99295</v>
      </c>
      <c r="D48" s="75">
        <f t="shared" ref="D48" si="24">IF(B48=0, "    ---- ", IF(ABS(ROUND(100/B48*C48-100,1))&lt;999,ROUND(100/B48*C48-100,1),IF(ROUND(100/B48*C48-100,1)&gt;999,999,-999)))</f>
        <v>39.200000000000003</v>
      </c>
      <c r="E48" s="318">
        <f t="shared" si="20"/>
        <v>7.2890441300423034E-2</v>
      </c>
      <c r="F48" s="74"/>
      <c r="G48" s="130">
        <f>+G11</f>
        <v>0</v>
      </c>
      <c r="H48" s="130">
        <f>H11</f>
        <v>0</v>
      </c>
      <c r="I48" s="75"/>
      <c r="J48" s="318">
        <f t="shared" si="22"/>
        <v>0</v>
      </c>
      <c r="K48" s="50"/>
      <c r="L48" s="168"/>
      <c r="M48" s="166"/>
      <c r="N48" s="168"/>
      <c r="O48" s="166"/>
      <c r="P48" s="155"/>
      <c r="Q48" s="155"/>
      <c r="R48" s="155"/>
      <c r="S48" s="133"/>
      <c r="T48" s="50"/>
    </row>
    <row r="49" spans="1:20" ht="18.75" x14ac:dyDescent="0.3">
      <c r="A49" s="57" t="s">
        <v>353</v>
      </c>
      <c r="B49" s="97">
        <f t="shared" si="23"/>
        <v>2813938.0383600001</v>
      </c>
      <c r="C49" s="97">
        <f t="shared" si="23"/>
        <v>3462010.0061499998</v>
      </c>
      <c r="D49" s="75">
        <f t="shared" ref="D49" si="25">IF(B49=0, "    ---- ", IF(ABS(ROUND(100/B49*C49-100,1))&lt;999,ROUND(100/B49*C49-100,1),IF(ROUND(100/B49*C49-100,1)&gt;999,999,-999)))</f>
        <v>23</v>
      </c>
      <c r="E49" s="318">
        <f t="shared" si="20"/>
        <v>2.5413911791606196</v>
      </c>
      <c r="F49" s="74"/>
      <c r="G49" s="130">
        <f>G12</f>
        <v>5738350.5694500003</v>
      </c>
      <c r="H49" s="130">
        <f>H12</f>
        <v>6270147.1001199996</v>
      </c>
      <c r="I49" s="75">
        <f t="shared" ref="I49" si="26">IF(G49=0, "    ---- ", IF(ABS(ROUND(100/G49*H49-100,1))&lt;999,ROUND(100/G49*H49-100,1),IF(ROUND(100/G49*H49-100,1)&gt;999,999,-999)))</f>
        <v>9.3000000000000007</v>
      </c>
      <c r="J49" s="318">
        <f t="shared" si="22"/>
        <v>0.26715189706035258</v>
      </c>
      <c r="K49" s="50"/>
      <c r="L49" s="168"/>
      <c r="M49" s="166"/>
      <c r="N49" s="168"/>
      <c r="O49" s="166"/>
      <c r="P49" s="155"/>
      <c r="Q49" s="155"/>
      <c r="R49" s="155"/>
      <c r="S49" s="133"/>
      <c r="T49" s="50"/>
    </row>
    <row r="50" spans="1:20" ht="18.75" x14ac:dyDescent="0.3">
      <c r="A50" s="57" t="s">
        <v>81</v>
      </c>
      <c r="B50" s="97">
        <f t="shared" si="23"/>
        <v>633438.71653000009</v>
      </c>
      <c r="C50" s="74">
        <f t="shared" si="23"/>
        <v>711774</v>
      </c>
      <c r="D50" s="75">
        <f t="shared" si="19"/>
        <v>12.4</v>
      </c>
      <c r="E50" s="318">
        <f t="shared" si="20"/>
        <v>0.52249882638770639</v>
      </c>
      <c r="F50" s="74"/>
      <c r="G50" s="130">
        <f>G13</f>
        <v>1889136.3959733311</v>
      </c>
      <c r="H50" s="130">
        <f>H13</f>
        <v>2334043</v>
      </c>
      <c r="I50" s="75">
        <f t="shared" si="21"/>
        <v>23.6</v>
      </c>
      <c r="J50" s="318">
        <f t="shared" si="22"/>
        <v>9.9446473155072074E-2</v>
      </c>
      <c r="K50" s="50"/>
      <c r="L50" s="168" t="e">
        <f ca="1">L14+#REF!</f>
        <v>#REF!</v>
      </c>
      <c r="M50" s="166" t="e">
        <f ca="1">M14+#REF!</f>
        <v>#REF!</v>
      </c>
      <c r="N50" s="168" t="e">
        <f ca="1">N14+#REF!</f>
        <v>#REF!</v>
      </c>
      <c r="O50" s="166" t="e">
        <f ca="1">O14+#REF!</f>
        <v>#REF!</v>
      </c>
      <c r="P50" s="155"/>
      <c r="Q50" s="155"/>
      <c r="R50" s="155"/>
      <c r="S50" s="133"/>
      <c r="T50" s="50"/>
    </row>
    <row r="51" spans="1:20" ht="18.75" x14ac:dyDescent="0.3">
      <c r="A51" s="57" t="s">
        <v>82</v>
      </c>
      <c r="B51" s="97">
        <f t="shared" si="23"/>
        <v>2550.4560000000001</v>
      </c>
      <c r="C51" s="74">
        <f t="shared" si="23"/>
        <v>294.02600000000001</v>
      </c>
      <c r="D51" s="75">
        <f t="shared" si="19"/>
        <v>-88.5</v>
      </c>
      <c r="E51" s="318">
        <f t="shared" si="20"/>
        <v>2.1583851043655957E-4</v>
      </c>
      <c r="F51" s="74"/>
      <c r="G51" s="130">
        <f>G14</f>
        <v>0</v>
      </c>
      <c r="H51" s="130">
        <f>H14</f>
        <v>0</v>
      </c>
      <c r="I51" s="75"/>
      <c r="J51" s="318">
        <f t="shared" si="22"/>
        <v>0</v>
      </c>
      <c r="K51" s="50"/>
      <c r="L51" s="168">
        <f ca="1">L15</f>
        <v>0</v>
      </c>
      <c r="M51" s="166">
        <f ca="1">M15</f>
        <v>0</v>
      </c>
      <c r="N51" s="168" t="e">
        <f ca="1">N15</f>
        <v>#REF!</v>
      </c>
      <c r="O51" s="166">
        <f ca="1">O15</f>
        <v>0</v>
      </c>
      <c r="P51" s="155"/>
      <c r="Q51" s="155"/>
      <c r="R51" s="155"/>
      <c r="S51" s="133"/>
      <c r="T51" s="50"/>
    </row>
    <row r="52" spans="1:20" ht="18.75" x14ac:dyDescent="0.3">
      <c r="A52" s="57" t="s">
        <v>83</v>
      </c>
      <c r="B52" s="74">
        <f>B15</f>
        <v>1979927.014771</v>
      </c>
      <c r="C52" s="74">
        <f>+C15</f>
        <v>2112841.6972000003</v>
      </c>
      <c r="D52" s="75">
        <f t="shared" si="19"/>
        <v>6.7</v>
      </c>
      <c r="E52" s="318">
        <f t="shared" si="20"/>
        <v>1.5509941457962917</v>
      </c>
      <c r="F52" s="74"/>
      <c r="G52" s="130">
        <f>+G15</f>
        <v>0</v>
      </c>
      <c r="H52" s="130">
        <f>+H15</f>
        <v>0</v>
      </c>
      <c r="I52" s="75"/>
      <c r="J52" s="318">
        <f t="shared" si="22"/>
        <v>0</v>
      </c>
      <c r="K52" s="50"/>
      <c r="L52" s="168">
        <f ca="1">L16</f>
        <v>0</v>
      </c>
      <c r="M52" s="166">
        <f ca="1">+M16</f>
        <v>0</v>
      </c>
      <c r="N52" s="168" t="e">
        <f ca="1">+N16</f>
        <v>#REF!</v>
      </c>
      <c r="O52" s="166">
        <f ca="1">+O16</f>
        <v>0</v>
      </c>
      <c r="P52" s="155"/>
      <c r="Q52" s="155"/>
      <c r="R52" s="155"/>
      <c r="S52" s="133"/>
      <c r="T52" s="50"/>
    </row>
    <row r="53" spans="1:20" ht="18.75" x14ac:dyDescent="0.3">
      <c r="A53" s="57" t="s">
        <v>84</v>
      </c>
      <c r="B53" s="74">
        <f>B16+B37</f>
        <v>5648312</v>
      </c>
      <c r="C53" s="74">
        <f>C16+C37</f>
        <v>6261210</v>
      </c>
      <c r="D53" s="75">
        <f t="shared" si="19"/>
        <v>10.9</v>
      </c>
      <c r="E53" s="318">
        <f t="shared" si="20"/>
        <v>4.5962270000969001</v>
      </c>
      <c r="F53" s="74"/>
      <c r="G53" s="130">
        <f>G16+G37</f>
        <v>83970649</v>
      </c>
      <c r="H53" s="130">
        <f>H16+H37</f>
        <v>99509587</v>
      </c>
      <c r="I53" s="75">
        <f t="shared" si="21"/>
        <v>18.5</v>
      </c>
      <c r="J53" s="318">
        <f t="shared" si="22"/>
        <v>4.2398008401164029</v>
      </c>
      <c r="K53" s="50"/>
      <c r="L53" s="168" t="e">
        <f ca="1">#REF!+L37</f>
        <v>#REF!</v>
      </c>
      <c r="M53" s="166" t="e">
        <f ca="1">#REF!+M37</f>
        <v>#REF!</v>
      </c>
      <c r="N53" s="168" t="e">
        <f ca="1">#REF!+N37</f>
        <v>#REF!</v>
      </c>
      <c r="O53" s="166" t="e">
        <f ca="1">#REF!+O37</f>
        <v>#REF!</v>
      </c>
      <c r="P53" s="155"/>
      <c r="Q53" s="155"/>
      <c r="R53" s="155"/>
      <c r="S53" s="133"/>
      <c r="T53" s="50"/>
    </row>
    <row r="54" spans="1:20" ht="18.75" x14ac:dyDescent="0.3">
      <c r="A54" s="57" t="s">
        <v>85</v>
      </c>
      <c r="B54" s="74">
        <f>B17</f>
        <v>569992.80272692</v>
      </c>
      <c r="C54" s="74">
        <f>+C17</f>
        <v>641858.92080210301</v>
      </c>
      <c r="D54" s="75">
        <f t="shared" si="19"/>
        <v>12.6</v>
      </c>
      <c r="E54" s="318">
        <f t="shared" si="20"/>
        <v>0.47117558779272434</v>
      </c>
      <c r="F54" s="74"/>
      <c r="G54" s="130">
        <f>+G17</f>
        <v>0</v>
      </c>
      <c r="H54" s="130">
        <f>+H17</f>
        <v>0</v>
      </c>
      <c r="I54" s="75"/>
      <c r="J54" s="318">
        <f t="shared" si="22"/>
        <v>0</v>
      </c>
      <c r="K54" s="50"/>
      <c r="L54" s="168" t="e">
        <f>#REF!</f>
        <v>#REF!</v>
      </c>
      <c r="M54" s="166" t="e">
        <f>+#REF!</f>
        <v>#REF!</v>
      </c>
      <c r="N54" s="168" t="e">
        <f>+#REF!</f>
        <v>#REF!</v>
      </c>
      <c r="O54" s="166" t="e">
        <f>+#REF!</f>
        <v>#REF!</v>
      </c>
      <c r="P54" s="155"/>
      <c r="Q54" s="155"/>
      <c r="R54" s="155"/>
      <c r="S54" s="133"/>
      <c r="T54" s="50"/>
    </row>
    <row r="55" spans="1:20" ht="18.75" x14ac:dyDescent="0.3">
      <c r="A55" s="57" t="s">
        <v>61</v>
      </c>
      <c r="B55" s="74">
        <f>B18+B38</f>
        <v>51793813.771410003</v>
      </c>
      <c r="C55" s="74">
        <f>C18+C38</f>
        <v>53581705.162769996</v>
      </c>
      <c r="D55" s="75">
        <f t="shared" si="19"/>
        <v>3.5</v>
      </c>
      <c r="E55" s="318">
        <f t="shared" si="20"/>
        <v>39.333240696343822</v>
      </c>
      <c r="F55" s="74"/>
      <c r="G55" s="130">
        <f>G18+G38</f>
        <v>788482997.40933001</v>
      </c>
      <c r="H55" s="130">
        <f>H18+H38</f>
        <v>849707377.91785002</v>
      </c>
      <c r="I55" s="75">
        <f t="shared" si="21"/>
        <v>7.8</v>
      </c>
      <c r="J55" s="318">
        <f t="shared" si="22"/>
        <v>36.20344695782132</v>
      </c>
      <c r="K55" s="50"/>
      <c r="L55" s="168">
        <f ca="1">L32+L38</f>
        <v>0</v>
      </c>
      <c r="M55" s="166" t="e">
        <f ca="1">M32+M38</f>
        <v>#REF!</v>
      </c>
      <c r="N55" s="168" t="e">
        <f ca="1">N32+N38</f>
        <v>#REF!</v>
      </c>
      <c r="O55" s="166" t="e">
        <f ca="1">O32+O38</f>
        <v>#REF!</v>
      </c>
      <c r="P55" s="155"/>
      <c r="Q55" s="155"/>
      <c r="R55" s="155"/>
      <c r="S55" s="133"/>
      <c r="T55" s="50"/>
    </row>
    <row r="56" spans="1:20" ht="18.75" x14ac:dyDescent="0.3">
      <c r="A56" s="57" t="s">
        <v>86</v>
      </c>
      <c r="B56" s="74">
        <f t="shared" ref="B56:C59" si="27">B19</f>
        <v>351084.87199999997</v>
      </c>
      <c r="C56" s="74">
        <f t="shared" si="27"/>
        <v>390250.82899999997</v>
      </c>
      <c r="D56" s="75">
        <f>IF(B56=0, "    ---- ", IF(ABS(ROUND(100/B56*C56-100,1))&lt;999,ROUND(100/B56*C56-100,1),IF(ROUND(100/B56*C56-100,1)&gt;999,999,-999)))</f>
        <v>11.2</v>
      </c>
      <c r="E56" s="318">
        <f t="shared" si="20"/>
        <v>0.28647520160799561</v>
      </c>
      <c r="F56" s="74"/>
      <c r="G56" s="130">
        <f t="shared" ref="G56:H59" si="28">G19</f>
        <v>163752.0116</v>
      </c>
      <c r="H56" s="130">
        <f t="shared" si="28"/>
        <v>198920.58899999998</v>
      </c>
      <c r="I56" s="75">
        <f>IF(G56=0, "    ---- ", IF(ABS(ROUND(100/G56*H56-100,1))&lt;999,ROUND(100/G56*H56-100,1),IF(ROUND(100/G56*H56-100,1)&gt;999,999,-999)))</f>
        <v>21.5</v>
      </c>
      <c r="J56" s="318">
        <f t="shared" si="22"/>
        <v>8.4754012732325933E-3</v>
      </c>
      <c r="K56" s="50"/>
      <c r="L56" s="168">
        <f ca="1">L21</f>
        <v>0</v>
      </c>
      <c r="M56" s="166">
        <f ca="1">M21</f>
        <v>0</v>
      </c>
      <c r="N56" s="168" t="e">
        <f ca="1">N21</f>
        <v>#REF!</v>
      </c>
      <c r="O56" s="166">
        <f ca="1">O21</f>
        <v>0</v>
      </c>
      <c r="P56" s="155"/>
      <c r="Q56" s="155"/>
      <c r="R56" s="155"/>
      <c r="S56" s="133"/>
      <c r="T56" s="50"/>
    </row>
    <row r="57" spans="1:20" ht="18.75" x14ac:dyDescent="0.3">
      <c r="A57" s="57" t="s">
        <v>408</v>
      </c>
      <c r="B57" s="74">
        <f t="shared" si="27"/>
        <v>45112</v>
      </c>
      <c r="C57" s="74">
        <f t="shared" si="27"/>
        <v>47931</v>
      </c>
      <c r="D57" s="75">
        <f>IF(B57=0, "    ---- ", IF(ABS(ROUND(100/B57*C57-100,1))&lt;999,ROUND(100/B57*C57-100,1),IF(ROUND(100/B57*C57-100,1)&gt;999,999,-999)))</f>
        <v>6.2</v>
      </c>
      <c r="E57" s="318">
        <f t="shared" si="20"/>
        <v>3.5185172888570183E-2</v>
      </c>
      <c r="F57" s="74"/>
      <c r="G57" s="130">
        <f t="shared" si="28"/>
        <v>0</v>
      </c>
      <c r="H57" s="130">
        <f t="shared" si="28"/>
        <v>0</v>
      </c>
      <c r="I57" s="75"/>
      <c r="J57" s="318">
        <f t="shared" si="22"/>
        <v>0</v>
      </c>
      <c r="K57" s="50"/>
      <c r="L57" s="168"/>
      <c r="M57" s="166"/>
      <c r="N57" s="168"/>
      <c r="O57" s="166"/>
      <c r="P57" s="155"/>
      <c r="Q57" s="155"/>
      <c r="R57" s="155"/>
      <c r="S57" s="133"/>
      <c r="T57" s="50"/>
    </row>
    <row r="58" spans="1:20" ht="18.75" x14ac:dyDescent="0.3">
      <c r="A58" s="76" t="s">
        <v>360</v>
      </c>
      <c r="B58" s="74">
        <f t="shared" si="27"/>
        <v>33530</v>
      </c>
      <c r="C58" s="74">
        <f t="shared" si="27"/>
        <v>95312</v>
      </c>
      <c r="D58" s="75">
        <f t="shared" si="19"/>
        <v>184.3</v>
      </c>
      <c r="E58" s="318">
        <f t="shared" si="20"/>
        <v>6.996660195604934E-2</v>
      </c>
      <c r="F58" s="74"/>
      <c r="G58" s="130">
        <f t="shared" si="28"/>
        <v>0</v>
      </c>
      <c r="H58" s="130">
        <f t="shared" si="28"/>
        <v>0</v>
      </c>
      <c r="I58" s="75"/>
      <c r="J58" s="318">
        <f t="shared" si="22"/>
        <v>0</v>
      </c>
      <c r="K58" s="50"/>
      <c r="L58" s="168">
        <f ca="1">L23</f>
        <v>0</v>
      </c>
      <c r="M58" s="166">
        <f ca="1">M23</f>
        <v>0</v>
      </c>
      <c r="N58" s="168" t="e">
        <f ca="1">N23</f>
        <v>#REF!</v>
      </c>
      <c r="O58" s="166">
        <f ca="1">O23</f>
        <v>0</v>
      </c>
      <c r="P58" s="155"/>
      <c r="Q58" s="155"/>
      <c r="R58" s="155"/>
      <c r="S58" s="133"/>
      <c r="T58" s="50"/>
    </row>
    <row r="59" spans="1:20" ht="18.75" x14ac:dyDescent="0.3">
      <c r="A59" s="76" t="s">
        <v>369</v>
      </c>
      <c r="B59" s="74">
        <f t="shared" si="27"/>
        <v>26022</v>
      </c>
      <c r="C59" s="74">
        <f t="shared" si="27"/>
        <v>28003.901999999998</v>
      </c>
      <c r="D59" s="75">
        <f t="shared" ref="D59" si="29">IF(B59=0, "    ---- ", IF(ABS(ROUND(100/B59*C59-100,1))&lt;999,ROUND(100/B59*C59-100,1),IF(ROUND(100/B59*C59-100,1)&gt;999,999,-999)))</f>
        <v>7.6</v>
      </c>
      <c r="E59" s="318">
        <f t="shared" si="20"/>
        <v>2.0557095270797108E-2</v>
      </c>
      <c r="F59" s="74"/>
      <c r="G59" s="130">
        <f t="shared" si="28"/>
        <v>0</v>
      </c>
      <c r="H59" s="130">
        <f t="shared" si="28"/>
        <v>0</v>
      </c>
      <c r="I59" s="75"/>
      <c r="J59" s="318">
        <f t="shared" si="22"/>
        <v>0</v>
      </c>
      <c r="K59" s="50"/>
      <c r="L59" s="168"/>
      <c r="M59" s="166"/>
      <c r="N59" s="168"/>
      <c r="O59" s="166"/>
      <c r="P59" s="155"/>
      <c r="Q59" s="155"/>
      <c r="R59" s="155"/>
      <c r="S59" s="133"/>
      <c r="T59" s="50"/>
    </row>
    <row r="60" spans="1:20" ht="18.75" x14ac:dyDescent="0.3">
      <c r="A60" s="57" t="s">
        <v>63</v>
      </c>
      <c r="B60" s="74">
        <f>B23+B39</f>
        <v>16566015.372573126</v>
      </c>
      <c r="C60" s="74">
        <f>+C23+C39</f>
        <v>15328810.157311849</v>
      </c>
      <c r="D60" s="75">
        <f t="shared" si="19"/>
        <v>-7.5</v>
      </c>
      <c r="E60" s="318">
        <f t="shared" si="20"/>
        <v>11.252567973985272</v>
      </c>
      <c r="F60" s="74"/>
      <c r="G60" s="130">
        <f>+G23+G39</f>
        <v>231125200.00000146</v>
      </c>
      <c r="H60" s="130">
        <f>+H23+H39</f>
        <v>259465460.00000069</v>
      </c>
      <c r="I60" s="75">
        <f t="shared" si="21"/>
        <v>12.3</v>
      </c>
      <c r="J60" s="318">
        <f t="shared" si="22"/>
        <v>11.055034077160744</v>
      </c>
      <c r="K60" s="50"/>
      <c r="L60" s="168">
        <f ca="1">L25+L39</f>
        <v>0</v>
      </c>
      <c r="M60" s="166" t="e">
        <f ca="1">+M25+M39</f>
        <v>#REF!</v>
      </c>
      <c r="N60" s="168" t="e">
        <f ca="1">+N25+N39</f>
        <v>#REF!</v>
      </c>
      <c r="O60" s="166" t="e">
        <f ca="1">+O25+O39</f>
        <v>#REF!</v>
      </c>
      <c r="P60" s="155"/>
      <c r="Q60" s="155"/>
      <c r="R60" s="155"/>
      <c r="S60" s="133"/>
      <c r="T60" s="50"/>
    </row>
    <row r="61" spans="1:20" ht="18.75" x14ac:dyDescent="0.3">
      <c r="A61" s="57" t="s">
        <v>398</v>
      </c>
      <c r="B61" s="74">
        <f t="shared" ref="B61:C63" si="30">B24</f>
        <v>25648</v>
      </c>
      <c r="C61" s="74">
        <f t="shared" si="30"/>
        <v>27203</v>
      </c>
      <c r="D61" s="75">
        <f t="shared" ref="D61" si="31">IF(B61=0, "    ---- ", IF(ABS(ROUND(100/B61*C61-100,1))&lt;999,ROUND(100/B61*C61-100,1),IF(ROUND(100/B61*C61-100,1)&gt;999,999,-999)))</f>
        <v>6.1</v>
      </c>
      <c r="E61" s="318">
        <f t="shared" si="20"/>
        <v>1.9969169391161768E-2</v>
      </c>
      <c r="F61" s="74"/>
      <c r="G61" s="130">
        <f t="shared" ref="G61:H63" si="32">G24</f>
        <v>0</v>
      </c>
      <c r="H61" s="130">
        <f t="shared" si="32"/>
        <v>0</v>
      </c>
      <c r="I61" s="75"/>
      <c r="J61" s="318">
        <f t="shared" si="22"/>
        <v>0</v>
      </c>
      <c r="K61" s="50"/>
      <c r="L61" s="168"/>
      <c r="M61" s="166"/>
      <c r="N61" s="168"/>
      <c r="O61" s="166"/>
      <c r="P61" s="155"/>
      <c r="Q61" s="155"/>
      <c r="R61" s="155"/>
      <c r="S61" s="133"/>
      <c r="T61" s="50"/>
    </row>
    <row r="62" spans="1:20" ht="18.75" customHeight="1" x14ac:dyDescent="0.3">
      <c r="A62" s="57" t="s">
        <v>88</v>
      </c>
      <c r="B62" s="74">
        <f t="shared" si="30"/>
        <v>7128000</v>
      </c>
      <c r="C62" s="74">
        <f t="shared" si="30"/>
        <v>7353000</v>
      </c>
      <c r="D62" s="75">
        <f t="shared" si="19"/>
        <v>3.2</v>
      </c>
      <c r="E62" s="318">
        <f t="shared" si="20"/>
        <v>5.3976878481495598</v>
      </c>
      <c r="F62" s="74"/>
      <c r="G62" s="130">
        <f t="shared" si="32"/>
        <v>99384000</v>
      </c>
      <c r="H62" s="130">
        <f t="shared" si="32"/>
        <v>105305000</v>
      </c>
      <c r="I62" s="75">
        <f t="shared" si="21"/>
        <v>6</v>
      </c>
      <c r="J62" s="318">
        <f t="shared" si="22"/>
        <v>4.4867257610913187</v>
      </c>
      <c r="K62" s="50"/>
      <c r="L62" s="168">
        <f ca="1">L26</f>
        <v>0</v>
      </c>
      <c r="M62" s="166">
        <f ca="1">M26</f>
        <v>0</v>
      </c>
      <c r="N62" s="168" t="e">
        <f ca="1">N26</f>
        <v>#REF!</v>
      </c>
      <c r="O62" s="166">
        <f ca="1">O26</f>
        <v>0</v>
      </c>
      <c r="P62" s="155"/>
      <c r="Q62" s="155"/>
      <c r="R62" s="155"/>
      <c r="S62" s="133"/>
      <c r="T62" s="50"/>
    </row>
    <row r="63" spans="1:20" ht="18.75" customHeight="1" x14ac:dyDescent="0.3">
      <c r="A63" s="57" t="s">
        <v>321</v>
      </c>
      <c r="B63" s="74">
        <f t="shared" si="30"/>
        <v>394500</v>
      </c>
      <c r="C63" s="74">
        <f t="shared" si="30"/>
        <v>406788.94739192334</v>
      </c>
      <c r="D63" s="75">
        <f t="shared" ref="D63" si="33">IF(B63=0, "    ---- ", IF(ABS(ROUND(100/B63*C63-100,1))&lt;999,ROUND(100/B63*C63-100,1),IF(ROUND(100/B63*C63-100,1)&gt;999,999,-999)))</f>
        <v>3.1</v>
      </c>
      <c r="E63" s="318">
        <f t="shared" si="20"/>
        <v>0.29861549817746974</v>
      </c>
      <c r="F63" s="74"/>
      <c r="G63" s="130">
        <f t="shared" si="32"/>
        <v>0</v>
      </c>
      <c r="H63" s="130">
        <f t="shared" si="32"/>
        <v>0</v>
      </c>
      <c r="I63" s="75"/>
      <c r="J63" s="318">
        <f t="shared" si="22"/>
        <v>0</v>
      </c>
      <c r="K63" s="50"/>
      <c r="L63" s="168"/>
      <c r="M63" s="166"/>
      <c r="N63" s="168"/>
      <c r="O63" s="166"/>
      <c r="P63" s="155"/>
      <c r="Q63" s="155"/>
      <c r="R63" s="155"/>
      <c r="S63" s="133"/>
      <c r="T63" s="50"/>
    </row>
    <row r="64" spans="1:20" ht="18.75" customHeight="1" x14ac:dyDescent="0.3">
      <c r="A64" s="57" t="s">
        <v>368</v>
      </c>
      <c r="B64" s="74">
        <f>B27+B40</f>
        <v>6310459.8986799996</v>
      </c>
      <c r="C64" s="74">
        <f>+C27+C40</f>
        <v>6933097.2463499997</v>
      </c>
      <c r="D64" s="75">
        <f t="shared" si="19"/>
        <v>9.9</v>
      </c>
      <c r="E64" s="318">
        <f t="shared" si="20"/>
        <v>5.0894457713399381</v>
      </c>
      <c r="F64" s="74"/>
      <c r="G64" s="130">
        <f>+G27+G40</f>
        <v>105001167.97608991</v>
      </c>
      <c r="H64" s="130">
        <f>+H27+H40</f>
        <v>119203523.29027</v>
      </c>
      <c r="I64" s="75">
        <f t="shared" si="21"/>
        <v>13.5</v>
      </c>
      <c r="J64" s="318">
        <f t="shared" si="22"/>
        <v>5.0788995656360418</v>
      </c>
      <c r="K64" s="50"/>
      <c r="L64" s="168" t="e">
        <f ca="1">L28+L40</f>
        <v>#REF!</v>
      </c>
      <c r="M64" s="166" t="e">
        <f t="shared" ref="M64:O65" ca="1" si="34">+M28+M40</f>
        <v>#REF!</v>
      </c>
      <c r="N64" s="168" t="e">
        <f t="shared" ca="1" si="34"/>
        <v>#REF!</v>
      </c>
      <c r="O64" s="166" t="e">
        <f t="shared" ca="1" si="34"/>
        <v>#REF!</v>
      </c>
      <c r="P64" s="155"/>
      <c r="Q64" s="155"/>
      <c r="R64" s="155"/>
      <c r="S64" s="133"/>
      <c r="T64" s="50"/>
    </row>
    <row r="65" spans="1:240" ht="18.75" customHeight="1" x14ac:dyDescent="0.3">
      <c r="A65" s="57" t="s">
        <v>89</v>
      </c>
      <c r="B65" s="74">
        <f>B41+B28</f>
        <v>20017688.247419998</v>
      </c>
      <c r="C65" s="74">
        <f>+C28+C41</f>
        <v>21595361.41866</v>
      </c>
      <c r="D65" s="75">
        <f t="shared" si="19"/>
        <v>7.9</v>
      </c>
      <c r="E65" s="318">
        <f t="shared" si="20"/>
        <v>15.852715885475169</v>
      </c>
      <c r="F65" s="74"/>
      <c r="G65" s="130">
        <f>+G28+G41</f>
        <v>453850529.28065002</v>
      </c>
      <c r="H65" s="130">
        <f>+H28+H41</f>
        <v>492842937.32320994</v>
      </c>
      <c r="I65" s="75">
        <f t="shared" si="21"/>
        <v>8.6</v>
      </c>
      <c r="J65" s="318">
        <f t="shared" si="22"/>
        <v>20.998538559992024</v>
      </c>
      <c r="K65" s="50"/>
      <c r="L65" s="168">
        <f ca="1">L41+L29</f>
        <v>0</v>
      </c>
      <c r="M65" s="166" t="e">
        <f t="shared" ca="1" si="34"/>
        <v>#REF!</v>
      </c>
      <c r="N65" s="168" t="e">
        <f t="shared" ca="1" si="34"/>
        <v>#REF!</v>
      </c>
      <c r="O65" s="166" t="e">
        <f t="shared" ca="1" si="34"/>
        <v>#REF!</v>
      </c>
      <c r="P65" s="155"/>
      <c r="Q65" s="155"/>
      <c r="R65" s="155"/>
      <c r="S65" s="133"/>
      <c r="T65" s="50"/>
    </row>
    <row r="66" spans="1:240" ht="18.75" customHeight="1" x14ac:dyDescent="0.3">
      <c r="A66" s="57" t="s">
        <v>90</v>
      </c>
      <c r="B66" s="74">
        <f>B29</f>
        <v>7051</v>
      </c>
      <c r="C66" s="74">
        <f>+C29</f>
        <v>5952</v>
      </c>
      <c r="D66" s="75">
        <f t="shared" si="19"/>
        <v>-15.6</v>
      </c>
      <c r="E66" s="318">
        <f t="shared" si="20"/>
        <v>4.3692422238795292E-3</v>
      </c>
      <c r="F66" s="74"/>
      <c r="G66" s="130">
        <f t="shared" ref="G66:H68" si="35">+G29</f>
        <v>0</v>
      </c>
      <c r="H66" s="130">
        <f t="shared" si="35"/>
        <v>0</v>
      </c>
      <c r="I66" s="75"/>
      <c r="J66" s="318">
        <f t="shared" si="22"/>
        <v>0</v>
      </c>
      <c r="K66" s="50"/>
      <c r="L66" s="168">
        <f ca="1">L30</f>
        <v>0</v>
      </c>
      <c r="M66" s="166">
        <f t="shared" ref="M66:O67" ca="1" si="36">+M30</f>
        <v>0</v>
      </c>
      <c r="N66" s="168" t="e">
        <f t="shared" ca="1" si="36"/>
        <v>#REF!</v>
      </c>
      <c r="O66" s="166">
        <f t="shared" ca="1" si="36"/>
        <v>0</v>
      </c>
      <c r="P66" s="155"/>
      <c r="Q66" s="155"/>
      <c r="R66" s="155"/>
      <c r="S66" s="133"/>
      <c r="T66" s="50"/>
    </row>
    <row r="67" spans="1:240" ht="18.75" customHeight="1" x14ac:dyDescent="0.3">
      <c r="A67" s="57" t="s">
        <v>91</v>
      </c>
      <c r="B67" s="74">
        <f>B30</f>
        <v>858841.02</v>
      </c>
      <c r="C67" s="74">
        <f>+C30</f>
        <v>861588.31699999992</v>
      </c>
      <c r="D67" s="75">
        <f t="shared" si="19"/>
        <v>0.3</v>
      </c>
      <c r="E67" s="318">
        <f t="shared" si="20"/>
        <v>0.63247447147810831</v>
      </c>
      <c r="F67" s="74"/>
      <c r="G67" s="130">
        <f t="shared" si="35"/>
        <v>0</v>
      </c>
      <c r="H67" s="130">
        <f t="shared" si="35"/>
        <v>0</v>
      </c>
      <c r="I67" s="75"/>
      <c r="J67" s="318">
        <f t="shared" si="22"/>
        <v>0</v>
      </c>
      <c r="K67" s="50"/>
      <c r="L67" s="168">
        <f ca="1">L31</f>
        <v>0</v>
      </c>
      <c r="M67" s="166">
        <f t="shared" ca="1" si="36"/>
        <v>0</v>
      </c>
      <c r="N67" s="168" t="e">
        <f t="shared" ca="1" si="36"/>
        <v>#REF!</v>
      </c>
      <c r="O67" s="166">
        <f t="shared" ca="1" si="36"/>
        <v>0</v>
      </c>
      <c r="P67" s="155"/>
      <c r="Q67" s="155"/>
      <c r="R67" s="155"/>
      <c r="S67" s="133"/>
      <c r="T67" s="50"/>
    </row>
    <row r="68" spans="1:240" ht="18.75" x14ac:dyDescent="0.3">
      <c r="A68" s="76" t="s">
        <v>363</v>
      </c>
      <c r="B68" s="74">
        <f>B31</f>
        <v>1799.9657</v>
      </c>
      <c r="C68" s="74">
        <f>C31</f>
        <v>1617.8920000000001</v>
      </c>
      <c r="D68" s="75">
        <f t="shared" si="19"/>
        <v>-10.1</v>
      </c>
      <c r="E68" s="318">
        <f t="shared" ref="E68" si="37">100/C$33*C68</f>
        <v>1.9402270295764753E-3</v>
      </c>
      <c r="F68" s="76"/>
      <c r="G68" s="130">
        <f t="shared" si="35"/>
        <v>0</v>
      </c>
      <c r="H68" s="130">
        <f t="shared" si="35"/>
        <v>0</v>
      </c>
      <c r="I68" s="76"/>
      <c r="J68" s="318">
        <f t="shared" ref="J68" si="38">100/H$33*H68</f>
        <v>0</v>
      </c>
      <c r="K68" s="155"/>
      <c r="L68" s="168">
        <f t="shared" ref="L68" ca="1" si="39">INDIRECT("'" &amp; $A67 &amp; "'!" &amp; $P$7)</f>
        <v>0</v>
      </c>
      <c r="M68" s="166">
        <f t="shared" ref="M68" ca="1" si="40">INDIRECT("'" &amp; $A67 &amp; "'!" &amp; $P$8)</f>
        <v>0</v>
      </c>
      <c r="N68" s="168" t="e">
        <f ca="1">INDIRECT("'" &amp; $A67 &amp; "'!" &amp;#REF!)</f>
        <v>#REF!</v>
      </c>
      <c r="O68" s="166">
        <f t="shared" ref="O68" ca="1" si="41">INDIRECT("'" &amp; $A67 &amp; "'!" &amp; $P$9)</f>
        <v>0</v>
      </c>
    </row>
    <row r="69" spans="1:240" ht="18.75" x14ac:dyDescent="0.3">
      <c r="A69" s="57" t="s">
        <v>370</v>
      </c>
      <c r="B69" s="74">
        <f>B32</f>
        <v>58439</v>
      </c>
      <c r="C69" s="74">
        <f>+C32</f>
        <v>83478</v>
      </c>
      <c r="D69" s="75">
        <f>IF(B69=0, "    ---- ", IF(ABS(ROUND(100/B69*C69-100,1))&lt;999,ROUND(100/B69*C69-100,1),IF(ROUND(100/B69*C69-100,1)&gt;999,999,-999)))</f>
        <v>42.8</v>
      </c>
      <c r="E69" s="318">
        <f>100/C$70*C69</f>
        <v>6.1279503085520055E-2</v>
      </c>
      <c r="F69" s="74"/>
      <c r="G69" s="130">
        <f>G32</f>
        <v>62677</v>
      </c>
      <c r="H69" s="130">
        <f>H32</f>
        <v>82726</v>
      </c>
      <c r="I69" s="75">
        <f>IF(G69=0, "    ---- ", IF(ABS(ROUND(100/G69*H69-100,1))&lt;999,ROUND(100/G69*H69-100,1),IF(ROUND(100/G69*H69-100,1)&gt;999,999,-999)))</f>
        <v>32</v>
      </c>
      <c r="J69" s="318">
        <f>100/H$70*H69</f>
        <v>3.5247032459241293E-3</v>
      </c>
      <c r="K69" s="50"/>
      <c r="L69" s="168" t="e">
        <f ca="1">L19+#REF!</f>
        <v>#REF!</v>
      </c>
      <c r="M69" s="166" t="e">
        <f ca="1">+M19+#REF!</f>
        <v>#REF!</v>
      </c>
      <c r="N69" s="168" t="e">
        <f ca="1">N19+#REF!</f>
        <v>#REF!</v>
      </c>
      <c r="O69" s="166" t="e">
        <f ca="1">O19+#REF!</f>
        <v>#REF!</v>
      </c>
      <c r="P69" s="155"/>
      <c r="Q69" s="155"/>
      <c r="R69" s="155"/>
      <c r="S69" s="133"/>
      <c r="T69" s="50"/>
    </row>
    <row r="70" spans="1:240" s="79" customFormat="1" ht="18.75" customHeight="1" x14ac:dyDescent="0.3">
      <c r="A70" s="80" t="s">
        <v>2</v>
      </c>
      <c r="B70" s="81">
        <f>SUM(B46:B69)</f>
        <v>130670904.23439103</v>
      </c>
      <c r="C70" s="81">
        <f>SUM(C46:C69)</f>
        <v>136224994.97670585</v>
      </c>
      <c r="D70" s="82">
        <f>IF(B70=0, "    ---- ", IF(ABS(ROUND(100/B70*C70-100,1))&lt;999,ROUND(100/B70*C70-100,1),IF(ROUND(100/B70*C70-100,1)&gt;999,999,-999)))</f>
        <v>4.3</v>
      </c>
      <c r="E70" s="320">
        <f>SUM(E46:E69)</f>
        <v>100.00075256539648</v>
      </c>
      <c r="F70" s="77"/>
      <c r="G70" s="132">
        <f>SUM(G46:G69)</f>
        <v>2147967742.0667348</v>
      </c>
      <c r="H70" s="132">
        <f>SUM(H46:H69)</f>
        <v>2347034465.8280692</v>
      </c>
      <c r="I70" s="82">
        <f>IF(G70=0, "    ---- ", IF(ABS(ROUND(100/G70*H70-100,1))&lt;999,ROUND(100/G70*H70-100,1),IF(ROUND(100/G70*H70-100,1)&gt;999,999,-999)))</f>
        <v>9.3000000000000007</v>
      </c>
      <c r="J70" s="320">
        <f>SUM(J46:J69)</f>
        <v>99.999999999999986</v>
      </c>
      <c r="K70" s="131"/>
      <c r="L70" s="173" t="e">
        <f ca="1">SUM(L46:L67)</f>
        <v>#REF!</v>
      </c>
      <c r="M70" s="174" t="e">
        <f ca="1">SUM(M46:M67)</f>
        <v>#REF!</v>
      </c>
      <c r="N70" s="173" t="e">
        <f ca="1">SUM(N46:N67)</f>
        <v>#REF!</v>
      </c>
      <c r="O70" s="174" t="e">
        <f ca="1">SUM(O46:O67)</f>
        <v>#REF!</v>
      </c>
      <c r="P70" s="153"/>
      <c r="Q70" s="153"/>
      <c r="R70" s="153"/>
      <c r="S70" s="103"/>
      <c r="T70" s="131"/>
    </row>
    <row r="71" spans="1:240" ht="18.75" customHeight="1" x14ac:dyDescent="0.3">
      <c r="A71" s="47" t="s">
        <v>95</v>
      </c>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row>
    <row r="72" spans="1:240" ht="18.75" customHeight="1" x14ac:dyDescent="0.3">
      <c r="A72" s="47"/>
      <c r="B72" s="47"/>
      <c r="C72" s="47"/>
      <c r="D72" s="47"/>
      <c r="E72" s="47"/>
      <c r="F72" s="47"/>
      <c r="G72" s="47"/>
      <c r="H72" s="47"/>
      <c r="I72" s="47"/>
      <c r="J72" s="47"/>
      <c r="K72" s="47"/>
    </row>
    <row r="73" spans="1:240" ht="18.75" customHeight="1" x14ac:dyDescent="0.3">
      <c r="A73" s="47"/>
      <c r="B73" s="47"/>
      <c r="C73" s="47"/>
      <c r="D73" s="47"/>
      <c r="E73" s="47"/>
      <c r="F73" s="47"/>
      <c r="G73" s="47"/>
      <c r="H73" s="47"/>
      <c r="I73" s="47"/>
      <c r="J73" s="47"/>
      <c r="K73" s="47"/>
    </row>
    <row r="74" spans="1:240" ht="18.75" customHeight="1" x14ac:dyDescent="0.3">
      <c r="A74" s="47"/>
      <c r="B74" s="50"/>
      <c r="C74" s="50"/>
      <c r="D74" s="47"/>
      <c r="E74" s="47"/>
      <c r="F74" s="47"/>
      <c r="G74" s="50"/>
      <c r="H74" s="50"/>
      <c r="I74" s="47"/>
      <c r="J74" s="47"/>
      <c r="K74" s="47"/>
    </row>
    <row r="75" spans="1:240" ht="18.75" customHeight="1" x14ac:dyDescent="0.3">
      <c r="A75" s="47"/>
      <c r="B75" s="47"/>
      <c r="C75" s="47"/>
      <c r="D75" s="47"/>
      <c r="E75" s="47"/>
      <c r="F75" s="47"/>
      <c r="G75" s="47"/>
      <c r="H75" s="47"/>
      <c r="I75" s="47"/>
      <c r="J75" s="47"/>
      <c r="K75" s="47"/>
    </row>
    <row r="76" spans="1:240" ht="18.75" customHeight="1" x14ac:dyDescent="0.3">
      <c r="A76" s="47"/>
      <c r="B76" s="47"/>
      <c r="C76" s="47"/>
      <c r="D76" s="47"/>
      <c r="E76" s="47"/>
      <c r="F76" s="47"/>
      <c r="G76" s="47"/>
      <c r="H76" s="47"/>
      <c r="I76" s="47"/>
      <c r="J76" s="47"/>
      <c r="K76" s="47"/>
    </row>
    <row r="77" spans="1:240" ht="18.75" customHeight="1" x14ac:dyDescent="0.3">
      <c r="A77" s="47"/>
      <c r="B77" s="47"/>
      <c r="C77" s="47"/>
      <c r="D77" s="47"/>
      <c r="E77" s="47"/>
      <c r="F77" s="47"/>
      <c r="G77" s="47"/>
      <c r="H77" s="47"/>
      <c r="I77" s="47"/>
      <c r="J77" s="47"/>
      <c r="K77" s="47"/>
    </row>
    <row r="78" spans="1:240" ht="18.75" customHeight="1" x14ac:dyDescent="0.3">
      <c r="A78" s="47"/>
      <c r="B78" s="47"/>
      <c r="C78" s="47"/>
      <c r="D78" s="47"/>
      <c r="E78" s="47"/>
      <c r="F78" s="47"/>
      <c r="G78" s="47"/>
      <c r="H78" s="47"/>
      <c r="I78" s="47"/>
      <c r="J78" s="47"/>
      <c r="K78" s="47"/>
    </row>
    <row r="79" spans="1:240" ht="18.75" x14ac:dyDescent="0.3">
      <c r="A79" s="47"/>
      <c r="B79" s="47"/>
      <c r="C79" s="47"/>
      <c r="D79" s="47"/>
      <c r="E79" s="47"/>
      <c r="F79" s="47"/>
      <c r="G79" s="47"/>
      <c r="H79" s="47"/>
      <c r="I79" s="47"/>
      <c r="J79" s="47"/>
      <c r="K79" s="47"/>
    </row>
    <row r="80" spans="1:240" ht="18.75" x14ac:dyDescent="0.3">
      <c r="A80" s="47"/>
      <c r="B80" s="47"/>
      <c r="C80" s="47"/>
      <c r="D80" s="47"/>
      <c r="E80" s="47"/>
      <c r="F80" s="47"/>
      <c r="G80" s="47"/>
      <c r="H80" s="47"/>
      <c r="I80" s="47"/>
      <c r="J80" s="47"/>
      <c r="K80" s="47"/>
    </row>
    <row r="81" spans="1:11" ht="18.75" x14ac:dyDescent="0.3">
      <c r="A81" s="47"/>
      <c r="B81" s="47"/>
      <c r="C81" s="47"/>
      <c r="D81" s="47"/>
      <c r="E81" s="47"/>
      <c r="F81" s="47"/>
      <c r="G81" s="47"/>
      <c r="H81" s="47"/>
      <c r="I81" s="47"/>
      <c r="J81" s="47"/>
      <c r="K81" s="47"/>
    </row>
    <row r="82" spans="1:11" ht="18.75" x14ac:dyDescent="0.3">
      <c r="A82" s="47"/>
      <c r="B82" s="47"/>
      <c r="C82" s="47"/>
      <c r="D82" s="47"/>
      <c r="E82" s="47"/>
      <c r="F82" s="47"/>
      <c r="G82" s="47"/>
      <c r="H82" s="47"/>
      <c r="I82" s="47"/>
      <c r="J82" s="47"/>
      <c r="K82" s="47"/>
    </row>
    <row r="83" spans="1:11" ht="18.75" x14ac:dyDescent="0.3">
      <c r="A83" s="47"/>
      <c r="B83" s="47"/>
      <c r="C83" s="47"/>
      <c r="D83" s="47"/>
      <c r="E83" s="47"/>
      <c r="F83" s="47"/>
      <c r="G83" s="47"/>
      <c r="H83" s="47"/>
      <c r="I83" s="47"/>
      <c r="J83" s="47"/>
      <c r="K83" s="47"/>
    </row>
    <row r="84" spans="1:11" ht="18.75" x14ac:dyDescent="0.3">
      <c r="A84" s="47"/>
      <c r="B84" s="47"/>
      <c r="C84" s="47"/>
      <c r="D84" s="47"/>
      <c r="E84" s="47"/>
      <c r="F84" s="47"/>
      <c r="G84" s="47"/>
      <c r="H84" s="47"/>
      <c r="I84" s="47"/>
      <c r="J84" s="47"/>
      <c r="K84" s="47"/>
    </row>
    <row r="85" spans="1:11" ht="18.75" x14ac:dyDescent="0.3">
      <c r="A85" s="47"/>
      <c r="B85" s="47"/>
      <c r="C85" s="47"/>
      <c r="D85" s="47"/>
      <c r="E85" s="47"/>
      <c r="F85" s="47"/>
      <c r="G85" s="47"/>
      <c r="H85" s="47"/>
      <c r="I85" s="47"/>
      <c r="J85" s="47"/>
      <c r="K85" s="47"/>
    </row>
    <row r="86" spans="1:11" ht="18.75" x14ac:dyDescent="0.3">
      <c r="A86" s="47"/>
      <c r="B86" s="47"/>
      <c r="C86" s="47"/>
      <c r="D86" s="47"/>
      <c r="E86" s="47"/>
      <c r="F86" s="47"/>
      <c r="G86" s="47"/>
      <c r="H86" s="47"/>
      <c r="I86" s="47"/>
      <c r="J86" s="47"/>
      <c r="K86" s="47"/>
    </row>
    <row r="87" spans="1:11" ht="18.75" x14ac:dyDescent="0.3">
      <c r="A87" s="47"/>
      <c r="B87" s="47"/>
      <c r="C87" s="47"/>
      <c r="D87" s="47"/>
      <c r="E87" s="47"/>
      <c r="F87" s="47"/>
      <c r="G87" s="47"/>
      <c r="H87" s="47"/>
      <c r="I87" s="47"/>
      <c r="J87" s="47"/>
      <c r="K87" s="47"/>
    </row>
    <row r="88" spans="1:11" ht="18.75" x14ac:dyDescent="0.3">
      <c r="A88" s="47"/>
      <c r="B88" s="47"/>
      <c r="C88" s="47"/>
      <c r="D88" s="47"/>
      <c r="E88" s="47"/>
      <c r="F88" s="47"/>
      <c r="G88" s="47"/>
      <c r="H88" s="47"/>
      <c r="I88" s="47"/>
      <c r="J88" s="47"/>
      <c r="K88" s="47"/>
    </row>
    <row r="89" spans="1:11" ht="18.75" x14ac:dyDescent="0.3">
      <c r="A89" s="47"/>
      <c r="B89" s="47"/>
      <c r="C89" s="47"/>
      <c r="D89" s="47"/>
      <c r="E89" s="47"/>
      <c r="F89" s="47"/>
      <c r="G89" s="47"/>
      <c r="H89" s="47"/>
      <c r="I89" s="47"/>
      <c r="J89" s="47"/>
      <c r="K89" s="47"/>
    </row>
    <row r="90" spans="1:11" ht="18.75" x14ac:dyDescent="0.3">
      <c r="A90" s="47"/>
      <c r="B90" s="47"/>
      <c r="C90" s="47"/>
      <c r="D90" s="47"/>
      <c r="E90" s="47"/>
      <c r="F90" s="47"/>
      <c r="G90" s="47"/>
      <c r="H90" s="47"/>
      <c r="I90" s="47"/>
      <c r="J90" s="47"/>
      <c r="K90" s="47"/>
    </row>
    <row r="91" spans="1:11" ht="18.75" x14ac:dyDescent="0.3">
      <c r="A91" s="47"/>
      <c r="B91" s="47"/>
      <c r="C91" s="47"/>
      <c r="D91" s="47"/>
      <c r="E91" s="47"/>
      <c r="F91" s="47"/>
      <c r="G91" s="47"/>
      <c r="H91" s="47"/>
      <c r="I91" s="47"/>
      <c r="J91" s="47"/>
      <c r="K91" s="47"/>
    </row>
    <row r="92" spans="1:11" ht="18.75" x14ac:dyDescent="0.3">
      <c r="A92" s="47"/>
      <c r="B92" s="47"/>
      <c r="C92" s="47"/>
      <c r="D92" s="47"/>
      <c r="E92" s="47"/>
      <c r="F92" s="47"/>
      <c r="G92" s="47"/>
      <c r="H92" s="47"/>
      <c r="I92" s="47"/>
      <c r="J92" s="47"/>
      <c r="K92" s="47"/>
    </row>
    <row r="93" spans="1:11" ht="18.75" x14ac:dyDescent="0.3">
      <c r="A93" s="47"/>
      <c r="B93" s="47"/>
      <c r="C93" s="47"/>
      <c r="D93" s="47"/>
      <c r="E93" s="47"/>
      <c r="F93" s="47"/>
      <c r="G93" s="47"/>
      <c r="H93" s="47"/>
      <c r="I93" s="47"/>
      <c r="J93" s="47"/>
      <c r="K93" s="47"/>
    </row>
    <row r="94" spans="1:11" ht="18.75" x14ac:dyDescent="0.3">
      <c r="A94" s="47"/>
      <c r="B94" s="47"/>
      <c r="C94" s="47"/>
      <c r="D94" s="47"/>
      <c r="E94" s="47"/>
      <c r="F94" s="47"/>
      <c r="G94" s="47"/>
      <c r="H94" s="47"/>
      <c r="I94" s="47"/>
      <c r="J94" s="47"/>
      <c r="K94" s="47"/>
    </row>
    <row r="95" spans="1:11" ht="18.75" x14ac:dyDescent="0.3">
      <c r="A95" s="47"/>
      <c r="B95" s="47"/>
      <c r="C95" s="47"/>
      <c r="D95" s="47"/>
      <c r="E95" s="47"/>
      <c r="F95" s="47"/>
      <c r="G95" s="47"/>
      <c r="H95" s="47"/>
      <c r="I95" s="47"/>
      <c r="J95" s="47"/>
      <c r="K95" s="47"/>
    </row>
    <row r="96" spans="1:11" ht="18.75" x14ac:dyDescent="0.3">
      <c r="A96" s="47"/>
      <c r="B96" s="47"/>
      <c r="C96" s="47"/>
      <c r="D96" s="47"/>
      <c r="E96" s="47"/>
      <c r="F96" s="47"/>
      <c r="G96" s="47"/>
      <c r="H96" s="47"/>
      <c r="I96" s="47"/>
      <c r="J96" s="47"/>
      <c r="K96" s="47"/>
    </row>
    <row r="97" spans="1:11" ht="18.75" x14ac:dyDescent="0.3">
      <c r="A97" s="83"/>
      <c r="B97" s="84"/>
      <c r="C97" s="84"/>
      <c r="D97" s="84"/>
      <c r="E97" s="47"/>
      <c r="F97" s="47"/>
      <c r="G97" s="47"/>
      <c r="H97" s="47"/>
      <c r="I97" s="47"/>
      <c r="J97" s="48"/>
      <c r="K97" s="48"/>
    </row>
    <row r="98" spans="1:11" ht="18.75" x14ac:dyDescent="0.3">
      <c r="A98" s="47"/>
      <c r="B98" s="47"/>
      <c r="C98" s="47"/>
      <c r="D98" s="47"/>
      <c r="E98" s="47"/>
      <c r="F98" s="47"/>
      <c r="G98" s="47"/>
      <c r="H98" s="47"/>
      <c r="I98" s="47"/>
      <c r="J98" s="47"/>
      <c r="K98" s="47"/>
    </row>
    <row r="99" spans="1:11" ht="18.75" x14ac:dyDescent="0.3">
      <c r="A99" s="47"/>
      <c r="B99" s="47"/>
      <c r="C99" s="47"/>
      <c r="D99" s="47"/>
      <c r="E99" s="47"/>
      <c r="F99" s="47"/>
      <c r="G99" s="47"/>
      <c r="H99" s="47"/>
      <c r="I99" s="47"/>
      <c r="J99" s="47"/>
      <c r="K99" s="47"/>
    </row>
    <row r="100" spans="1:11" ht="18.75" x14ac:dyDescent="0.3">
      <c r="A100" s="47"/>
      <c r="B100" s="47"/>
      <c r="C100" s="47"/>
      <c r="D100" s="47"/>
      <c r="E100" s="47"/>
      <c r="F100" s="47"/>
      <c r="G100" s="47"/>
      <c r="H100" s="47"/>
      <c r="I100" s="47"/>
      <c r="J100" s="47"/>
      <c r="K100" s="47"/>
    </row>
    <row r="101" spans="1:11" ht="18.75" x14ac:dyDescent="0.3">
      <c r="A101" s="47"/>
      <c r="B101" s="47"/>
      <c r="C101" s="47"/>
      <c r="D101" s="47"/>
      <c r="E101" s="47"/>
      <c r="F101" s="47"/>
      <c r="G101" s="47"/>
      <c r="H101" s="47"/>
      <c r="I101" s="47"/>
      <c r="J101" s="47"/>
      <c r="K101" s="47"/>
    </row>
    <row r="102" spans="1:11" ht="18.75" x14ac:dyDescent="0.3">
      <c r="A102" s="47"/>
      <c r="B102" s="47"/>
      <c r="C102" s="47"/>
      <c r="D102" s="47"/>
      <c r="E102" s="47"/>
      <c r="F102" s="47"/>
      <c r="G102" s="47"/>
      <c r="H102" s="47"/>
      <c r="I102" s="47"/>
      <c r="J102" s="47"/>
      <c r="K102" s="47"/>
    </row>
    <row r="103" spans="1:11" ht="18.75" x14ac:dyDescent="0.3">
      <c r="A103" s="47"/>
      <c r="B103" s="47"/>
      <c r="C103" s="47"/>
      <c r="D103" s="47"/>
      <c r="E103" s="47"/>
      <c r="F103" s="47"/>
      <c r="G103" s="47"/>
      <c r="H103" s="47"/>
      <c r="I103" s="47"/>
      <c r="J103" s="47"/>
      <c r="K103" s="47"/>
    </row>
    <row r="104" spans="1:11" ht="18.75" x14ac:dyDescent="0.3">
      <c r="A104" s="47"/>
      <c r="B104" s="47"/>
      <c r="C104" s="47"/>
      <c r="D104" s="47"/>
      <c r="E104" s="47"/>
      <c r="F104" s="47"/>
      <c r="G104" s="47"/>
      <c r="H104" s="47"/>
      <c r="I104" s="47"/>
      <c r="J104" s="47"/>
      <c r="K104" s="47"/>
    </row>
    <row r="105" spans="1:11" ht="18.75" x14ac:dyDescent="0.3">
      <c r="A105" s="47"/>
      <c r="B105" s="47"/>
      <c r="C105" s="47"/>
      <c r="D105" s="47"/>
      <c r="E105" s="47"/>
      <c r="F105" s="47"/>
      <c r="G105" s="47"/>
      <c r="H105" s="47"/>
      <c r="I105" s="47"/>
      <c r="J105" s="47"/>
      <c r="K105" s="47"/>
    </row>
    <row r="106" spans="1:11" ht="18.75" x14ac:dyDescent="0.3">
      <c r="A106" s="47"/>
      <c r="B106" s="47"/>
      <c r="C106" s="47"/>
      <c r="D106" s="47"/>
      <c r="E106" s="47"/>
      <c r="F106" s="47"/>
      <c r="G106" s="47"/>
      <c r="H106" s="47"/>
      <c r="I106" s="47"/>
      <c r="J106" s="47"/>
      <c r="K106" s="47"/>
    </row>
    <row r="107" spans="1:11" ht="18.75" x14ac:dyDescent="0.3">
      <c r="A107" s="47"/>
      <c r="B107" s="47"/>
      <c r="C107" s="47"/>
      <c r="D107" s="47"/>
      <c r="E107" s="47"/>
      <c r="F107" s="47"/>
      <c r="G107" s="47"/>
      <c r="H107" s="47"/>
      <c r="I107" s="47"/>
      <c r="J107" s="47"/>
      <c r="K107" s="47"/>
    </row>
    <row r="108" spans="1:11" ht="18.75" x14ac:dyDescent="0.3">
      <c r="A108" s="47"/>
      <c r="B108" s="47"/>
      <c r="C108" s="47"/>
      <c r="D108" s="47"/>
      <c r="E108" s="47"/>
      <c r="F108" s="47"/>
      <c r="G108" s="47"/>
      <c r="H108" s="47"/>
      <c r="I108" s="47"/>
      <c r="J108" s="47"/>
      <c r="K108" s="47"/>
    </row>
    <row r="109" spans="1:11" ht="18.75" x14ac:dyDescent="0.3">
      <c r="A109" s="47"/>
      <c r="B109" s="47"/>
      <c r="C109" s="47"/>
      <c r="D109" s="47"/>
      <c r="E109" s="47"/>
      <c r="F109" s="47"/>
      <c r="G109" s="47"/>
      <c r="H109" s="47"/>
      <c r="I109" s="47"/>
      <c r="J109" s="47"/>
      <c r="K109" s="47"/>
    </row>
  </sheetData>
  <mergeCells count="5">
    <mergeCell ref="N5:O5"/>
    <mergeCell ref="A3:B3"/>
    <mergeCell ref="B5:E5"/>
    <mergeCell ref="G5:J5"/>
    <mergeCell ref="L5:M5"/>
  </mergeCells>
  <hyperlinks>
    <hyperlink ref="B1" location="Innhold!A1" display="Tilbake" xr:uid="{00000000-0004-0000-0300-000000000000}"/>
  </hyperlinks>
  <pageMargins left="0.70866141732283472" right="0.70866141732283472" top="0.78740157480314965" bottom="0.78740157480314965"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O115"/>
  <sheetViews>
    <sheetView showGridLines="0" showZeros="0" zoomScale="70" zoomScaleNormal="70" workbookViewId="0">
      <pane xSplit="1" ySplit="7" topLeftCell="B8" activePane="bottomRight" state="frozen"/>
      <selection activeCell="H73" sqref="H73"/>
      <selection pane="topRight" activeCell="H73" sqref="H73"/>
      <selection pane="bottomLeft" activeCell="H73" sqref="H73"/>
      <selection pane="bottomRight" activeCell="A4" sqref="A4"/>
    </sheetView>
  </sheetViews>
  <sheetFormatPr baseColWidth="10" defaultColWidth="11.42578125" defaultRowHeight="18" x14ac:dyDescent="0.25"/>
  <cols>
    <col min="1" max="1" width="51" style="52" customWidth="1"/>
    <col min="2" max="3" width="17.85546875" style="52" bestFit="1" customWidth="1"/>
    <col min="4" max="4" width="9.28515625" style="52" bestFit="1" customWidth="1"/>
    <col min="5" max="5" width="4.7109375" style="52" customWidth="1"/>
    <col min="6" max="7" width="16.7109375" style="52" customWidth="1"/>
    <col min="8" max="8" width="9.28515625" style="52" bestFit="1" customWidth="1"/>
    <col min="9" max="9" width="4.7109375" style="52" customWidth="1"/>
    <col min="10" max="10" width="18.7109375" style="52" customWidth="1"/>
    <col min="11" max="11" width="18" style="52" bestFit="1" customWidth="1"/>
    <col min="12" max="12" width="9.28515625" style="52" bestFit="1" customWidth="1"/>
    <col min="13" max="13" width="11.42578125" style="52"/>
    <col min="14" max="15" width="17.28515625" style="52" bestFit="1" customWidth="1"/>
    <col min="16" max="16384" width="11.42578125" style="52"/>
  </cols>
  <sheetData>
    <row r="1" spans="1:13" ht="20.25" x14ac:dyDescent="0.3">
      <c r="A1" s="51" t="s">
        <v>72</v>
      </c>
      <c r="B1" s="46" t="s">
        <v>52</v>
      </c>
      <c r="C1" s="47"/>
      <c r="D1" s="47"/>
      <c r="E1" s="47"/>
      <c r="F1" s="47"/>
      <c r="G1" s="47"/>
      <c r="H1" s="47"/>
      <c r="I1" s="47"/>
      <c r="J1" s="47"/>
      <c r="K1" s="47"/>
      <c r="L1" s="47"/>
      <c r="M1" s="47"/>
    </row>
    <row r="2" spans="1:13" ht="20.25" x14ac:dyDescent="0.3">
      <c r="A2" s="51" t="s">
        <v>96</v>
      </c>
      <c r="B2" s="46"/>
      <c r="C2" s="47"/>
      <c r="D2" s="47"/>
      <c r="E2" s="47"/>
      <c r="F2" s="47"/>
      <c r="G2" s="47"/>
      <c r="H2" s="47"/>
      <c r="I2" s="47"/>
      <c r="J2" s="47"/>
      <c r="K2" s="47"/>
      <c r="L2" s="47"/>
      <c r="M2" s="47"/>
    </row>
    <row r="3" spans="1:13" ht="18.75" x14ac:dyDescent="0.3">
      <c r="A3" s="48" t="s">
        <v>97</v>
      </c>
      <c r="B3" s="47"/>
      <c r="C3" s="47"/>
      <c r="D3" s="47"/>
      <c r="E3" s="47"/>
      <c r="F3" s="47"/>
      <c r="G3" s="47"/>
      <c r="H3" s="47"/>
      <c r="I3" s="47"/>
      <c r="J3" s="47"/>
      <c r="K3" s="47"/>
      <c r="L3" s="47"/>
      <c r="M3" s="47"/>
    </row>
    <row r="4" spans="1:13" ht="18.75" x14ac:dyDescent="0.3">
      <c r="A4" s="53" t="s">
        <v>410</v>
      </c>
      <c r="B4" s="73"/>
      <c r="C4" s="85"/>
      <c r="D4" s="86"/>
      <c r="E4" s="47"/>
      <c r="F4" s="54"/>
      <c r="G4" s="55"/>
      <c r="H4" s="56"/>
      <c r="I4" s="47"/>
      <c r="J4" s="54"/>
      <c r="K4" s="55"/>
      <c r="L4" s="56"/>
      <c r="M4" s="47"/>
    </row>
    <row r="5" spans="1:13" ht="18.75" x14ac:dyDescent="0.3">
      <c r="A5" s="87"/>
      <c r="B5" s="551" t="s">
        <v>0</v>
      </c>
      <c r="C5" s="552"/>
      <c r="D5" s="553"/>
      <c r="E5" s="60"/>
      <c r="F5" s="551" t="s">
        <v>1</v>
      </c>
      <c r="G5" s="552"/>
      <c r="H5" s="553"/>
      <c r="I5" s="88"/>
      <c r="J5" s="551" t="s">
        <v>98</v>
      </c>
      <c r="K5" s="552"/>
      <c r="L5" s="553"/>
      <c r="M5" s="47"/>
    </row>
    <row r="6" spans="1:13" ht="18.75" x14ac:dyDescent="0.3">
      <c r="A6" s="89"/>
      <c r="B6" s="90"/>
      <c r="C6" s="91"/>
      <c r="D6" s="65" t="s">
        <v>99</v>
      </c>
      <c r="E6" s="71"/>
      <c r="F6" s="90"/>
      <c r="G6" s="91"/>
      <c r="H6" s="65" t="s">
        <v>99</v>
      </c>
      <c r="I6" s="92"/>
      <c r="J6" s="90"/>
      <c r="K6" s="91"/>
      <c r="L6" s="65" t="s">
        <v>99</v>
      </c>
      <c r="M6" s="47"/>
    </row>
    <row r="7" spans="1:13" ht="18.75" x14ac:dyDescent="0.3">
      <c r="A7" s="93" t="s">
        <v>100</v>
      </c>
      <c r="B7" s="94">
        <v>2024</v>
      </c>
      <c r="C7" s="136">
        <v>2025</v>
      </c>
      <c r="D7" s="70" t="s">
        <v>78</v>
      </c>
      <c r="E7" s="71"/>
      <c r="F7" s="68">
        <v>2024</v>
      </c>
      <c r="G7" s="94">
        <v>2025</v>
      </c>
      <c r="H7" s="70" t="s">
        <v>78</v>
      </c>
      <c r="I7" s="95"/>
      <c r="J7" s="135">
        <v>2024</v>
      </c>
      <c r="K7" s="136">
        <v>2025</v>
      </c>
      <c r="L7" s="70" t="s">
        <v>78</v>
      </c>
      <c r="M7" s="47"/>
    </row>
    <row r="8" spans="1:13" ht="22.5" x14ac:dyDescent="0.3">
      <c r="A8" s="141" t="s">
        <v>101</v>
      </c>
      <c r="B8" s="176"/>
      <c r="C8" s="149"/>
      <c r="D8" s="149"/>
      <c r="E8" s="133"/>
      <c r="F8" s="149"/>
      <c r="G8" s="149"/>
      <c r="H8" s="149"/>
      <c r="I8" s="150"/>
      <c r="J8" s="149"/>
      <c r="K8" s="149"/>
      <c r="L8" s="149"/>
      <c r="M8" s="47"/>
    </row>
    <row r="9" spans="1:13" ht="18.75" x14ac:dyDescent="0.3">
      <c r="A9" s="76" t="s">
        <v>102</v>
      </c>
      <c r="B9" s="75">
        <f>'Skjema total MA'!B7</f>
        <v>4305686.2034318205</v>
      </c>
      <c r="C9" s="75">
        <f>'Skjema total MA'!C7</f>
        <v>4562273.5474499268</v>
      </c>
      <c r="D9" s="177">
        <f>IF(B9=0, "    ---- ", IF(ABS(ROUND(100/B9*C9-100,1))&lt;999,ROUND(100/B9*C9-100,1),IF(ROUND(100/B9*C9-100,1)&gt;999,999,-999)))</f>
        <v>6</v>
      </c>
      <c r="E9" s="133"/>
      <c r="F9" s="144">
        <f>'Skjema total MA'!E7</f>
        <v>10584657.30847</v>
      </c>
      <c r="G9" s="144">
        <f>'Skjema total MA'!F7</f>
        <v>8167762.52941</v>
      </c>
      <c r="H9" s="177">
        <f>IF(F9=0, "    ---- ", IF(ABS(ROUND(100/F9*G9-100,1))&lt;999,ROUND(100/F9*G9-100,1),IF(ROUND(100/F9*G9-100,1)&gt;999,999,-999)))</f>
        <v>-22.8</v>
      </c>
      <c r="I9" s="133"/>
      <c r="J9" s="144">
        <f t="shared" ref="J9:K60" si="0">SUM(B9+F9)</f>
        <v>14890343.51190182</v>
      </c>
      <c r="K9" s="144">
        <f t="shared" si="0"/>
        <v>12730036.076859927</v>
      </c>
      <c r="L9" s="175">
        <f>IF(J9=0, "    ---- ", IF(ABS(ROUND(100/J9*K9-100,1))&lt;999,ROUND(100/J9*K9-100,1),IF(ROUND(100/J9*K9-100,1)&gt;999,999,-999)))</f>
        <v>-14.5</v>
      </c>
      <c r="M9" s="47"/>
    </row>
    <row r="10" spans="1:13" ht="18.75" x14ac:dyDescent="0.3">
      <c r="A10" s="76" t="s">
        <v>103</v>
      </c>
      <c r="B10" s="75">
        <f>'Skjema total MA'!B22</f>
        <v>1894640.670928224</v>
      </c>
      <c r="C10" s="75">
        <f>'Skjema total MA'!C22</f>
        <v>2111116.3264790978</v>
      </c>
      <c r="D10" s="177">
        <f t="shared" ref="D10:D17" si="1">IF(B10=0, "    ---- ", IF(ABS(ROUND(100/B10*C10-100,1))&lt;999,ROUND(100/B10*C10-100,1),IF(ROUND(100/B10*C10-100,1)&gt;999,999,-999)))</f>
        <v>11.4</v>
      </c>
      <c r="E10" s="133"/>
      <c r="F10" s="144">
        <f>'Skjema total MA'!E22</f>
        <v>708875.53012999997</v>
      </c>
      <c r="G10" s="144">
        <f>'Skjema total MA'!F22</f>
        <v>800139.35641000001</v>
      </c>
      <c r="H10" s="177">
        <f t="shared" ref="H10:H57" si="2">IF(F10=0, "    ---- ", IF(ABS(ROUND(100/F10*G10-100,1))&lt;999,ROUND(100/F10*G10-100,1),IF(ROUND(100/F10*G10-100,1)&gt;999,999,-999)))</f>
        <v>12.9</v>
      </c>
      <c r="I10" s="133"/>
      <c r="J10" s="144">
        <f t="shared" si="0"/>
        <v>2603516.2010582238</v>
      </c>
      <c r="K10" s="144">
        <f t="shared" si="0"/>
        <v>2911255.6828890978</v>
      </c>
      <c r="L10" s="175">
        <f t="shared" ref="L10:L60" si="3">IF(J10=0, "    ---- ", IF(ABS(ROUND(100/J10*K10-100,1))&lt;999,ROUND(100/J10*K10-100,1),IF(ROUND(100/J10*K10-100,1)&gt;999,999,-999)))</f>
        <v>11.8</v>
      </c>
      <c r="M10" s="47"/>
    </row>
    <row r="11" spans="1:13" ht="18.75" x14ac:dyDescent="0.3">
      <c r="A11" s="76" t="s">
        <v>104</v>
      </c>
      <c r="B11" s="75">
        <f>'Skjema total MA'!B47</f>
        <v>5907603.813750999</v>
      </c>
      <c r="C11" s="75">
        <f>'Skjema total MA'!C47</f>
        <v>6370167.5611368483</v>
      </c>
      <c r="D11" s="177">
        <f t="shared" si="1"/>
        <v>7.8</v>
      </c>
      <c r="E11" s="133"/>
      <c r="F11" s="144"/>
      <c r="G11" s="144"/>
      <c r="H11" s="177"/>
      <c r="I11" s="133"/>
      <c r="J11" s="144">
        <f t="shared" si="0"/>
        <v>5907603.813750999</v>
      </c>
      <c r="K11" s="144">
        <f t="shared" si="0"/>
        <v>6370167.5611368483</v>
      </c>
      <c r="L11" s="175">
        <f t="shared" si="3"/>
        <v>7.8</v>
      </c>
      <c r="M11" s="47"/>
    </row>
    <row r="12" spans="1:13" ht="18.75" x14ac:dyDescent="0.3">
      <c r="A12" s="76" t="s">
        <v>105</v>
      </c>
      <c r="B12" s="75">
        <f>'Skjema total MA'!B66</f>
        <v>6948626.5419399999</v>
      </c>
      <c r="C12" s="75">
        <f>'Skjema total MA'!C66</f>
        <v>7510990.3208799995</v>
      </c>
      <c r="D12" s="177">
        <f t="shared" si="1"/>
        <v>8.1</v>
      </c>
      <c r="E12" s="133"/>
      <c r="F12" s="144">
        <f>'Skjema total MA'!E66</f>
        <v>39937724.614830002</v>
      </c>
      <c r="G12" s="144">
        <f>'Skjema total MA'!F66</f>
        <v>43700292.114629999</v>
      </c>
      <c r="H12" s="177">
        <f t="shared" si="2"/>
        <v>9.4</v>
      </c>
      <c r="I12" s="133"/>
      <c r="J12" s="144">
        <f t="shared" si="0"/>
        <v>46886351.156770006</v>
      </c>
      <c r="K12" s="144">
        <f t="shared" si="0"/>
        <v>51211282.435509995</v>
      </c>
      <c r="L12" s="175">
        <f t="shared" si="3"/>
        <v>9.1999999999999993</v>
      </c>
      <c r="M12" s="47"/>
    </row>
    <row r="13" spans="1:13" ht="18.75" x14ac:dyDescent="0.3">
      <c r="A13" s="76" t="s">
        <v>106</v>
      </c>
      <c r="B13" s="75">
        <f>'Skjema total MA'!B68</f>
        <v>23014.56684</v>
      </c>
      <c r="C13" s="75">
        <f>'Skjema total MA'!C68</f>
        <v>18986.147519999999</v>
      </c>
      <c r="D13" s="177">
        <f t="shared" si="1"/>
        <v>-17.5</v>
      </c>
      <c r="E13" s="133"/>
      <c r="F13" s="144">
        <f>'Skjema total MA'!E68</f>
        <v>38385448.956649996</v>
      </c>
      <c r="G13" s="144">
        <f>'Skjema total MA'!F68</f>
        <v>42057450.404270001</v>
      </c>
      <c r="H13" s="177">
        <f t="shared" si="2"/>
        <v>9.6</v>
      </c>
      <c r="I13" s="133"/>
      <c r="J13" s="144">
        <f t="shared" si="0"/>
        <v>38408463.523489997</v>
      </c>
      <c r="K13" s="144">
        <f t="shared" si="0"/>
        <v>42076436.551789999</v>
      </c>
      <c r="L13" s="175">
        <f t="shared" si="3"/>
        <v>9.5</v>
      </c>
      <c r="M13" s="47"/>
    </row>
    <row r="14" spans="1:13" s="99" customFormat="1" ht="18.75" x14ac:dyDescent="0.3">
      <c r="A14" s="142" t="s">
        <v>107</v>
      </c>
      <c r="B14" s="98">
        <f>'Skjema total MA'!B75+'Skjema total MA'!B76</f>
        <v>2981331.5590490466</v>
      </c>
      <c r="C14" s="98">
        <f>'Skjema total MA'!C75+'Skjema total MA'!C76</f>
        <v>3458361.930368687</v>
      </c>
      <c r="D14" s="177">
        <f t="shared" si="1"/>
        <v>16</v>
      </c>
      <c r="E14" s="134"/>
      <c r="F14" s="145">
        <f>'Skjema total MA'!E75+'Skjema total MA'!E76</f>
        <v>1552275.65818</v>
      </c>
      <c r="G14" s="145">
        <f>'Skjema total MA'!F75+'Skjema total MA'!F76</f>
        <v>1642841.7103600001</v>
      </c>
      <c r="H14" s="177">
        <f t="shared" si="2"/>
        <v>5.8</v>
      </c>
      <c r="I14" s="134"/>
      <c r="J14" s="144">
        <f t="shared" si="0"/>
        <v>4533607.2172290469</v>
      </c>
      <c r="K14" s="144">
        <f t="shared" si="0"/>
        <v>5101203.6407286869</v>
      </c>
      <c r="L14" s="175">
        <f t="shared" si="3"/>
        <v>12.5</v>
      </c>
      <c r="M14" s="49"/>
    </row>
    <row r="15" spans="1:13" ht="22.5" x14ac:dyDescent="0.3">
      <c r="A15" s="76" t="s">
        <v>312</v>
      </c>
      <c r="B15" s="75">
        <f>'Skjema total MA'!B134</f>
        <v>60204323.671910003</v>
      </c>
      <c r="C15" s="75">
        <f>'Skjema total MA'!C134</f>
        <v>62812325.141309999</v>
      </c>
      <c r="D15" s="177">
        <f t="shared" si="1"/>
        <v>4.3</v>
      </c>
      <c r="E15" s="133"/>
      <c r="F15" s="144">
        <f>'Skjema total MA'!E134</f>
        <v>170993.152</v>
      </c>
      <c r="G15" s="144">
        <f>'Skjema total MA'!F134</f>
        <v>170064.51</v>
      </c>
      <c r="H15" s="177">
        <f t="shared" si="2"/>
        <v>-0.5</v>
      </c>
      <c r="I15" s="133"/>
      <c r="J15" s="144">
        <f t="shared" si="0"/>
        <v>60375316.823910005</v>
      </c>
      <c r="K15" s="144">
        <f t="shared" si="0"/>
        <v>62982389.651309997</v>
      </c>
      <c r="L15" s="175">
        <f t="shared" si="3"/>
        <v>4.3</v>
      </c>
      <c r="M15" s="47"/>
    </row>
    <row r="16" spans="1:13" ht="18.75" x14ac:dyDescent="0.3">
      <c r="A16" s="76" t="s">
        <v>108</v>
      </c>
      <c r="B16" s="75">
        <f>'Skjema total MA'!B36</f>
        <v>7772.7269999999999</v>
      </c>
      <c r="C16" s="75">
        <f>'Skjema total MA'!C36</f>
        <v>19863.569</v>
      </c>
      <c r="D16" s="177">
        <f t="shared" si="1"/>
        <v>155.6</v>
      </c>
      <c r="E16" s="133"/>
      <c r="F16" s="144">
        <f>'Skjema total MA'!E36</f>
        <v>0</v>
      </c>
      <c r="G16" s="144">
        <f>'Skjema total MA'!F36</f>
        <v>0</v>
      </c>
      <c r="H16" s="177"/>
      <c r="I16" s="133"/>
      <c r="J16" s="144">
        <f t="shared" si="0"/>
        <v>7772.7269999999999</v>
      </c>
      <c r="K16" s="144">
        <f t="shared" si="0"/>
        <v>19863.569</v>
      </c>
      <c r="L16" s="175">
        <f t="shared" si="3"/>
        <v>155.6</v>
      </c>
      <c r="M16" s="47"/>
    </row>
    <row r="17" spans="1:15" s="101" customFormat="1" ht="18.75" customHeight="1" x14ac:dyDescent="0.3">
      <c r="A17" s="102" t="s">
        <v>109</v>
      </c>
      <c r="B17" s="78">
        <f>'Tabel 1.1'!B33</f>
        <v>79268653.628961042</v>
      </c>
      <c r="C17" s="146">
        <f>'Tabel 1.1'!C33</f>
        <v>83386736.466255888</v>
      </c>
      <c r="D17" s="177">
        <f t="shared" si="1"/>
        <v>5.2</v>
      </c>
      <c r="E17" s="103"/>
      <c r="F17" s="146">
        <f>'Tabel 1.1'!B42</f>
        <v>51402250.60543</v>
      </c>
      <c r="G17" s="146">
        <f>'Tabel 1.1'!C42</f>
        <v>52838258.510450006</v>
      </c>
      <c r="H17" s="177">
        <f t="shared" si="2"/>
        <v>2.8</v>
      </c>
      <c r="I17" s="103"/>
      <c r="J17" s="146">
        <f t="shared" si="0"/>
        <v>130670904.23439103</v>
      </c>
      <c r="K17" s="146">
        <f t="shared" si="0"/>
        <v>136224994.97670591</v>
      </c>
      <c r="L17" s="175">
        <f t="shared" si="3"/>
        <v>4.3</v>
      </c>
      <c r="M17" s="48"/>
      <c r="N17" s="100"/>
      <c r="O17" s="100"/>
    </row>
    <row r="18" spans="1:15" ht="18.75" customHeight="1" x14ac:dyDescent="0.3">
      <c r="A18" s="102"/>
      <c r="B18" s="75"/>
      <c r="C18" s="144"/>
      <c r="D18" s="144"/>
      <c r="E18" s="133"/>
      <c r="F18" s="144"/>
      <c r="G18" s="144"/>
      <c r="H18" s="177"/>
      <c r="I18" s="133"/>
      <c r="J18" s="144"/>
      <c r="K18" s="144"/>
      <c r="L18" s="175"/>
      <c r="M18" s="47"/>
    </row>
    <row r="19" spans="1:15" ht="18.75" customHeight="1" x14ac:dyDescent="0.3">
      <c r="A19" s="141" t="s">
        <v>313</v>
      </c>
      <c r="B19" s="148"/>
      <c r="C19" s="151"/>
      <c r="D19" s="144"/>
      <c r="E19" s="133"/>
      <c r="F19" s="151"/>
      <c r="G19" s="151"/>
      <c r="H19" s="177"/>
      <c r="I19" s="133"/>
      <c r="J19" s="144"/>
      <c r="K19" s="144"/>
      <c r="L19" s="175"/>
      <c r="M19" s="47"/>
    </row>
    <row r="20" spans="1:15" ht="18.75" customHeight="1" x14ac:dyDescent="0.3">
      <c r="A20" s="76" t="s">
        <v>102</v>
      </c>
      <c r="B20" s="75">
        <f>'Skjema total MA'!B10</f>
        <v>12988009.475949977</v>
      </c>
      <c r="C20" s="75">
        <f>'Skjema total MA'!C10</f>
        <v>12548311.722140875</v>
      </c>
      <c r="D20" s="177">
        <f>IF(B20=0, "    ---- ", IF(ABS(ROUND(100/B20*C20-100,1))&lt;999,ROUND(100/B20*C20-100,1),IF(ROUND(100/B20*C20-100,1)&gt;999,999,-999)))</f>
        <v>-3.4</v>
      </c>
      <c r="E20" s="133"/>
      <c r="F20" s="144">
        <f>'Skjema total MA'!E10</f>
        <v>98000763.607039988</v>
      </c>
      <c r="G20" s="144">
        <f>'Skjema total MA'!F10</f>
        <v>103684348.81537315</v>
      </c>
      <c r="H20" s="177">
        <f t="shared" si="2"/>
        <v>5.8</v>
      </c>
      <c r="I20" s="133"/>
      <c r="J20" s="144">
        <f t="shared" si="0"/>
        <v>110988773.08298996</v>
      </c>
      <c r="K20" s="144">
        <f t="shared" si="0"/>
        <v>116232660.53751403</v>
      </c>
      <c r="L20" s="175">
        <f t="shared" si="3"/>
        <v>4.7</v>
      </c>
      <c r="M20" s="47"/>
    </row>
    <row r="21" spans="1:15" ht="18.75" customHeight="1" x14ac:dyDescent="0.3">
      <c r="A21" s="76" t="s">
        <v>103</v>
      </c>
      <c r="B21" s="75">
        <f>'Skjema total MA'!B29</f>
        <v>43699091.26408463</v>
      </c>
      <c r="C21" s="75">
        <f>'Skjema total MA'!C29</f>
        <v>44035497.949318022</v>
      </c>
      <c r="D21" s="177">
        <f t="shared" ref="D21:D27" si="4">IF(B21=0, "    ---- ", IF(ABS(ROUND(100/B21*C21-100,1))&lt;999,ROUND(100/B21*C21-100,1),IF(ROUND(100/B21*C21-100,1)&gt;999,999,-999)))</f>
        <v>0.8</v>
      </c>
      <c r="E21" s="133"/>
      <c r="F21" s="144">
        <f>'Skjema total MA'!E29</f>
        <v>29208879.04755</v>
      </c>
      <c r="G21" s="144">
        <f>'Skjema total MA'!F29</f>
        <v>30901938.539026469</v>
      </c>
      <c r="H21" s="177">
        <f t="shared" si="2"/>
        <v>5.8</v>
      </c>
      <c r="I21" s="133"/>
      <c r="J21" s="144">
        <f t="shared" si="0"/>
        <v>72907970.31163463</v>
      </c>
      <c r="K21" s="144">
        <f t="shared" si="0"/>
        <v>74937436.488344491</v>
      </c>
      <c r="L21" s="175">
        <f t="shared" si="3"/>
        <v>2.8</v>
      </c>
      <c r="M21" s="47"/>
    </row>
    <row r="22" spans="1:15" ht="18.75" x14ac:dyDescent="0.3">
      <c r="A22" s="76" t="s">
        <v>105</v>
      </c>
      <c r="B22" s="75">
        <f>'Skjema total MA'!B87</f>
        <v>405658737.57987016</v>
      </c>
      <c r="C22" s="75">
        <f>'Skjema total MA'!C87</f>
        <v>413661412.67975593</v>
      </c>
      <c r="D22" s="177">
        <f t="shared" si="4"/>
        <v>2</v>
      </c>
      <c r="E22" s="133"/>
      <c r="F22" s="144">
        <f>'Skjema total MA'!E87</f>
        <v>644679032.81613994</v>
      </c>
      <c r="G22" s="144">
        <f>'Skjema total MA'!F87</f>
        <v>755060098.53505003</v>
      </c>
      <c r="H22" s="177">
        <f t="shared" si="2"/>
        <v>17.100000000000001</v>
      </c>
      <c r="I22" s="133"/>
      <c r="J22" s="144">
        <f t="shared" si="0"/>
        <v>1050337770.3960102</v>
      </c>
      <c r="K22" s="144">
        <f t="shared" si="0"/>
        <v>1168721511.2148061</v>
      </c>
      <c r="L22" s="175">
        <f t="shared" si="3"/>
        <v>11.3</v>
      </c>
      <c r="M22" s="47"/>
    </row>
    <row r="23" spans="1:15" ht="22.5" x14ac:dyDescent="0.3">
      <c r="A23" s="76" t="s">
        <v>110</v>
      </c>
      <c r="B23" s="75">
        <f>'Skjema total MA'!B89</f>
        <v>2380158.8111019903</v>
      </c>
      <c r="C23" s="75">
        <f>'Skjema total MA'!C89</f>
        <v>4133319.7162820296</v>
      </c>
      <c r="D23" s="177">
        <f t="shared" si="4"/>
        <v>73.7</v>
      </c>
      <c r="E23" s="133"/>
      <c r="F23" s="144">
        <f>'Skjema total MA'!E89</f>
        <v>634795235.7437799</v>
      </c>
      <c r="G23" s="144">
        <f>'Skjema total MA'!F89</f>
        <v>743056050.28052998</v>
      </c>
      <c r="H23" s="177">
        <f t="shared" si="2"/>
        <v>17.100000000000001</v>
      </c>
      <c r="I23" s="133"/>
      <c r="J23" s="144">
        <f t="shared" si="0"/>
        <v>637175394.55488193</v>
      </c>
      <c r="K23" s="144">
        <f t="shared" si="0"/>
        <v>747189369.99681199</v>
      </c>
      <c r="L23" s="175">
        <f t="shared" si="3"/>
        <v>17.3</v>
      </c>
      <c r="M23" s="47"/>
    </row>
    <row r="24" spans="1:15" ht="18.75" x14ac:dyDescent="0.3">
      <c r="A24" s="142" t="s">
        <v>107</v>
      </c>
      <c r="B24" s="75">
        <f>'Skjema total MA'!B96+'Skjema total MA'!B97</f>
        <v>18136873.0898</v>
      </c>
      <c r="C24" s="75">
        <f>'Skjema total MA'!C96+'Skjema total MA'!C97</f>
        <v>21965974.666499998</v>
      </c>
      <c r="D24" s="177">
        <f t="shared" si="4"/>
        <v>21.1</v>
      </c>
      <c r="E24" s="133"/>
      <c r="F24" s="144">
        <f>'Skjema total MA'!E96+'Skjema total MA'!E97</f>
        <v>9883797.0723599996</v>
      </c>
      <c r="G24" s="144">
        <f>'Skjema total MA'!F96+'Skjema total MA'!F97</f>
        <v>12004048.254519999</v>
      </c>
      <c r="H24" s="177">
        <f t="shared" si="2"/>
        <v>21.5</v>
      </c>
      <c r="I24" s="133"/>
      <c r="J24" s="144">
        <f t="shared" si="0"/>
        <v>28020670.162160002</v>
      </c>
      <c r="K24" s="144">
        <f t="shared" si="0"/>
        <v>33970022.921020001</v>
      </c>
      <c r="L24" s="175">
        <f t="shared" si="3"/>
        <v>21.2</v>
      </c>
      <c r="M24" s="47"/>
    </row>
    <row r="25" spans="1:15" ht="22.5" x14ac:dyDescent="0.3">
      <c r="A25" s="76" t="s">
        <v>312</v>
      </c>
      <c r="B25" s="75">
        <f>'Skjema total MA'!B135</f>
        <v>908259329.50178003</v>
      </c>
      <c r="C25" s="75">
        <f>'Skjema total MA'!C135</f>
        <v>981716105.01883006</v>
      </c>
      <c r="D25" s="177">
        <f t="shared" si="4"/>
        <v>8.1</v>
      </c>
      <c r="E25" s="133"/>
      <c r="F25" s="144">
        <f>'Skjema total MA'!E135</f>
        <v>2924765.91579</v>
      </c>
      <c r="G25" s="144">
        <f>'Skjema total MA'!F135</f>
        <v>3056998.4517899998</v>
      </c>
      <c r="H25" s="177">
        <f t="shared" si="2"/>
        <v>4.5</v>
      </c>
      <c r="I25" s="133"/>
      <c r="J25" s="144">
        <f t="shared" si="0"/>
        <v>911184095.41756999</v>
      </c>
      <c r="K25" s="144">
        <f t="shared" si="0"/>
        <v>984773103.47062004</v>
      </c>
      <c r="L25" s="175">
        <f t="shared" si="3"/>
        <v>8.1</v>
      </c>
      <c r="M25" s="47"/>
    </row>
    <row r="26" spans="1:15" ht="18.75" x14ac:dyDescent="0.3">
      <c r="A26" s="76" t="s">
        <v>108</v>
      </c>
      <c r="B26" s="75">
        <f>'Skjema total MA'!B37</f>
        <v>2549132.8585299999</v>
      </c>
      <c r="C26" s="75">
        <f>'Skjema total MA'!C37</f>
        <v>2369754.11678452</v>
      </c>
      <c r="D26" s="177">
        <f t="shared" si="4"/>
        <v>-7</v>
      </c>
      <c r="E26" s="133"/>
      <c r="F26" s="144">
        <f>'Skjema total MA'!E37</f>
        <v>0</v>
      </c>
      <c r="G26" s="144">
        <f>'Skjema total MA'!F37</f>
        <v>0</v>
      </c>
      <c r="H26" s="177"/>
      <c r="I26" s="133"/>
      <c r="J26" s="144">
        <f t="shared" si="0"/>
        <v>2549132.8585299999</v>
      </c>
      <c r="K26" s="144">
        <f t="shared" si="0"/>
        <v>2369754.11678452</v>
      </c>
      <c r="L26" s="175">
        <f t="shared" si="3"/>
        <v>-7</v>
      </c>
      <c r="M26" s="47"/>
    </row>
    <row r="27" spans="1:15" s="101" customFormat="1" ht="18.75" x14ac:dyDescent="0.3">
      <c r="A27" s="102" t="s">
        <v>111</v>
      </c>
      <c r="B27" s="78">
        <f>'Tabel 1.1'!G33</f>
        <v>1373154300.6802146</v>
      </c>
      <c r="C27" s="146">
        <f>'Tabel 1.1'!H33</f>
        <v>1454331081.4868293</v>
      </c>
      <c r="D27" s="177">
        <f t="shared" si="4"/>
        <v>5.9</v>
      </c>
      <c r="E27" s="103"/>
      <c r="F27" s="146">
        <f>'Tabel 1.1'!G42</f>
        <v>774813441.38651991</v>
      </c>
      <c r="G27" s="146">
        <f>'Tabel 1.1'!H42</f>
        <v>892703384.34123957</v>
      </c>
      <c r="H27" s="177">
        <f t="shared" si="2"/>
        <v>15.2</v>
      </c>
      <c r="I27" s="103"/>
      <c r="J27" s="146">
        <f t="shared" si="0"/>
        <v>2147967742.0667343</v>
      </c>
      <c r="K27" s="146">
        <f t="shared" si="0"/>
        <v>2347034465.8280687</v>
      </c>
      <c r="L27" s="175">
        <f t="shared" si="3"/>
        <v>9.3000000000000007</v>
      </c>
      <c r="M27" s="48"/>
      <c r="N27" s="100"/>
      <c r="O27" s="100"/>
    </row>
    <row r="28" spans="1:15" ht="18.75" x14ac:dyDescent="0.3">
      <c r="A28" s="102"/>
      <c r="B28" s="75"/>
      <c r="C28" s="144"/>
      <c r="D28" s="177"/>
      <c r="E28" s="133"/>
      <c r="F28" s="144"/>
      <c r="G28" s="144"/>
      <c r="H28" s="177"/>
      <c r="I28" s="133"/>
      <c r="J28" s="144">
        <f t="shared" si="0"/>
        <v>0</v>
      </c>
      <c r="K28" s="144">
        <f t="shared" si="0"/>
        <v>0</v>
      </c>
      <c r="L28" s="175"/>
      <c r="M28" s="47"/>
    </row>
    <row r="29" spans="1:15" ht="22.5" x14ac:dyDescent="0.3">
      <c r="A29" s="141" t="s">
        <v>314</v>
      </c>
      <c r="B29" s="148"/>
      <c r="C29" s="151"/>
      <c r="D29" s="144"/>
      <c r="E29" s="133"/>
      <c r="F29" s="144"/>
      <c r="G29" s="144"/>
      <c r="H29" s="177"/>
      <c r="I29" s="133"/>
      <c r="J29" s="144"/>
      <c r="K29" s="144"/>
      <c r="L29" s="175"/>
      <c r="M29" s="47"/>
    </row>
    <row r="30" spans="1:15" ht="18.75" x14ac:dyDescent="0.3">
      <c r="A30" s="76" t="s">
        <v>102</v>
      </c>
      <c r="B30" s="75">
        <f>'Skjema total MA'!B11</f>
        <v>0</v>
      </c>
      <c r="C30" s="75">
        <f>'Skjema total MA'!C11</f>
        <v>333.04399999999998</v>
      </c>
      <c r="D30" s="177" t="str">
        <f>IF(B30=0, "    ---- ", IF(ABS(ROUND(100/B30*C30-100,1))&lt;999,ROUND(100/B30*C30-100,1),IF(ROUND(100/B30*C30-100,1)&gt;999,999,-999)))</f>
        <v xml:space="preserve">    ---- </v>
      </c>
      <c r="E30" s="133"/>
      <c r="F30" s="144">
        <f>'Skjema total MA'!E11</f>
        <v>257987.70295000001</v>
      </c>
      <c r="G30" s="144">
        <f>'Skjema total MA'!F11</f>
        <v>492513.74719000002</v>
      </c>
      <c r="H30" s="177">
        <f t="shared" si="2"/>
        <v>90.9</v>
      </c>
      <c r="I30" s="133"/>
      <c r="J30" s="144">
        <f t="shared" si="0"/>
        <v>257987.70295000001</v>
      </c>
      <c r="K30" s="144">
        <f t="shared" si="0"/>
        <v>492846.79119000002</v>
      </c>
      <c r="L30" s="175">
        <f t="shared" si="3"/>
        <v>91</v>
      </c>
      <c r="M30" s="47"/>
    </row>
    <row r="31" spans="1:15" ht="18.75" x14ac:dyDescent="0.3">
      <c r="A31" s="76" t="s">
        <v>103</v>
      </c>
      <c r="B31" s="75">
        <f>'Skjema total MA'!B34</f>
        <v>15227.442999999999</v>
      </c>
      <c r="C31" s="75">
        <f>'Skjema total MA'!C34</f>
        <v>24276.164379999998</v>
      </c>
      <c r="D31" s="177">
        <f t="shared" ref="D31:D38" si="5">IF(B31=0, "    ---- ", IF(ABS(ROUND(100/B31*C31-100,1))&lt;999,ROUND(100/B31*C31-100,1),IF(ROUND(100/B31*C31-100,1)&gt;999,999,-999)))</f>
        <v>59.4</v>
      </c>
      <c r="E31" s="133"/>
      <c r="F31" s="144">
        <f>'Skjema total MA'!E34</f>
        <v>-271679.93477000005</v>
      </c>
      <c r="G31" s="144">
        <f>'Skjema total MA'!F34</f>
        <v>-195517.16322999998</v>
      </c>
      <c r="H31" s="177">
        <f t="shared" si="2"/>
        <v>-28</v>
      </c>
      <c r="I31" s="133"/>
      <c r="J31" s="144">
        <f t="shared" si="0"/>
        <v>-256452.49177000005</v>
      </c>
      <c r="K31" s="144">
        <f t="shared" si="0"/>
        <v>-171240.99884999997</v>
      </c>
      <c r="L31" s="175">
        <f t="shared" si="3"/>
        <v>-33.200000000000003</v>
      </c>
      <c r="M31" s="47"/>
    </row>
    <row r="32" spans="1:15" ht="18.75" x14ac:dyDescent="0.3">
      <c r="A32" s="76" t="s">
        <v>105</v>
      </c>
      <c r="B32" s="75">
        <f>'Skjema total MA'!B111</f>
        <v>519328.56218999997</v>
      </c>
      <c r="C32" s="75">
        <f>'Skjema total MA'!C111</f>
        <v>1939100.3254</v>
      </c>
      <c r="D32" s="177">
        <f t="shared" si="5"/>
        <v>273.39999999999998</v>
      </c>
      <c r="E32" s="133"/>
      <c r="F32" s="144">
        <f>'Skjema total MA'!E111</f>
        <v>38644797.141279995</v>
      </c>
      <c r="G32" s="144">
        <f>'Skjema total MA'!F111</f>
        <v>52148910.288860008</v>
      </c>
      <c r="H32" s="177">
        <f t="shared" si="2"/>
        <v>34.9</v>
      </c>
      <c r="I32" s="133"/>
      <c r="J32" s="144">
        <f t="shared" si="0"/>
        <v>39164125.703469992</v>
      </c>
      <c r="K32" s="144">
        <f t="shared" si="0"/>
        <v>54088010.61426001</v>
      </c>
      <c r="L32" s="175">
        <f t="shared" si="3"/>
        <v>38.1</v>
      </c>
      <c r="M32" s="47"/>
    </row>
    <row r="33" spans="1:15" ht="22.5" x14ac:dyDescent="0.3">
      <c r="A33" s="76" t="s">
        <v>312</v>
      </c>
      <c r="B33" s="75">
        <f>'Skjema total MA'!B136</f>
        <v>2154341.656</v>
      </c>
      <c r="C33" s="75">
        <f>'Skjema total MA'!C136</f>
        <v>3294636.9920000001</v>
      </c>
      <c r="D33" s="177">
        <f t="shared" si="5"/>
        <v>52.9</v>
      </c>
      <c r="E33" s="133"/>
      <c r="F33" s="144">
        <f>'Skjema total MA'!E136</f>
        <v>-373.47899999999998</v>
      </c>
      <c r="G33" s="144">
        <f>'Skjema total MA'!F136</f>
        <v>47.674999999999997</v>
      </c>
      <c r="H33" s="177">
        <f t="shared" si="2"/>
        <v>-112.8</v>
      </c>
      <c r="I33" s="133"/>
      <c r="J33" s="144">
        <f t="shared" si="0"/>
        <v>2153968.1770000001</v>
      </c>
      <c r="K33" s="144">
        <f t="shared" si="0"/>
        <v>3294684.6669999999</v>
      </c>
      <c r="L33" s="175">
        <f t="shared" si="3"/>
        <v>53</v>
      </c>
      <c r="M33" s="47"/>
    </row>
    <row r="34" spans="1:15" ht="18.75" x14ac:dyDescent="0.3">
      <c r="A34" s="76" t="s">
        <v>108</v>
      </c>
      <c r="B34" s="75">
        <f>'Skjema total MA'!B38</f>
        <v>0</v>
      </c>
      <c r="C34" s="75">
        <f>'Skjema total MA'!C38</f>
        <v>0</v>
      </c>
      <c r="D34" s="177"/>
      <c r="E34" s="133"/>
      <c r="F34" s="144">
        <f>'Skjema total MA'!E38</f>
        <v>0</v>
      </c>
      <c r="G34" s="144">
        <f>'Skjema total MA'!F38</f>
        <v>0</v>
      </c>
      <c r="H34" s="177"/>
      <c r="I34" s="133"/>
      <c r="J34" s="144">
        <f t="shared" si="0"/>
        <v>0</v>
      </c>
      <c r="K34" s="144">
        <f t="shared" si="0"/>
        <v>0</v>
      </c>
      <c r="L34" s="175"/>
      <c r="M34" s="47"/>
    </row>
    <row r="35" spans="1:15" s="101" customFormat="1" ht="18.75" x14ac:dyDescent="0.3">
      <c r="A35" s="102" t="s">
        <v>112</v>
      </c>
      <c r="B35" s="78">
        <f>SUM(B30:B34)</f>
        <v>2688897.6611899999</v>
      </c>
      <c r="C35" s="146">
        <f>SUM(C30:C34)</f>
        <v>5258346.5257799998</v>
      </c>
      <c r="D35" s="177">
        <f t="shared" si="5"/>
        <v>95.6</v>
      </c>
      <c r="E35" s="103"/>
      <c r="F35" s="146">
        <f>SUM(F30:F34)</f>
        <v>38630731.430459991</v>
      </c>
      <c r="G35" s="146">
        <f>SUM(G30:G34)</f>
        <v>52445954.547820002</v>
      </c>
      <c r="H35" s="177">
        <f t="shared" si="2"/>
        <v>35.799999999999997</v>
      </c>
      <c r="I35" s="103"/>
      <c r="J35" s="146">
        <f t="shared" si="0"/>
        <v>41319629.091649994</v>
      </c>
      <c r="K35" s="146">
        <f t="shared" si="0"/>
        <v>57704301.073600002</v>
      </c>
      <c r="L35" s="175">
        <f t="shared" si="3"/>
        <v>39.700000000000003</v>
      </c>
      <c r="M35" s="48"/>
    </row>
    <row r="36" spans="1:15" ht="18.75" x14ac:dyDescent="0.3">
      <c r="A36" s="102"/>
      <c r="B36" s="78"/>
      <c r="C36" s="146"/>
      <c r="D36" s="177"/>
      <c r="E36" s="103"/>
      <c r="F36" s="146"/>
      <c r="G36" s="146"/>
      <c r="H36" s="177"/>
      <c r="I36" s="103"/>
      <c r="J36" s="144"/>
      <c r="K36" s="144"/>
      <c r="L36" s="175"/>
      <c r="M36" s="47"/>
    </row>
    <row r="37" spans="1:15" ht="22.5" x14ac:dyDescent="0.3">
      <c r="A37" s="102" t="s">
        <v>315</v>
      </c>
      <c r="B37" s="78"/>
      <c r="C37" s="146"/>
      <c r="D37" s="144"/>
      <c r="E37" s="103"/>
      <c r="F37" s="146"/>
      <c r="G37" s="146"/>
      <c r="H37" s="177"/>
      <c r="I37" s="103"/>
      <c r="J37" s="144"/>
      <c r="K37" s="144"/>
      <c r="L37" s="175"/>
      <c r="M37" s="47"/>
    </row>
    <row r="38" spans="1:15" s="101" customFormat="1" ht="18.75" x14ac:dyDescent="0.3">
      <c r="A38" s="102" t="s">
        <v>104</v>
      </c>
      <c r="B38" s="78">
        <f>'Skjema total MA'!B53</f>
        <v>199707.08867784814</v>
      </c>
      <c r="C38" s="78">
        <f>'Skjema total MA'!C53</f>
        <v>301453.25274000003</v>
      </c>
      <c r="D38" s="177">
        <f t="shared" si="5"/>
        <v>50.9</v>
      </c>
      <c r="E38" s="103"/>
      <c r="F38" s="146"/>
      <c r="G38" s="146"/>
      <c r="H38" s="177"/>
      <c r="I38" s="103"/>
      <c r="J38" s="146">
        <f t="shared" si="0"/>
        <v>199707.08867784814</v>
      </c>
      <c r="K38" s="146">
        <f t="shared" si="0"/>
        <v>301453.25274000003</v>
      </c>
      <c r="L38" s="175">
        <f t="shared" si="3"/>
        <v>50.9</v>
      </c>
      <c r="M38" s="48"/>
    </row>
    <row r="39" spans="1:15" ht="18.75" x14ac:dyDescent="0.3">
      <c r="A39" s="102"/>
      <c r="B39" s="78"/>
      <c r="C39" s="146"/>
      <c r="D39" s="144"/>
      <c r="E39" s="103"/>
      <c r="F39" s="146"/>
      <c r="G39" s="146"/>
      <c r="H39" s="177"/>
      <c r="I39" s="103"/>
      <c r="J39" s="144"/>
      <c r="K39" s="144"/>
      <c r="L39" s="175"/>
      <c r="M39" s="47"/>
    </row>
    <row r="40" spans="1:15" ht="22.5" x14ac:dyDescent="0.3">
      <c r="A40" s="141" t="s">
        <v>316</v>
      </c>
      <c r="B40" s="148"/>
      <c r="C40" s="151"/>
      <c r="D40" s="144"/>
      <c r="E40" s="133"/>
      <c r="F40" s="144"/>
      <c r="G40" s="144"/>
      <c r="H40" s="177"/>
      <c r="I40" s="133"/>
      <c r="J40" s="144"/>
      <c r="K40" s="144"/>
      <c r="L40" s="175"/>
      <c r="M40" s="47"/>
    </row>
    <row r="41" spans="1:15" ht="18.75" x14ac:dyDescent="0.3">
      <c r="A41" s="76" t="s">
        <v>102</v>
      </c>
      <c r="B41" s="75">
        <f>'Skjema total MA'!B12</f>
        <v>0</v>
      </c>
      <c r="C41" s="75">
        <f>'Skjema total MA'!C12</f>
        <v>341.79806000000002</v>
      </c>
      <c r="D41" s="177" t="str">
        <f>IF(B41=0, "    ---- ", IF(ABS(ROUND(100/B41*C41-100,1))&lt;999,ROUND(100/B41*C41-100,1),IF(ROUND(100/B41*C41-100,1)&gt;999,999,-999)))</f>
        <v xml:space="preserve">    ---- </v>
      </c>
      <c r="E41" s="133"/>
      <c r="F41" s="144">
        <f>'Skjema total MA'!E12</f>
        <v>310757.62222999998</v>
      </c>
      <c r="G41" s="144">
        <f>'Skjema total MA'!F12</f>
        <v>491301.39677999995</v>
      </c>
      <c r="H41" s="177">
        <f t="shared" si="2"/>
        <v>58.1</v>
      </c>
      <c r="I41" s="133"/>
      <c r="J41" s="144">
        <f t="shared" si="0"/>
        <v>310757.62222999998</v>
      </c>
      <c r="K41" s="144">
        <f t="shared" si="0"/>
        <v>491643.19483999995</v>
      </c>
      <c r="L41" s="175">
        <f t="shared" si="3"/>
        <v>58.2</v>
      </c>
      <c r="M41" s="47"/>
    </row>
    <row r="42" spans="1:15" ht="18.75" x14ac:dyDescent="0.3">
      <c r="A42" s="76" t="s">
        <v>103</v>
      </c>
      <c r="B42" s="75">
        <f>'Skjema total MA'!B35</f>
        <v>-380247.60177999997</v>
      </c>
      <c r="C42" s="75">
        <f>'Skjema total MA'!C35</f>
        <v>-346511.35765999998</v>
      </c>
      <c r="D42" s="177">
        <f t="shared" ref="D42:D46" si="6">IF(B42=0, "    ---- ", IF(ABS(ROUND(100/B42*C42-100,1))&lt;999,ROUND(100/B42*C42-100,1),IF(ROUND(100/B42*C42-100,1)&gt;999,999,-999)))</f>
        <v>-8.9</v>
      </c>
      <c r="E42" s="133"/>
      <c r="F42" s="144">
        <f>'Skjema total MA'!E35</f>
        <v>143220.7733</v>
      </c>
      <c r="G42" s="144">
        <f>'Skjema total MA'!F35</f>
        <v>182220.24154000002</v>
      </c>
      <c r="H42" s="177">
        <f t="shared" si="2"/>
        <v>27.2</v>
      </c>
      <c r="I42" s="133"/>
      <c r="J42" s="144">
        <f t="shared" si="0"/>
        <v>-237026.82847999997</v>
      </c>
      <c r="K42" s="144">
        <f t="shared" si="0"/>
        <v>-164291.11611999996</v>
      </c>
      <c r="L42" s="175">
        <f t="shared" si="3"/>
        <v>-30.7</v>
      </c>
      <c r="M42" s="47"/>
    </row>
    <row r="43" spans="1:15" ht="18.75" x14ac:dyDescent="0.3">
      <c r="A43" s="76" t="s">
        <v>105</v>
      </c>
      <c r="B43" s="75">
        <f>'Skjema total MA'!B119</f>
        <v>227189.77121000044</v>
      </c>
      <c r="C43" s="75">
        <f>'Skjema total MA'!C119</f>
        <v>530919.91648000095</v>
      </c>
      <c r="D43" s="177">
        <f t="shared" si="6"/>
        <v>133.69999999999999</v>
      </c>
      <c r="E43" s="133"/>
      <c r="F43" s="144">
        <f>'Skjema total MA'!E119</f>
        <v>41926323.577330001</v>
      </c>
      <c r="G43" s="144">
        <f>'Skjema total MA'!F119</f>
        <v>54651238.348740004</v>
      </c>
      <c r="H43" s="177">
        <f t="shared" si="2"/>
        <v>30.4</v>
      </c>
      <c r="I43" s="133"/>
      <c r="J43" s="144">
        <f t="shared" si="0"/>
        <v>42153513.348540001</v>
      </c>
      <c r="K43" s="144">
        <f t="shared" si="0"/>
        <v>55182158.265220001</v>
      </c>
      <c r="L43" s="175">
        <f t="shared" si="3"/>
        <v>30.9</v>
      </c>
      <c r="M43" s="47"/>
    </row>
    <row r="44" spans="1:15" ht="22.5" x14ac:dyDescent="0.3">
      <c r="A44" s="76" t="s">
        <v>312</v>
      </c>
      <c r="B44" s="75">
        <f>'Skjema total MA'!B137</f>
        <v>2423007.9249999998</v>
      </c>
      <c r="C44" s="75">
        <f>'Skjema total MA'!C137</f>
        <v>4156500.3450000002</v>
      </c>
      <c r="D44" s="177">
        <f t="shared" si="6"/>
        <v>71.5</v>
      </c>
      <c r="E44" s="133"/>
      <c r="F44" s="144">
        <f>'Skjema total MA'!E137</f>
        <v>0</v>
      </c>
      <c r="G44" s="144">
        <f>'Skjema total MA'!F137</f>
        <v>0</v>
      </c>
      <c r="H44" s="177"/>
      <c r="I44" s="133"/>
      <c r="J44" s="144">
        <f t="shared" si="0"/>
        <v>2423007.9249999998</v>
      </c>
      <c r="K44" s="144">
        <f t="shared" si="0"/>
        <v>4156500.3450000002</v>
      </c>
      <c r="L44" s="175">
        <f t="shared" si="3"/>
        <v>71.5</v>
      </c>
      <c r="M44" s="47"/>
    </row>
    <row r="45" spans="1:15" ht="18.75" x14ac:dyDescent="0.3">
      <c r="A45" s="76" t="s">
        <v>108</v>
      </c>
      <c r="B45" s="75">
        <f>'Skjema total MA'!B39</f>
        <v>1</v>
      </c>
      <c r="C45" s="75">
        <f>'Skjema total MA'!C39</f>
        <v>1.8089999999999999</v>
      </c>
      <c r="D45" s="177">
        <f t="shared" si="6"/>
        <v>80.900000000000006</v>
      </c>
      <c r="E45" s="133"/>
      <c r="F45" s="144"/>
      <c r="G45" s="144"/>
      <c r="H45" s="177"/>
      <c r="I45" s="133"/>
      <c r="J45" s="144">
        <f t="shared" si="0"/>
        <v>1</v>
      </c>
      <c r="K45" s="144">
        <f t="shared" si="0"/>
        <v>1.8089999999999999</v>
      </c>
      <c r="L45" s="175">
        <f t="shared" si="3"/>
        <v>80.900000000000006</v>
      </c>
      <c r="M45" s="47"/>
    </row>
    <row r="46" spans="1:15" s="101" customFormat="1" ht="18.75" x14ac:dyDescent="0.3">
      <c r="A46" s="102" t="s">
        <v>113</v>
      </c>
      <c r="B46" s="78">
        <f>SUM(B41:B45)</f>
        <v>2269951.0944300005</v>
      </c>
      <c r="C46" s="146">
        <f>SUM(C41:C45)</f>
        <v>4341252.5108800018</v>
      </c>
      <c r="D46" s="177">
        <f t="shared" si="6"/>
        <v>91.2</v>
      </c>
      <c r="E46" s="103"/>
      <c r="F46" s="146">
        <f>SUM(F41:F45)</f>
        <v>42380301.972860001</v>
      </c>
      <c r="G46" s="146">
        <f>SUM(G41:G45)</f>
        <v>55324759.987060003</v>
      </c>
      <c r="H46" s="177">
        <f t="shared" si="2"/>
        <v>30.5</v>
      </c>
      <c r="I46" s="103"/>
      <c r="J46" s="146">
        <f t="shared" si="0"/>
        <v>44650253.067290001</v>
      </c>
      <c r="K46" s="146">
        <f t="shared" si="0"/>
        <v>59666012.497940004</v>
      </c>
      <c r="L46" s="175">
        <f t="shared" si="3"/>
        <v>33.6</v>
      </c>
      <c r="M46" s="48"/>
      <c r="N46" s="100"/>
      <c r="O46" s="100"/>
    </row>
    <row r="47" spans="1:15" ht="18.75" x14ac:dyDescent="0.3">
      <c r="A47" s="102"/>
      <c r="B47" s="78"/>
      <c r="C47" s="146"/>
      <c r="D47" s="144"/>
      <c r="E47" s="103"/>
      <c r="F47" s="146"/>
      <c r="G47" s="146"/>
      <c r="H47" s="177"/>
      <c r="I47" s="103"/>
      <c r="J47" s="144"/>
      <c r="K47" s="144"/>
      <c r="L47" s="175"/>
      <c r="M47" s="47"/>
    </row>
    <row r="48" spans="1:15" ht="22.5" x14ac:dyDescent="0.3">
      <c r="A48" s="102" t="s">
        <v>317</v>
      </c>
      <c r="B48" s="78"/>
      <c r="C48" s="146"/>
      <c r="D48" s="144"/>
      <c r="E48" s="103"/>
      <c r="F48" s="146"/>
      <c r="G48" s="146"/>
      <c r="H48" s="177"/>
      <c r="I48" s="103"/>
      <c r="J48" s="144"/>
      <c r="K48" s="144"/>
      <c r="L48" s="175"/>
      <c r="M48" s="47"/>
    </row>
    <row r="49" spans="1:15" s="101" customFormat="1" ht="18.75" x14ac:dyDescent="0.3">
      <c r="A49" s="102" t="s">
        <v>104</v>
      </c>
      <c r="B49" s="78">
        <f>'Skjema total MA'!B56</f>
        <v>175366.75099999999</v>
      </c>
      <c r="C49" s="78">
        <f>'Skjema total MA'!C56</f>
        <v>93932.501000000004</v>
      </c>
      <c r="D49" s="177">
        <f t="shared" ref="D49" si="7">IF(B49=0, "    ---- ", IF(ABS(ROUND(100/B49*C49-100,1))&lt;999,ROUND(100/B49*C49-100,1),IF(ROUND(100/B49*C49-100,1)&gt;999,999,-999)))</f>
        <v>-46.4</v>
      </c>
      <c r="E49" s="103"/>
      <c r="F49" s="146"/>
      <c r="G49" s="146"/>
      <c r="H49" s="177"/>
      <c r="I49" s="103"/>
      <c r="J49" s="146">
        <f>SUM(B49+F49)</f>
        <v>175366.75099999999</v>
      </c>
      <c r="K49" s="146">
        <f>SUM(C49+G49)</f>
        <v>93932.501000000004</v>
      </c>
      <c r="L49" s="175">
        <f t="shared" si="3"/>
        <v>-46.4</v>
      </c>
      <c r="M49" s="48"/>
    </row>
    <row r="50" spans="1:15" ht="18.75" x14ac:dyDescent="0.3">
      <c r="A50" s="102"/>
      <c r="B50" s="75"/>
      <c r="C50" s="144"/>
      <c r="D50" s="144"/>
      <c r="E50" s="133"/>
      <c r="F50" s="144"/>
      <c r="G50" s="144"/>
      <c r="H50" s="177"/>
      <c r="I50" s="133"/>
      <c r="J50" s="144"/>
      <c r="K50" s="144"/>
      <c r="L50" s="175"/>
      <c r="M50" s="47"/>
    </row>
    <row r="51" spans="1:15" ht="21.75" x14ac:dyDescent="0.3">
      <c r="A51" s="141" t="s">
        <v>318</v>
      </c>
      <c r="B51" s="75"/>
      <c r="C51" s="144"/>
      <c r="D51" s="144"/>
      <c r="E51" s="133"/>
      <c r="F51" s="144"/>
      <c r="G51" s="144"/>
      <c r="H51" s="177"/>
      <c r="I51" s="133"/>
      <c r="J51" s="144"/>
      <c r="K51" s="144"/>
      <c r="L51" s="175"/>
      <c r="M51" s="47"/>
    </row>
    <row r="52" spans="1:15" ht="18.75" x14ac:dyDescent="0.3">
      <c r="A52" s="76" t="s">
        <v>102</v>
      </c>
      <c r="B52" s="75">
        <f>B30-B41</f>
        <v>0</v>
      </c>
      <c r="C52" s="144">
        <f>C30-C41</f>
        <v>-8.7540600000000381</v>
      </c>
      <c r="D52" s="177" t="str">
        <f>IF(B52=0, "    ---- ", IF(ABS(ROUND(100/B52*C52-100,1))&lt;999,ROUND(100/B52*C52-100,1),IF(ROUND(100/B52*C52-100,1)&gt;999,999,-999)))</f>
        <v xml:space="preserve">    ---- </v>
      </c>
      <c r="E52" s="133"/>
      <c r="F52" s="144">
        <f>F30-F41</f>
        <v>-52769.919279999973</v>
      </c>
      <c r="G52" s="144">
        <f>G30-G41</f>
        <v>1212.3504100000719</v>
      </c>
      <c r="H52" s="177">
        <f t="shared" si="2"/>
        <v>-102.3</v>
      </c>
      <c r="I52" s="133"/>
      <c r="J52" s="144">
        <f t="shared" si="0"/>
        <v>-52769.919279999973</v>
      </c>
      <c r="K52" s="144">
        <f t="shared" si="0"/>
        <v>1203.5963500000719</v>
      </c>
      <c r="L52" s="175">
        <f t="shared" si="3"/>
        <v>-102.3</v>
      </c>
      <c r="M52" s="47"/>
    </row>
    <row r="53" spans="1:15" ht="18.75" x14ac:dyDescent="0.3">
      <c r="A53" s="76" t="s">
        <v>103</v>
      </c>
      <c r="B53" s="75">
        <f t="shared" ref="B53:C56" si="8">B31-B42</f>
        <v>395475.04478</v>
      </c>
      <c r="C53" s="144">
        <f t="shared" si="8"/>
        <v>370787.52203999995</v>
      </c>
      <c r="D53" s="177">
        <f t="shared" ref="D53:D60" si="9">IF(B53=0, "    ---- ", IF(ABS(ROUND(100/B53*C53-100,1))&lt;999,ROUND(100/B53*C53-100,1),IF(ROUND(100/B53*C53-100,1)&gt;999,999,-999)))</f>
        <v>-6.2</v>
      </c>
      <c r="E53" s="133"/>
      <c r="F53" s="144">
        <f t="shared" ref="F53:G56" si="10">F31-F42</f>
        <v>-414900.70807000005</v>
      </c>
      <c r="G53" s="144">
        <f t="shared" si="10"/>
        <v>-377737.40477000002</v>
      </c>
      <c r="H53" s="177">
        <f t="shared" si="2"/>
        <v>-9</v>
      </c>
      <c r="I53" s="133"/>
      <c r="J53" s="144">
        <f t="shared" si="0"/>
        <v>-19425.663290000055</v>
      </c>
      <c r="K53" s="144">
        <f t="shared" si="0"/>
        <v>-6949.8827300000703</v>
      </c>
      <c r="L53" s="175">
        <f t="shared" si="3"/>
        <v>-64.2</v>
      </c>
      <c r="M53" s="47"/>
    </row>
    <row r="54" spans="1:15" ht="18.75" x14ac:dyDescent="0.3">
      <c r="A54" s="76" t="s">
        <v>105</v>
      </c>
      <c r="B54" s="75">
        <f t="shared" si="8"/>
        <v>292138.79097999953</v>
      </c>
      <c r="C54" s="144">
        <f t="shared" si="8"/>
        <v>1408180.4089199989</v>
      </c>
      <c r="D54" s="177">
        <f t="shared" si="9"/>
        <v>382</v>
      </c>
      <c r="E54" s="133"/>
      <c r="F54" s="144">
        <f t="shared" si="10"/>
        <v>-3281526.4360500053</v>
      </c>
      <c r="G54" s="144">
        <f t="shared" si="10"/>
        <v>-2502328.0598799959</v>
      </c>
      <c r="H54" s="177">
        <f t="shared" si="2"/>
        <v>-23.7</v>
      </c>
      <c r="I54" s="133"/>
      <c r="J54" s="144">
        <f t="shared" si="0"/>
        <v>-2989387.6450700057</v>
      </c>
      <c r="K54" s="144">
        <f t="shared" si="0"/>
        <v>-1094147.650959997</v>
      </c>
      <c r="L54" s="175">
        <f t="shared" si="3"/>
        <v>-63.4</v>
      </c>
      <c r="M54" s="47"/>
    </row>
    <row r="55" spans="1:15" ht="22.5" x14ac:dyDescent="0.3">
      <c r="A55" s="76" t="s">
        <v>312</v>
      </c>
      <c r="B55" s="75">
        <f t="shared" si="8"/>
        <v>-268666.26899999985</v>
      </c>
      <c r="C55" s="144">
        <f t="shared" si="8"/>
        <v>-861863.35300000012</v>
      </c>
      <c r="D55" s="177">
        <f t="shared" si="9"/>
        <v>220.8</v>
      </c>
      <c r="E55" s="133"/>
      <c r="F55" s="144">
        <f t="shared" si="10"/>
        <v>-373.47899999999998</v>
      </c>
      <c r="G55" s="144">
        <f t="shared" si="10"/>
        <v>47.674999999999997</v>
      </c>
      <c r="H55" s="177">
        <f t="shared" si="2"/>
        <v>-112.8</v>
      </c>
      <c r="I55" s="133"/>
      <c r="J55" s="144">
        <f t="shared" si="0"/>
        <v>-269039.74799999985</v>
      </c>
      <c r="K55" s="144">
        <f t="shared" si="0"/>
        <v>-861815.67800000007</v>
      </c>
      <c r="L55" s="175">
        <f t="shared" si="3"/>
        <v>220.3</v>
      </c>
      <c r="M55" s="47"/>
    </row>
    <row r="56" spans="1:15" ht="18.75" x14ac:dyDescent="0.3">
      <c r="A56" s="76" t="s">
        <v>108</v>
      </c>
      <c r="B56" s="75">
        <f t="shared" si="8"/>
        <v>-1</v>
      </c>
      <c r="C56" s="144">
        <f t="shared" si="8"/>
        <v>-1.8089999999999999</v>
      </c>
      <c r="D56" s="177">
        <f t="shared" si="9"/>
        <v>80.900000000000006</v>
      </c>
      <c r="E56" s="133"/>
      <c r="F56" s="144">
        <f t="shared" si="10"/>
        <v>0</v>
      </c>
      <c r="G56" s="144">
        <f t="shared" si="10"/>
        <v>0</v>
      </c>
      <c r="H56" s="177"/>
      <c r="I56" s="133"/>
      <c r="J56" s="144">
        <f t="shared" si="0"/>
        <v>-1</v>
      </c>
      <c r="K56" s="144">
        <f t="shared" si="0"/>
        <v>-1.8089999999999999</v>
      </c>
      <c r="L56" s="175">
        <f t="shared" si="3"/>
        <v>80.900000000000006</v>
      </c>
      <c r="M56" s="47"/>
    </row>
    <row r="57" spans="1:15" s="101" customFormat="1" ht="18.75" x14ac:dyDescent="0.3">
      <c r="A57" s="102" t="s">
        <v>114</v>
      </c>
      <c r="B57" s="78">
        <f>SUM(B52:B56)</f>
        <v>418946.56675999961</v>
      </c>
      <c r="C57" s="146">
        <f>SUM(C52:C56)</f>
        <v>917094.01489999879</v>
      </c>
      <c r="D57" s="177">
        <f>IF(B57=0, "    ---- ", IF(ABS(ROUND(100/B57*C57-100,1))&lt;999,ROUND(100/B57*C57-100,1),IF(ROUND(100/B57*C57-100,1)&gt;999,999,-999)))</f>
        <v>118.9</v>
      </c>
      <c r="E57" s="103"/>
      <c r="F57" s="146">
        <f>SUM(F52:F56)</f>
        <v>-3749570.5424000053</v>
      </c>
      <c r="G57" s="146">
        <f>SUM(G52:G56)</f>
        <v>-2878805.439239996</v>
      </c>
      <c r="H57" s="177">
        <f t="shared" si="2"/>
        <v>-23.2</v>
      </c>
      <c r="I57" s="103"/>
      <c r="J57" s="146">
        <f t="shared" si="0"/>
        <v>-3330623.9756400054</v>
      </c>
      <c r="K57" s="144">
        <f t="shared" si="0"/>
        <v>-1961711.4243399971</v>
      </c>
      <c r="L57" s="175">
        <f t="shared" si="3"/>
        <v>-41.1</v>
      </c>
      <c r="M57" s="48"/>
      <c r="N57" s="100"/>
      <c r="O57" s="100"/>
    </row>
    <row r="58" spans="1:15" ht="18.75" x14ac:dyDescent="0.3">
      <c r="A58" s="102"/>
      <c r="B58" s="78"/>
      <c r="C58" s="146"/>
      <c r="D58" s="177"/>
      <c r="E58" s="103"/>
      <c r="F58" s="146"/>
      <c r="G58" s="146"/>
      <c r="H58" s="177"/>
      <c r="I58" s="103"/>
      <c r="J58" s="146"/>
      <c r="K58" s="144"/>
      <c r="L58" s="175"/>
      <c r="M58" s="47"/>
    </row>
    <row r="59" spans="1:15" ht="22.5" x14ac:dyDescent="0.3">
      <c r="A59" s="102" t="s">
        <v>319</v>
      </c>
      <c r="B59" s="78"/>
      <c r="C59" s="146"/>
      <c r="D59" s="177"/>
      <c r="E59" s="103"/>
      <c r="F59" s="146"/>
      <c r="G59" s="146"/>
      <c r="H59" s="177"/>
      <c r="I59" s="103"/>
      <c r="J59" s="146"/>
      <c r="K59" s="144"/>
      <c r="L59" s="175"/>
      <c r="M59" s="47"/>
    </row>
    <row r="60" spans="1:15" s="101" customFormat="1" ht="18.75" x14ac:dyDescent="0.3">
      <c r="A60" s="102" t="s">
        <v>104</v>
      </c>
      <c r="B60" s="78">
        <f>B38-B49</f>
        <v>24340.337677848147</v>
      </c>
      <c r="C60" s="146">
        <f>C38-C49</f>
        <v>207520.75174000004</v>
      </c>
      <c r="D60" s="177">
        <f t="shared" si="9"/>
        <v>752.6</v>
      </c>
      <c r="E60" s="103"/>
      <c r="F60" s="146">
        <f>F38-F49</f>
        <v>0</v>
      </c>
      <c r="G60" s="146">
        <f>G38-G49</f>
        <v>0</v>
      </c>
      <c r="H60" s="177"/>
      <c r="I60" s="103"/>
      <c r="J60" s="146">
        <f t="shared" si="0"/>
        <v>24340.337677848147</v>
      </c>
      <c r="K60" s="144">
        <f t="shared" si="0"/>
        <v>207520.75174000004</v>
      </c>
      <c r="L60" s="175">
        <f t="shared" si="3"/>
        <v>752.6</v>
      </c>
      <c r="M60" s="48"/>
    </row>
    <row r="61" spans="1:15" s="101" customFormat="1" ht="18.75" x14ac:dyDescent="0.3">
      <c r="A61" s="143"/>
      <c r="B61" s="82"/>
      <c r="C61" s="147"/>
      <c r="D61" s="152"/>
      <c r="E61" s="103"/>
      <c r="F61" s="147"/>
      <c r="G61" s="147"/>
      <c r="H61" s="152"/>
      <c r="I61" s="103"/>
      <c r="J61" s="152"/>
      <c r="K61" s="152"/>
      <c r="L61" s="152"/>
      <c r="M61" s="48"/>
    </row>
    <row r="62" spans="1:15" ht="18.75" x14ac:dyDescent="0.3">
      <c r="A62" s="47" t="s">
        <v>115</v>
      </c>
      <c r="C62" s="50"/>
      <c r="D62" s="50"/>
      <c r="E62" s="50"/>
      <c r="F62" s="50"/>
      <c r="G62" s="47"/>
      <c r="H62" s="47"/>
      <c r="I62" s="47"/>
      <c r="J62" s="47"/>
      <c r="K62" s="47"/>
      <c r="L62" s="47"/>
      <c r="M62" s="47"/>
    </row>
    <row r="63" spans="1:15" ht="18.75" x14ac:dyDescent="0.3">
      <c r="A63" s="47" t="s">
        <v>116</v>
      </c>
      <c r="C63" s="50"/>
      <c r="D63" s="50"/>
      <c r="E63" s="50"/>
      <c r="F63" s="50"/>
      <c r="G63" s="47"/>
      <c r="H63" s="47"/>
      <c r="I63" s="47"/>
      <c r="J63" s="47"/>
      <c r="K63" s="47"/>
      <c r="L63" s="47"/>
      <c r="M63" s="47"/>
    </row>
    <row r="64" spans="1:15" ht="18.75" x14ac:dyDescent="0.3">
      <c r="A64" s="47" t="s">
        <v>95</v>
      </c>
      <c r="B64" s="47"/>
      <c r="C64" s="47"/>
      <c r="D64" s="47"/>
      <c r="E64" s="47"/>
      <c r="F64" s="47"/>
      <c r="G64" s="47"/>
      <c r="H64" s="47"/>
      <c r="I64" s="47"/>
      <c r="J64" s="47"/>
      <c r="K64" s="47"/>
      <c r="L64" s="47"/>
      <c r="M64" s="47"/>
    </row>
    <row r="65" spans="1:13" ht="18.75" x14ac:dyDescent="0.3">
      <c r="A65" s="47"/>
      <c r="C65" s="47"/>
      <c r="D65" s="47"/>
      <c r="E65" s="47"/>
      <c r="F65" s="47"/>
      <c r="G65" s="47"/>
      <c r="H65" s="47"/>
      <c r="I65" s="47"/>
      <c r="J65" s="47"/>
      <c r="K65" s="47"/>
      <c r="L65" s="47"/>
      <c r="M65" s="47"/>
    </row>
    <row r="66" spans="1:13" ht="18.75" x14ac:dyDescent="0.3">
      <c r="A66" s="47"/>
      <c r="B66" s="47"/>
      <c r="C66" s="47"/>
      <c r="D66" s="47"/>
      <c r="E66" s="47"/>
      <c r="F66" s="47"/>
      <c r="G66" s="47"/>
      <c r="H66" s="47"/>
      <c r="I66" s="47"/>
      <c r="J66" s="47"/>
      <c r="K66" s="47"/>
      <c r="L66" s="47"/>
      <c r="M66" s="47"/>
    </row>
    <row r="67" spans="1:13" ht="18.75" x14ac:dyDescent="0.3">
      <c r="A67" s="47"/>
      <c r="B67" s="47"/>
      <c r="C67" s="47"/>
      <c r="D67" s="47"/>
      <c r="E67" s="47"/>
      <c r="F67" s="47"/>
      <c r="G67" s="47"/>
      <c r="H67" s="47"/>
      <c r="I67" s="47"/>
      <c r="J67" s="47"/>
      <c r="K67" s="47"/>
      <c r="L67" s="47"/>
      <c r="M67" s="47"/>
    </row>
    <row r="68" spans="1:13" ht="18.75" x14ac:dyDescent="0.3">
      <c r="A68" s="47"/>
      <c r="B68" s="47"/>
      <c r="C68" s="47"/>
      <c r="D68" s="47"/>
      <c r="E68" s="47"/>
      <c r="F68" s="47"/>
      <c r="G68" s="47"/>
      <c r="H68" s="47"/>
      <c r="I68" s="47"/>
      <c r="J68" s="47"/>
      <c r="K68" s="47"/>
      <c r="L68" s="47"/>
      <c r="M68" s="47"/>
    </row>
    <row r="69" spans="1:13" ht="18.75" x14ac:dyDescent="0.3">
      <c r="A69" s="47"/>
      <c r="B69" s="47"/>
      <c r="C69" s="47"/>
      <c r="D69" s="47"/>
      <c r="E69" s="47"/>
      <c r="F69" s="47"/>
      <c r="G69" s="47"/>
      <c r="H69" s="47"/>
      <c r="I69" s="47"/>
      <c r="J69" s="47"/>
      <c r="K69" s="47"/>
      <c r="L69" s="47"/>
      <c r="M69" s="47"/>
    </row>
    <row r="70" spans="1:13" ht="18.75" x14ac:dyDescent="0.3">
      <c r="A70" s="47"/>
      <c r="B70" s="47"/>
      <c r="C70" s="47"/>
      <c r="D70" s="47"/>
      <c r="E70" s="47"/>
      <c r="F70" s="47"/>
      <c r="G70" s="47"/>
      <c r="H70" s="47"/>
      <c r="I70" s="47"/>
      <c r="J70" s="47"/>
      <c r="K70" s="47"/>
      <c r="L70" s="47"/>
      <c r="M70" s="47"/>
    </row>
    <row r="71" spans="1:13" ht="18.75" x14ac:dyDescent="0.3">
      <c r="A71" s="47"/>
      <c r="B71" s="47"/>
      <c r="C71" s="47"/>
      <c r="D71" s="47"/>
      <c r="E71" s="47"/>
      <c r="F71" s="47"/>
      <c r="G71" s="47"/>
      <c r="H71" s="47"/>
      <c r="I71" s="47"/>
      <c r="J71" s="47"/>
      <c r="K71" s="47"/>
      <c r="L71" s="47"/>
      <c r="M71" s="47"/>
    </row>
    <row r="72" spans="1:13" ht="18.75" x14ac:dyDescent="0.3">
      <c r="A72" s="47"/>
      <c r="B72" s="47"/>
      <c r="C72" s="47"/>
      <c r="D72" s="47"/>
      <c r="E72" s="47"/>
      <c r="F72" s="47"/>
      <c r="G72" s="47"/>
      <c r="H72" s="47"/>
      <c r="I72" s="47"/>
      <c r="J72" s="47"/>
      <c r="K72" s="47"/>
      <c r="L72" s="47"/>
      <c r="M72" s="47"/>
    </row>
    <row r="73" spans="1:13" ht="18.75" x14ac:dyDescent="0.3">
      <c r="A73" s="47"/>
      <c r="B73" s="47"/>
      <c r="C73" s="47"/>
      <c r="D73" s="47"/>
      <c r="E73" s="47"/>
      <c r="F73" s="47"/>
      <c r="G73" s="47"/>
      <c r="H73" s="47"/>
      <c r="I73" s="47"/>
      <c r="J73" s="47"/>
      <c r="K73" s="47"/>
      <c r="L73" s="47"/>
      <c r="M73" s="47"/>
    </row>
    <row r="74" spans="1:13" ht="18.75" x14ac:dyDescent="0.3">
      <c r="A74" s="47"/>
      <c r="B74" s="47"/>
      <c r="C74" s="47"/>
      <c r="D74" s="47"/>
      <c r="E74" s="47"/>
      <c r="F74" s="47"/>
      <c r="G74" s="47"/>
      <c r="H74" s="47"/>
      <c r="I74" s="47"/>
      <c r="J74" s="47"/>
      <c r="K74" s="47"/>
      <c r="L74" s="47"/>
      <c r="M74" s="47"/>
    </row>
    <row r="75" spans="1:13" ht="18.75" x14ac:dyDescent="0.3">
      <c r="A75" s="47"/>
      <c r="B75" s="47"/>
      <c r="C75" s="47"/>
      <c r="D75" s="47"/>
      <c r="E75" s="47"/>
      <c r="F75" s="47"/>
      <c r="G75" s="47"/>
      <c r="H75" s="47"/>
      <c r="I75" s="47"/>
      <c r="J75" s="47"/>
      <c r="K75" s="47"/>
      <c r="L75" s="47"/>
      <c r="M75" s="47"/>
    </row>
    <row r="76" spans="1:13" ht="18.75" x14ac:dyDescent="0.3">
      <c r="A76" s="47"/>
      <c r="B76" s="47"/>
      <c r="C76" s="47"/>
      <c r="D76" s="47"/>
      <c r="E76" s="47"/>
      <c r="F76" s="47"/>
      <c r="G76" s="47"/>
      <c r="H76" s="47"/>
      <c r="I76" s="47"/>
      <c r="J76" s="47"/>
      <c r="K76" s="47"/>
      <c r="L76" s="47"/>
      <c r="M76" s="47"/>
    </row>
    <row r="77" spans="1:13" ht="18.75" x14ac:dyDescent="0.3">
      <c r="A77" s="47"/>
      <c r="B77" s="47"/>
      <c r="C77" s="47"/>
      <c r="D77" s="47"/>
      <c r="E77" s="47"/>
      <c r="F77" s="47"/>
      <c r="G77" s="47"/>
      <c r="H77" s="47"/>
      <c r="I77" s="47"/>
      <c r="J77" s="47"/>
      <c r="K77" s="47"/>
      <c r="L77" s="47"/>
      <c r="M77" s="47"/>
    </row>
    <row r="78" spans="1:13" ht="18.75" x14ac:dyDescent="0.3">
      <c r="A78" s="47"/>
      <c r="B78" s="47"/>
      <c r="C78" s="47"/>
      <c r="D78" s="47"/>
      <c r="E78" s="47"/>
      <c r="F78" s="47"/>
      <c r="G78" s="47"/>
      <c r="H78" s="47"/>
      <c r="I78" s="47"/>
      <c r="J78" s="47"/>
      <c r="K78" s="47"/>
      <c r="L78" s="47"/>
      <c r="M78" s="47"/>
    </row>
    <row r="79" spans="1:13" ht="18.75" x14ac:dyDescent="0.3">
      <c r="A79" s="47"/>
      <c r="B79" s="47"/>
      <c r="C79" s="47"/>
      <c r="D79" s="47"/>
      <c r="E79" s="47"/>
      <c r="F79" s="47"/>
      <c r="G79" s="47"/>
      <c r="H79" s="47"/>
      <c r="I79" s="47"/>
      <c r="J79" s="47"/>
      <c r="K79" s="47"/>
      <c r="L79" s="47"/>
      <c r="M79" s="47"/>
    </row>
    <row r="80" spans="1:13" ht="18.75" x14ac:dyDescent="0.3">
      <c r="A80" s="47"/>
      <c r="B80" s="47"/>
      <c r="C80" s="47"/>
      <c r="D80" s="47"/>
      <c r="E80" s="47"/>
      <c r="F80" s="47"/>
      <c r="G80" s="47"/>
      <c r="H80" s="47"/>
      <c r="I80" s="47"/>
      <c r="J80" s="47"/>
      <c r="K80" s="47"/>
      <c r="L80" s="47"/>
      <c r="M80" s="47"/>
    </row>
    <row r="81" spans="1:13" ht="18.75" x14ac:dyDescent="0.3">
      <c r="A81" s="47"/>
      <c r="B81" s="47"/>
      <c r="C81" s="47"/>
      <c r="D81" s="47"/>
      <c r="E81" s="47"/>
      <c r="F81" s="47"/>
      <c r="G81" s="47"/>
      <c r="H81" s="47"/>
      <c r="I81" s="47"/>
      <c r="J81" s="47"/>
      <c r="K81" s="47"/>
      <c r="L81" s="47"/>
      <c r="M81" s="47"/>
    </row>
    <row r="82" spans="1:13" ht="18.75" x14ac:dyDescent="0.3">
      <c r="A82" s="47"/>
      <c r="B82" s="47"/>
      <c r="C82" s="47"/>
      <c r="D82" s="47"/>
      <c r="E82" s="47"/>
      <c r="F82" s="47"/>
      <c r="G82" s="47"/>
      <c r="H82" s="47"/>
      <c r="I82" s="47"/>
      <c r="J82" s="47"/>
      <c r="K82" s="47"/>
      <c r="L82" s="47"/>
      <c r="M82" s="47"/>
    </row>
    <row r="83" spans="1:13" ht="18.75" x14ac:dyDescent="0.3">
      <c r="A83" s="47"/>
      <c r="B83" s="47"/>
      <c r="C83" s="47"/>
      <c r="D83" s="47"/>
      <c r="E83" s="47"/>
      <c r="F83" s="47"/>
      <c r="G83" s="47"/>
      <c r="H83" s="47"/>
      <c r="I83" s="47"/>
      <c r="J83" s="47"/>
      <c r="K83" s="47"/>
      <c r="L83" s="47"/>
      <c r="M83" s="47"/>
    </row>
    <row r="84" spans="1:13" ht="18.75" x14ac:dyDescent="0.3">
      <c r="A84" s="47"/>
      <c r="B84" s="47"/>
      <c r="C84" s="47"/>
      <c r="D84" s="47"/>
      <c r="E84" s="47"/>
      <c r="F84" s="47"/>
      <c r="G84" s="47"/>
      <c r="H84" s="47"/>
      <c r="I84" s="47"/>
      <c r="J84" s="47"/>
      <c r="K84" s="47"/>
      <c r="L84" s="47"/>
      <c r="M84" s="47"/>
    </row>
    <row r="85" spans="1:13" ht="18.75" x14ac:dyDescent="0.3">
      <c r="A85" s="47"/>
      <c r="B85" s="47"/>
      <c r="C85" s="47"/>
      <c r="D85" s="47"/>
      <c r="E85" s="47"/>
      <c r="F85" s="47"/>
      <c r="G85" s="47"/>
      <c r="H85" s="47"/>
      <c r="I85" s="47"/>
      <c r="J85" s="47"/>
      <c r="K85" s="47"/>
      <c r="L85" s="47"/>
      <c r="M85" s="47"/>
    </row>
    <row r="86" spans="1:13" ht="18.75" x14ac:dyDescent="0.3">
      <c r="A86" s="47"/>
      <c r="B86" s="47"/>
      <c r="C86" s="47"/>
      <c r="D86" s="47"/>
      <c r="E86" s="47"/>
      <c r="F86" s="47"/>
      <c r="G86" s="47"/>
      <c r="H86" s="47"/>
      <c r="I86" s="47"/>
      <c r="J86" s="47"/>
      <c r="K86" s="47"/>
      <c r="L86" s="47"/>
      <c r="M86" s="47"/>
    </row>
    <row r="87" spans="1:13" ht="18.75" x14ac:dyDescent="0.3">
      <c r="A87" s="47"/>
      <c r="B87" s="47"/>
      <c r="C87" s="47"/>
      <c r="D87" s="47"/>
      <c r="E87" s="47"/>
      <c r="F87" s="47"/>
      <c r="G87" s="47"/>
      <c r="H87" s="47"/>
      <c r="I87" s="47"/>
      <c r="J87" s="47"/>
      <c r="K87" s="47"/>
      <c r="L87" s="47"/>
      <c r="M87" s="47"/>
    </row>
    <row r="88" spans="1:13" ht="18.75" x14ac:dyDescent="0.3">
      <c r="A88" s="47"/>
      <c r="B88" s="47"/>
      <c r="C88" s="47"/>
      <c r="D88" s="47"/>
      <c r="E88" s="47"/>
      <c r="F88" s="47"/>
      <c r="G88" s="47"/>
      <c r="H88" s="47"/>
      <c r="I88" s="47"/>
      <c r="J88" s="47"/>
      <c r="K88" s="47"/>
      <c r="L88" s="47"/>
      <c r="M88" s="47"/>
    </row>
    <row r="89" spans="1:13" ht="18.75" x14ac:dyDescent="0.3">
      <c r="A89" s="47"/>
      <c r="B89" s="47"/>
      <c r="C89" s="47"/>
      <c r="D89" s="47"/>
      <c r="E89" s="47"/>
      <c r="F89" s="47"/>
      <c r="G89" s="47"/>
      <c r="H89" s="47"/>
      <c r="I89" s="47"/>
      <c r="J89" s="47"/>
      <c r="K89" s="47"/>
      <c r="L89" s="47"/>
      <c r="M89" s="47"/>
    </row>
    <row r="90" spans="1:13" ht="18.75" x14ac:dyDescent="0.3">
      <c r="A90" s="47"/>
      <c r="B90" s="47"/>
      <c r="C90" s="47"/>
      <c r="D90" s="47"/>
      <c r="E90" s="47"/>
      <c r="F90" s="47"/>
      <c r="G90" s="47"/>
      <c r="H90" s="47"/>
      <c r="I90" s="47"/>
      <c r="J90" s="47"/>
      <c r="K90" s="47"/>
      <c r="L90" s="47"/>
      <c r="M90" s="47"/>
    </row>
    <row r="91" spans="1:13" ht="18.75" x14ac:dyDescent="0.3">
      <c r="A91" s="47"/>
      <c r="B91" s="47"/>
      <c r="C91" s="47"/>
      <c r="D91" s="47"/>
      <c r="E91" s="47"/>
      <c r="F91" s="47"/>
      <c r="G91" s="47"/>
      <c r="H91" s="47"/>
      <c r="I91" s="47"/>
      <c r="J91" s="47"/>
      <c r="K91" s="47"/>
      <c r="L91" s="47"/>
      <c r="M91" s="47"/>
    </row>
    <row r="92" spans="1:13" ht="18.75" x14ac:dyDescent="0.3">
      <c r="A92" s="47"/>
      <c r="B92" s="47"/>
      <c r="C92" s="47"/>
      <c r="D92" s="47"/>
      <c r="E92" s="47"/>
      <c r="F92" s="47"/>
      <c r="G92" s="47"/>
      <c r="H92" s="47"/>
      <c r="I92" s="47"/>
      <c r="J92" s="47"/>
      <c r="K92" s="47"/>
      <c r="L92" s="47"/>
      <c r="M92" s="47"/>
    </row>
    <row r="93" spans="1:13" ht="18.75" x14ac:dyDescent="0.3">
      <c r="A93" s="47"/>
      <c r="B93" s="47"/>
      <c r="C93" s="47"/>
      <c r="D93" s="47"/>
      <c r="E93" s="47"/>
      <c r="F93" s="47"/>
      <c r="G93" s="47"/>
      <c r="H93" s="47"/>
      <c r="I93" s="47"/>
      <c r="J93" s="47"/>
      <c r="K93" s="47"/>
      <c r="L93" s="47"/>
      <c r="M93" s="47"/>
    </row>
    <row r="94" spans="1:13" ht="18.75" x14ac:dyDescent="0.3">
      <c r="A94" s="47"/>
      <c r="B94" s="47"/>
      <c r="C94" s="47"/>
      <c r="D94" s="47"/>
      <c r="E94" s="47"/>
      <c r="F94" s="47"/>
      <c r="G94" s="47"/>
      <c r="H94" s="47"/>
      <c r="I94" s="47"/>
      <c r="J94" s="47"/>
      <c r="K94" s="47"/>
      <c r="L94" s="47"/>
      <c r="M94" s="47"/>
    </row>
    <row r="95" spans="1:13" ht="18.75" x14ac:dyDescent="0.3">
      <c r="A95" s="47"/>
      <c r="B95" s="47"/>
      <c r="C95" s="47"/>
      <c r="D95" s="47"/>
      <c r="E95" s="47"/>
      <c r="F95" s="47"/>
      <c r="G95" s="47"/>
      <c r="H95" s="47"/>
      <c r="I95" s="47"/>
      <c r="J95" s="47"/>
      <c r="K95" s="47"/>
      <c r="L95" s="47"/>
      <c r="M95" s="47"/>
    </row>
    <row r="96" spans="1:13" ht="18.75" x14ac:dyDescent="0.3">
      <c r="A96" s="47"/>
      <c r="B96" s="47"/>
      <c r="C96" s="47"/>
      <c r="D96" s="47"/>
      <c r="E96" s="47"/>
      <c r="F96" s="47"/>
      <c r="G96" s="47"/>
      <c r="H96" s="47"/>
      <c r="I96" s="47"/>
      <c r="J96" s="47"/>
      <c r="K96" s="47"/>
      <c r="L96" s="47"/>
      <c r="M96" s="47"/>
    </row>
    <row r="97" spans="1:13" ht="18.75" x14ac:dyDescent="0.3">
      <c r="A97" s="47"/>
      <c r="B97" s="47"/>
      <c r="C97" s="47"/>
      <c r="D97" s="47"/>
      <c r="E97" s="47"/>
      <c r="F97" s="47"/>
      <c r="G97" s="47"/>
      <c r="H97" s="47"/>
      <c r="I97" s="47"/>
      <c r="J97" s="47"/>
      <c r="K97" s="47"/>
      <c r="L97" s="47"/>
      <c r="M97" s="47"/>
    </row>
    <row r="98" spans="1:13" ht="18.75" x14ac:dyDescent="0.3">
      <c r="A98" s="47"/>
      <c r="B98" s="47"/>
      <c r="C98" s="47"/>
      <c r="D98" s="47"/>
      <c r="E98" s="47"/>
      <c r="F98" s="47"/>
      <c r="G98" s="47"/>
      <c r="H98" s="47"/>
      <c r="I98" s="47"/>
      <c r="J98" s="47"/>
      <c r="K98" s="47"/>
      <c r="L98" s="47"/>
      <c r="M98" s="47"/>
    </row>
    <row r="99" spans="1:13" ht="18.75" x14ac:dyDescent="0.3">
      <c r="A99" s="47"/>
      <c r="B99" s="47"/>
      <c r="C99" s="47"/>
      <c r="D99" s="47"/>
      <c r="E99" s="47"/>
      <c r="F99" s="47"/>
      <c r="G99" s="47"/>
      <c r="H99" s="47"/>
      <c r="I99" s="47"/>
      <c r="J99" s="47"/>
      <c r="K99" s="47"/>
      <c r="L99" s="47"/>
      <c r="M99" s="47"/>
    </row>
    <row r="100" spans="1:13" ht="18.75" x14ac:dyDescent="0.3">
      <c r="A100" s="47"/>
      <c r="B100" s="47"/>
      <c r="C100" s="47"/>
      <c r="D100" s="47"/>
      <c r="E100" s="47"/>
      <c r="F100" s="47"/>
      <c r="G100" s="47"/>
      <c r="H100" s="47"/>
      <c r="I100" s="47"/>
      <c r="J100" s="47"/>
      <c r="K100" s="47"/>
      <c r="L100" s="47"/>
      <c r="M100" s="47"/>
    </row>
    <row r="101" spans="1:13" ht="18.75" x14ac:dyDescent="0.3">
      <c r="A101" s="47"/>
      <c r="B101" s="47"/>
      <c r="C101" s="47"/>
      <c r="D101" s="47"/>
      <c r="E101" s="47"/>
      <c r="F101" s="47"/>
      <c r="G101" s="47"/>
      <c r="H101" s="47"/>
      <c r="I101" s="47"/>
      <c r="J101" s="47"/>
      <c r="K101" s="47"/>
      <c r="L101" s="47"/>
      <c r="M101" s="47"/>
    </row>
    <row r="102" spans="1:13" ht="18.75" x14ac:dyDescent="0.3">
      <c r="A102" s="47"/>
      <c r="B102" s="47"/>
      <c r="C102" s="47"/>
      <c r="D102" s="47"/>
      <c r="E102" s="47"/>
      <c r="F102" s="47"/>
      <c r="G102" s="47"/>
      <c r="H102" s="47"/>
      <c r="I102" s="47"/>
      <c r="J102" s="47"/>
      <c r="K102" s="47"/>
      <c r="L102" s="47"/>
      <c r="M102" s="47"/>
    </row>
    <row r="103" spans="1:13" ht="18.75" x14ac:dyDescent="0.3">
      <c r="A103" s="47"/>
      <c r="B103" s="47"/>
      <c r="C103" s="47"/>
      <c r="D103" s="47"/>
      <c r="E103" s="47"/>
      <c r="F103" s="47"/>
      <c r="G103" s="47"/>
      <c r="H103" s="47"/>
      <c r="I103" s="47"/>
      <c r="J103" s="47"/>
      <c r="K103" s="47"/>
      <c r="L103" s="47"/>
      <c r="M103" s="47"/>
    </row>
    <row r="104" spans="1:13" ht="18.75" x14ac:dyDescent="0.3">
      <c r="A104" s="47"/>
      <c r="B104" s="47"/>
      <c r="C104" s="47"/>
      <c r="D104" s="47"/>
      <c r="E104" s="47"/>
      <c r="F104" s="47"/>
      <c r="G104" s="47"/>
      <c r="H104" s="47"/>
      <c r="I104" s="47"/>
      <c r="J104" s="47"/>
      <c r="K104" s="47"/>
      <c r="L104" s="47"/>
      <c r="M104" s="47"/>
    </row>
    <row r="105" spans="1:13" ht="18.75" x14ac:dyDescent="0.3">
      <c r="A105" s="47"/>
      <c r="B105" s="47"/>
      <c r="C105" s="47"/>
      <c r="D105" s="47"/>
      <c r="E105" s="47"/>
      <c r="F105" s="47"/>
      <c r="G105" s="47"/>
      <c r="H105" s="47"/>
      <c r="I105" s="47"/>
      <c r="J105" s="47"/>
      <c r="K105" s="47"/>
      <c r="L105" s="47"/>
      <c r="M105" s="47"/>
    </row>
    <row r="106" spans="1:13" ht="18.75" x14ac:dyDescent="0.3">
      <c r="A106" s="47"/>
      <c r="B106" s="47"/>
      <c r="C106" s="47"/>
      <c r="D106" s="47"/>
      <c r="E106" s="47"/>
      <c r="F106" s="47"/>
      <c r="G106" s="47"/>
      <c r="H106" s="47"/>
      <c r="I106" s="47"/>
      <c r="J106" s="47"/>
      <c r="K106" s="47"/>
      <c r="L106" s="47"/>
      <c r="M106" s="47"/>
    </row>
    <row r="107" spans="1:13" ht="18.75" x14ac:dyDescent="0.3">
      <c r="A107" s="47"/>
      <c r="B107" s="47"/>
      <c r="C107" s="47"/>
      <c r="D107" s="47"/>
      <c r="E107" s="47"/>
      <c r="F107" s="47"/>
      <c r="G107" s="47"/>
      <c r="H107" s="47"/>
      <c r="I107" s="47"/>
      <c r="J107" s="47"/>
      <c r="K107" s="47"/>
      <c r="L107" s="47"/>
      <c r="M107" s="47"/>
    </row>
    <row r="108" spans="1:13" ht="18.75" x14ac:dyDescent="0.3">
      <c r="A108" s="47"/>
      <c r="B108" s="47"/>
      <c r="C108" s="47"/>
      <c r="D108" s="47"/>
      <c r="E108" s="47"/>
      <c r="F108" s="47"/>
      <c r="G108" s="47"/>
      <c r="H108" s="47"/>
      <c r="I108" s="47"/>
      <c r="J108" s="47"/>
      <c r="K108" s="47"/>
      <c r="L108" s="47"/>
      <c r="M108" s="47"/>
    </row>
    <row r="109" spans="1:13" ht="18.75" x14ac:dyDescent="0.3">
      <c r="A109" s="47"/>
      <c r="B109" s="47"/>
      <c r="C109" s="47"/>
      <c r="D109" s="47"/>
      <c r="E109" s="47"/>
      <c r="F109" s="47"/>
      <c r="G109" s="47"/>
      <c r="H109" s="47"/>
      <c r="I109" s="47"/>
      <c r="J109" s="47"/>
      <c r="K109" s="47"/>
      <c r="L109" s="47"/>
      <c r="M109" s="47"/>
    </row>
    <row r="110" spans="1:13" ht="18.75" x14ac:dyDescent="0.3">
      <c r="A110" s="47"/>
      <c r="B110" s="47"/>
      <c r="C110" s="47"/>
      <c r="D110" s="47"/>
      <c r="E110" s="47"/>
      <c r="F110" s="47"/>
      <c r="G110" s="47"/>
      <c r="H110" s="47"/>
      <c r="I110" s="47"/>
      <c r="J110" s="47"/>
      <c r="K110" s="47"/>
      <c r="L110" s="47"/>
      <c r="M110" s="47"/>
    </row>
    <row r="111" spans="1:13" ht="18.75" x14ac:dyDescent="0.3">
      <c r="A111" s="47"/>
      <c r="B111" s="47"/>
      <c r="C111" s="47"/>
      <c r="D111" s="47"/>
      <c r="E111" s="47"/>
      <c r="F111" s="47"/>
      <c r="G111" s="47"/>
      <c r="H111" s="47"/>
      <c r="I111" s="47"/>
      <c r="J111" s="47"/>
      <c r="K111" s="47"/>
      <c r="L111" s="47"/>
      <c r="M111" s="47"/>
    </row>
    <row r="112" spans="1:13" ht="18.75" x14ac:dyDescent="0.3">
      <c r="A112" s="47"/>
      <c r="B112" s="47"/>
      <c r="C112" s="47"/>
      <c r="D112" s="47"/>
      <c r="E112" s="47"/>
      <c r="F112" s="47"/>
      <c r="G112" s="47"/>
      <c r="H112" s="47"/>
      <c r="I112" s="47"/>
      <c r="J112" s="47"/>
      <c r="K112" s="47"/>
      <c r="L112" s="47"/>
      <c r="M112" s="47"/>
    </row>
    <row r="113" spans="1:13" ht="18.75" x14ac:dyDescent="0.3">
      <c r="A113" s="47"/>
      <c r="B113" s="47"/>
      <c r="C113" s="47"/>
      <c r="D113" s="47"/>
      <c r="E113" s="47"/>
      <c r="F113" s="47"/>
      <c r="G113" s="47"/>
      <c r="H113" s="47"/>
      <c r="I113" s="47"/>
      <c r="J113" s="47"/>
      <c r="K113" s="47"/>
      <c r="L113" s="47"/>
      <c r="M113" s="47"/>
    </row>
    <row r="114" spans="1:13" ht="18.75" x14ac:dyDescent="0.3">
      <c r="A114" s="47"/>
      <c r="B114" s="47"/>
      <c r="C114" s="47"/>
      <c r="D114" s="47"/>
      <c r="E114" s="47"/>
      <c r="F114" s="47"/>
      <c r="G114" s="47"/>
      <c r="H114" s="47"/>
      <c r="I114" s="47"/>
      <c r="J114" s="47"/>
      <c r="K114" s="47"/>
      <c r="L114" s="47"/>
      <c r="M114" s="47"/>
    </row>
    <row r="115" spans="1:13" ht="18.75" x14ac:dyDescent="0.3">
      <c r="A115" s="47"/>
      <c r="B115" s="47"/>
      <c r="C115" s="47"/>
      <c r="D115" s="47"/>
      <c r="E115" s="47"/>
      <c r="F115" s="47"/>
      <c r="G115" s="47"/>
      <c r="H115" s="47"/>
      <c r="I115" s="47"/>
      <c r="J115" s="47"/>
      <c r="K115" s="47"/>
      <c r="L115" s="47"/>
      <c r="M115" s="47"/>
    </row>
  </sheetData>
  <mergeCells count="3">
    <mergeCell ref="B5:D5"/>
    <mergeCell ref="F5:H5"/>
    <mergeCell ref="J5:L5"/>
  </mergeCells>
  <hyperlinks>
    <hyperlink ref="B1" location="Innhold!A1" display="Tilbake" xr:uid="{00000000-0004-0000-0400-000000000000}"/>
  </hyperlinks>
  <pageMargins left="0.7" right="0.7" top="0.78740157499999996" bottom="0.78740157499999996"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A1:K92"/>
  <sheetViews>
    <sheetView showGridLines="0" zoomScale="70" zoomScaleNormal="70" workbookViewId="0">
      <pane xSplit="1" ySplit="7" topLeftCell="B8" activePane="bottomRight" state="frozen"/>
      <selection activeCell="H73" sqref="H73"/>
      <selection pane="topRight" activeCell="H73" sqref="H73"/>
      <selection pane="bottomLeft" activeCell="H73" sqref="H73"/>
      <selection pane="bottomRight" activeCell="A5" sqref="A5"/>
    </sheetView>
  </sheetViews>
  <sheetFormatPr baseColWidth="10" defaultColWidth="11.42578125" defaultRowHeight="18" x14ac:dyDescent="0.25"/>
  <cols>
    <col min="1" max="1" width="35.7109375" style="52" customWidth="1"/>
    <col min="2" max="2" width="18.28515625" style="52" customWidth="1"/>
    <col min="3" max="3" width="17.7109375" style="52" customWidth="1"/>
    <col min="4" max="4" width="11.7109375" style="52" customWidth="1"/>
    <col min="5" max="5" width="4.7109375" style="52" customWidth="1"/>
    <col min="6" max="7" width="13" style="52" customWidth="1"/>
    <col min="8" max="8" width="11.7109375" style="52" customWidth="1"/>
    <col min="9" max="9" width="12.42578125" style="52" customWidth="1"/>
    <col min="10" max="10" width="11.42578125" style="52"/>
    <col min="11" max="12" width="17.28515625" style="52" bestFit="1" customWidth="1"/>
    <col min="13" max="16384" width="11.42578125" style="52"/>
  </cols>
  <sheetData>
    <row r="1" spans="1:11" ht="18.75" customHeight="1" x14ac:dyDescent="0.3">
      <c r="A1" s="51" t="s">
        <v>72</v>
      </c>
      <c r="B1" s="46" t="s">
        <v>52</v>
      </c>
      <c r="C1" s="51"/>
      <c r="D1" s="51"/>
      <c r="E1" s="51"/>
      <c r="F1" s="47"/>
      <c r="G1" s="47"/>
      <c r="H1" s="47"/>
      <c r="I1" s="47"/>
      <c r="J1" s="47"/>
    </row>
    <row r="2" spans="1:11" ht="20.100000000000001" customHeight="1" x14ac:dyDescent="0.3">
      <c r="A2" s="51" t="s">
        <v>140</v>
      </c>
      <c r="B2" s="51"/>
      <c r="C2" s="496"/>
      <c r="D2" s="51"/>
      <c r="E2" s="51"/>
      <c r="F2" s="47"/>
      <c r="G2" s="47"/>
      <c r="H2" s="47"/>
      <c r="I2" s="47"/>
      <c r="J2" s="47"/>
    </row>
    <row r="3" spans="1:11" ht="20.100000000000001" customHeight="1" x14ac:dyDescent="0.3">
      <c r="A3" s="48"/>
      <c r="B3" s="48"/>
      <c r="C3" s="48"/>
      <c r="D3" s="48"/>
      <c r="E3" s="48"/>
      <c r="F3" s="47"/>
      <c r="G3" s="47"/>
      <c r="H3" s="47"/>
      <c r="I3" s="47"/>
      <c r="J3" s="47"/>
    </row>
    <row r="4" spans="1:11" ht="20.100000000000001" customHeight="1" x14ac:dyDescent="0.3">
      <c r="A4" s="200"/>
      <c r="B4" s="555" t="s">
        <v>141</v>
      </c>
      <c r="C4" s="555"/>
      <c r="D4" s="556"/>
      <c r="E4" s="60"/>
      <c r="F4" s="557" t="s">
        <v>141</v>
      </c>
      <c r="G4" s="555"/>
      <c r="H4" s="556"/>
      <c r="I4" s="47"/>
      <c r="J4" s="47"/>
    </row>
    <row r="5" spans="1:11" ht="18.75" customHeight="1" x14ac:dyDescent="0.3">
      <c r="A5" s="497" t="s">
        <v>410</v>
      </c>
      <c r="B5" s="558" t="s">
        <v>142</v>
      </c>
      <c r="C5" s="559"/>
      <c r="D5" s="560"/>
      <c r="E5" s="498"/>
      <c r="F5" s="561" t="s">
        <v>143</v>
      </c>
      <c r="G5" s="562"/>
      <c r="H5" s="563"/>
      <c r="I5" s="47"/>
      <c r="J5" s="47"/>
    </row>
    <row r="6" spans="1:11" ht="18.75" customHeight="1" x14ac:dyDescent="0.3">
      <c r="A6" s="89"/>
      <c r="B6" s="87"/>
      <c r="C6" s="141"/>
      <c r="D6" s="201" t="s">
        <v>76</v>
      </c>
      <c r="E6" s="201"/>
      <c r="F6" s="90"/>
      <c r="G6" s="91"/>
      <c r="H6" s="65" t="s">
        <v>76</v>
      </c>
      <c r="I6" s="71"/>
      <c r="J6" s="47"/>
    </row>
    <row r="7" spans="1:11" ht="18.75" customHeight="1" x14ac:dyDescent="0.3">
      <c r="A7" s="93"/>
      <c r="B7" s="68">
        <v>2024</v>
      </c>
      <c r="C7" s="68">
        <v>2025</v>
      </c>
      <c r="D7" s="202" t="s">
        <v>78</v>
      </c>
      <c r="E7" s="201"/>
      <c r="F7" s="68">
        <v>2024</v>
      </c>
      <c r="G7" s="94">
        <v>2025</v>
      </c>
      <c r="H7" s="203" t="s">
        <v>78</v>
      </c>
      <c r="I7" s="71"/>
      <c r="J7" s="47"/>
    </row>
    <row r="8" spans="1:11" ht="18.75" customHeight="1" x14ac:dyDescent="0.3">
      <c r="A8" s="72" t="s">
        <v>144</v>
      </c>
      <c r="B8" s="77">
        <f>SUM(B9:B14)</f>
        <v>208807.91684311751</v>
      </c>
      <c r="C8" s="77">
        <f>SUM(C9:C14)</f>
        <v>183569.53101292995</v>
      </c>
      <c r="D8" s="204">
        <f t="shared" ref="D8:D38" si="0">IF(B8=0, "    ---- ", IF(ABS(ROUND(100/B8*C8-100,1))&lt;999,ROUND(100/B8*C8-100,1),IF(ROUND(100/B8*C8-100,1)&gt;999,999,-999)))</f>
        <v>-12.1</v>
      </c>
      <c r="E8" s="205"/>
      <c r="F8" s="204">
        <f>SUM(F9:F14)</f>
        <v>100</v>
      </c>
      <c r="G8" s="204">
        <f>SUM(G9:G14)</f>
        <v>99.999999999999972</v>
      </c>
      <c r="H8" s="205">
        <f t="shared" ref="H8:H38" si="1">IF(F8=0, "    ---- ", IF(ABS(ROUND(100/F8*G8-100,1))&lt;999,ROUND(100/F8*G8-100,1),IF(ROUND(100/F8*G8-100,1)&gt;999,999,-999)))</f>
        <v>0</v>
      </c>
      <c r="I8" s="75"/>
      <c r="J8" s="47"/>
    </row>
    <row r="9" spans="1:11" ht="18.75" customHeight="1" x14ac:dyDescent="0.3">
      <c r="A9" s="57" t="s">
        <v>145</v>
      </c>
      <c r="B9" s="75">
        <f>'Tabell 6'!AI21</f>
        <v>3946.8177037999999</v>
      </c>
      <c r="C9" s="75">
        <f>'Tabell 6'!AJ21</f>
        <v>5617.2940420800005</v>
      </c>
      <c r="D9" s="206">
        <f t="shared" si="0"/>
        <v>42.3</v>
      </c>
      <c r="E9" s="206"/>
      <c r="F9" s="206">
        <f>'Tabell 6'!AI21/'Tabell 6'!AI29*100</f>
        <v>1.890166696488496</v>
      </c>
      <c r="G9" s="206">
        <f>'Tabell 6'!AJ21/'Tabell 6'!AJ29*100</f>
        <v>3.0600361678128047</v>
      </c>
      <c r="H9" s="207">
        <f t="shared" si="1"/>
        <v>61.9</v>
      </c>
      <c r="I9" s="75"/>
      <c r="J9" s="50"/>
    </row>
    <row r="10" spans="1:11" ht="18.75" customHeight="1" x14ac:dyDescent="0.3">
      <c r="A10" s="76" t="s">
        <v>397</v>
      </c>
      <c r="B10" s="74">
        <f>'Tabell 6'!AI17+'Tabell 6'!AI22</f>
        <v>79255.937597349999</v>
      </c>
      <c r="C10" s="74">
        <f>'Tabell 6'!AJ17+'Tabell 6'!AJ22</f>
        <v>71029.267702069992</v>
      </c>
      <c r="D10" s="206">
        <f t="shared" si="0"/>
        <v>-10.4</v>
      </c>
      <c r="E10" s="206"/>
      <c r="F10" s="206">
        <f>('Tabell 6'!AI17+'Tabell 6'!AI22)/'Tabell 6'!AI29*100</f>
        <v>37.956385368710386</v>
      </c>
      <c r="G10" s="206">
        <f>('Tabell 6'!AJ17+'Tabell 6'!AJ22)/'Tabell 6'!AJ29*100</f>
        <v>38.693386266300884</v>
      </c>
      <c r="H10" s="207">
        <f t="shared" si="1"/>
        <v>1.9</v>
      </c>
      <c r="I10" s="75"/>
      <c r="J10" s="47"/>
    </row>
    <row r="11" spans="1:11" ht="18.75" customHeight="1" x14ac:dyDescent="0.3">
      <c r="A11" s="57" t="s">
        <v>146</v>
      </c>
      <c r="B11" s="74">
        <f>'Tabell 6'!AI14</f>
        <v>1350.1865066300002</v>
      </c>
      <c r="C11" s="74">
        <f>'Tabell 6'!AJ14</f>
        <v>1344.1865066300002</v>
      </c>
      <c r="D11" s="206">
        <f t="shared" si="0"/>
        <v>-0.4</v>
      </c>
      <c r="E11" s="206"/>
      <c r="F11" s="206">
        <f>'Tabell 6'!AI14/'Tabell 6'!AI29*100</f>
        <v>0.64661653017899134</v>
      </c>
      <c r="G11" s="206">
        <f>'Tabell 6'!AJ14/'Tabell 6'!AJ29*100</f>
        <v>0.73224924594666008</v>
      </c>
      <c r="H11" s="207">
        <f t="shared" si="1"/>
        <v>13.2</v>
      </c>
      <c r="I11" s="75"/>
      <c r="J11" s="47"/>
    </row>
    <row r="12" spans="1:11" ht="18.75" customHeight="1" x14ac:dyDescent="0.3">
      <c r="A12" s="76" t="s">
        <v>147</v>
      </c>
      <c r="B12" s="74">
        <f>'Tabell 6'!AI15</f>
        <v>27094.511934839997</v>
      </c>
      <c r="C12" s="74">
        <f>'Tabell 6'!AJ15</f>
        <v>28214.23723893</v>
      </c>
      <c r="D12" s="206">
        <f t="shared" si="0"/>
        <v>4.0999999999999996</v>
      </c>
      <c r="E12" s="206"/>
      <c r="F12" s="206">
        <f>'Tabell 6'!AI15/'Tabell 6'!AI29*100</f>
        <v>12.97580682977493</v>
      </c>
      <c r="G12" s="206">
        <f>'Tabell 6'!AJ15/'Tabell 6'!AJ29*100</f>
        <v>15.369782274457458</v>
      </c>
      <c r="H12" s="207">
        <f t="shared" si="1"/>
        <v>18.399999999999999</v>
      </c>
      <c r="I12" s="75"/>
      <c r="J12" s="47"/>
      <c r="K12" s="101"/>
    </row>
    <row r="13" spans="1:11" ht="18.75" customHeight="1" x14ac:dyDescent="0.3">
      <c r="A13" s="57" t="s">
        <v>148</v>
      </c>
      <c r="B13" s="74">
        <f>'Tabell 6'!AI19+'Tabell 6'!AI23</f>
        <v>34445.587427179998</v>
      </c>
      <c r="C13" s="74">
        <f>'Tabell 6'!AJ19+'Tabell 6'!AJ23</f>
        <v>34930.966473399996</v>
      </c>
      <c r="D13" s="206">
        <f t="shared" si="0"/>
        <v>1.4</v>
      </c>
      <c r="E13" s="206"/>
      <c r="F13" s="206">
        <f>('Tabell 6'!AI19+'Tabell 6'!AI23)/'Tabell 6'!AI29*100</f>
        <v>16.496303371993225</v>
      </c>
      <c r="G13" s="206">
        <f>('Tabell 6'!AJ19+'Tabell 6'!AJ23)/'Tabell 6'!AJ29*100</f>
        <v>19.028738745832271</v>
      </c>
      <c r="H13" s="207">
        <f t="shared" si="1"/>
        <v>15.4</v>
      </c>
      <c r="I13" s="75"/>
      <c r="J13" s="47"/>
    </row>
    <row r="14" spans="1:11" ht="18.75" customHeight="1" x14ac:dyDescent="0.3">
      <c r="A14" s="57" t="s">
        <v>149</v>
      </c>
      <c r="B14" s="130">
        <f>'Tabell 6'!AI24+'Tabell 6'!AI25+'Tabell 6'!AI26+'Tabell 6'!AI28</f>
        <v>62714.875673317518</v>
      </c>
      <c r="C14" s="130">
        <f>'Tabell 6'!AJ24+'Tabell 6'!AJ25+'Tabell 6'!AJ26+'Tabell 6'!AJ28</f>
        <v>42433.579049819957</v>
      </c>
      <c r="D14" s="206">
        <f t="shared" si="0"/>
        <v>-32.299999999999997</v>
      </c>
      <c r="E14" s="206"/>
      <c r="F14" s="206">
        <f>('Tabell 6'!AI24+'Tabell 6'!AI25+'Tabell 6'!AI26+'Tabell 6'!AI28)/'Tabell 6'!AI29*100</f>
        <v>30.03472120285398</v>
      </c>
      <c r="G14" s="206">
        <f>('Tabell 6'!AJ24+'Tabell 6'!AJ25+'Tabell 6'!AJ26+'Tabell 6'!AJ28)/'Tabell 6'!AJ29*100</f>
        <v>23.115807299649902</v>
      </c>
      <c r="H14" s="207">
        <f t="shared" si="1"/>
        <v>-23</v>
      </c>
      <c r="I14" s="75"/>
      <c r="J14" s="47"/>
    </row>
    <row r="15" spans="1:11" ht="18.75" customHeight="1" x14ac:dyDescent="0.3">
      <c r="A15" s="76"/>
      <c r="B15" s="74"/>
      <c r="C15" s="130"/>
      <c r="D15" s="207"/>
      <c r="E15" s="207"/>
      <c r="F15" s="207"/>
      <c r="G15" s="206"/>
      <c r="H15" s="207"/>
      <c r="I15" s="75"/>
      <c r="J15" s="47"/>
    </row>
    <row r="16" spans="1:11" s="101" customFormat="1" ht="18.75" customHeight="1" x14ac:dyDescent="0.3">
      <c r="A16" s="72" t="s">
        <v>150</v>
      </c>
      <c r="B16" s="77">
        <f>SUM(B17:B22)</f>
        <v>1433524.8242266499</v>
      </c>
      <c r="C16" s="77">
        <f>SUM(C17:C22)</f>
        <v>1523336.5210560998</v>
      </c>
      <c r="D16" s="204">
        <f t="shared" si="0"/>
        <v>6.3</v>
      </c>
      <c r="E16" s="204"/>
      <c r="F16" s="204">
        <f>SUM(F17:F22)</f>
        <v>100</v>
      </c>
      <c r="G16" s="204">
        <f>SUM(G17:G22)</f>
        <v>100</v>
      </c>
      <c r="H16" s="205">
        <f t="shared" si="1"/>
        <v>0</v>
      </c>
      <c r="I16" s="78"/>
      <c r="J16" s="48"/>
    </row>
    <row r="17" spans="1:10" ht="18.75" customHeight="1" x14ac:dyDescent="0.3">
      <c r="A17" s="57" t="s">
        <v>145</v>
      </c>
      <c r="B17" s="74">
        <f>'Tabell 6'!AI40</f>
        <v>363714.63444596005</v>
      </c>
      <c r="C17" s="74">
        <f>'Tabell 6'!AJ40</f>
        <v>408737.34270501003</v>
      </c>
      <c r="D17" s="206">
        <f t="shared" si="0"/>
        <v>12.4</v>
      </c>
      <c r="E17" s="206"/>
      <c r="F17" s="206">
        <f>'Tabell 6'!AI40/('Tabell 6'!AI45+'Tabell 6'!AI46)*100</f>
        <v>25.372049949827325</v>
      </c>
      <c r="G17" s="206">
        <f>'Tabell 6'!AJ40/('Tabell 6'!AJ45+'Tabell 6'!AJ46)*100</f>
        <v>26.831716896122227</v>
      </c>
      <c r="H17" s="207">
        <f t="shared" si="1"/>
        <v>5.8</v>
      </c>
      <c r="I17" s="75"/>
      <c r="J17" s="47"/>
    </row>
    <row r="18" spans="1:10" ht="18.75" customHeight="1" x14ac:dyDescent="0.3">
      <c r="A18" s="76" t="s">
        <v>397</v>
      </c>
      <c r="B18" s="74">
        <f>'Tabell 6'!AI36+'Tabell 6'!AI41</f>
        <v>388142.43018850998</v>
      </c>
      <c r="C18" s="74">
        <f>'Tabell 6'!AJ36+'Tabell 6'!AJ41</f>
        <v>412292.79750830994</v>
      </c>
      <c r="D18" s="206">
        <f t="shared" si="0"/>
        <v>6.2</v>
      </c>
      <c r="E18" s="206"/>
      <c r="F18" s="206">
        <f>('Tabell 6'!AI36+'Tabell 6'!AI41)/('Tabell 6'!AI45+'Tabell 6'!AI46)*100</f>
        <v>27.076087112610892</v>
      </c>
      <c r="G18" s="206">
        <f>('Tabell 6'!AJ36+'Tabell 6'!AJ41)/('Tabell 6'!AJ45+'Tabell 6'!AJ46)*100</f>
        <v>27.065116066571772</v>
      </c>
      <c r="H18" s="207">
        <f t="shared" si="1"/>
        <v>0</v>
      </c>
      <c r="I18" s="75"/>
      <c r="J18" s="47"/>
    </row>
    <row r="19" spans="1:10" ht="18.75" customHeight="1" x14ac:dyDescent="0.3">
      <c r="A19" s="57" t="s">
        <v>146</v>
      </c>
      <c r="B19" s="74">
        <f>'Tabell 6'!AI33</f>
        <v>14</v>
      </c>
      <c r="C19" s="74">
        <f>'Tabell 6'!AJ33</f>
        <v>14.225545809999998</v>
      </c>
      <c r="D19" s="206">
        <f t="shared" si="0"/>
        <v>1.6</v>
      </c>
      <c r="E19" s="206"/>
      <c r="F19" s="206">
        <f>'Tabell 6'!AI33/('Tabell 6'!AI45+'Tabell 6'!AI46)*100</f>
        <v>9.7661371211709845E-4</v>
      </c>
      <c r="G19" s="206">
        <f>'Tabell 6'!AJ33/('Tabell 6'!AJ45+'Tabell 6'!AJ46)*100</f>
        <v>9.3384131564952586E-4</v>
      </c>
      <c r="H19" s="207">
        <f t="shared" si="1"/>
        <v>-4.4000000000000004</v>
      </c>
      <c r="I19" s="75"/>
      <c r="J19" s="47"/>
    </row>
    <row r="20" spans="1:10" ht="18.75" customHeight="1" x14ac:dyDescent="0.3">
      <c r="A20" s="76" t="s">
        <v>147</v>
      </c>
      <c r="B20" s="74">
        <f>'Tabell 6'!AI34</f>
        <v>167930.49433804999</v>
      </c>
      <c r="C20" s="74">
        <f>'Tabell 6'!AJ34</f>
        <v>178377.45330149005</v>
      </c>
      <c r="D20" s="206">
        <f t="shared" si="0"/>
        <v>6.2</v>
      </c>
      <c r="E20" s="206"/>
      <c r="F20" s="206">
        <f>'Tabell 6'!AI34/('Tabell 6'!AI45+'Tabell 6'!AI46)*100</f>
        <v>11.714515960938742</v>
      </c>
      <c r="G20" s="206">
        <f>'Tabell 6'!AJ34/('Tabell 6'!AJ45+'Tabell 6'!AJ46)*100</f>
        <v>11.709655144210972</v>
      </c>
      <c r="H20" s="207">
        <f t="shared" si="1"/>
        <v>0</v>
      </c>
      <c r="I20" s="75"/>
      <c r="J20" s="47"/>
    </row>
    <row r="21" spans="1:10" ht="18.75" customHeight="1" x14ac:dyDescent="0.3">
      <c r="A21" s="57" t="s">
        <v>148</v>
      </c>
      <c r="B21" s="74">
        <f>'Tabell 6'!AI38+'Tabell 6'!AI42</f>
        <v>505874.89697907993</v>
      </c>
      <c r="C21" s="74">
        <f>'Tabell 6'!AJ38+'Tabell 6'!AJ42</f>
        <v>511405.60596142005</v>
      </c>
      <c r="D21" s="206">
        <f t="shared" si="0"/>
        <v>1.1000000000000001</v>
      </c>
      <c r="E21" s="206"/>
      <c r="F21" s="206">
        <f>('Tabell 6'!AI38+'Tabell 6'!AI42)/('Tabell 6'!AI45+'Tabell 6'!AI46)*100</f>
        <v>35.288882928971006</v>
      </c>
      <c r="G21" s="206">
        <f>('Tabell 6'!AJ38+'Tabell 6'!AJ42)/('Tabell 6'!AJ45+'Tabell 6'!AJ46)*100</f>
        <v>33.571413728522202</v>
      </c>
      <c r="H21" s="207">
        <f t="shared" si="1"/>
        <v>-4.9000000000000004</v>
      </c>
      <c r="I21" s="75"/>
      <c r="J21" s="47"/>
    </row>
    <row r="22" spans="1:10" ht="18.75" customHeight="1" x14ac:dyDescent="0.3">
      <c r="A22" s="76" t="s">
        <v>149</v>
      </c>
      <c r="B22" s="130">
        <f>'Tabell 6'!AI43+'Tabell 6'!AI44+'Tabell 6'!AI46</f>
        <v>7848.3682750500002</v>
      </c>
      <c r="C22" s="130">
        <f>'Tabell 6'!AJ43+'Tabell 6'!AJ44+'Tabell 6'!AJ46</f>
        <v>12509.096034059692</v>
      </c>
      <c r="D22" s="206">
        <f t="shared" si="0"/>
        <v>59.4</v>
      </c>
      <c r="E22" s="206"/>
      <c r="F22" s="207">
        <f>('Tabell 6'!AI43+'Tabell 6'!AI44+'Tabell 6'!AI46)/('Tabell 6'!AI45+'Tabell 6'!AI46)*100</f>
        <v>0.54748743393990362</v>
      </c>
      <c r="G22" s="207">
        <f>('Tabell 6'!AJ43+'Tabell 6'!AJ44+'Tabell 6'!AJ46)/('Tabell 6'!AJ45+'Tabell 6'!AJ46)*100</f>
        <v>0.82116432325717359</v>
      </c>
      <c r="H22" s="207">
        <f t="shared" si="1"/>
        <v>50</v>
      </c>
      <c r="I22" s="75"/>
      <c r="J22" s="47"/>
    </row>
    <row r="23" spans="1:10" ht="18.75" customHeight="1" x14ac:dyDescent="0.3">
      <c r="A23" s="57"/>
      <c r="B23" s="130"/>
      <c r="C23" s="130"/>
      <c r="D23" s="207"/>
      <c r="E23" s="206"/>
      <c r="F23" s="206"/>
      <c r="G23" s="207"/>
      <c r="H23" s="207"/>
      <c r="I23" s="133"/>
      <c r="J23" s="47"/>
    </row>
    <row r="24" spans="1:10" ht="18.75" customHeight="1" x14ac:dyDescent="0.3">
      <c r="A24" s="102" t="s">
        <v>151</v>
      </c>
      <c r="B24" s="77">
        <f>SUM(B25:B30)</f>
        <v>772487.79334495857</v>
      </c>
      <c r="C24" s="77">
        <f>SUM(C25:C30)</f>
        <v>892560.15084197198</v>
      </c>
      <c r="D24" s="204">
        <f t="shared" si="0"/>
        <v>15.5</v>
      </c>
      <c r="E24" s="204"/>
      <c r="F24" s="205">
        <f>SUM(F25:F30)</f>
        <v>99.999999999999986</v>
      </c>
      <c r="G24" s="205">
        <f>SUM(G25:G30)</f>
        <v>100.00000000000001</v>
      </c>
      <c r="H24" s="207">
        <f t="shared" si="1"/>
        <v>0</v>
      </c>
      <c r="I24" s="133"/>
      <c r="J24" s="47"/>
    </row>
    <row r="25" spans="1:10" ht="18.75" customHeight="1" x14ac:dyDescent="0.3">
      <c r="A25" s="76" t="s">
        <v>145</v>
      </c>
      <c r="B25" s="74">
        <f>'Tabell 6'!AI55</f>
        <v>526329.79525846988</v>
      </c>
      <c r="C25" s="74">
        <f>'Tabell 6'!AJ55</f>
        <v>612099.49055752833</v>
      </c>
      <c r="D25" s="206">
        <f t="shared" si="0"/>
        <v>16.3</v>
      </c>
      <c r="E25" s="206"/>
      <c r="F25" s="206">
        <f>'Tabell 6'!AI55/('Tabell 6'!AI60+'Tabell 6'!AI61)*100</f>
        <v>68.134383454708441</v>
      </c>
      <c r="G25" s="206">
        <f>'Tabell 6'!AJ55/('Tabell 6'!AJ60+'Tabell 6'!AJ61)*100</f>
        <v>68.577954099801715</v>
      </c>
      <c r="H25" s="207">
        <f t="shared" si="1"/>
        <v>0.7</v>
      </c>
      <c r="I25" s="133"/>
      <c r="J25" s="47"/>
    </row>
    <row r="26" spans="1:10" ht="18.75" customHeight="1" x14ac:dyDescent="0.3">
      <c r="A26" s="76" t="s">
        <v>397</v>
      </c>
      <c r="B26" s="74">
        <f>'Tabell 6'!AI51+'Tabell 6'!AI56</f>
        <v>220404.90071939005</v>
      </c>
      <c r="C26" s="74">
        <f>'Tabell 6'!AJ51+'Tabell 6'!AJ56</f>
        <v>247744.74660191196</v>
      </c>
      <c r="D26" s="206">
        <f t="shared" si="0"/>
        <v>12.4</v>
      </c>
      <c r="E26" s="206"/>
      <c r="F26" s="206">
        <f>('Tabell 6'!AI51+'Tabell 6'!AI56)/('Tabell 6'!AI60+'Tabell 6'!AI61)*100</f>
        <v>28.531829579469747</v>
      </c>
      <c r="G26" s="206">
        <f>('Tabell 6'!AJ51+'Tabell 6'!AJ56)/('Tabell 6'!AJ60+'Tabell 6'!AJ61)*100</f>
        <v>27.756644341359948</v>
      </c>
      <c r="H26" s="207">
        <f t="shared" si="1"/>
        <v>-2.7</v>
      </c>
      <c r="I26" s="133"/>
      <c r="J26" s="47"/>
    </row>
    <row r="27" spans="1:10" ht="18.75" customHeight="1" x14ac:dyDescent="0.3">
      <c r="A27" s="76" t="s">
        <v>146</v>
      </c>
      <c r="B27" s="74">
        <f>'Tabell 6'!AI48</f>
        <v>0</v>
      </c>
      <c r="C27" s="74">
        <f>'Tabell 6'!AJ48</f>
        <v>0</v>
      </c>
      <c r="D27" s="206" t="str">
        <f t="shared" si="0"/>
        <v xml:space="preserve">    ---- </v>
      </c>
      <c r="E27" s="206"/>
      <c r="F27" s="206">
        <f>'Tabell 6'!AI48/('Tabell 6'!AI60+'Tabell 6'!AI61)*100</f>
        <v>0</v>
      </c>
      <c r="G27" s="206">
        <f>'Tabell 6'!AJ48/('Tabell 6'!AJ60+'Tabell 6'!AJ61)*100</f>
        <v>0</v>
      </c>
      <c r="H27" s="207" t="str">
        <f t="shared" si="1"/>
        <v xml:space="preserve">    ---- </v>
      </c>
      <c r="I27" s="133"/>
      <c r="J27" s="47"/>
    </row>
    <row r="28" spans="1:10" ht="18.75" customHeight="1" x14ac:dyDescent="0.3">
      <c r="A28" s="76" t="s">
        <v>147</v>
      </c>
      <c r="B28" s="74">
        <f>'Tabell 6'!AI49</f>
        <v>20215.460048989997</v>
      </c>
      <c r="C28" s="74">
        <f>'Tabell 6'!AJ49</f>
        <v>24394.148022839883</v>
      </c>
      <c r="D28" s="206">
        <f t="shared" si="0"/>
        <v>20.7</v>
      </c>
      <c r="E28" s="206"/>
      <c r="F28" s="206">
        <f>'Tabell 6'!AI49/('Tabell 6'!AI60+'Tabell 6'!AI61)*100</f>
        <v>2.6169293836288068</v>
      </c>
      <c r="G28" s="206">
        <f>'Tabell 6'!AJ49/('Tabell 6'!AJ60+'Tabell 6'!AJ61)*100</f>
        <v>2.733053677091493</v>
      </c>
      <c r="H28" s="207">
        <f t="shared" si="1"/>
        <v>4.4000000000000004</v>
      </c>
      <c r="I28" s="133"/>
      <c r="J28" s="47"/>
    </row>
    <row r="29" spans="1:10" ht="18.75" customHeight="1" x14ac:dyDescent="0.3">
      <c r="A29" s="76" t="s">
        <v>148</v>
      </c>
      <c r="B29" s="74">
        <f>'Tabell 6'!AI53+'Tabell 6'!AI57</f>
        <v>3439.3214006699995</v>
      </c>
      <c r="C29" s="74">
        <f>'Tabell 6'!AJ53+'Tabell 6'!AJ57</f>
        <v>4280.054812639999</v>
      </c>
      <c r="D29" s="206">
        <f t="shared" si="0"/>
        <v>24.4</v>
      </c>
      <c r="E29" s="206"/>
      <c r="F29" s="206">
        <f>('Tabell 6'!AI53+'Tabell 6'!AI57)/('Tabell 6'!AI60+'Tabell 6'!AI61)*100</f>
        <v>0.44522663403875323</v>
      </c>
      <c r="G29" s="206">
        <f>('Tabell 6'!AJ53+'Tabell 6'!AJ57)/('Tabell 6'!AJ60+'Tabell 6'!AJ61)*100</f>
        <v>0.479525644137544</v>
      </c>
      <c r="H29" s="207">
        <f t="shared" si="1"/>
        <v>7.7</v>
      </c>
      <c r="I29" s="133"/>
      <c r="J29" s="47"/>
    </row>
    <row r="30" spans="1:10" ht="18.75" customHeight="1" x14ac:dyDescent="0.3">
      <c r="A30" s="57" t="s">
        <v>149</v>
      </c>
      <c r="B30" s="130">
        <f>'Tabell 6'!AI58+'Tabell 6'!AI59+'Tabell 6'!AI61</f>
        <v>2098.3159174387324</v>
      </c>
      <c r="C30" s="130">
        <f>'Tabell 6'!AJ58+'Tabell 6'!AJ59+'Tabell 6'!AJ61</f>
        <v>4041.7108470518206</v>
      </c>
      <c r="D30" s="207">
        <f t="shared" si="0"/>
        <v>92.6</v>
      </c>
      <c r="E30" s="207"/>
      <c r="F30" s="207">
        <f>('Tabell 6'!AI58+'Tabell 6'!AI59+'Tabell 6'!AI61)/('Tabell 6'!AI60+'Tabell 6'!AI61)*100</f>
        <v>0.27163094815424715</v>
      </c>
      <c r="G30" s="207">
        <f>('Tabell 6'!AJ58+'Tabell 6'!AJ59+'Tabell 6'!AJ61)/('Tabell 6'!AJ60+'Tabell 6'!AJ61)*100</f>
        <v>0.45282223760932927</v>
      </c>
      <c r="H30" s="207">
        <f t="shared" si="1"/>
        <v>66.7</v>
      </c>
      <c r="I30" s="133"/>
      <c r="J30" s="47"/>
    </row>
    <row r="31" spans="1:10" ht="18.75" customHeight="1" x14ac:dyDescent="0.3">
      <c r="A31" s="76"/>
      <c r="B31" s="130"/>
      <c r="C31" s="130"/>
      <c r="D31" s="206"/>
      <c r="E31" s="206"/>
      <c r="F31" s="206"/>
      <c r="G31" s="207"/>
      <c r="H31" s="207"/>
      <c r="I31" s="133"/>
      <c r="J31" s="47"/>
    </row>
    <row r="32" spans="1:10" ht="18.75" customHeight="1" x14ac:dyDescent="0.3">
      <c r="A32" s="102" t="s">
        <v>2</v>
      </c>
      <c r="B32" s="77">
        <f>SUM(B33:B38)</f>
        <v>2414820.5344147263</v>
      </c>
      <c r="C32" s="77">
        <f>SUM(C33:C38)</f>
        <v>2599466.2029110016</v>
      </c>
      <c r="D32" s="204">
        <f t="shared" si="0"/>
        <v>7.6</v>
      </c>
      <c r="E32" s="204"/>
      <c r="F32" s="204">
        <f>SUM(F33:F38)</f>
        <v>99.999999999999986</v>
      </c>
      <c r="G32" s="204">
        <f>SUM(G33:G38)</f>
        <v>100</v>
      </c>
      <c r="H32" s="205">
        <f t="shared" si="1"/>
        <v>0</v>
      </c>
      <c r="I32" s="133"/>
      <c r="J32" s="47"/>
    </row>
    <row r="33" spans="1:10" ht="18.75" customHeight="1" x14ac:dyDescent="0.3">
      <c r="A33" s="76" t="s">
        <v>145</v>
      </c>
      <c r="B33" s="74">
        <f t="shared" ref="B33:C38" si="2">B9+B17+B25</f>
        <v>893991.24740822986</v>
      </c>
      <c r="C33" s="74">
        <f t="shared" si="2"/>
        <v>1026454.1273046184</v>
      </c>
      <c r="D33" s="206">
        <f t="shared" si="0"/>
        <v>14.8</v>
      </c>
      <c r="E33" s="206"/>
      <c r="F33" s="206">
        <f>B33/B32*100</f>
        <v>37.021022252691097</v>
      </c>
      <c r="G33" s="206">
        <f>C33/C32*100</f>
        <v>39.487111859932931</v>
      </c>
      <c r="H33" s="207">
        <f t="shared" si="1"/>
        <v>6.7</v>
      </c>
      <c r="I33" s="133"/>
      <c r="J33" s="47"/>
    </row>
    <row r="34" spans="1:10" ht="18.75" customHeight="1" x14ac:dyDescent="0.3">
      <c r="A34" s="76" t="s">
        <v>397</v>
      </c>
      <c r="B34" s="74">
        <f t="shared" si="2"/>
        <v>687803.26850524999</v>
      </c>
      <c r="C34" s="74">
        <f t="shared" si="2"/>
        <v>731066.81181229185</v>
      </c>
      <c r="D34" s="206">
        <f t="shared" si="0"/>
        <v>6.3</v>
      </c>
      <c r="E34" s="206"/>
      <c r="F34" s="206">
        <f>B34/B32*100</f>
        <v>28.482583227326707</v>
      </c>
      <c r="G34" s="206">
        <f>C34/C32*100</f>
        <v>28.123728286738626</v>
      </c>
      <c r="H34" s="207">
        <f t="shared" si="1"/>
        <v>-1.3</v>
      </c>
      <c r="I34" s="133"/>
      <c r="J34" s="47"/>
    </row>
    <row r="35" spans="1:10" ht="18.75" customHeight="1" x14ac:dyDescent="0.3">
      <c r="A35" s="76" t="s">
        <v>146</v>
      </c>
      <c r="B35" s="74">
        <f t="shared" si="2"/>
        <v>1364.1865066300002</v>
      </c>
      <c r="C35" s="74">
        <f t="shared" si="2"/>
        <v>1358.4120524400003</v>
      </c>
      <c r="D35" s="206">
        <f t="shared" si="0"/>
        <v>-0.4</v>
      </c>
      <c r="E35" s="206"/>
      <c r="F35" s="206">
        <f>B35/B32*100</f>
        <v>5.6492252206254923E-2</v>
      </c>
      <c r="G35" s="206">
        <f>C35/C32*100</f>
        <v>5.2257346178180272E-2</v>
      </c>
      <c r="H35" s="207">
        <f t="shared" si="1"/>
        <v>-7.5</v>
      </c>
      <c r="I35" s="133"/>
      <c r="J35" s="47"/>
    </row>
    <row r="36" spans="1:10" ht="18.75" customHeight="1" x14ac:dyDescent="0.3">
      <c r="A36" s="76" t="s">
        <v>147</v>
      </c>
      <c r="B36" s="74">
        <f t="shared" si="2"/>
        <v>215240.46632188</v>
      </c>
      <c r="C36" s="74">
        <f t="shared" si="2"/>
        <v>230985.83856325995</v>
      </c>
      <c r="D36" s="206">
        <f t="shared" si="0"/>
        <v>7.3</v>
      </c>
      <c r="E36" s="206"/>
      <c r="F36" s="206">
        <f>B36/B32*100</f>
        <v>8.9133110827238884</v>
      </c>
      <c r="G36" s="206">
        <f>C36/C32*100</f>
        <v>8.8858950466288587</v>
      </c>
      <c r="H36" s="207">
        <f t="shared" si="1"/>
        <v>-0.3</v>
      </c>
      <c r="I36" s="133"/>
      <c r="J36" s="47"/>
    </row>
    <row r="37" spans="1:10" ht="18.75" customHeight="1" x14ac:dyDescent="0.3">
      <c r="A37" s="76" t="s">
        <v>148</v>
      </c>
      <c r="B37" s="74">
        <f t="shared" si="2"/>
        <v>543759.80580692994</v>
      </c>
      <c r="C37" s="74">
        <f t="shared" si="2"/>
        <v>550616.62724745995</v>
      </c>
      <c r="D37" s="206">
        <f t="shared" si="0"/>
        <v>1.3</v>
      </c>
      <c r="E37" s="206"/>
      <c r="F37" s="206">
        <f>B37/B32*100</f>
        <v>22.517607335930641</v>
      </c>
      <c r="G37" s="206">
        <f>C37/C32*100</f>
        <v>21.181911372067624</v>
      </c>
      <c r="H37" s="207">
        <f t="shared" si="1"/>
        <v>-5.9</v>
      </c>
      <c r="I37" s="133"/>
      <c r="J37" s="47"/>
    </row>
    <row r="38" spans="1:10" ht="18.75" customHeight="1" x14ac:dyDescent="0.3">
      <c r="A38" s="208" t="s">
        <v>149</v>
      </c>
      <c r="B38" s="209">
        <f t="shared" si="2"/>
        <v>72661.559865806237</v>
      </c>
      <c r="C38" s="209">
        <f t="shared" si="2"/>
        <v>58984.385930931472</v>
      </c>
      <c r="D38" s="210">
        <f t="shared" si="0"/>
        <v>-18.8</v>
      </c>
      <c r="E38" s="206"/>
      <c r="F38" s="210">
        <f>B38/B32*100</f>
        <v>3.0089838491214018</v>
      </c>
      <c r="G38" s="210">
        <f>C38/C32*100</f>
        <v>2.2690960884537774</v>
      </c>
      <c r="H38" s="211">
        <f t="shared" si="1"/>
        <v>-24.6</v>
      </c>
      <c r="I38" s="133"/>
      <c r="J38" s="47"/>
    </row>
    <row r="39" spans="1:10" ht="18.75" customHeight="1" x14ac:dyDescent="0.3">
      <c r="A39" s="47"/>
      <c r="B39" s="47"/>
      <c r="C39" s="47"/>
      <c r="D39" s="47"/>
      <c r="E39" s="47"/>
      <c r="F39" s="133"/>
      <c r="G39" s="133"/>
      <c r="H39" s="133"/>
      <c r="I39" s="133"/>
      <c r="J39" s="47"/>
    </row>
    <row r="40" spans="1:10" ht="18.75" customHeight="1" x14ac:dyDescent="0.3">
      <c r="A40" s="47" t="s">
        <v>152</v>
      </c>
      <c r="B40" s="47"/>
      <c r="C40" s="47"/>
      <c r="D40" s="47"/>
      <c r="E40" s="47"/>
      <c r="F40" s="133"/>
      <c r="G40" s="133"/>
      <c r="H40" s="133"/>
      <c r="I40" s="133"/>
      <c r="J40" s="47"/>
    </row>
    <row r="41" spans="1:10" ht="18.75" x14ac:dyDescent="0.3">
      <c r="A41" s="47" t="s">
        <v>95</v>
      </c>
      <c r="B41" s="47"/>
      <c r="C41" s="47"/>
      <c r="D41" s="47"/>
      <c r="E41" s="47"/>
      <c r="F41" s="47"/>
      <c r="G41" s="47"/>
      <c r="H41" s="47"/>
      <c r="I41" s="47"/>
      <c r="J41" s="47"/>
    </row>
    <row r="42" spans="1:10" ht="18.75" x14ac:dyDescent="0.3">
      <c r="A42" s="47"/>
      <c r="B42" s="47"/>
      <c r="C42" s="47"/>
      <c r="D42" s="47"/>
      <c r="E42" s="47"/>
      <c r="G42" s="47"/>
      <c r="H42" s="47"/>
      <c r="I42" s="47"/>
      <c r="J42" s="47"/>
    </row>
    <row r="43" spans="1:10" ht="18.75" x14ac:dyDescent="0.3">
      <c r="A43" s="47"/>
      <c r="B43" s="47"/>
      <c r="C43" s="47"/>
      <c r="D43" s="47"/>
      <c r="E43" s="47"/>
      <c r="F43" s="47"/>
      <c r="G43" s="47"/>
      <c r="H43" s="47"/>
      <c r="I43" s="47"/>
      <c r="J43" s="47"/>
    </row>
    <row r="44" spans="1:10" ht="18.75" x14ac:dyDescent="0.3">
      <c r="A44" s="47"/>
      <c r="B44" s="47"/>
      <c r="C44" s="47"/>
      <c r="D44" s="47"/>
      <c r="E44" s="47"/>
      <c r="F44" s="47"/>
      <c r="G44" s="47"/>
      <c r="H44" s="47"/>
      <c r="I44" s="47"/>
      <c r="J44" s="47"/>
    </row>
    <row r="45" spans="1:10" ht="18.75" x14ac:dyDescent="0.3">
      <c r="A45" s="47"/>
      <c r="B45" s="47"/>
      <c r="C45" s="47"/>
      <c r="D45" s="47"/>
      <c r="E45" s="47"/>
      <c r="F45" s="47"/>
      <c r="G45" s="47"/>
      <c r="H45" s="47"/>
      <c r="I45" s="47"/>
      <c r="J45" s="47"/>
    </row>
    <row r="46" spans="1:10" ht="18.75" x14ac:dyDescent="0.3">
      <c r="A46" s="47"/>
      <c r="B46" s="47"/>
      <c r="C46" s="47"/>
      <c r="D46" s="47"/>
      <c r="E46" s="47"/>
      <c r="F46" s="47"/>
      <c r="G46" s="47"/>
      <c r="H46" s="47"/>
      <c r="I46" s="47"/>
      <c r="J46" s="47"/>
    </row>
    <row r="47" spans="1:10" ht="18.75" x14ac:dyDescent="0.3">
      <c r="A47" s="47"/>
      <c r="B47" s="47"/>
      <c r="C47" s="47"/>
      <c r="D47" s="47"/>
      <c r="E47" s="47"/>
      <c r="F47" s="47"/>
      <c r="G47" s="47"/>
      <c r="H47" s="47"/>
      <c r="I47" s="47"/>
      <c r="J47" s="47"/>
    </row>
    <row r="48" spans="1:10" ht="18.75" x14ac:dyDescent="0.3">
      <c r="A48" s="47"/>
      <c r="B48" s="47"/>
      <c r="C48" s="47"/>
      <c r="D48" s="47"/>
      <c r="E48" s="47"/>
      <c r="F48" s="47"/>
      <c r="G48" s="47"/>
      <c r="H48" s="47"/>
      <c r="I48" s="47"/>
      <c r="J48" s="47"/>
    </row>
    <row r="49" spans="1:10" ht="18.75" x14ac:dyDescent="0.3">
      <c r="A49" s="47"/>
      <c r="B49" s="47"/>
      <c r="C49" s="47"/>
      <c r="D49" s="47"/>
      <c r="E49" s="47"/>
      <c r="F49" s="47"/>
      <c r="G49" s="47"/>
      <c r="H49" s="47"/>
      <c r="I49" s="47"/>
      <c r="J49" s="47"/>
    </row>
    <row r="50" spans="1:10" ht="18.75" x14ac:dyDescent="0.3">
      <c r="A50" s="47"/>
      <c r="B50" s="47"/>
      <c r="C50" s="47"/>
      <c r="D50" s="47"/>
      <c r="E50" s="47"/>
      <c r="F50" s="47"/>
      <c r="G50" s="47"/>
      <c r="H50" s="47"/>
      <c r="I50" s="47"/>
      <c r="J50" s="47"/>
    </row>
    <row r="51" spans="1:10" ht="18.75" x14ac:dyDescent="0.3">
      <c r="A51" s="47"/>
      <c r="B51" s="47"/>
      <c r="C51" s="47"/>
      <c r="D51" s="47"/>
      <c r="E51" s="47"/>
      <c r="F51" s="47"/>
      <c r="G51" s="47"/>
      <c r="H51" s="47"/>
      <c r="I51" s="47"/>
      <c r="J51" s="47"/>
    </row>
    <row r="52" spans="1:10" ht="18.75" x14ac:dyDescent="0.3">
      <c r="A52" s="47"/>
      <c r="B52" s="47"/>
      <c r="C52" s="47"/>
      <c r="D52" s="47"/>
      <c r="E52" s="47"/>
      <c r="F52" s="47"/>
      <c r="G52" s="47"/>
      <c r="H52" s="47"/>
      <c r="I52" s="47"/>
      <c r="J52" s="47"/>
    </row>
    <row r="53" spans="1:10" ht="18.75" x14ac:dyDescent="0.3">
      <c r="A53" s="47"/>
      <c r="B53" s="47"/>
      <c r="C53" s="47"/>
      <c r="D53" s="47"/>
      <c r="E53" s="47"/>
      <c r="F53" s="47"/>
      <c r="G53" s="47"/>
      <c r="H53" s="47"/>
      <c r="I53" s="47"/>
      <c r="J53" s="47"/>
    </row>
    <row r="54" spans="1:10" ht="18.75" x14ac:dyDescent="0.3">
      <c r="A54" s="47"/>
      <c r="B54" s="47"/>
      <c r="C54" s="47"/>
      <c r="D54" s="47"/>
      <c r="E54" s="47"/>
      <c r="F54" s="47"/>
      <c r="G54" s="47"/>
      <c r="H54" s="47"/>
      <c r="I54" s="47"/>
      <c r="J54" s="47"/>
    </row>
    <row r="55" spans="1:10" ht="18.75" x14ac:dyDescent="0.3">
      <c r="A55" s="47"/>
      <c r="B55" s="47"/>
      <c r="C55" s="47"/>
      <c r="D55" s="47"/>
      <c r="E55" s="47"/>
      <c r="F55" s="47"/>
      <c r="G55" s="47"/>
      <c r="H55" s="47"/>
      <c r="I55" s="47"/>
      <c r="J55" s="47"/>
    </row>
    <row r="56" spans="1:10" ht="18.75" x14ac:dyDescent="0.3">
      <c r="A56" s="47"/>
      <c r="B56" s="47"/>
      <c r="C56" s="47"/>
      <c r="D56" s="47"/>
      <c r="E56" s="47"/>
      <c r="F56" s="47"/>
      <c r="G56" s="47"/>
      <c r="H56" s="47"/>
      <c r="I56" s="47"/>
      <c r="J56" s="47"/>
    </row>
    <row r="57" spans="1:10" ht="18.75" x14ac:dyDescent="0.3">
      <c r="A57" s="47"/>
      <c r="B57" s="47"/>
      <c r="C57" s="47"/>
      <c r="D57" s="47"/>
      <c r="E57" s="47"/>
      <c r="F57" s="47"/>
      <c r="G57" s="47"/>
      <c r="H57" s="47"/>
      <c r="I57" s="47"/>
      <c r="J57" s="47"/>
    </row>
    <row r="58" spans="1:10" ht="18.75" x14ac:dyDescent="0.3">
      <c r="A58" s="47"/>
      <c r="B58" s="47"/>
      <c r="C58" s="47"/>
      <c r="D58" s="47"/>
      <c r="E58" s="47"/>
      <c r="F58" s="47"/>
      <c r="G58" s="47"/>
      <c r="H58" s="47"/>
      <c r="I58" s="47"/>
      <c r="J58" s="47"/>
    </row>
    <row r="59" spans="1:10" ht="18.75" x14ac:dyDescent="0.3">
      <c r="A59" s="47"/>
      <c r="B59" s="47"/>
      <c r="C59" s="47"/>
      <c r="D59" s="47"/>
      <c r="E59" s="47"/>
      <c r="F59" s="47"/>
      <c r="G59" s="47"/>
      <c r="H59" s="47"/>
      <c r="I59" s="47"/>
      <c r="J59" s="47"/>
    </row>
    <row r="60" spans="1:10" ht="18.75" x14ac:dyDescent="0.3">
      <c r="A60" s="47"/>
      <c r="B60" s="47"/>
      <c r="C60" s="47"/>
      <c r="D60" s="47"/>
      <c r="E60" s="47"/>
      <c r="F60" s="47"/>
      <c r="G60" s="47"/>
      <c r="H60" s="47"/>
      <c r="I60" s="47"/>
      <c r="J60" s="47"/>
    </row>
    <row r="61" spans="1:10" ht="18.75" x14ac:dyDescent="0.3">
      <c r="A61" s="47"/>
      <c r="B61" s="47"/>
      <c r="C61" s="47"/>
      <c r="D61" s="47"/>
      <c r="E61" s="47"/>
      <c r="F61" s="47"/>
      <c r="G61" s="47"/>
      <c r="H61" s="47"/>
      <c r="I61" s="47"/>
      <c r="J61" s="47"/>
    </row>
    <row r="62" spans="1:10" ht="18.75" x14ac:dyDescent="0.3">
      <c r="A62" s="47"/>
      <c r="B62" s="47"/>
      <c r="C62" s="47"/>
      <c r="D62" s="47"/>
      <c r="E62" s="47"/>
      <c r="F62" s="47"/>
      <c r="G62" s="47"/>
      <c r="H62" s="47"/>
      <c r="I62" s="47"/>
      <c r="J62" s="47"/>
    </row>
    <row r="63" spans="1:10" ht="18.75" x14ac:dyDescent="0.3">
      <c r="A63" s="47"/>
      <c r="B63" s="47"/>
      <c r="C63" s="47"/>
      <c r="D63" s="47"/>
      <c r="E63" s="47"/>
      <c r="F63" s="47"/>
      <c r="G63" s="47"/>
      <c r="H63" s="47"/>
      <c r="I63" s="47"/>
      <c r="J63" s="47"/>
    </row>
    <row r="64" spans="1:10" ht="18.75" x14ac:dyDescent="0.3">
      <c r="A64" s="47"/>
      <c r="B64" s="47"/>
      <c r="C64" s="47"/>
      <c r="D64" s="47"/>
      <c r="E64" s="47"/>
      <c r="F64" s="47"/>
      <c r="G64" s="47"/>
      <c r="H64" s="47"/>
      <c r="I64" s="47"/>
      <c r="J64" s="47"/>
    </row>
    <row r="65" spans="1:10" ht="18.75" x14ac:dyDescent="0.3">
      <c r="A65" s="47"/>
      <c r="B65" s="47"/>
      <c r="C65" s="47"/>
      <c r="D65" s="47"/>
      <c r="E65" s="47"/>
      <c r="F65" s="47"/>
      <c r="G65" s="47"/>
      <c r="H65" s="47"/>
      <c r="I65" s="47"/>
      <c r="J65" s="47"/>
    </row>
    <row r="66" spans="1:10" ht="18.75" x14ac:dyDescent="0.3">
      <c r="A66" s="47"/>
      <c r="B66" s="47"/>
      <c r="C66" s="47"/>
      <c r="D66" s="47"/>
      <c r="E66" s="47"/>
      <c r="F66" s="47"/>
      <c r="G66" s="47"/>
      <c r="H66" s="47"/>
      <c r="I66" s="47"/>
      <c r="J66" s="47"/>
    </row>
    <row r="67" spans="1:10" ht="18.75" x14ac:dyDescent="0.3">
      <c r="A67" s="47"/>
      <c r="B67" s="47"/>
      <c r="C67" s="47"/>
      <c r="D67" s="47"/>
      <c r="E67" s="47"/>
      <c r="F67" s="47"/>
      <c r="G67" s="47"/>
      <c r="H67" s="47"/>
      <c r="I67" s="47"/>
      <c r="J67" s="47"/>
    </row>
    <row r="68" spans="1:10" ht="18.75" x14ac:dyDescent="0.3">
      <c r="A68" s="47"/>
      <c r="B68" s="47"/>
      <c r="C68" s="47"/>
      <c r="D68" s="47"/>
      <c r="E68" s="47"/>
      <c r="F68" s="47"/>
      <c r="G68" s="47"/>
      <c r="H68" s="47"/>
      <c r="I68" s="47"/>
      <c r="J68" s="47"/>
    </row>
    <row r="69" spans="1:10" ht="18.75" x14ac:dyDescent="0.3">
      <c r="A69" s="47"/>
      <c r="B69" s="47"/>
      <c r="C69" s="47"/>
      <c r="D69" s="47"/>
      <c r="E69" s="47"/>
      <c r="F69" s="47"/>
      <c r="G69" s="47"/>
      <c r="H69" s="47"/>
      <c r="I69" s="47"/>
      <c r="J69" s="47"/>
    </row>
    <row r="70" spans="1:10" ht="18.75" x14ac:dyDescent="0.3">
      <c r="A70" s="47"/>
      <c r="B70" s="47"/>
      <c r="C70" s="47"/>
      <c r="D70" s="47"/>
      <c r="E70" s="47"/>
      <c r="F70" s="47"/>
      <c r="G70" s="47"/>
      <c r="H70" s="47"/>
      <c r="I70" s="47"/>
      <c r="J70" s="47"/>
    </row>
    <row r="71" spans="1:10" ht="18.75" x14ac:dyDescent="0.3">
      <c r="A71" s="47"/>
      <c r="B71" s="47"/>
      <c r="C71" s="47"/>
      <c r="D71" s="47"/>
      <c r="E71" s="47"/>
      <c r="F71" s="47"/>
      <c r="G71" s="47"/>
      <c r="H71" s="47"/>
      <c r="I71" s="47"/>
      <c r="J71" s="47"/>
    </row>
    <row r="72" spans="1:10" ht="18.75" x14ac:dyDescent="0.3">
      <c r="A72" s="47"/>
      <c r="B72" s="47"/>
      <c r="C72" s="47"/>
      <c r="D72" s="47"/>
      <c r="E72" s="47"/>
      <c r="F72" s="47"/>
      <c r="G72" s="47"/>
      <c r="H72" s="47"/>
      <c r="I72" s="47"/>
      <c r="J72" s="47"/>
    </row>
    <row r="73" spans="1:10" ht="18.75" x14ac:dyDescent="0.3">
      <c r="A73" s="47"/>
      <c r="B73" s="47"/>
      <c r="C73" s="47"/>
      <c r="D73" s="47"/>
      <c r="E73" s="47"/>
      <c r="F73" s="47"/>
      <c r="G73" s="47"/>
      <c r="H73" s="47"/>
      <c r="I73" s="47"/>
      <c r="J73" s="47"/>
    </row>
    <row r="74" spans="1:10" ht="18.75" x14ac:dyDescent="0.3">
      <c r="A74" s="47"/>
      <c r="B74" s="47"/>
      <c r="C74" s="47"/>
      <c r="D74" s="47"/>
      <c r="E74" s="47"/>
      <c r="F74" s="47"/>
      <c r="G74" s="47"/>
      <c r="H74" s="47"/>
      <c r="I74" s="47"/>
      <c r="J74" s="47"/>
    </row>
    <row r="75" spans="1:10" ht="18.75" x14ac:dyDescent="0.3">
      <c r="A75" s="47"/>
      <c r="B75" s="47"/>
      <c r="C75" s="47"/>
      <c r="D75" s="47"/>
      <c r="E75" s="47"/>
      <c r="F75" s="47"/>
      <c r="G75" s="47"/>
      <c r="H75" s="47"/>
      <c r="I75" s="47"/>
      <c r="J75" s="47"/>
    </row>
    <row r="76" spans="1:10" ht="18.75" x14ac:dyDescent="0.3">
      <c r="A76" s="47"/>
      <c r="B76" s="47"/>
      <c r="C76" s="47"/>
      <c r="D76" s="47"/>
      <c r="E76" s="47"/>
      <c r="F76" s="47"/>
      <c r="G76" s="47"/>
      <c r="H76" s="47"/>
      <c r="I76" s="47"/>
      <c r="J76" s="47"/>
    </row>
    <row r="77" spans="1:10" ht="18.75" x14ac:dyDescent="0.3">
      <c r="A77" s="47"/>
      <c r="B77" s="47"/>
      <c r="C77" s="47"/>
      <c r="D77" s="47"/>
      <c r="E77" s="47"/>
      <c r="F77" s="47"/>
      <c r="G77" s="47"/>
      <c r="H77" s="47"/>
      <c r="I77" s="47"/>
      <c r="J77" s="47"/>
    </row>
    <row r="78" spans="1:10" ht="18.75" x14ac:dyDescent="0.3">
      <c r="A78" s="47"/>
      <c r="B78" s="47"/>
      <c r="C78" s="47"/>
      <c r="D78" s="47"/>
      <c r="E78" s="47"/>
      <c r="F78" s="47"/>
      <c r="G78" s="47"/>
      <c r="H78" s="47"/>
      <c r="I78" s="47"/>
      <c r="J78" s="47"/>
    </row>
    <row r="79" spans="1:10" ht="18.75" x14ac:dyDescent="0.3">
      <c r="A79" s="47"/>
      <c r="B79" s="47"/>
      <c r="C79" s="47"/>
      <c r="D79" s="47"/>
      <c r="E79" s="47"/>
      <c r="F79" s="47"/>
      <c r="G79" s="47"/>
      <c r="H79" s="47"/>
      <c r="I79" s="47"/>
      <c r="J79" s="47"/>
    </row>
    <row r="80" spans="1:10" ht="18.75" x14ac:dyDescent="0.3">
      <c r="A80" s="47"/>
      <c r="B80" s="47"/>
      <c r="C80" s="47"/>
      <c r="D80" s="47"/>
      <c r="E80" s="47"/>
      <c r="F80" s="47"/>
      <c r="G80" s="47"/>
      <c r="H80" s="47"/>
      <c r="I80" s="47"/>
      <c r="J80" s="47"/>
    </row>
    <row r="81" spans="1:10" ht="18.75" x14ac:dyDescent="0.3">
      <c r="A81" s="47"/>
      <c r="B81" s="47"/>
      <c r="C81" s="47"/>
      <c r="D81" s="47"/>
      <c r="E81" s="47"/>
      <c r="F81" s="47"/>
      <c r="G81" s="47"/>
      <c r="H81" s="47"/>
      <c r="I81" s="47"/>
      <c r="J81" s="47"/>
    </row>
    <row r="82" spans="1:10" ht="18.75" x14ac:dyDescent="0.3">
      <c r="A82" s="47"/>
      <c r="B82" s="47"/>
      <c r="C82" s="47"/>
      <c r="D82" s="47"/>
      <c r="E82" s="47"/>
      <c r="F82" s="47"/>
      <c r="G82" s="47"/>
      <c r="H82" s="47"/>
      <c r="I82" s="47"/>
      <c r="J82" s="47"/>
    </row>
    <row r="83" spans="1:10" ht="18.75" x14ac:dyDescent="0.3">
      <c r="A83" s="47"/>
      <c r="B83" s="47"/>
      <c r="C83" s="47"/>
      <c r="D83" s="47"/>
      <c r="E83" s="47"/>
      <c r="F83" s="47"/>
      <c r="G83" s="47"/>
      <c r="H83" s="47"/>
      <c r="I83" s="47"/>
      <c r="J83" s="47"/>
    </row>
    <row r="84" spans="1:10" ht="18.75" x14ac:dyDescent="0.3">
      <c r="A84" s="47"/>
      <c r="B84" s="47"/>
      <c r="C84" s="47"/>
      <c r="D84" s="47"/>
      <c r="E84" s="47"/>
      <c r="F84" s="47"/>
      <c r="G84" s="47"/>
      <c r="H84" s="47"/>
      <c r="I84" s="47"/>
      <c r="J84" s="47"/>
    </row>
    <row r="85" spans="1:10" ht="18.75" x14ac:dyDescent="0.3">
      <c r="A85" s="47"/>
      <c r="B85" s="47"/>
      <c r="C85" s="47"/>
      <c r="D85" s="47"/>
      <c r="E85" s="47"/>
      <c r="F85" s="47"/>
      <c r="G85" s="47"/>
      <c r="H85" s="47"/>
      <c r="I85" s="47"/>
      <c r="J85" s="47"/>
    </row>
    <row r="86" spans="1:10" ht="18.75" x14ac:dyDescent="0.3">
      <c r="A86" s="47"/>
      <c r="B86" s="47"/>
      <c r="C86" s="47"/>
      <c r="D86" s="47"/>
      <c r="E86" s="47"/>
      <c r="F86" s="47"/>
      <c r="G86" s="47"/>
      <c r="H86" s="47"/>
      <c r="I86" s="47"/>
      <c r="J86" s="47"/>
    </row>
    <row r="87" spans="1:10" ht="18.75" x14ac:dyDescent="0.3">
      <c r="A87" s="47"/>
      <c r="B87" s="47"/>
      <c r="C87" s="47"/>
      <c r="D87" s="47"/>
      <c r="E87" s="47"/>
      <c r="F87" s="47"/>
      <c r="G87" s="47"/>
      <c r="H87" s="47"/>
      <c r="I87" s="47"/>
      <c r="J87" s="47"/>
    </row>
    <row r="88" spans="1:10" ht="18.75" x14ac:dyDescent="0.3">
      <c r="A88" s="47"/>
      <c r="B88" s="47"/>
      <c r="C88" s="47"/>
      <c r="D88" s="47"/>
      <c r="E88" s="47"/>
      <c r="F88" s="47"/>
      <c r="G88" s="47"/>
      <c r="H88" s="47"/>
      <c r="I88" s="47"/>
      <c r="J88" s="47"/>
    </row>
    <row r="89" spans="1:10" ht="18.75" x14ac:dyDescent="0.3">
      <c r="A89" s="47"/>
      <c r="B89" s="47"/>
      <c r="C89" s="47"/>
      <c r="D89" s="47"/>
      <c r="E89" s="47"/>
      <c r="F89" s="47"/>
      <c r="G89" s="47"/>
      <c r="H89" s="47"/>
      <c r="I89" s="47"/>
      <c r="J89" s="47"/>
    </row>
    <row r="90" spans="1:10" ht="18.75" x14ac:dyDescent="0.3">
      <c r="A90" s="47"/>
      <c r="B90" s="47"/>
      <c r="C90" s="47"/>
      <c r="D90" s="47"/>
      <c r="E90" s="47"/>
      <c r="F90" s="47"/>
      <c r="G90" s="47"/>
      <c r="H90" s="47"/>
      <c r="I90" s="47"/>
      <c r="J90" s="47"/>
    </row>
    <row r="91" spans="1:10" ht="18.75" x14ac:dyDescent="0.3">
      <c r="A91" s="47"/>
      <c r="B91" s="47"/>
      <c r="C91" s="47"/>
      <c r="D91" s="47"/>
      <c r="E91" s="47"/>
      <c r="F91" s="47"/>
      <c r="G91" s="47"/>
      <c r="H91" s="47"/>
      <c r="I91" s="47"/>
      <c r="J91" s="47"/>
    </row>
    <row r="92" spans="1:10" ht="18.75" x14ac:dyDescent="0.3">
      <c r="A92" s="47"/>
      <c r="B92" s="47"/>
      <c r="C92" s="47"/>
      <c r="D92" s="47"/>
      <c r="E92" s="47"/>
      <c r="F92" s="47"/>
      <c r="G92" s="47"/>
      <c r="H92" s="47"/>
      <c r="I92" s="47"/>
      <c r="J92" s="47"/>
    </row>
  </sheetData>
  <mergeCells count="4">
    <mergeCell ref="B4:D4"/>
    <mergeCell ref="F4:H4"/>
    <mergeCell ref="B5:D5"/>
    <mergeCell ref="F5:H5"/>
  </mergeCells>
  <hyperlinks>
    <hyperlink ref="B1" location="Innhold!A1" display="Tilbake" xr:uid="{F3E75261-2AE4-411B-B0FA-C74A0CB898BF}"/>
  </hyperlinks>
  <pageMargins left="0.70866141732283472" right="0.70866141732283472" top="0.74803149606299213" bottom="0.7480314960629921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M303"/>
  <sheetViews>
    <sheetView showGridLines="0" showZeros="0" zoomScaleNormal="100" zoomScaleSheetLayoutView="80" workbookViewId="0">
      <pane xSplit="1" ySplit="1" topLeftCell="B2" activePane="bottomRight" state="frozen"/>
      <selection activeCell="J44" sqref="J44"/>
      <selection pane="topRight" activeCell="J44" sqref="J44"/>
      <selection pane="bottomLeft" activeCell="J44" sqref="J44"/>
      <selection pane="bottomRight"/>
    </sheetView>
  </sheetViews>
  <sheetFormatPr baseColWidth="10" defaultColWidth="11.42578125" defaultRowHeight="12.75" x14ac:dyDescent="0.2"/>
  <cols>
    <col min="1" max="1" width="57.28515625" style="1" customWidth="1"/>
    <col min="2" max="3" width="10.7109375" style="1" customWidth="1"/>
    <col min="4" max="4" width="8.7109375" style="1" customWidth="1"/>
    <col min="5" max="6" width="10.7109375" style="1" customWidth="1"/>
    <col min="7" max="7" width="8.7109375" style="1" customWidth="1"/>
    <col min="8" max="9" width="12.28515625" style="1" bestFit="1" customWidth="1"/>
    <col min="10" max="10" width="8.7109375" style="1" customWidth="1"/>
    <col min="11" max="16384" width="11.42578125" style="1"/>
  </cols>
  <sheetData>
    <row r="1" spans="1:13" ht="15.75" customHeight="1" x14ac:dyDescent="0.2">
      <c r="A1" s="278">
        <v>4</v>
      </c>
    </row>
    <row r="2" spans="1:13" ht="15.75" customHeight="1" x14ac:dyDescent="0.25">
      <c r="A2" s="109" t="s">
        <v>28</v>
      </c>
      <c r="B2" s="565"/>
      <c r="C2" s="565"/>
      <c r="D2" s="565"/>
      <c r="E2" s="564"/>
      <c r="F2" s="564"/>
      <c r="G2" s="564"/>
      <c r="H2" s="564"/>
      <c r="I2" s="564"/>
      <c r="J2" s="564"/>
    </row>
    <row r="3" spans="1:13" ht="15.75" customHeight="1" x14ac:dyDescent="0.25">
      <c r="A3" s="120"/>
      <c r="B3" s="233"/>
      <c r="C3" s="233"/>
      <c r="D3" s="233"/>
      <c r="E3" s="233"/>
      <c r="F3" s="233"/>
      <c r="G3" s="233"/>
      <c r="H3" s="233"/>
      <c r="I3" s="233"/>
      <c r="J3" s="233"/>
    </row>
    <row r="4" spans="1:13" ht="15.75" customHeight="1" x14ac:dyDescent="0.2">
      <c r="A4" s="107"/>
      <c r="B4" s="566" t="s">
        <v>0</v>
      </c>
      <c r="C4" s="567"/>
      <c r="D4" s="567"/>
      <c r="E4" s="566" t="s">
        <v>1</v>
      </c>
      <c r="F4" s="567"/>
      <c r="G4" s="567"/>
      <c r="H4" s="566" t="s">
        <v>2</v>
      </c>
      <c r="I4" s="567"/>
      <c r="J4" s="568"/>
    </row>
    <row r="5" spans="1:13" ht="15.75" customHeight="1" x14ac:dyDescent="0.2">
      <c r="A5" s="115"/>
      <c r="B5" s="535">
        <v>45565</v>
      </c>
      <c r="C5" s="535">
        <v>45930</v>
      </c>
      <c r="D5" s="193" t="s">
        <v>3</v>
      </c>
      <c r="E5" s="535">
        <v>45565</v>
      </c>
      <c r="F5" s="535">
        <v>45930</v>
      </c>
      <c r="G5" s="193" t="s">
        <v>3</v>
      </c>
      <c r="H5" s="535">
        <v>45565</v>
      </c>
      <c r="I5" s="535">
        <v>45930</v>
      </c>
      <c r="J5" s="193" t="s">
        <v>3</v>
      </c>
    </row>
    <row r="6" spans="1:13" ht="15.75" customHeight="1" x14ac:dyDescent="0.2">
      <c r="A6" s="537"/>
      <c r="B6" s="12"/>
      <c r="C6" s="12"/>
      <c r="D6" s="14" t="s">
        <v>4</v>
      </c>
      <c r="E6" s="13"/>
      <c r="F6" s="13"/>
      <c r="G6" s="12" t="s">
        <v>4</v>
      </c>
      <c r="H6" s="13"/>
      <c r="I6" s="13"/>
      <c r="J6" s="12" t="s">
        <v>4</v>
      </c>
      <c r="M6" s="263"/>
    </row>
    <row r="7" spans="1:13" s="34" customFormat="1" ht="15.75" customHeight="1" x14ac:dyDescent="0.2">
      <c r="A7" s="11" t="s">
        <v>23</v>
      </c>
      <c r="B7" s="180">
        <f>'Fremtind Livsforsikring'!B7+'DNB Livsforsikring'!B7+'Eika Forsikring AS'!B7+'Frende Livsforsikring'!B7+'Frende Skadeforsikring'!B7+'Gjensidige Forsikring'!B7+'Gjensidige Pensjon'!B7+'If Skadeforsikring NUF'!B7+KLP!B7+'KLP Skadeforsikring AS'!B7+'Landkreditt Forsikring'!B7+'Nordea Liv '!B7+'Oslo Pensjonsforsikring'!B7+'Protector Forsikring'!B7+'Sparebank 1 Fors.'!B7+'Storebrand Livsforsikring'!B7+'Telenor Forsikring'!B7+'Tryg Forsikring'!B7+'WaterCircles F'!B7+'Euro Accident'!B7+'Ly Forsikring'!B7+'Youplus Livsforsikring'!B7+'Oslo Forsikring'!B7+'Knif Trygghet Forsikring'!B7</f>
        <v>4305686.2034318205</v>
      </c>
      <c r="C7" s="180">
        <f>'Fremtind Livsforsikring'!C7+'DNB Livsforsikring'!C7+'Eika Forsikring AS'!C7+'Frende Livsforsikring'!C7+'Frende Skadeforsikring'!C7+'Gjensidige Forsikring'!C7+'Gjensidige Pensjon'!C7+'If Skadeforsikring NUF'!C7+KLP!C7+'KLP Skadeforsikring AS'!C7+'Landkreditt Forsikring'!C7+'Nordea Liv '!C7+'Oslo Pensjonsforsikring'!C7+'Protector Forsikring'!C7+'Sparebank 1 Fors.'!C7+'Storebrand Livsforsikring'!C7+'Telenor Forsikring'!C7+'Tryg Forsikring'!C7+'WaterCircles F'!C7+'Euro Accident'!C7+'Ly Forsikring'!C7+'Youplus Livsforsikring'!C7+'Oslo Forsikring'!C7+'Knif Trygghet Forsikring'!C7</f>
        <v>4562273.5474499268</v>
      </c>
      <c r="D7" s="117">
        <f t="shared" ref="D7:D12" si="0">IF(B7=0, "    ---- ", IF(ABS(ROUND(100/B7*C7-100,1))&lt;999,ROUND(100/B7*C7-100,1),IF(ROUND(100/B7*C7-100,1)&gt;999,999,-999)))</f>
        <v>6</v>
      </c>
      <c r="E7" s="180">
        <f>'Fremtind Livsforsikring'!F7+'DNB Livsforsikring'!F7+'Eika Forsikring AS'!F7+'Frende Livsforsikring'!F7+'Frende Skadeforsikring'!F7+'Gjensidige Forsikring'!F7+'Gjensidige Pensjon'!F7+'If Skadeforsikring NUF'!F7+KLP!F7+'KLP Skadeforsikring AS'!F7+'Landkreditt Forsikring'!F7+'Nordea Liv '!F7+'Oslo Pensjonsforsikring'!F7+'Protector Forsikring'!F7+'Sparebank 1 Fors.'!F7+'Storebrand Livsforsikring'!F7+'Telenor Forsikring'!F7+'Tryg Forsikring'!F7+'WaterCircles F'!F7+'Euro Accident'!F7+'Ly Forsikring'!F7+'Youplus Livsforsikring'!F7+'Oslo Forsikring'!F7+'Knif Trygghet Forsikring'!F7</f>
        <v>10584657.30847</v>
      </c>
      <c r="F7" s="180">
        <f>'Fremtind Livsforsikring'!G7+'DNB Livsforsikring'!G7+'Eika Forsikring AS'!G7+'Frende Livsforsikring'!G7+'Frende Skadeforsikring'!G7+'Gjensidige Forsikring'!G7+'Gjensidige Pensjon'!G7+'If Skadeforsikring NUF'!G7+KLP!G7+'KLP Skadeforsikring AS'!G7+'Landkreditt Forsikring'!G7+'Nordea Liv '!G7+'Oslo Pensjonsforsikring'!G7+'Protector Forsikring'!G7+'Sparebank 1 Fors.'!G7+'Storebrand Livsforsikring'!G7+'Telenor Forsikring'!G7+'Tryg Forsikring'!G7+'WaterCircles F'!G7+'Euro Accident'!G7+'Ly Forsikring'!G7+'Youplus Livsforsikring'!G7+'Oslo Forsikring'!G7+'Knif Trygghet Forsikring'!G7</f>
        <v>8167762.52941</v>
      </c>
      <c r="G7" s="117">
        <f t="shared" ref="G7:G12" si="1">IF(E7=0, "    ---- ", IF(ABS(ROUND(100/E7*F7-100,1))&lt;999,ROUND(100/E7*F7-100,1),IF(ROUND(100/E7*F7-100,1)&gt;999,999,-999)))</f>
        <v>-22.8</v>
      </c>
      <c r="H7" s="216">
        <f t="shared" ref="H7:H12" si="2">B7+E7</f>
        <v>14890343.51190182</v>
      </c>
      <c r="I7" s="217">
        <f t="shared" ref="I7:I12" si="3">C7+F7</f>
        <v>12730036.076859927</v>
      </c>
      <c r="J7" s="125">
        <f t="shared" ref="J7:J12" si="4">IF(H7=0, "    ---- ", IF(ABS(ROUND(100/H7*I7-100,1))&lt;999,ROUND(100/H7*I7-100,1),IF(ROUND(100/H7*I7-100,1)&gt;999,999,-999)))</f>
        <v>-14.5</v>
      </c>
    </row>
    <row r="8" spans="1:13" ht="15.75" customHeight="1" x14ac:dyDescent="0.2">
      <c r="A8" s="17" t="s">
        <v>25</v>
      </c>
      <c r="B8" s="35">
        <f>'Fremtind Livsforsikring'!B8+'DNB Livsforsikring'!B8+'Eika Forsikring AS'!B8+'Frende Livsforsikring'!B8+'Frende Skadeforsikring'!B8+'Gjensidige Forsikring'!B8+'Gjensidige Pensjon'!B8+'If Skadeforsikring NUF'!B8+KLP!B8+'KLP Skadeforsikring AS'!B8+'Landkreditt Forsikring'!B8+'Nordea Liv '!B8+'Oslo Pensjonsforsikring'!B8+'Protector Forsikring'!B8+'Sparebank 1 Fors.'!B8+'Storebrand Livsforsikring'!B8+'Telenor Forsikring'!B8+'Tryg Forsikring'!B8+'WaterCircles F'!B8+'Euro Accident'!B8+'Ly Forsikring'!B8+'Youplus Livsforsikring'!B8+'Oslo Forsikring'!B8+'Knif Trygghet Forsikring'!B8</f>
        <v>2851745.4434853834</v>
      </c>
      <c r="C8" s="35">
        <f>'Fremtind Livsforsikring'!C8+'DNB Livsforsikring'!C8+'Eika Forsikring AS'!C8+'Frende Livsforsikring'!C8+'Frende Skadeforsikring'!C8+'Gjensidige Forsikring'!C8+'Gjensidige Pensjon'!C8+'If Skadeforsikring NUF'!C8+KLP!C8+'KLP Skadeforsikring AS'!C8+'Landkreditt Forsikring'!C8+'Nordea Liv '!C8+'Oslo Pensjonsforsikring'!C8+'Protector Forsikring'!C8+'Sparebank 1 Fors.'!C8+'Storebrand Livsforsikring'!C8+'Telenor Forsikring'!C8+'Tryg Forsikring'!C8+'WaterCircles F'!C8+'Euro Accident'!C8+'Ly Forsikring'!C8+'Youplus Livsforsikring'!C8+'Oslo Forsikring'!C8+'Knif Trygghet Forsikring'!C8</f>
        <v>3072197.0984286577</v>
      </c>
      <c r="D8" s="121">
        <f t="shared" si="0"/>
        <v>7.7</v>
      </c>
      <c r="E8" s="137"/>
      <c r="F8" s="137"/>
      <c r="G8" s="129"/>
      <c r="H8" s="138">
        <f t="shared" si="2"/>
        <v>2851745.4434853834</v>
      </c>
      <c r="I8" s="139">
        <f t="shared" si="3"/>
        <v>3072197.0984286577</v>
      </c>
      <c r="J8" s="125">
        <f t="shared" si="4"/>
        <v>7.7</v>
      </c>
    </row>
    <row r="9" spans="1:13" ht="15.75" customHeight="1" x14ac:dyDescent="0.2">
      <c r="A9" s="17" t="s">
        <v>24</v>
      </c>
      <c r="B9" s="35">
        <f>'Fremtind Livsforsikring'!B9+'DNB Livsforsikring'!B9+'Eika Forsikring AS'!B9+'Frende Livsforsikring'!B9+'Frende Skadeforsikring'!B9+'Gjensidige Forsikring'!B9+'Gjensidige Pensjon'!B9+'If Skadeforsikring NUF'!B9+KLP!B9+'KLP Skadeforsikring AS'!B9+'Landkreditt Forsikring'!B9+'Nordea Liv '!B9+'Oslo Pensjonsforsikring'!B9+'Protector Forsikring'!B9+'Sparebank 1 Fors.'!B9+'Storebrand Livsforsikring'!B9+'Telenor Forsikring'!B9+'Tryg Forsikring'!B9+'WaterCircles F'!B9+'Euro Accident'!B9+'Ly Forsikring'!B9+'Youplus Livsforsikring'!B9+'Oslo Forsikring'!B9+'Knif Trygghet Forsikring'!B9</f>
        <v>886519.30524282542</v>
      </c>
      <c r="C9" s="35">
        <f>'Fremtind Livsforsikring'!C9+'DNB Livsforsikring'!C9+'Eika Forsikring AS'!C9+'Frende Livsforsikring'!C9+'Frende Skadeforsikring'!C9+'Gjensidige Forsikring'!C9+'Gjensidige Pensjon'!C9+'If Skadeforsikring NUF'!C9+KLP!C9+'KLP Skadeforsikring AS'!C9+'Landkreditt Forsikring'!C9+'Nordea Liv '!C9+'Oslo Pensjonsforsikring'!C9+'Protector Forsikring'!C9+'Sparebank 1 Fors.'!C9+'Storebrand Livsforsikring'!C9+'Telenor Forsikring'!C9+'Tryg Forsikring'!C9+'WaterCircles F'!C9+'Euro Accident'!C9+'Ly Forsikring'!C9+'Youplus Livsforsikring'!C9+'Oslo Forsikring'!C9+'Knif Trygghet Forsikring'!C9</f>
        <v>903944.08452870743</v>
      </c>
      <c r="D9" s="129">
        <f t="shared" si="0"/>
        <v>2</v>
      </c>
      <c r="E9" s="137"/>
      <c r="F9" s="137"/>
      <c r="G9" s="129"/>
      <c r="H9" s="138">
        <f t="shared" si="2"/>
        <v>886519.30524282542</v>
      </c>
      <c r="I9" s="139">
        <f t="shared" si="3"/>
        <v>903944.08452870743</v>
      </c>
      <c r="J9" s="125">
        <f t="shared" si="4"/>
        <v>2</v>
      </c>
    </row>
    <row r="10" spans="1:13" s="34" customFormat="1" ht="15.75" customHeight="1" x14ac:dyDescent="0.2">
      <c r="A10" s="10" t="s">
        <v>322</v>
      </c>
      <c r="B10" s="180">
        <f>'Fremtind Livsforsikring'!B10+'DNB Livsforsikring'!B10+'Eika Forsikring AS'!B10+'Frende Livsforsikring'!B10+'Frende Skadeforsikring'!B10+'Gjensidige Forsikring'!B10+'Gjensidige Pensjon'!B10+'If Skadeforsikring NUF'!B10+KLP!B10+'KLP Skadeforsikring AS'!B10+'Landkreditt Forsikring'!B10+'Nordea Liv '!B10+'Oslo Pensjonsforsikring'!B10+'Protector Forsikring'!B10+'Sparebank 1 Fors.'!B10+'Storebrand Livsforsikring'!B10+'Telenor Forsikring'!B10+'Tryg Forsikring'!B10+'WaterCircles F'!B10+'Euro Accident'!B10+'Ly Forsikring'!B10+'Youplus Livsforsikring'!B10+'Oslo Forsikring'!B10+'Knif Trygghet Forsikring'!B10</f>
        <v>12988009.475949977</v>
      </c>
      <c r="C10" s="180">
        <f>'Fremtind Livsforsikring'!C10+'DNB Livsforsikring'!C10+'Eika Forsikring AS'!C10+'Frende Livsforsikring'!C10+'Frende Skadeforsikring'!C10+'Gjensidige Forsikring'!C10+'Gjensidige Pensjon'!C10+'If Skadeforsikring NUF'!C10+KLP!C10+'KLP Skadeforsikring AS'!C10+'Landkreditt Forsikring'!C10+'Nordea Liv '!C10+'Oslo Pensjonsforsikring'!C10+'Protector Forsikring'!C10+'Sparebank 1 Fors.'!C10+'Storebrand Livsforsikring'!C10+'Telenor Forsikring'!C10+'Tryg Forsikring'!C10+'WaterCircles F'!C10+'Euro Accident'!C10+'Ly Forsikring'!C10+'Youplus Livsforsikring'!C10+'Oslo Forsikring'!C10+'Knif Trygghet Forsikring'!C10</f>
        <v>12548311.722140875</v>
      </c>
      <c r="D10" s="117">
        <f t="shared" si="0"/>
        <v>-3.4</v>
      </c>
      <c r="E10" s="180">
        <f>'Fremtind Livsforsikring'!F10+'DNB Livsforsikring'!F10+'Eika Forsikring AS'!F10+'Frende Livsforsikring'!F10+'Frende Skadeforsikring'!F10+'Gjensidige Forsikring'!F10+'Gjensidige Pensjon'!F10+'If Skadeforsikring NUF'!F10+KLP!F10+'KLP Skadeforsikring AS'!F10+'Landkreditt Forsikring'!F10+'Nordea Liv '!F10+'Oslo Pensjonsforsikring'!F10+'Protector Forsikring'!F10+'Sparebank 1 Fors.'!F10+'Storebrand Livsforsikring'!F10+'Telenor Forsikring'!F10+'Tryg Forsikring'!F10+'WaterCircles F'!F10+'Euro Accident'!F10+'Ly Forsikring'!F10+'Youplus Livsforsikring'!F10+'Oslo Forsikring'!F10+'Knif Trygghet Forsikring'!F10</f>
        <v>98000763.607039988</v>
      </c>
      <c r="F10" s="180">
        <f>'Fremtind Livsforsikring'!G10+'DNB Livsforsikring'!G10+'Eika Forsikring AS'!G10+'Frende Livsforsikring'!G10+'Frende Skadeforsikring'!G10+'Gjensidige Forsikring'!G10+'Gjensidige Pensjon'!G10+'If Skadeforsikring NUF'!G10+KLP!G10+'KLP Skadeforsikring AS'!G10+'Landkreditt Forsikring'!G10+'Nordea Liv '!G10+'Oslo Pensjonsforsikring'!G10+'Protector Forsikring'!G10+'Sparebank 1 Fors.'!G10+'Storebrand Livsforsikring'!G10+'Telenor Forsikring'!G10+'Tryg Forsikring'!G10+'WaterCircles F'!G10+'Euro Accident'!G10+'Ly Forsikring'!G10+'Youplus Livsforsikring'!G10+'Oslo Forsikring'!G10+'Knif Trygghet Forsikring'!G10</f>
        <v>103684348.81537315</v>
      </c>
      <c r="G10" s="117">
        <f t="shared" si="1"/>
        <v>5.8</v>
      </c>
      <c r="H10" s="216">
        <f t="shared" si="2"/>
        <v>110988773.08298996</v>
      </c>
      <c r="I10" s="217">
        <f t="shared" si="3"/>
        <v>116232660.53751403</v>
      </c>
      <c r="J10" s="125">
        <f t="shared" si="4"/>
        <v>4.7</v>
      </c>
    </row>
    <row r="11" spans="1:13" s="34" customFormat="1" ht="15.75" customHeight="1" x14ac:dyDescent="0.2">
      <c r="A11" s="10" t="s">
        <v>323</v>
      </c>
      <c r="B11" s="180">
        <f>'Fremtind Livsforsikring'!B11+'DNB Livsforsikring'!B11+'Eika Forsikring AS'!B11+'Frende Livsforsikring'!B11+'Frende Skadeforsikring'!B11+'Gjensidige Forsikring'!B11+'Gjensidige Pensjon'!B11+'If Skadeforsikring NUF'!B11+KLP!B11+'KLP Skadeforsikring AS'!B11+'Landkreditt Forsikring'!B11+'Nordea Liv '!B11+'Oslo Pensjonsforsikring'!B11+'Protector Forsikring'!B11+'Sparebank 1 Fors.'!B11+'Storebrand Livsforsikring'!B11+'Telenor Forsikring'!B11+'Tryg Forsikring'!B11+'WaterCircles F'!B11+'Euro Accident'!B11+'Ly Forsikring'!B11+'Youplus Livsforsikring'!B11+'Oslo Forsikring'!B11+'Knif Trygghet Forsikring'!B11</f>
        <v>0</v>
      </c>
      <c r="C11" s="180">
        <f>'Fremtind Livsforsikring'!C11+'DNB Livsforsikring'!C11+'Eika Forsikring AS'!C11+'Frende Livsforsikring'!C11+'Frende Skadeforsikring'!C11+'Gjensidige Forsikring'!C11+'Gjensidige Pensjon'!C11+'If Skadeforsikring NUF'!C11+KLP!C11+'KLP Skadeforsikring AS'!C11+'Landkreditt Forsikring'!C11+'Nordea Liv '!C11+'Oslo Pensjonsforsikring'!C11+'Protector Forsikring'!C11+'Sparebank 1 Fors.'!C11+'Storebrand Livsforsikring'!C11+'Telenor Forsikring'!C11+'Tryg Forsikring'!C11+'WaterCircles F'!C11+'Euro Accident'!C11+'Ly Forsikring'!C11+'Youplus Livsforsikring'!C11+'Oslo Forsikring'!C11+'Knif Trygghet Forsikring'!C11</f>
        <v>333.04399999999998</v>
      </c>
      <c r="D11" s="125" t="str">
        <f t="shared" si="0"/>
        <v xml:space="preserve">    ---- </v>
      </c>
      <c r="E11" s="180">
        <f>'Fremtind Livsforsikring'!F11+'DNB Livsforsikring'!F11+'Eika Forsikring AS'!F11+'Frende Livsforsikring'!F11+'Frende Skadeforsikring'!F11+'Gjensidige Forsikring'!F11+'Gjensidige Pensjon'!F11+'If Skadeforsikring NUF'!F11+KLP!F11+'KLP Skadeforsikring AS'!F11+'Landkreditt Forsikring'!F11+'Nordea Liv '!F11+'Oslo Pensjonsforsikring'!F11+'Protector Forsikring'!F11+'Sparebank 1 Fors.'!F11+'Storebrand Livsforsikring'!F11+'Telenor Forsikring'!F11+'Tryg Forsikring'!F11+'WaterCircles F'!F11+'Euro Accident'!F11+'Ly Forsikring'!F11+'Youplus Livsforsikring'!F11+'Oslo Forsikring'!F11+'Knif Trygghet Forsikring'!F11</f>
        <v>257987.70295000001</v>
      </c>
      <c r="F11" s="180">
        <f>'Fremtind Livsforsikring'!G11+'DNB Livsforsikring'!G11+'Eika Forsikring AS'!G11+'Frende Livsforsikring'!G11+'Frende Skadeforsikring'!G11+'Gjensidige Forsikring'!G11+'Gjensidige Pensjon'!G11+'If Skadeforsikring NUF'!G11+KLP!G11+'KLP Skadeforsikring AS'!G11+'Landkreditt Forsikring'!G11+'Nordea Liv '!G11+'Oslo Pensjonsforsikring'!G11+'Protector Forsikring'!G11+'Sparebank 1 Fors.'!G11+'Storebrand Livsforsikring'!G11+'Telenor Forsikring'!G11+'Tryg Forsikring'!G11+'WaterCircles F'!G11+'Euro Accident'!G11+'Ly Forsikring'!G11+'Youplus Livsforsikring'!G11+'Oslo Forsikring'!G11+'Knif Trygghet Forsikring'!G11</f>
        <v>492513.74719000002</v>
      </c>
      <c r="G11" s="125">
        <f t="shared" si="1"/>
        <v>90.9</v>
      </c>
      <c r="H11" s="216">
        <f t="shared" si="2"/>
        <v>257987.70295000001</v>
      </c>
      <c r="I11" s="217">
        <f t="shared" si="3"/>
        <v>492846.79119000002</v>
      </c>
      <c r="J11" s="125">
        <f t="shared" si="4"/>
        <v>91</v>
      </c>
    </row>
    <row r="12" spans="1:13" s="34" customFormat="1" ht="15.75" customHeight="1" x14ac:dyDescent="0.2">
      <c r="A12" s="32" t="s">
        <v>324</v>
      </c>
      <c r="B12" s="215">
        <f>'Fremtind Livsforsikring'!B12+'DNB Livsforsikring'!B12+'Eika Forsikring AS'!B12+'Frende Livsforsikring'!B12+'Frende Skadeforsikring'!B12+'Gjensidige Forsikring'!B12+'Gjensidige Pensjon'!B12+'If Skadeforsikring NUF'!B12+KLP!B12+'KLP Skadeforsikring AS'!B12+'Landkreditt Forsikring'!B12+'Nordea Liv '!B12+'Oslo Pensjonsforsikring'!B12+'Protector Forsikring'!B12+'Sparebank 1 Fors.'!B12+'Storebrand Livsforsikring'!B12+'Telenor Forsikring'!B12+'Tryg Forsikring'!B12+'WaterCircles F'!B12+'Euro Accident'!B12+'Ly Forsikring'!B12+'Youplus Livsforsikring'!B12+'Oslo Forsikring'!B12+'Knif Trygghet Forsikring'!B12</f>
        <v>0</v>
      </c>
      <c r="C12" s="215">
        <f>'Fremtind Livsforsikring'!C12+'DNB Livsforsikring'!C12+'Eika Forsikring AS'!C12+'Frende Livsforsikring'!C12+'Frende Skadeforsikring'!C12+'Gjensidige Forsikring'!C12+'Gjensidige Pensjon'!C12+'If Skadeforsikring NUF'!C12+KLP!C12+'KLP Skadeforsikring AS'!C12+'Landkreditt Forsikring'!C12+'Nordea Liv '!C12+'Oslo Pensjonsforsikring'!C12+'Protector Forsikring'!C12+'Sparebank 1 Fors.'!C12+'Storebrand Livsforsikring'!C12+'Telenor Forsikring'!C12+'Tryg Forsikring'!C12+'WaterCircles F'!C12+'Euro Accident'!C12+'Ly Forsikring'!C12+'Youplus Livsforsikring'!C12+'Oslo Forsikring'!C12+'Knif Trygghet Forsikring'!C12</f>
        <v>341.79806000000002</v>
      </c>
      <c r="D12" s="124" t="str">
        <f t="shared" si="0"/>
        <v xml:space="preserve">    ---- </v>
      </c>
      <c r="E12" s="215">
        <f>'Fremtind Livsforsikring'!F12+'DNB Livsforsikring'!F12+'Eika Forsikring AS'!F12+'Frende Livsforsikring'!F12+'Frende Skadeforsikring'!F12+'Gjensidige Forsikring'!F12+'Gjensidige Pensjon'!F12+'If Skadeforsikring NUF'!F12+KLP!F12+'KLP Skadeforsikring AS'!F12+'Landkreditt Forsikring'!F12+'Nordea Liv '!F12+'Oslo Pensjonsforsikring'!F12+'Protector Forsikring'!F12+'Sparebank 1 Fors.'!F12+'Storebrand Livsforsikring'!F12+'Telenor Forsikring'!F12+'Tryg Forsikring'!F12+'WaterCircles F'!F12+'Euro Accident'!F12+'Ly Forsikring'!F12+'Youplus Livsforsikring'!F12+'Oslo Forsikring'!F12+'Knif Trygghet Forsikring'!F12</f>
        <v>310757.62222999998</v>
      </c>
      <c r="F12" s="215">
        <f>'Fremtind Livsforsikring'!G12+'DNB Livsforsikring'!G12+'Eika Forsikring AS'!G12+'Frende Livsforsikring'!G12+'Frende Skadeforsikring'!G12+'Gjensidige Forsikring'!G12+'Gjensidige Pensjon'!G12+'If Skadeforsikring NUF'!G12+KLP!G12+'KLP Skadeforsikring AS'!G12+'Landkreditt Forsikring'!G12+'Nordea Liv '!G12+'Oslo Pensjonsforsikring'!G12+'Protector Forsikring'!G12+'Sparebank 1 Fors.'!G12+'Storebrand Livsforsikring'!G12+'Telenor Forsikring'!G12+'Tryg Forsikring'!G12+'WaterCircles F'!G12+'Euro Accident'!G12+'Ly Forsikring'!G12+'Youplus Livsforsikring'!G12+'Oslo Forsikring'!G12+'Knif Trygghet Forsikring'!G12</f>
        <v>491301.39677999995</v>
      </c>
      <c r="G12" s="123">
        <f t="shared" si="1"/>
        <v>58.1</v>
      </c>
      <c r="H12" s="218">
        <f t="shared" si="2"/>
        <v>310757.62222999998</v>
      </c>
      <c r="I12" s="219">
        <f t="shared" si="3"/>
        <v>491643.19483999995</v>
      </c>
      <c r="J12" s="123">
        <f t="shared" si="4"/>
        <v>58.2</v>
      </c>
    </row>
    <row r="13" spans="1:13" s="34" customFormat="1" ht="15.75" customHeight="1" x14ac:dyDescent="0.2">
      <c r="A13" s="106"/>
      <c r="B13" s="28"/>
      <c r="C13" s="3"/>
      <c r="D13" s="25"/>
      <c r="E13" s="28"/>
      <c r="F13" s="3"/>
      <c r="G13" s="25"/>
      <c r="H13" s="37"/>
      <c r="I13" s="37"/>
      <c r="J13" s="25"/>
    </row>
    <row r="14" spans="1:13" ht="15.75" customHeight="1" x14ac:dyDescent="0.2">
      <c r="A14" s="112" t="s">
        <v>246</v>
      </c>
    </row>
    <row r="15" spans="1:13" ht="15.75" customHeight="1" x14ac:dyDescent="0.2">
      <c r="A15" s="21"/>
    </row>
    <row r="16" spans="1:13" ht="15.75" customHeight="1" x14ac:dyDescent="0.25">
      <c r="A16" s="113"/>
      <c r="C16" s="23"/>
      <c r="D16" s="23"/>
      <c r="E16" s="23"/>
      <c r="F16" s="23"/>
      <c r="G16" s="23"/>
      <c r="H16" s="23"/>
      <c r="I16" s="23"/>
      <c r="J16" s="23"/>
    </row>
    <row r="17" spans="1:10" ht="15.75" customHeight="1" x14ac:dyDescent="0.25">
      <c r="A17" s="109" t="s">
        <v>243</v>
      </c>
      <c r="B17" s="23"/>
      <c r="C17" s="23"/>
      <c r="D17" s="24"/>
      <c r="E17" s="23"/>
      <c r="F17" s="23"/>
      <c r="G17" s="23"/>
      <c r="H17" s="23"/>
      <c r="I17" s="23"/>
      <c r="J17" s="23"/>
    </row>
    <row r="18" spans="1:10" ht="15.75" customHeight="1" x14ac:dyDescent="0.25">
      <c r="A18" s="21"/>
      <c r="B18" s="564"/>
      <c r="C18" s="564"/>
      <c r="D18" s="564"/>
      <c r="E18" s="564"/>
      <c r="F18" s="564"/>
      <c r="G18" s="564"/>
      <c r="H18" s="564"/>
      <c r="I18" s="564"/>
      <c r="J18" s="564"/>
    </row>
    <row r="19" spans="1:10" ht="15.75" customHeight="1" x14ac:dyDescent="0.2">
      <c r="A19" s="107"/>
      <c r="B19" s="566" t="s">
        <v>0</v>
      </c>
      <c r="C19" s="567"/>
      <c r="D19" s="567"/>
      <c r="E19" s="566" t="s">
        <v>1</v>
      </c>
      <c r="F19" s="567"/>
      <c r="G19" s="568"/>
      <c r="H19" s="567" t="s">
        <v>2</v>
      </c>
      <c r="I19" s="567"/>
      <c r="J19" s="568"/>
    </row>
    <row r="20" spans="1:10" ht="15.75" customHeight="1" x14ac:dyDescent="0.2">
      <c r="A20" s="104" t="s">
        <v>5</v>
      </c>
      <c r="B20" s="535">
        <v>45565</v>
      </c>
      <c r="C20" s="535">
        <v>45930</v>
      </c>
      <c r="D20" s="193" t="s">
        <v>3</v>
      </c>
      <c r="E20" s="535">
        <v>45565</v>
      </c>
      <c r="F20" s="535">
        <v>45930</v>
      </c>
      <c r="G20" s="193" t="s">
        <v>3</v>
      </c>
      <c r="H20" s="535">
        <v>45565</v>
      </c>
      <c r="I20" s="535">
        <v>45930</v>
      </c>
      <c r="J20" s="193" t="s">
        <v>3</v>
      </c>
    </row>
    <row r="21" spans="1:10" ht="15.75" customHeight="1" x14ac:dyDescent="0.2">
      <c r="A21" s="538"/>
      <c r="B21" s="12"/>
      <c r="C21" s="12"/>
      <c r="D21" s="14" t="s">
        <v>4</v>
      </c>
      <c r="E21" s="13"/>
      <c r="F21" s="13"/>
      <c r="G21" s="12" t="s">
        <v>4</v>
      </c>
      <c r="H21" s="13"/>
      <c r="I21" s="13"/>
      <c r="J21" s="12" t="s">
        <v>4</v>
      </c>
    </row>
    <row r="22" spans="1:10" s="34" customFormat="1" ht="15.75" customHeight="1" x14ac:dyDescent="0.2">
      <c r="A22" s="11" t="s">
        <v>23</v>
      </c>
      <c r="B22" s="180">
        <f>'Fremtind Livsforsikring'!B22+'DNB Livsforsikring'!B22+'Eika Forsikring AS'!B22+'Frende Livsforsikring'!B22+'Frende Skadeforsikring'!B22+'Gjensidige Forsikring'!B22+'Gjensidige Pensjon'!B22+'If Skadeforsikring NUF'!B22+KLP!B22+'KLP Skadeforsikring AS'!B22+'Landkreditt Forsikring'!B22+'Nordea Liv '!B22+'Oslo Pensjonsforsikring'!B22+'Protector Forsikring'!B22+'Sparebank 1 Fors.'!B22+'Storebrand Livsforsikring'!B22+'Telenor Forsikring'!B22+'Tryg Forsikring'!B22+'WaterCircles F'!B22+'Euro Accident'!B22+'Ly Forsikring'!B22+'Youplus Livsforsikring'!B22+'Oslo Forsikring'!B22+'Knif Trygghet Forsikring'!B22</f>
        <v>1894640.670928224</v>
      </c>
      <c r="C22" s="180">
        <f>'Fremtind Livsforsikring'!C22+'DNB Livsforsikring'!C22+'Eika Forsikring AS'!C22+'Frende Livsforsikring'!C22+'Frende Skadeforsikring'!C22+'Gjensidige Forsikring'!C22+'Gjensidige Pensjon'!C22+'If Skadeforsikring NUF'!C22+KLP!C22+'KLP Skadeforsikring AS'!C22+'Landkreditt Forsikring'!C22+'Nordea Liv '!C22+'Oslo Pensjonsforsikring'!C22+'Protector Forsikring'!C22+'Sparebank 1 Fors.'!C22+'Storebrand Livsforsikring'!C22+'Telenor Forsikring'!C22+'Tryg Forsikring'!C22+'WaterCircles F'!C22+'Euro Accident'!C22+'Ly Forsikring'!C22+'Youplus Livsforsikring'!C22+'Oslo Forsikring'!C22+'Knif Trygghet Forsikring'!C22</f>
        <v>2111116.3264790978</v>
      </c>
      <c r="D22" s="8">
        <f t="shared" ref="D22:D39" si="5">IF(B22=0, "    ---- ", IF(ABS(ROUND(100/B22*C22-100,1))&lt;999,ROUND(100/B22*C22-100,1),IF(ROUND(100/B22*C22-100,1)&gt;999,999,-999)))</f>
        <v>11.4</v>
      </c>
      <c r="E22" s="180">
        <f>'Fremtind Livsforsikring'!F22+'DNB Livsforsikring'!F22+'Eika Forsikring AS'!F22+'Frende Livsforsikring'!F22+'Frende Skadeforsikring'!F22+'Gjensidige Forsikring'!F22+'Gjensidige Pensjon'!F22+'If Skadeforsikring NUF'!F22+KLP!F22+'KLP Skadeforsikring AS'!F22+'Landkreditt Forsikring'!F22+'Nordea Liv '!F22+'Oslo Pensjonsforsikring'!F22+'Protector Forsikring'!F22+'Sparebank 1 Fors.'!F22+'Storebrand Livsforsikring'!F22+'Telenor Forsikring'!F22+'Tryg Forsikring'!F22+'WaterCircles F'!F22+'Euro Accident'!F22+'Ly Forsikring'!F22+'Youplus Livsforsikring'!F22+'Oslo Forsikring'!F22+'Knif Trygghet Forsikring'!F22</f>
        <v>708875.53012999997</v>
      </c>
      <c r="F22" s="180">
        <f>'Fremtind Livsforsikring'!G22+'DNB Livsforsikring'!G22+'Eika Forsikring AS'!G22+'Frende Livsforsikring'!G22+'Frende Skadeforsikring'!G22+'Gjensidige Forsikring'!G22+'Gjensidige Pensjon'!G22+'If Skadeforsikring NUF'!G22+KLP!G22+'KLP Skadeforsikring AS'!G22+'Landkreditt Forsikring'!G22+'Nordea Liv '!G22+'Oslo Pensjonsforsikring'!G22+'Protector Forsikring'!G22+'Sparebank 1 Fors.'!G22+'Storebrand Livsforsikring'!G22+'Telenor Forsikring'!G22+'Tryg Forsikring'!G22+'WaterCircles F'!G22+'Euro Accident'!G22+'Ly Forsikring'!G22+'Youplus Livsforsikring'!G22+'Oslo Forsikring'!G22+'Knif Trygghet Forsikring'!G22</f>
        <v>800139.35641000001</v>
      </c>
      <c r="G22" s="277">
        <f t="shared" ref="G22:G35" si="6">IF(E22=0, "    ---- ", IF(ABS(ROUND(100/E22*F22-100,1))&lt;999,ROUND(100/E22*F22-100,1),IF(ROUND(100/E22*F22-100,1)&gt;999,999,-999)))</f>
        <v>12.9</v>
      </c>
      <c r="H22" s="242">
        <f>SUM(B22,E22)</f>
        <v>2603516.2010582238</v>
      </c>
      <c r="I22" s="180">
        <f t="shared" ref="I22:I39" si="7">SUM(C22,F22)</f>
        <v>2911255.6828890978</v>
      </c>
      <c r="J22" s="20">
        <f t="shared" ref="J22:J39" si="8">IF(H22=0, "    ---- ", IF(ABS(ROUND(100/H22*I22-100,1))&lt;999,ROUND(100/H22*I22-100,1),IF(ROUND(100/H22*I22-100,1)&gt;999,999,-999)))</f>
        <v>11.8</v>
      </c>
    </row>
    <row r="23" spans="1:10" ht="15.75" customHeight="1" x14ac:dyDescent="0.2">
      <c r="A23" s="373" t="s">
        <v>325</v>
      </c>
      <c r="B23" s="35">
        <f>'Fremtind Livsforsikring'!B23+'DNB Livsforsikring'!B23+'Eika Forsikring AS'!B23+'Frende Livsforsikring'!B23+'Frende Skadeforsikring'!B23+'Gjensidige Forsikring'!B23+'Gjensidige Pensjon'!B23+'If Skadeforsikring NUF'!B23+KLP!B23+'KLP Skadeforsikring AS'!B23+'Landkreditt Forsikring'!B23+'Nordea Liv '!B23+'Oslo Pensjonsforsikring'!B23+'Protector Forsikring'!B23+'Sparebank 1 Fors.'!B23+'Storebrand Livsforsikring'!B23+'Telenor Forsikring'!B23+'Tryg Forsikring'!B23+'WaterCircles F'!B23+'Euro Accident'!B23+'Ly Forsikring'!B23+'Youplus Livsforsikring'!B23+'Oslo Forsikring'!B23+'Knif Trygghet Forsikring'!B23</f>
        <v>1152948.4680341217</v>
      </c>
      <c r="C23" s="35">
        <f>'Fremtind Livsforsikring'!C23+'DNB Livsforsikring'!C23+'Eika Forsikring AS'!C23+'Frende Livsforsikring'!C23+'Frende Skadeforsikring'!C23+'Gjensidige Forsikring'!C23+'Gjensidige Pensjon'!C23+'If Skadeforsikring NUF'!C23+KLP!C23+'KLP Skadeforsikring AS'!C23+'Landkreditt Forsikring'!C23+'Nordea Liv '!C23+'Oslo Pensjonsforsikring'!C23+'Protector Forsikring'!C23+'Sparebank 1 Fors.'!C23+'Storebrand Livsforsikring'!C23+'Telenor Forsikring'!C23+'Tryg Forsikring'!C23+'WaterCircles F'!C23+'Euro Accident'!C23+'Ly Forsikring'!C23+'Youplus Livsforsikring'!C23+'Oslo Forsikring'!C23+'Knif Trygghet Forsikring'!C23</f>
        <v>1318627.1115020127</v>
      </c>
      <c r="D23" s="22">
        <f>IF($A$1=4,IF(B23=0, "    ---- ", IF(ABS(ROUND(100/B23*C23-100,1))&lt;999,ROUND(100/B23*C23-100,1),IF(ROUND(100/B23*C23-100,1)&gt;999,999,-999))),"")</f>
        <v>14.4</v>
      </c>
      <c r="E23" s="35">
        <f>'Fremtind Livsforsikring'!F23+'DNB Livsforsikring'!F23+'Eika Forsikring AS'!F23+'Frende Livsforsikring'!F23+'Frende Skadeforsikring'!F23+'Gjensidige Forsikring'!F23+'Gjensidige Pensjon'!F23+'If Skadeforsikring NUF'!F23+KLP!F23+'KLP Skadeforsikring AS'!F23+'Landkreditt Forsikring'!F23+'Nordea Liv '!F23+'Oslo Pensjonsforsikring'!F23+'Protector Forsikring'!F23+'Sparebank 1 Fors.'!F23+'Storebrand Livsforsikring'!F23+'Telenor Forsikring'!F23+'Tryg Forsikring'!F23+'WaterCircles F'!F23+'Euro Accident'!F23+'Ly Forsikring'!F23+'Youplus Livsforsikring'!F23+'Oslo Forsikring'!F23+'Knif Trygghet Forsikring'!F23</f>
        <v>41270.945034812343</v>
      </c>
      <c r="F23" s="35">
        <f>'Fremtind Livsforsikring'!G23+'DNB Livsforsikring'!G23+'Eika Forsikring AS'!G23+'Frende Livsforsikring'!G23+'Frende Skadeforsikring'!G23+'Gjensidige Forsikring'!G23+'Gjensidige Pensjon'!G23+'If Skadeforsikring NUF'!G23+KLP!G23+'KLP Skadeforsikring AS'!G23+'Landkreditt Forsikring'!G23+'Nordea Liv '!G23+'Oslo Pensjonsforsikring'!G23+'Protector Forsikring'!G23+'Sparebank 1 Fors.'!G23+'Storebrand Livsforsikring'!G23+'Telenor Forsikring'!G23+'Tryg Forsikring'!G23+'WaterCircles F'!G23+'Euro Accident'!G23+'Ly Forsikring'!G23+'Youplus Livsforsikring'!G23+'Oslo Forsikring'!G23+'Knif Trygghet Forsikring'!G23</f>
        <v>39001.320489999998</v>
      </c>
      <c r="G23" s="121">
        <f>IF($A$1=4,IF(E23=0, "    ---- ", IF(ABS(ROUND(100/E23*F23-100,1))&lt;999,ROUND(100/E23*F23-100,1),IF(ROUND(100/E23*F23-100,1)&gt;999,999,-999))),"")</f>
        <v>-5.5</v>
      </c>
      <c r="H23" s="178">
        <f t="shared" ref="H23:H39" si="9">SUM(B23,E23)</f>
        <v>1194219.4130689341</v>
      </c>
      <c r="I23" s="35">
        <f t="shared" si="7"/>
        <v>1357628.4319920128</v>
      </c>
      <c r="J23" s="19">
        <f t="shared" si="8"/>
        <v>13.7</v>
      </c>
    </row>
    <row r="24" spans="1:10" ht="15.75" customHeight="1" x14ac:dyDescent="0.2">
      <c r="A24" s="373" t="s">
        <v>326</v>
      </c>
      <c r="B24" s="35">
        <f>'Fremtind Livsforsikring'!B24+'DNB Livsforsikring'!B24+'Eika Forsikring AS'!B24+'Frende Livsforsikring'!B24+'Frende Skadeforsikring'!B24+'Gjensidige Forsikring'!B24+'Gjensidige Pensjon'!B24+'If Skadeforsikring NUF'!B24+KLP!B24+'KLP Skadeforsikring AS'!B24+'Landkreditt Forsikring'!B24+'Nordea Liv '!B24+'Oslo Pensjonsforsikring'!B24+'Protector Forsikring'!B24+'Sparebank 1 Fors.'!B24+'Storebrand Livsforsikring'!B24+'Telenor Forsikring'!B24+'Tryg Forsikring'!B24+'WaterCircles F'!B24+'Euro Accident'!B24+'Ly Forsikring'!B24+'Youplus Livsforsikring'!B24+'Oslo Forsikring'!B24+'Knif Trygghet Forsikring'!B24</f>
        <v>9974.515065795169</v>
      </c>
      <c r="C24" s="35">
        <f>'Fremtind Livsforsikring'!C24+'DNB Livsforsikring'!C24+'Eika Forsikring AS'!C24+'Frende Livsforsikring'!C24+'Frende Skadeforsikring'!C24+'Gjensidige Forsikring'!C24+'Gjensidige Pensjon'!C24+'If Skadeforsikring NUF'!C24+KLP!C24+'KLP Skadeforsikring AS'!C24+'Landkreditt Forsikring'!C24+'Nordea Liv '!C24+'Oslo Pensjonsforsikring'!C24+'Protector Forsikring'!C24+'Sparebank 1 Fors.'!C24+'Storebrand Livsforsikring'!C24+'Telenor Forsikring'!C24+'Tryg Forsikring'!C24+'WaterCircles F'!C24+'Euro Accident'!C24+'Ly Forsikring'!C24+'Youplus Livsforsikring'!C24+'Oslo Forsikring'!C24+'Knif Trygghet Forsikring'!C24</f>
        <v>9863.10121708517</v>
      </c>
      <c r="D24" s="22">
        <f t="shared" ref="D24:D25" si="10">IF($A$1=4,IF(B24=0, "    ---- ", IF(ABS(ROUND(100/B24*C24-100,1))&lt;999,ROUND(100/B24*C24-100,1),IF(ROUND(100/B24*C24-100,1)&gt;999,999,-999))),"")</f>
        <v>-1.1000000000000001</v>
      </c>
      <c r="E24" s="35">
        <f>'Fremtind Livsforsikring'!F24+'DNB Livsforsikring'!F24+'Eika Forsikring AS'!F24+'Frende Livsforsikring'!F24+'Frende Skadeforsikring'!F24+'Gjensidige Forsikring'!F24+'Gjensidige Pensjon'!F24+'If Skadeforsikring NUF'!F24+KLP!F24+'KLP Skadeforsikring AS'!F24+'Landkreditt Forsikring'!F24+'Nordea Liv '!F24+'Oslo Pensjonsforsikring'!F24+'Protector Forsikring'!F24+'Sparebank 1 Fors.'!F24+'Storebrand Livsforsikring'!F24+'Telenor Forsikring'!F24+'Tryg Forsikring'!F24+'WaterCircles F'!F24+'Euro Accident'!F24+'Ly Forsikring'!F24+'Youplus Livsforsikring'!F24+'Oslo Forsikring'!F24+'Knif Trygghet Forsikring'!F24</f>
        <v>851.44764212222447</v>
      </c>
      <c r="F24" s="35">
        <f>'Fremtind Livsforsikring'!G24+'DNB Livsforsikring'!G24+'Eika Forsikring AS'!G24+'Frende Livsforsikring'!G24+'Frende Skadeforsikring'!G24+'Gjensidige Forsikring'!G24+'Gjensidige Pensjon'!G24+'If Skadeforsikring NUF'!G24+KLP!G24+'KLP Skadeforsikring AS'!G24+'Landkreditt Forsikring'!G24+'Nordea Liv '!G24+'Oslo Pensjonsforsikring'!G24+'Protector Forsikring'!G24+'Sparebank 1 Fors.'!G24+'Storebrand Livsforsikring'!G24+'Telenor Forsikring'!G24+'Tryg Forsikring'!G24+'WaterCircles F'!G24+'Euro Accident'!G24+'Ly Forsikring'!G24+'Youplus Livsforsikring'!G24+'Oslo Forsikring'!G24+'Knif Trygghet Forsikring'!G24</f>
        <v>382.25559999999996</v>
      </c>
      <c r="G24" s="121">
        <f t="shared" ref="G24:G25" si="11">IF($A$1=4,IF(E24=0, "    ---- ", IF(ABS(ROUND(100/E24*F24-100,1))&lt;999,ROUND(100/E24*F24-100,1),IF(ROUND(100/E24*F24-100,1)&gt;999,999,-999))),"")</f>
        <v>-55.1</v>
      </c>
      <c r="H24" s="178">
        <f t="shared" si="9"/>
        <v>10825.962707917393</v>
      </c>
      <c r="I24" s="35">
        <f t="shared" si="7"/>
        <v>10245.35681708517</v>
      </c>
      <c r="J24" s="8">
        <f t="shared" si="8"/>
        <v>-5.4</v>
      </c>
    </row>
    <row r="25" spans="1:10" ht="15.75" customHeight="1" x14ac:dyDescent="0.2">
      <c r="A25" s="373" t="s">
        <v>327</v>
      </c>
      <c r="B25" s="35">
        <f>'Fremtind Livsforsikring'!B25+'DNB Livsforsikring'!B25+'Eika Forsikring AS'!B25+'Frende Livsforsikring'!B25+'Frende Skadeforsikring'!B25+'Gjensidige Forsikring'!B25+'Gjensidige Pensjon'!B25+'If Skadeforsikring NUF'!B25+KLP!B25+'KLP Skadeforsikring AS'!B25+'Landkreditt Forsikring'!B25+'Nordea Liv '!B25+'Oslo Pensjonsforsikring'!B25+'Protector Forsikring'!B25+'Sparebank 1 Fors.'!B25+'Storebrand Livsforsikring'!B25+'Telenor Forsikring'!B25+'Tryg Forsikring'!B25+'WaterCircles F'!B25+'Euro Accident'!B25+'Ly Forsikring'!B25+'Youplus Livsforsikring'!B25+'Oslo Forsikring'!B25+'Knif Trygghet Forsikring'!B25</f>
        <v>14823.734768307</v>
      </c>
      <c r="C25" s="35">
        <f>'Fremtind Livsforsikring'!C25+'DNB Livsforsikring'!C25+'Eika Forsikring AS'!C25+'Frende Livsforsikring'!C25+'Frende Skadeforsikring'!C25+'Gjensidige Forsikring'!C25+'Gjensidige Pensjon'!C25+'If Skadeforsikring NUF'!C25+KLP!C25+'KLP Skadeforsikring AS'!C25+'Landkreditt Forsikring'!C25+'Nordea Liv '!C25+'Oslo Pensjonsforsikring'!C25+'Protector Forsikring'!C25+'Sparebank 1 Fors.'!C25+'Storebrand Livsforsikring'!C25+'Telenor Forsikring'!C25+'Tryg Forsikring'!C25+'WaterCircles F'!C25+'Euro Accident'!C25+'Ly Forsikring'!C25+'Youplus Livsforsikring'!C25+'Oslo Forsikring'!C25+'Knif Trygghet Forsikring'!C25</f>
        <v>15321.89</v>
      </c>
      <c r="D25" s="22">
        <f t="shared" si="10"/>
        <v>3.4</v>
      </c>
      <c r="E25" s="35">
        <f>'Fremtind Livsforsikring'!F25+'DNB Livsforsikring'!F25+'Eika Forsikring AS'!F25+'Frende Livsforsikring'!F25+'Frende Skadeforsikring'!F25+'Gjensidige Forsikring'!F25+'Gjensidige Pensjon'!F25+'If Skadeforsikring NUF'!F25+KLP!F25+'KLP Skadeforsikring AS'!F25+'Landkreditt Forsikring'!F25+'Nordea Liv '!F25+'Oslo Pensjonsforsikring'!F25+'Protector Forsikring'!F25+'Sparebank 1 Fors.'!F25+'Storebrand Livsforsikring'!F25+'Telenor Forsikring'!F25+'Tryg Forsikring'!F25+'WaterCircles F'!F25+'Euro Accident'!F25+'Ly Forsikring'!F25+'Youplus Livsforsikring'!F25+'Oslo Forsikring'!F25+'Knif Trygghet Forsikring'!F25</f>
        <v>10685.08334306544</v>
      </c>
      <c r="F25" s="35">
        <f>'Fremtind Livsforsikring'!G25+'DNB Livsforsikring'!G25+'Eika Forsikring AS'!G25+'Frende Livsforsikring'!G25+'Frende Skadeforsikring'!G25+'Gjensidige Forsikring'!G25+'Gjensidige Pensjon'!G25+'If Skadeforsikring NUF'!G25+KLP!G25+'KLP Skadeforsikring AS'!G25+'Landkreditt Forsikring'!G25+'Nordea Liv '!G25+'Oslo Pensjonsforsikring'!G25+'Protector Forsikring'!G25+'Sparebank 1 Fors.'!G25+'Storebrand Livsforsikring'!G25+'Telenor Forsikring'!G25+'Tryg Forsikring'!G25+'WaterCircles F'!G25+'Euro Accident'!G25+'Ly Forsikring'!G25+'Youplus Livsforsikring'!G25+'Oslo Forsikring'!G25+'Knif Trygghet Forsikring'!G25</f>
        <v>10821.10226</v>
      </c>
      <c r="G25" s="121">
        <f t="shared" si="11"/>
        <v>1.3</v>
      </c>
      <c r="H25" s="178">
        <f t="shared" si="9"/>
        <v>25508.818111372442</v>
      </c>
      <c r="I25" s="35">
        <f t="shared" si="7"/>
        <v>26142.992259999999</v>
      </c>
      <c r="J25" s="22">
        <f t="shared" si="8"/>
        <v>2.5</v>
      </c>
    </row>
    <row r="26" spans="1:10" ht="15.75" customHeight="1" x14ac:dyDescent="0.2">
      <c r="A26" s="373" t="s">
        <v>328</v>
      </c>
      <c r="B26" s="35"/>
      <c r="C26" s="35"/>
      <c r="D26" s="22"/>
      <c r="E26" s="35">
        <f>'Fremtind Livsforsikring'!F26+'DNB Livsforsikring'!F26+'Eika Forsikring AS'!F26+'Frende Livsforsikring'!F26+'Frende Skadeforsikring'!F26+'Gjensidige Forsikring'!F26+'Gjensidige Pensjon'!F26+'If Skadeforsikring NUF'!F26+KLP!F26+'KLP Skadeforsikring AS'!F26+'Landkreditt Forsikring'!F26+'Nordea Liv '!F26+'Oslo Pensjonsforsikring'!F26+'Protector Forsikring'!F26+'Sparebank 1 Fors.'!F26+'Storebrand Livsforsikring'!F26+'Telenor Forsikring'!F26+'Tryg Forsikring'!F26+'WaterCircles F'!F26+'Euro Accident'!F26+'Ly Forsikring'!F26+'Youplus Livsforsikring'!F26+'Oslo Forsikring'!F26+'Knif Trygghet Forsikring'!F26</f>
        <v>656068.05411000003</v>
      </c>
      <c r="F26" s="35">
        <f>'Fremtind Livsforsikring'!G26+'DNB Livsforsikring'!G26+'Eika Forsikring AS'!G26+'Frende Livsforsikring'!G26+'Frende Skadeforsikring'!G26+'Gjensidige Forsikring'!G26+'Gjensidige Pensjon'!G26+'If Skadeforsikring NUF'!G26+KLP!G26+'KLP Skadeforsikring AS'!G26+'Landkreditt Forsikring'!G26+'Nordea Liv '!G26+'Oslo Pensjonsforsikring'!G26+'Protector Forsikring'!G26+'Sparebank 1 Fors.'!G26+'Storebrand Livsforsikring'!G26+'Telenor Forsikring'!G26+'Tryg Forsikring'!G26+'WaterCircles F'!G26+'Euro Accident'!G26+'Ly Forsikring'!G26+'Youplus Livsforsikring'!G26+'Oslo Forsikring'!G26+'Knif Trygghet Forsikring'!G26</f>
        <v>749934.67805999995</v>
      </c>
      <c r="G26" s="121">
        <f t="shared" ref="G26" si="12">IF($A$1=4,IF(E26=0, "    ---- ", IF(ABS(ROUND(100/E26*F26-100,1))&lt;999,ROUND(100/E26*F26-100,1),IF(ROUND(100/E26*F26-100,1)&gt;999,999,-999))),"")</f>
        <v>14.3</v>
      </c>
      <c r="H26" s="178">
        <f t="shared" ref="H26" si="13">SUM(B26,E26)</f>
        <v>656068.05411000003</v>
      </c>
      <c r="I26" s="35">
        <f t="shared" ref="I26" si="14">SUM(C26,F26)</f>
        <v>749934.67805999995</v>
      </c>
      <c r="J26" s="22">
        <f t="shared" ref="J26" si="15">IF(H26=0, "    ---- ", IF(ABS(ROUND(100/H26*I26-100,1))&lt;999,ROUND(100/H26*I26-100,1),IF(ROUND(100/H26*I26-100,1)&gt;999,999,-999)))</f>
        <v>14.3</v>
      </c>
    </row>
    <row r="27" spans="1:10" ht="15.75" customHeight="1" x14ac:dyDescent="0.2">
      <c r="A27" s="372" t="s">
        <v>11</v>
      </c>
      <c r="B27" s="35"/>
      <c r="C27" s="35"/>
      <c r="D27" s="22"/>
      <c r="E27" s="35"/>
      <c r="F27" s="35"/>
      <c r="G27" s="121"/>
      <c r="H27" s="178"/>
      <c r="I27" s="35"/>
      <c r="J27" s="22"/>
    </row>
    <row r="28" spans="1:10" ht="15.75" customHeight="1" x14ac:dyDescent="0.2">
      <c r="A28" s="38" t="s">
        <v>247</v>
      </c>
      <c r="B28" s="35">
        <f>'Fremtind Livsforsikring'!B28+'DNB Livsforsikring'!B28+'Eika Forsikring AS'!B28+'Frende Livsforsikring'!B28+'Frende Skadeforsikring'!B28+'Gjensidige Forsikring'!B28+'Gjensidige Pensjon'!B28+'If Skadeforsikring NUF'!B28+KLP!B28+'KLP Skadeforsikring AS'!B28+'Landkreditt Forsikring'!B28+'Nordea Liv '!B28+'Oslo Pensjonsforsikring'!B28+'Protector Forsikring'!B28+'Sparebank 1 Fors.'!B28+'Storebrand Livsforsikring'!B28+'Telenor Forsikring'!B28+'Tryg Forsikring'!B28+'WaterCircles F'!B28+'Euro Accident'!B28+'Ly Forsikring'!B28+'Youplus Livsforsikring'!B28+'Oslo Forsikring'!B28+'Knif Trygghet Forsikring'!B28</f>
        <v>2294177.2499521477</v>
      </c>
      <c r="C28" s="35">
        <f>'Fremtind Livsforsikring'!C28+'DNB Livsforsikring'!C28+'Eika Forsikring AS'!C28+'Frende Livsforsikring'!C28+'Frende Skadeforsikring'!C28+'Gjensidige Forsikring'!C28+'Gjensidige Pensjon'!C28+'If Skadeforsikring NUF'!C28+KLP!C28+'KLP Skadeforsikring AS'!C28+'Landkreditt Forsikring'!C28+'Nordea Liv '!C28+'Oslo Pensjonsforsikring'!C28+'Protector Forsikring'!C28+'Sparebank 1 Fors.'!C28+'Storebrand Livsforsikring'!C28+'Telenor Forsikring'!C28+'Tryg Forsikring'!C28+'WaterCircles F'!C28+'Euro Accident'!C28+'Ly Forsikring'!C28+'Youplus Livsforsikring'!C28+'Oslo Forsikring'!C28+'Knif Trygghet Forsikring'!C28</f>
        <v>2621031.7417805446</v>
      </c>
      <c r="D28" s="19">
        <f t="shared" si="5"/>
        <v>14.2</v>
      </c>
      <c r="E28" s="137"/>
      <c r="F28" s="137"/>
      <c r="G28" s="121"/>
      <c r="H28" s="178">
        <f t="shared" si="9"/>
        <v>2294177.2499521477</v>
      </c>
      <c r="I28" s="35">
        <f t="shared" si="7"/>
        <v>2621031.7417805446</v>
      </c>
      <c r="J28" s="19">
        <f t="shared" si="8"/>
        <v>14.2</v>
      </c>
    </row>
    <row r="29" spans="1:10" s="34" customFormat="1" ht="15.75" customHeight="1" x14ac:dyDescent="0.2">
      <c r="A29" s="10" t="s">
        <v>329</v>
      </c>
      <c r="B29" s="180">
        <f>'Fremtind Livsforsikring'!B29+'DNB Livsforsikring'!B29+'Eika Forsikring AS'!B29+'Frende Livsforsikring'!B29+'Frende Skadeforsikring'!B29+'Gjensidige Forsikring'!B29+'Gjensidige Pensjon'!B29+'If Skadeforsikring NUF'!B29+KLP!B29+'KLP Skadeforsikring AS'!B29+'Landkreditt Forsikring'!B29+'Nordea Liv '!B29+'Oslo Pensjonsforsikring'!B29+'Protector Forsikring'!B29+'Sparebank 1 Fors.'!B29+'Storebrand Livsforsikring'!B29+'Telenor Forsikring'!B29+'Tryg Forsikring'!B29+'WaterCircles F'!B29+'Euro Accident'!B29+'Ly Forsikring'!B29+'Youplus Livsforsikring'!B29+'Oslo Forsikring'!B29+'Knif Trygghet Forsikring'!B29</f>
        <v>43699091.26408463</v>
      </c>
      <c r="C29" s="180">
        <f>'Fremtind Livsforsikring'!C29+'DNB Livsforsikring'!C29+'Eika Forsikring AS'!C29+'Frende Livsforsikring'!C29+'Frende Skadeforsikring'!C29+'Gjensidige Forsikring'!C29+'Gjensidige Pensjon'!C29+'If Skadeforsikring NUF'!C29+KLP!C29+'KLP Skadeforsikring AS'!C29+'Landkreditt Forsikring'!C29+'Nordea Liv '!C29+'Oslo Pensjonsforsikring'!C29+'Protector Forsikring'!C29+'Sparebank 1 Fors.'!C29+'Storebrand Livsforsikring'!C29+'Telenor Forsikring'!C29+'Tryg Forsikring'!C29+'WaterCircles F'!C29+'Euro Accident'!C29+'Ly Forsikring'!C29+'Youplus Livsforsikring'!C29+'Oslo Forsikring'!C29+'Knif Trygghet Forsikring'!C29</f>
        <v>44035497.949318022</v>
      </c>
      <c r="D29" s="20">
        <f t="shared" si="5"/>
        <v>0.8</v>
      </c>
      <c r="E29" s="242">
        <f>'Fremtind Livsforsikring'!F29+'DNB Livsforsikring'!F29+'Eika Forsikring AS'!F29+'Frende Livsforsikring'!F29+'Frende Skadeforsikring'!F29+'Gjensidige Forsikring'!F29+'Gjensidige Pensjon'!F29+'If Skadeforsikring NUF'!F29+KLP!F29+'KLP Skadeforsikring AS'!F29+'Landkreditt Forsikring'!F29+'Nordea Liv '!F29+'Oslo Pensjonsforsikring'!F29+'Protector Forsikring'!F29+'Sparebank 1 Fors.'!F29+'Storebrand Livsforsikring'!F29+'Telenor Forsikring'!F29+'Tryg Forsikring'!F29+'WaterCircles F'!F29+'Euro Accident'!F29+'Ly Forsikring'!F29+'Youplus Livsforsikring'!F29+'Oslo Forsikring'!F29+'Knif Trygghet Forsikring'!F29</f>
        <v>29208879.04755</v>
      </c>
      <c r="F29" s="242">
        <f>'Fremtind Livsforsikring'!G29+'DNB Livsforsikring'!G29+'Eika Forsikring AS'!G29+'Frende Livsforsikring'!G29+'Frende Skadeforsikring'!G29+'Gjensidige Forsikring'!G29+'Gjensidige Pensjon'!G29+'If Skadeforsikring NUF'!G29+KLP!G29+'KLP Skadeforsikring AS'!G29+'Landkreditt Forsikring'!G29+'Nordea Liv '!G29+'Oslo Pensjonsforsikring'!G29+'Protector Forsikring'!G29+'Sparebank 1 Fors.'!G29+'Storebrand Livsforsikring'!G29+'Telenor Forsikring'!G29+'Tryg Forsikring'!G29+'WaterCircles F'!G29+'Euro Accident'!G29+'Ly Forsikring'!G29+'Youplus Livsforsikring'!G29+'Oslo Forsikring'!G29+'Knif Trygghet Forsikring'!G29</f>
        <v>30901938.539026469</v>
      </c>
      <c r="G29" s="125">
        <f t="shared" si="6"/>
        <v>5.8</v>
      </c>
      <c r="H29" s="242">
        <f t="shared" si="9"/>
        <v>72907970.31163463</v>
      </c>
      <c r="I29" s="180">
        <f t="shared" si="7"/>
        <v>74937436.488344491</v>
      </c>
      <c r="J29" s="20">
        <f t="shared" si="8"/>
        <v>2.8</v>
      </c>
    </row>
    <row r="30" spans="1:10" ht="15.75" customHeight="1" x14ac:dyDescent="0.2">
      <c r="A30" s="373" t="s">
        <v>325</v>
      </c>
      <c r="B30" s="35">
        <f>'Fremtind Livsforsikring'!B30+'DNB Livsforsikring'!B30+'Eika Forsikring AS'!B30+'Frende Livsforsikring'!B30+'Frende Skadeforsikring'!B30+'Gjensidige Forsikring'!B30+'Gjensidige Pensjon'!B30+'If Skadeforsikring NUF'!B30+KLP!B30+'KLP Skadeforsikring AS'!B30+'Landkreditt Forsikring'!B30+'Nordea Liv '!B30+'Oslo Pensjonsforsikring'!B30+'Protector Forsikring'!B30+'Sparebank 1 Fors.'!B30+'Storebrand Livsforsikring'!B30+'Telenor Forsikring'!B30+'Tryg Forsikring'!B30+'WaterCircles F'!B30+'Euro Accident'!B30+'Ly Forsikring'!B30+'Youplus Livsforsikring'!B30+'Oslo Forsikring'!B30+'Knif Trygghet Forsikring'!B30</f>
        <v>18137817.792059023</v>
      </c>
      <c r="C30" s="35">
        <f>'Fremtind Livsforsikring'!C30+'DNB Livsforsikring'!C30+'Eika Forsikring AS'!C30+'Frende Livsforsikring'!C30+'Frende Skadeforsikring'!C30+'Gjensidige Forsikring'!C30+'Gjensidige Pensjon'!C30+'If Skadeforsikring NUF'!C30+KLP!C30+'KLP Skadeforsikring AS'!C30+'Landkreditt Forsikring'!C30+'Nordea Liv '!C30+'Oslo Pensjonsforsikring'!C30+'Protector Forsikring'!C30+'Sparebank 1 Fors.'!C30+'Storebrand Livsforsikring'!C30+'Telenor Forsikring'!C30+'Tryg Forsikring'!C30+'WaterCircles F'!C30+'Euro Accident'!C30+'Ly Forsikring'!C30+'Youplus Livsforsikring'!C30+'Oslo Forsikring'!C30+'Knif Trygghet Forsikring'!C30</f>
        <v>19007539.229183517</v>
      </c>
      <c r="D30" s="22">
        <f t="shared" ref="D30:D32" si="16">IF($A$1=4,IF(B30=0, "    ---- ", IF(ABS(ROUND(100/B30*C30-100,1))&lt;999,ROUND(100/B30*C30-100,1),IF(ROUND(100/B30*C30-100,1)&gt;999,999,-999))),"")</f>
        <v>4.8</v>
      </c>
      <c r="E30" s="35">
        <f>'Fremtind Livsforsikring'!F30+'DNB Livsforsikring'!F30+'Eika Forsikring AS'!F30+'Frende Livsforsikring'!F30+'Frende Skadeforsikring'!F30+'Gjensidige Forsikring'!F30+'Gjensidige Pensjon'!F30+'If Skadeforsikring NUF'!F30+KLP!F30+'KLP Skadeforsikring AS'!F30+'Landkreditt Forsikring'!F30+'Nordea Liv '!F30+'Oslo Pensjonsforsikring'!F30+'Protector Forsikring'!F30+'Sparebank 1 Fors.'!F30+'Storebrand Livsforsikring'!F30+'Telenor Forsikring'!F30+'Tryg Forsikring'!F30+'WaterCircles F'!F30+'Euro Accident'!F30+'Ly Forsikring'!F30+'Youplus Livsforsikring'!F30+'Oslo Forsikring'!F30+'Knif Trygghet Forsikring'!F30</f>
        <v>3786145.0985448388</v>
      </c>
      <c r="F30" s="35">
        <f>'Fremtind Livsforsikring'!G30+'DNB Livsforsikring'!G30+'Eika Forsikring AS'!G30+'Frende Livsforsikring'!G30+'Frende Skadeforsikring'!G30+'Gjensidige Forsikring'!G30+'Gjensidige Pensjon'!G30+'If Skadeforsikring NUF'!G30+KLP!G30+'KLP Skadeforsikring AS'!G30+'Landkreditt Forsikring'!G30+'Nordea Liv '!G30+'Oslo Pensjonsforsikring'!G30+'Protector Forsikring'!G30+'Sparebank 1 Fors.'!G30+'Storebrand Livsforsikring'!G30+'Telenor Forsikring'!G30+'Tryg Forsikring'!G30+'WaterCircles F'!G30+'Euro Accident'!G30+'Ly Forsikring'!G30+'Youplus Livsforsikring'!G30+'Oslo Forsikring'!G30+'Knif Trygghet Forsikring'!G30</f>
        <v>3687148.7515122658</v>
      </c>
      <c r="G30" s="121">
        <f t="shared" ref="G30:G32" si="17">IF($A$1=4,IF(E30=0, "    ---- ", IF(ABS(ROUND(100/E30*F30-100,1))&lt;999,ROUND(100/E30*F30-100,1),IF(ROUND(100/E30*F30-100,1)&gt;999,999,-999))),"")</f>
        <v>-2.6</v>
      </c>
      <c r="H30" s="178">
        <f t="shared" si="9"/>
        <v>21923962.890603863</v>
      </c>
      <c r="I30" s="35">
        <f t="shared" si="7"/>
        <v>22694687.980695784</v>
      </c>
      <c r="J30" s="19">
        <f t="shared" si="8"/>
        <v>3.5</v>
      </c>
    </row>
    <row r="31" spans="1:10" ht="15.75" customHeight="1" x14ac:dyDescent="0.2">
      <c r="A31" s="373" t="s">
        <v>326</v>
      </c>
      <c r="B31" s="35">
        <f>'Fremtind Livsforsikring'!B31+'DNB Livsforsikring'!B31+'Eika Forsikring AS'!B31+'Frende Livsforsikring'!B31+'Frende Skadeforsikring'!B31+'Gjensidige Forsikring'!B31+'Gjensidige Pensjon'!B31+'If Skadeforsikring NUF'!B31+KLP!B31+'KLP Skadeforsikring AS'!B31+'Landkreditt Forsikring'!B31+'Nordea Liv '!B31+'Oslo Pensjonsforsikring'!B31+'Protector Forsikring'!B31+'Sparebank 1 Fors.'!B31+'Storebrand Livsforsikring'!B31+'Telenor Forsikring'!B31+'Tryg Forsikring'!B31+'WaterCircles F'!B31+'Euro Accident'!B31+'Ly Forsikring'!B31+'Youplus Livsforsikring'!B31+'Oslo Forsikring'!B31+'Knif Trygghet Forsikring'!B31</f>
        <v>23090631.939996831</v>
      </c>
      <c r="C31" s="35">
        <f>'Fremtind Livsforsikring'!C31+'DNB Livsforsikring'!C31+'Eika Forsikring AS'!C31+'Frende Livsforsikring'!C31+'Frende Skadeforsikring'!C31+'Gjensidige Forsikring'!C31+'Gjensidige Pensjon'!C31+'If Skadeforsikring NUF'!C31+KLP!C31+'KLP Skadeforsikring AS'!C31+'Landkreditt Forsikring'!C31+'Nordea Liv '!C31+'Oslo Pensjonsforsikring'!C31+'Protector Forsikring'!C31+'Sparebank 1 Fors.'!C31+'Storebrand Livsforsikring'!C31+'Telenor Forsikring'!C31+'Tryg Forsikring'!C31+'WaterCircles F'!C31+'Euro Accident'!C31+'Ly Forsikring'!C31+'Youplus Livsforsikring'!C31+'Oslo Forsikring'!C31+'Knif Trygghet Forsikring'!C31</f>
        <v>22282240.584728662</v>
      </c>
      <c r="D31" s="22">
        <f t="shared" si="16"/>
        <v>-3.5</v>
      </c>
      <c r="E31" s="35">
        <f>'Fremtind Livsforsikring'!F31+'DNB Livsforsikring'!F31+'Eika Forsikring AS'!F31+'Frende Livsforsikring'!F31+'Frende Skadeforsikring'!F31+'Gjensidige Forsikring'!F31+'Gjensidige Pensjon'!F31+'If Skadeforsikring NUF'!F31+KLP!F31+'KLP Skadeforsikring AS'!F31+'Landkreditt Forsikring'!F31+'Nordea Liv '!F31+'Oslo Pensjonsforsikring'!F31+'Protector Forsikring'!F31+'Sparebank 1 Fors.'!F31+'Storebrand Livsforsikring'!F31+'Telenor Forsikring'!F31+'Tryg Forsikring'!F31+'WaterCircles F'!F31+'Euro Accident'!F31+'Ly Forsikring'!F31+'Youplus Livsforsikring'!F31+'Oslo Forsikring'!F31+'Knif Trygghet Forsikring'!F31</f>
        <v>7746150.4870285466</v>
      </c>
      <c r="F31" s="35">
        <f>'Fremtind Livsforsikring'!G31+'DNB Livsforsikring'!G31+'Eika Forsikring AS'!G31+'Frende Livsforsikring'!G31+'Frende Skadeforsikring'!G31+'Gjensidige Forsikring'!G31+'Gjensidige Pensjon'!G31+'If Skadeforsikring NUF'!G31+KLP!G31+'KLP Skadeforsikring AS'!G31+'Landkreditt Forsikring'!G31+'Nordea Liv '!G31+'Oslo Pensjonsforsikring'!G31+'Protector Forsikring'!G31+'Sparebank 1 Fors.'!G31+'Storebrand Livsforsikring'!G31+'Telenor Forsikring'!G31+'Tryg Forsikring'!G31+'WaterCircles F'!G31+'Euro Accident'!G31+'Ly Forsikring'!G31+'Youplus Livsforsikring'!G31+'Oslo Forsikring'!G31+'Knif Trygghet Forsikring'!G31</f>
        <v>7344383.9974515149</v>
      </c>
      <c r="G31" s="121">
        <f t="shared" si="17"/>
        <v>-5.2</v>
      </c>
      <c r="H31" s="178">
        <f t="shared" si="9"/>
        <v>30836782.427025378</v>
      </c>
      <c r="I31" s="35">
        <f t="shared" si="7"/>
        <v>29626624.582180176</v>
      </c>
      <c r="J31" s="19">
        <f t="shared" si="8"/>
        <v>-3.9</v>
      </c>
    </row>
    <row r="32" spans="1:10" ht="15.75" customHeight="1" x14ac:dyDescent="0.2">
      <c r="A32" s="373" t="s">
        <v>327</v>
      </c>
      <c r="B32" s="35">
        <f>'Fremtind Livsforsikring'!B32+'DNB Livsforsikring'!B32+'Eika Forsikring AS'!B32+'Frende Livsforsikring'!B32+'Frende Skadeforsikring'!B32+'Gjensidige Forsikring'!B32+'Gjensidige Pensjon'!B32+'If Skadeforsikring NUF'!B32+KLP!B32+'KLP Skadeforsikring AS'!B32+'Landkreditt Forsikring'!B32+'Nordea Liv '!B32+'Oslo Pensjonsforsikring'!B32+'Protector Forsikring'!B32+'Sparebank 1 Fors.'!B32+'Storebrand Livsforsikring'!B32+'Telenor Forsikring'!B32+'Tryg Forsikring'!B32+'WaterCircles F'!B32+'Euro Accident'!B32+'Ly Forsikring'!B32+'Youplus Livsforsikring'!B32+'Oslo Forsikring'!B32+'Knif Trygghet Forsikring'!B32</f>
        <v>2336536.4710287722</v>
      </c>
      <c r="C32" s="35">
        <f>'Fremtind Livsforsikring'!C32+'DNB Livsforsikring'!C32+'Eika Forsikring AS'!C32+'Frende Livsforsikring'!C32+'Frende Skadeforsikring'!C32+'Gjensidige Forsikring'!C32+'Gjensidige Pensjon'!C32+'If Skadeforsikring NUF'!C32+KLP!C32+'KLP Skadeforsikring AS'!C32+'Landkreditt Forsikring'!C32+'Nordea Liv '!C32+'Oslo Pensjonsforsikring'!C32+'Protector Forsikring'!C32+'Sparebank 1 Fors.'!C32+'Storebrand Livsforsikring'!C32+'Telenor Forsikring'!C32+'Tryg Forsikring'!C32+'WaterCircles F'!C32+'Euro Accident'!C32+'Ly Forsikring'!C32+'Youplus Livsforsikring'!C32+'Oslo Forsikring'!C32+'Knif Trygghet Forsikring'!C32</f>
        <v>2575370.9984058002</v>
      </c>
      <c r="D32" s="22">
        <f t="shared" si="16"/>
        <v>10.199999999999999</v>
      </c>
      <c r="E32" s="35">
        <f>'Fremtind Livsforsikring'!F32+'DNB Livsforsikring'!F32+'Eika Forsikring AS'!F32+'Frende Livsforsikring'!F32+'Frende Skadeforsikring'!F32+'Gjensidige Forsikring'!F32+'Gjensidige Pensjon'!F32+'If Skadeforsikring NUF'!F32+KLP!F32+'KLP Skadeforsikring AS'!F32+'Landkreditt Forsikring'!F32+'Nordea Liv '!F32+'Oslo Pensjonsforsikring'!F32+'Protector Forsikring'!F32+'Sparebank 1 Fors.'!F32+'Storebrand Livsforsikring'!F32+'Telenor Forsikring'!F32+'Tryg Forsikring'!F32+'WaterCircles F'!F32+'Euro Accident'!F32+'Ly Forsikring'!F32+'Youplus Livsforsikring'!F32+'Oslo Forsikring'!F32+'Knif Trygghet Forsikring'!F32</f>
        <v>6737602.9898584103</v>
      </c>
      <c r="F32" s="35">
        <f>'Fremtind Livsforsikring'!G32+'DNB Livsforsikring'!G32+'Eika Forsikring AS'!G32+'Frende Livsforsikring'!G32+'Frende Skadeforsikring'!G32+'Gjensidige Forsikring'!G32+'Gjensidige Pensjon'!G32+'If Skadeforsikring NUF'!G32+KLP!G32+'KLP Skadeforsikring AS'!G32+'Landkreditt Forsikring'!G32+'Nordea Liv '!G32+'Oslo Pensjonsforsikring'!G32+'Protector Forsikring'!G32+'Sparebank 1 Fors.'!G32+'Storebrand Livsforsikring'!G32+'Telenor Forsikring'!G32+'Tryg Forsikring'!G32+'WaterCircles F'!G32+'Euro Accident'!G32+'Ly Forsikring'!G32+'Youplus Livsforsikring'!G32+'Oslo Forsikring'!G32+'Knif Trygghet Forsikring'!G32</f>
        <v>7225267.9376559928</v>
      </c>
      <c r="G32" s="121">
        <f t="shared" si="17"/>
        <v>7.2</v>
      </c>
      <c r="H32" s="178">
        <f t="shared" si="9"/>
        <v>9074139.4608871825</v>
      </c>
      <c r="I32" s="35">
        <f t="shared" si="7"/>
        <v>9800638.9360617921</v>
      </c>
      <c r="J32" s="20">
        <f t="shared" si="8"/>
        <v>8</v>
      </c>
    </row>
    <row r="33" spans="1:10" ht="15.75" customHeight="1" x14ac:dyDescent="0.2">
      <c r="A33" s="373" t="s">
        <v>328</v>
      </c>
      <c r="B33" s="35"/>
      <c r="C33" s="35"/>
      <c r="D33" s="22"/>
      <c r="E33" s="35">
        <f>'Fremtind Livsforsikring'!F33+'DNB Livsforsikring'!F33+'Eika Forsikring AS'!F33+'Frende Livsforsikring'!F33+'Frende Skadeforsikring'!F33+'Gjensidige Forsikring'!F33+'Gjensidige Pensjon'!F33+'If Skadeforsikring NUF'!F33+KLP!F33+'KLP Skadeforsikring AS'!F33+'Landkreditt Forsikring'!F33+'Nordea Liv '!F33+'Oslo Pensjonsforsikring'!F33+'Protector Forsikring'!F33+'Sparebank 1 Fors.'!F33+'Storebrand Livsforsikring'!F33+'Telenor Forsikring'!F33+'Tryg Forsikring'!F33+'WaterCircles F'!F33+'Euro Accident'!F33+'Ly Forsikring'!F33+'Youplus Livsforsikring'!F33+'Oslo Forsikring'!F33+'Knif Trygghet Forsikring'!F33</f>
        <v>10938980.47211821</v>
      </c>
      <c r="F33" s="35">
        <f>'Fremtind Livsforsikring'!G33+'DNB Livsforsikring'!G33+'Eika Forsikring AS'!G33+'Frende Livsforsikring'!G33+'Frende Skadeforsikring'!G33+'Gjensidige Forsikring'!G33+'Gjensidige Pensjon'!G33+'If Skadeforsikring NUF'!G33+KLP!G33+'KLP Skadeforsikring AS'!G33+'Landkreditt Forsikring'!G33+'Nordea Liv '!G33+'Oslo Pensjonsforsikring'!G33+'Protector Forsikring'!G33+'Sparebank 1 Fors.'!G33+'Storebrand Livsforsikring'!G33+'Telenor Forsikring'!G33+'Tryg Forsikring'!G33+'WaterCircles F'!G33+'Euro Accident'!G33+'Ly Forsikring'!G33+'Youplus Livsforsikring'!G33+'Oslo Forsikring'!G33+'Knif Trygghet Forsikring'!G33</f>
        <v>12645137.852406699</v>
      </c>
      <c r="G33" s="121">
        <f t="shared" ref="G33" si="18">IF($A$1=4,IF(E33=0, "    ---- ", IF(ABS(ROUND(100/E33*F33-100,1))&lt;999,ROUND(100/E33*F33-100,1),IF(ROUND(100/E33*F33-100,1)&gt;999,999,-999))),"")</f>
        <v>15.6</v>
      </c>
      <c r="H33" s="178">
        <f t="shared" ref="H33" si="19">SUM(B33,E33)</f>
        <v>10938980.47211821</v>
      </c>
      <c r="I33" s="35">
        <f t="shared" ref="I33" si="20">SUM(C33,F33)</f>
        <v>12645137.852406699</v>
      </c>
      <c r="J33" s="20">
        <f t="shared" ref="J33" si="21">IF(H33=0, "    ---- ", IF(ABS(ROUND(100/H33*I33-100,1))&lt;999,ROUND(100/H33*I33-100,1),IF(ROUND(100/H33*I33-100,1)&gt;999,999,-999)))</f>
        <v>15.6</v>
      </c>
    </row>
    <row r="34" spans="1:10" s="34" customFormat="1" ht="15.75" customHeight="1" x14ac:dyDescent="0.2">
      <c r="A34" s="10" t="s">
        <v>323</v>
      </c>
      <c r="B34" s="180">
        <f>'Fremtind Livsforsikring'!B34+'DNB Livsforsikring'!B34+'Eika Forsikring AS'!B34+'Frende Livsforsikring'!B34+'Frende Skadeforsikring'!B34+'Gjensidige Forsikring'!B34+'Gjensidige Pensjon'!B34+'If Skadeforsikring NUF'!B34+KLP!B34+'KLP Skadeforsikring AS'!B34+'Landkreditt Forsikring'!B34+'Nordea Liv '!B34+'Oslo Pensjonsforsikring'!B34+'Protector Forsikring'!B34+'Sparebank 1 Fors.'!B34+'Storebrand Livsforsikring'!B34+'Telenor Forsikring'!B34+'Tryg Forsikring'!B34+'WaterCircles F'!B34+'Euro Accident'!B34+'Ly Forsikring'!B34+'Youplus Livsforsikring'!B34+'Oslo Forsikring'!B34+'Knif Trygghet Forsikring'!B34</f>
        <v>15227.442999999999</v>
      </c>
      <c r="C34" s="180">
        <f>'Fremtind Livsforsikring'!C34+'DNB Livsforsikring'!C34+'Eika Forsikring AS'!C34+'Frende Livsforsikring'!C34+'Frende Skadeforsikring'!C34+'Gjensidige Forsikring'!C34+'Gjensidige Pensjon'!C34+'If Skadeforsikring NUF'!C34+KLP!C34+'KLP Skadeforsikring AS'!C34+'Landkreditt Forsikring'!C34+'Nordea Liv '!C34+'Oslo Pensjonsforsikring'!C34+'Protector Forsikring'!C34+'Sparebank 1 Fors.'!C34+'Storebrand Livsforsikring'!C34+'Telenor Forsikring'!C34+'Tryg Forsikring'!C34+'WaterCircles F'!C34+'Euro Accident'!C34+'Ly Forsikring'!C34+'Youplus Livsforsikring'!C34+'Oslo Forsikring'!C34+'Knif Trygghet Forsikring'!C34</f>
        <v>24276.164379999998</v>
      </c>
      <c r="D34" s="20">
        <f t="shared" si="5"/>
        <v>59.4</v>
      </c>
      <c r="E34" s="242">
        <f>'Fremtind Livsforsikring'!F34+'DNB Livsforsikring'!F34+'Eika Forsikring AS'!F34+'Frende Livsforsikring'!F34+'Frende Skadeforsikring'!F34+'Gjensidige Forsikring'!F34+'Gjensidige Pensjon'!F34+'If Skadeforsikring NUF'!F34+KLP!F34+'KLP Skadeforsikring AS'!F34+'Landkreditt Forsikring'!F34+'Nordea Liv '!F34+'Oslo Pensjonsforsikring'!F34+'Protector Forsikring'!F34+'Sparebank 1 Fors.'!F34+'Storebrand Livsforsikring'!F34+'Telenor Forsikring'!F34+'Tryg Forsikring'!F34+'WaterCircles F'!F34+'Euro Accident'!F34+'Ly Forsikring'!F34+'Youplus Livsforsikring'!F34+'Oslo Forsikring'!F34+'Knif Trygghet Forsikring'!F34</f>
        <v>-271679.93477000005</v>
      </c>
      <c r="F34" s="242">
        <f>'Fremtind Livsforsikring'!G34+'DNB Livsforsikring'!G34+'Eika Forsikring AS'!G34+'Frende Livsforsikring'!G34+'Frende Skadeforsikring'!G34+'Gjensidige Forsikring'!G34+'Gjensidige Pensjon'!G34+'If Skadeforsikring NUF'!G34+KLP!G34+'KLP Skadeforsikring AS'!G34+'Landkreditt Forsikring'!G34+'Nordea Liv '!G34+'Oslo Pensjonsforsikring'!G34+'Protector Forsikring'!G34+'Sparebank 1 Fors.'!G34+'Storebrand Livsforsikring'!G34+'Telenor Forsikring'!G34+'Tryg Forsikring'!G34+'WaterCircles F'!G34+'Euro Accident'!G34+'Ly Forsikring'!G34+'Youplus Livsforsikring'!G34+'Oslo Forsikring'!G34+'Knif Trygghet Forsikring'!G34</f>
        <v>-195517.16322999998</v>
      </c>
      <c r="G34" s="125">
        <f t="shared" si="6"/>
        <v>-28</v>
      </c>
      <c r="H34" s="242">
        <f t="shared" si="9"/>
        <v>-256452.49177000005</v>
      </c>
      <c r="I34" s="180">
        <f t="shared" si="7"/>
        <v>-171240.99884999997</v>
      </c>
      <c r="J34" s="20">
        <f t="shared" si="8"/>
        <v>-33.200000000000003</v>
      </c>
    </row>
    <row r="35" spans="1:10" s="34" customFormat="1" ht="15.75" customHeight="1" x14ac:dyDescent="0.2">
      <c r="A35" s="10" t="s">
        <v>324</v>
      </c>
      <c r="B35" s="180">
        <f>'Fremtind Livsforsikring'!B35+'DNB Livsforsikring'!B35+'Eika Forsikring AS'!B35+'Frende Livsforsikring'!B35+'Frende Skadeforsikring'!B35+'Gjensidige Forsikring'!B35+'Gjensidige Pensjon'!B35+'If Skadeforsikring NUF'!B35+KLP!B35+'KLP Skadeforsikring AS'!B35+'Landkreditt Forsikring'!B35+'Nordea Liv '!B35+'Oslo Pensjonsforsikring'!B35+'Protector Forsikring'!B35+'Sparebank 1 Fors.'!B35+'Storebrand Livsforsikring'!B35+'Telenor Forsikring'!B35+'Tryg Forsikring'!B35+'WaterCircles F'!B35+'Euro Accident'!B35+'Ly Forsikring'!B35+'Youplus Livsforsikring'!B35+'Oslo Forsikring'!B35+'Knif Trygghet Forsikring'!B35</f>
        <v>-380247.60177999997</v>
      </c>
      <c r="C35" s="180">
        <f>'Fremtind Livsforsikring'!C35+'DNB Livsforsikring'!C35+'Eika Forsikring AS'!C35+'Frende Livsforsikring'!C35+'Frende Skadeforsikring'!C35+'Gjensidige Forsikring'!C35+'Gjensidige Pensjon'!C35+'If Skadeforsikring NUF'!C35+KLP!C35+'KLP Skadeforsikring AS'!C35+'Landkreditt Forsikring'!C35+'Nordea Liv '!C35+'Oslo Pensjonsforsikring'!C35+'Protector Forsikring'!C35+'Sparebank 1 Fors.'!C35+'Storebrand Livsforsikring'!C35+'Telenor Forsikring'!C35+'Tryg Forsikring'!C35+'WaterCircles F'!C35+'Euro Accident'!C35+'Ly Forsikring'!C35+'Youplus Livsforsikring'!C35+'Oslo Forsikring'!C35+'Knif Trygghet Forsikring'!C35</f>
        <v>-346511.35765999998</v>
      </c>
      <c r="D35" s="20">
        <f t="shared" si="5"/>
        <v>-8.9</v>
      </c>
      <c r="E35" s="242">
        <f>'Fremtind Livsforsikring'!F35+'DNB Livsforsikring'!F35+'Eika Forsikring AS'!F35+'Frende Livsforsikring'!F35+'Frende Skadeforsikring'!F35+'Gjensidige Forsikring'!F35+'Gjensidige Pensjon'!F35+'If Skadeforsikring NUF'!F35+KLP!F35+'KLP Skadeforsikring AS'!F35+'Landkreditt Forsikring'!F35+'Nordea Liv '!F35+'Oslo Pensjonsforsikring'!F35+'Protector Forsikring'!F35+'Sparebank 1 Fors.'!F35+'Storebrand Livsforsikring'!F35+'Telenor Forsikring'!F35+'Tryg Forsikring'!F35+'WaterCircles F'!F35+'Euro Accident'!F35+'Ly Forsikring'!F35+'Youplus Livsforsikring'!F35+'Oslo Forsikring'!F35+'Knif Trygghet Forsikring'!F35</f>
        <v>143220.7733</v>
      </c>
      <c r="F35" s="242">
        <f>'Fremtind Livsforsikring'!G35+'DNB Livsforsikring'!G35+'Eika Forsikring AS'!G35+'Frende Livsforsikring'!G35+'Frende Skadeforsikring'!G35+'Gjensidige Forsikring'!G35+'Gjensidige Pensjon'!G35+'If Skadeforsikring NUF'!G35+KLP!G35+'KLP Skadeforsikring AS'!G35+'Landkreditt Forsikring'!G35+'Nordea Liv '!G35+'Oslo Pensjonsforsikring'!G35+'Protector Forsikring'!G35+'Sparebank 1 Fors.'!G35+'Storebrand Livsforsikring'!G35+'Telenor Forsikring'!G35+'Tryg Forsikring'!G35+'WaterCircles F'!G35+'Euro Accident'!G35+'Ly Forsikring'!G35+'Youplus Livsforsikring'!G35+'Oslo Forsikring'!G35+'Knif Trygghet Forsikring'!G35</f>
        <v>182220.24154000002</v>
      </c>
      <c r="G35" s="125">
        <f t="shared" si="6"/>
        <v>27.2</v>
      </c>
      <c r="H35" s="242">
        <f t="shared" si="9"/>
        <v>-237026.82847999997</v>
      </c>
      <c r="I35" s="180">
        <f t="shared" si="7"/>
        <v>-164291.11611999996</v>
      </c>
      <c r="J35" s="20">
        <f t="shared" si="8"/>
        <v>-30.7</v>
      </c>
    </row>
    <row r="36" spans="1:10" s="34" customFormat="1" ht="15.75" customHeight="1" x14ac:dyDescent="0.2">
      <c r="A36" s="9" t="s">
        <v>254</v>
      </c>
      <c r="B36" s="180">
        <f>'Fremtind Livsforsikring'!B36+'DNB Livsforsikring'!B36+'Eika Forsikring AS'!B36+'Frende Livsforsikring'!B36+'Frende Skadeforsikring'!B36+'Gjensidige Forsikring'!B36+'Gjensidige Pensjon'!B36+'If Skadeforsikring NUF'!B36+KLP!B36+'KLP Skadeforsikring AS'!B36+'Landkreditt Forsikring'!B36+'Nordea Liv '!B36+'Oslo Pensjonsforsikring'!B36+'Protector Forsikring'!B36+'Sparebank 1 Fors.'!B36+'Storebrand Livsforsikring'!B36+'Telenor Forsikring'!B36+'Tryg Forsikring'!B36+'WaterCircles F'!B36+'Euro Accident'!B36+'Ly Forsikring'!B36+'Youplus Livsforsikring'!B36+'Oslo Forsikring'!B36+'Knif Trygghet Forsikring'!B36</f>
        <v>7772.7269999999999</v>
      </c>
      <c r="C36" s="180">
        <f>'Fremtind Livsforsikring'!C36+'DNB Livsforsikring'!C36+'Eika Forsikring AS'!C36+'Frende Livsforsikring'!C36+'Frende Skadeforsikring'!C36+'Gjensidige Forsikring'!C36+'Gjensidige Pensjon'!C36+'If Skadeforsikring NUF'!C36+KLP!C36+'KLP Skadeforsikring AS'!C36+'Landkreditt Forsikring'!C36+'Nordea Liv '!C36+'Oslo Pensjonsforsikring'!C36+'Protector Forsikring'!C36+'Sparebank 1 Fors.'!C36+'Storebrand Livsforsikring'!C36+'Telenor Forsikring'!C36+'Tryg Forsikring'!C36+'WaterCircles F'!C36+'Euro Accident'!C36+'Ly Forsikring'!C36+'Youplus Livsforsikring'!C36+'Oslo Forsikring'!C36+'Knif Trygghet Forsikring'!C36</f>
        <v>19863.569</v>
      </c>
      <c r="D36" s="8">
        <f t="shared" si="5"/>
        <v>155.6</v>
      </c>
      <c r="E36" s="253"/>
      <c r="F36" s="253"/>
      <c r="G36" s="125"/>
      <c r="H36" s="242">
        <f t="shared" si="9"/>
        <v>7772.7269999999999</v>
      </c>
      <c r="I36" s="180">
        <f t="shared" si="7"/>
        <v>19863.569</v>
      </c>
      <c r="J36" s="8">
        <f t="shared" si="8"/>
        <v>155.6</v>
      </c>
    </row>
    <row r="37" spans="1:10" s="34" customFormat="1" ht="15.75" customHeight="1" x14ac:dyDescent="0.2">
      <c r="A37" s="9" t="s">
        <v>330</v>
      </c>
      <c r="B37" s="180">
        <f>'Fremtind Livsforsikring'!B37+'DNB Livsforsikring'!B37+'Eika Forsikring AS'!B37+'Frende Livsforsikring'!B37+'Frende Skadeforsikring'!B37+'Gjensidige Forsikring'!B37+'Gjensidige Pensjon'!B37+'If Skadeforsikring NUF'!B37+KLP!B37+'KLP Skadeforsikring AS'!B37+'Landkreditt Forsikring'!B37+'Nordea Liv '!B37+'Oslo Pensjonsforsikring'!B37+'Protector Forsikring'!B37+'Sparebank 1 Fors.'!B37+'Storebrand Livsforsikring'!B37+'Telenor Forsikring'!B37+'Tryg Forsikring'!B37+'WaterCircles F'!B37+'Euro Accident'!B37+'Ly Forsikring'!B37+'Youplus Livsforsikring'!B37+'Oslo Forsikring'!B37+'Knif Trygghet Forsikring'!B37</f>
        <v>2549132.8585299999</v>
      </c>
      <c r="C37" s="180">
        <f>'Fremtind Livsforsikring'!C37+'DNB Livsforsikring'!C37+'Eika Forsikring AS'!C37+'Frende Livsforsikring'!C37+'Frende Skadeforsikring'!C37+'Gjensidige Forsikring'!C37+'Gjensidige Pensjon'!C37+'If Skadeforsikring NUF'!C37+KLP!C37+'KLP Skadeforsikring AS'!C37+'Landkreditt Forsikring'!C37+'Nordea Liv '!C37+'Oslo Pensjonsforsikring'!C37+'Protector Forsikring'!C37+'Sparebank 1 Fors.'!C37+'Storebrand Livsforsikring'!C37+'Telenor Forsikring'!C37+'Tryg Forsikring'!C37+'WaterCircles F'!C37+'Euro Accident'!C37+'Ly Forsikring'!C37+'Youplus Livsforsikring'!C37+'Oslo Forsikring'!C37+'Knif Trygghet Forsikring'!C37</f>
        <v>2369754.11678452</v>
      </c>
      <c r="D37" s="20">
        <f t="shared" si="5"/>
        <v>-7</v>
      </c>
      <c r="E37" s="258"/>
      <c r="F37" s="258"/>
      <c r="G37" s="125"/>
      <c r="H37" s="242">
        <f t="shared" si="9"/>
        <v>2549132.8585299999</v>
      </c>
      <c r="I37" s="180">
        <f t="shared" si="7"/>
        <v>2369754.11678452</v>
      </c>
      <c r="J37" s="20">
        <f t="shared" si="8"/>
        <v>-7</v>
      </c>
    </row>
    <row r="38" spans="1:10" s="34" customFormat="1" ht="15.75" customHeight="1" x14ac:dyDescent="0.2">
      <c r="A38" s="9" t="s">
        <v>331</v>
      </c>
      <c r="B38" s="180"/>
      <c r="C38" s="180"/>
      <c r="D38" s="20"/>
      <c r="E38" s="253"/>
      <c r="F38" s="253"/>
      <c r="G38" s="125"/>
      <c r="H38" s="242"/>
      <c r="I38" s="180"/>
      <c r="J38" s="20"/>
    </row>
    <row r="39" spans="1:10" s="34" customFormat="1" ht="15.75" customHeight="1" x14ac:dyDescent="0.2">
      <c r="A39" s="15" t="s">
        <v>332</v>
      </c>
      <c r="B39" s="215">
        <f>'Fremtind Livsforsikring'!B39+'DNB Livsforsikring'!B39+'Eika Forsikring AS'!B39+'Frende Livsforsikring'!B39+'Frende Skadeforsikring'!B39+'Gjensidige Forsikring'!B39+'Gjensidige Pensjon'!B39+'If Skadeforsikring NUF'!B39+KLP!B39+'KLP Skadeforsikring AS'!B39+'Landkreditt Forsikring'!B39+'Nordea Liv '!B39+'Oslo Pensjonsforsikring'!B39+'Protector Forsikring'!B39+'Sparebank 1 Fors.'!B39+'Storebrand Livsforsikring'!B39+'Telenor Forsikring'!B39+'Tryg Forsikring'!B39+'WaterCircles F'!B39+'Euro Accident'!B39+'Ly Forsikring'!B39+'Youplus Livsforsikring'!B39+'Oslo Forsikring'!B39+'Knif Trygghet Forsikring'!B39</f>
        <v>1</v>
      </c>
      <c r="C39" s="215">
        <f>'Fremtind Livsforsikring'!C39+'DNB Livsforsikring'!C39+'Eika Forsikring AS'!C39+'Frende Livsforsikring'!C39+'Frende Skadeforsikring'!C39+'Gjensidige Forsikring'!C39+'Gjensidige Pensjon'!C39+'If Skadeforsikring NUF'!C39+KLP!C39+'KLP Skadeforsikring AS'!C39+'Landkreditt Forsikring'!C39+'Nordea Liv '!C39+'Oslo Pensjonsforsikring'!C39+'Protector Forsikring'!C39+'Sparebank 1 Fors.'!C39+'Storebrand Livsforsikring'!C39+'Telenor Forsikring'!C39+'Tryg Forsikring'!C39+'WaterCircles F'!C39+'Euro Accident'!C39+'Ly Forsikring'!C39+'Youplus Livsforsikring'!C39+'Oslo Forsikring'!C39+'Knif Trygghet Forsikring'!C39</f>
        <v>1.8089999999999999</v>
      </c>
      <c r="D39" s="29">
        <f t="shared" si="5"/>
        <v>80.900000000000006</v>
      </c>
      <c r="E39" s="259"/>
      <c r="F39" s="259"/>
      <c r="G39" s="123"/>
      <c r="H39" s="248">
        <f t="shared" si="9"/>
        <v>1</v>
      </c>
      <c r="I39" s="215">
        <f t="shared" si="7"/>
        <v>1.8089999999999999</v>
      </c>
      <c r="J39" s="29">
        <f t="shared" si="8"/>
        <v>80.900000000000006</v>
      </c>
    </row>
    <row r="40" spans="1:10" ht="15.75" customHeight="1" x14ac:dyDescent="0.2">
      <c r="A40" s="34"/>
    </row>
    <row r="41" spans="1:10" ht="15.75" customHeight="1" x14ac:dyDescent="0.2">
      <c r="A41" s="113"/>
    </row>
    <row r="42" spans="1:10" ht="15.75" customHeight="1" x14ac:dyDescent="0.25">
      <c r="A42" s="109" t="s">
        <v>244</v>
      </c>
      <c r="B42" s="564"/>
      <c r="C42" s="564"/>
      <c r="D42" s="564"/>
      <c r="E42" s="564"/>
      <c r="F42" s="564"/>
      <c r="G42" s="564"/>
      <c r="H42" s="564"/>
      <c r="I42" s="564"/>
      <c r="J42" s="564"/>
    </row>
    <row r="43" spans="1:10" ht="15.75" customHeight="1" x14ac:dyDescent="0.25">
      <c r="A43" s="120"/>
      <c r="B43" s="233"/>
      <c r="C43" s="233"/>
      <c r="D43" s="233"/>
      <c r="E43" s="233"/>
      <c r="F43" s="233"/>
      <c r="G43" s="233"/>
      <c r="H43" s="233"/>
      <c r="I43" s="233"/>
      <c r="J43" s="233"/>
    </row>
    <row r="44" spans="1:10" ht="15.75" customHeight="1" x14ac:dyDescent="0.25">
      <c r="A44" s="191"/>
      <c r="B44" s="260" t="s">
        <v>0</v>
      </c>
      <c r="C44" s="261"/>
      <c r="D44" s="196"/>
      <c r="E44" s="33"/>
      <c r="F44" s="33"/>
      <c r="G44" s="31"/>
      <c r="H44" s="33"/>
      <c r="I44" s="33"/>
      <c r="J44" s="31"/>
    </row>
    <row r="45" spans="1:10" ht="15.75" customHeight="1" x14ac:dyDescent="0.2">
      <c r="A45" s="104"/>
      <c r="B45" s="535">
        <v>45565</v>
      </c>
      <c r="C45" s="535">
        <v>45930</v>
      </c>
      <c r="D45" s="194" t="s">
        <v>3</v>
      </c>
      <c r="E45" s="33"/>
      <c r="F45" s="33"/>
      <c r="G45" s="31"/>
      <c r="H45" s="33"/>
      <c r="I45" s="33"/>
      <c r="J45" s="31"/>
    </row>
    <row r="46" spans="1:10" ht="15.75" customHeight="1" x14ac:dyDescent="0.2">
      <c r="A46" s="538"/>
      <c r="B46" s="7"/>
      <c r="C46" s="195"/>
      <c r="D46" s="14" t="s">
        <v>4</v>
      </c>
      <c r="E46" s="31"/>
      <c r="F46" s="31"/>
      <c r="G46" s="31"/>
      <c r="H46" s="31"/>
      <c r="I46" s="31"/>
      <c r="J46" s="31"/>
    </row>
    <row r="47" spans="1:10" s="34" customFormat="1" ht="15.75" customHeight="1" x14ac:dyDescent="0.2">
      <c r="A47" s="11" t="s">
        <v>23</v>
      </c>
      <c r="B47" s="180">
        <f>'Fremtind Livsforsikring'!B47+'DNB Livsforsikring'!B47+'Eika Forsikring AS'!B47+'Frende Livsforsikring'!B47+'Frende Skadeforsikring'!B47+'Gjensidige Forsikring'!B47+'Gjensidige Pensjon'!B47+'If Skadeforsikring NUF'!B47+KLP!B47+'KLP Skadeforsikring AS'!B47+'Landkreditt Forsikring'!B47+'Nordea Liv '!B47+'Oslo Pensjonsforsikring'!B47+'Protector Forsikring'!B47+'Sparebank 1 Fors.'!B47+'Storebrand Livsforsikring'!B47+'Telenor Forsikring'!B47+'Tryg Forsikring'!B47+'WaterCircles F'!B47+'Euro Accident'!B47+'Ly Forsikring'!B47+'Youplus Livsforsikring'!B47+'Oslo Forsikring'!B47+'Knif Trygghet Forsikring'!B47</f>
        <v>5907603.813750999</v>
      </c>
      <c r="C47" s="180">
        <f>'Fremtind Livsforsikring'!C47+'DNB Livsforsikring'!C47+'Eika Forsikring AS'!C47+'Frende Livsforsikring'!C47+'Frende Skadeforsikring'!C47+'Gjensidige Forsikring'!C47+'Gjensidige Pensjon'!C47+'If Skadeforsikring NUF'!C47+KLP!C47+'KLP Skadeforsikring AS'!C47+'Landkreditt Forsikring'!C47+'Nordea Liv '!C47+'Oslo Pensjonsforsikring'!C47+'Protector Forsikring'!C47+'Sparebank 1 Fors.'!C47+'Storebrand Livsforsikring'!C47+'Telenor Forsikring'!C47+'Tryg Forsikring'!C47+'WaterCircles F'!C47+'Euro Accident'!C47+'Ly Forsikring'!C47+'Youplus Livsforsikring'!C47+'Oslo Forsikring'!C47+'Knif Trygghet Forsikring'!C47</f>
        <v>6370167.5611368483</v>
      </c>
      <c r="D47" s="20">
        <f t="shared" ref="D47:D57" si="22">IF(B47=0, "    ---- ", IF(ABS(ROUND(100/B47*C47-100,1))&lt;999,ROUND(100/B47*C47-100,1),IF(ROUND(100/B47*C47-100,1)&gt;999,999,-999)))</f>
        <v>7.8</v>
      </c>
      <c r="E47" s="327"/>
      <c r="F47" s="328"/>
      <c r="G47" s="25"/>
      <c r="H47" s="329"/>
      <c r="I47" s="329"/>
      <c r="J47" s="25"/>
    </row>
    <row r="48" spans="1:10" ht="15.75" customHeight="1" x14ac:dyDescent="0.2">
      <c r="A48" s="17" t="s">
        <v>333</v>
      </c>
      <c r="B48" s="35">
        <f>'Fremtind Livsforsikring'!B48+'DNB Livsforsikring'!B48+'Eika Forsikring AS'!B48+'Frende Livsforsikring'!B48+'Frende Skadeforsikring'!B48+'Gjensidige Forsikring'!B48+'Gjensidige Pensjon'!B48+'If Skadeforsikring NUF'!B48+KLP!B48+'KLP Skadeforsikring AS'!B48+'Landkreditt Forsikring'!B48+'Nordea Liv '!B48+'Oslo Pensjonsforsikring'!B48+'Protector Forsikring'!B48+'Sparebank 1 Fors.'!B48+'Storebrand Livsforsikring'!B48+'Telenor Forsikring'!B48+'Tryg Forsikring'!B48+'WaterCircles F'!B48+'Euro Accident'!B48+'Ly Forsikring'!B48+'Youplus Livsforsikring'!B48+'Oslo Forsikring'!B48+'Knif Trygghet Forsikring'!B48</f>
        <v>3324582.0366809997</v>
      </c>
      <c r="C48" s="35">
        <f>'Fremtind Livsforsikring'!C48+'DNB Livsforsikring'!C48+'Eika Forsikring AS'!C48+'Frende Livsforsikring'!C48+'Frende Skadeforsikring'!C48+'Gjensidige Forsikring'!C48+'Gjensidige Pensjon'!C48+'If Skadeforsikring NUF'!C48+KLP!C48+'KLP Skadeforsikring AS'!C48+'Landkreditt Forsikring'!C48+'Nordea Liv '!C48+'Oslo Pensjonsforsikring'!C48+'Protector Forsikring'!C48+'Sparebank 1 Fors.'!C48+'Storebrand Livsforsikring'!C48+'Telenor Forsikring'!C48+'Tryg Forsikring'!C48+'WaterCircles F'!C48+'Euro Accident'!C48+'Ly Forsikring'!C48+'Youplus Livsforsikring'!C48+'Oslo Forsikring'!C48+'Knif Trygghet Forsikring'!C48</f>
        <v>3656660.1242068494</v>
      </c>
      <c r="D48" s="20">
        <f t="shared" si="22"/>
        <v>10</v>
      </c>
      <c r="E48" s="28"/>
      <c r="F48" s="3"/>
      <c r="G48" s="27"/>
      <c r="H48" s="26"/>
      <c r="I48" s="26"/>
      <c r="J48" s="25"/>
    </row>
    <row r="49" spans="1:10" ht="15.75" customHeight="1" x14ac:dyDescent="0.2">
      <c r="A49" s="17" t="s">
        <v>334</v>
      </c>
      <c r="B49" s="140">
        <f>'Fremtind Livsforsikring'!B49+'DNB Livsforsikring'!B49+'Eika Forsikring AS'!B49+'Frende Livsforsikring'!B49+'Frende Skadeforsikring'!B49+'Gjensidige Forsikring'!B49+'Gjensidige Pensjon'!B49+'If Skadeforsikring NUF'!B49+KLP!B49+'KLP Skadeforsikring AS'!B49+'Landkreditt Forsikring'!B49+'Nordea Liv '!B49+'Oslo Pensjonsforsikring'!B49+'Protector Forsikring'!B49+'Sparebank 1 Fors.'!B49+'Storebrand Livsforsikring'!B49+'Telenor Forsikring'!B49+'Tryg Forsikring'!B49+'WaterCircles F'!B49+'Euro Accident'!B49+'Ly Forsikring'!B49+'Youplus Livsforsikring'!B49+'Oslo Forsikring'!B49+'Knif Trygghet Forsikring'!B49</f>
        <v>2583021.7770699998</v>
      </c>
      <c r="C49" s="140">
        <f>'Fremtind Livsforsikring'!C49+'DNB Livsforsikring'!C49+'Eika Forsikring AS'!C49+'Frende Livsforsikring'!C49+'Frende Skadeforsikring'!C49+'Gjensidige Forsikring'!C49+'Gjensidige Pensjon'!C49+'If Skadeforsikring NUF'!C49+KLP!C49+'KLP Skadeforsikring AS'!C49+'Landkreditt Forsikring'!C49+'Nordea Liv '!C49+'Oslo Pensjonsforsikring'!C49+'Protector Forsikring'!C49+'Sparebank 1 Fors.'!C49+'Storebrand Livsforsikring'!C49+'Telenor Forsikring'!C49+'Tryg Forsikring'!C49+'WaterCircles F'!C49+'Euro Accident'!C49+'Ly Forsikring'!C49+'Youplus Livsforsikring'!C49+'Oslo Forsikring'!C49+'Knif Trygghet Forsikring'!C49</f>
        <v>2713507.4369299999</v>
      </c>
      <c r="D49" s="20">
        <f t="shared" si="22"/>
        <v>5.0999999999999996</v>
      </c>
      <c r="E49" s="28"/>
      <c r="F49" s="3"/>
      <c r="G49" s="27"/>
      <c r="H49" s="30"/>
      <c r="I49" s="30"/>
      <c r="J49" s="25"/>
    </row>
    <row r="50" spans="1:10" ht="15.75" customHeight="1" x14ac:dyDescent="0.2">
      <c r="A50" s="232" t="s">
        <v>6</v>
      </c>
      <c r="B50" s="35"/>
      <c r="C50" s="35"/>
      <c r="D50" s="22"/>
      <c r="E50" s="28"/>
      <c r="F50" s="3"/>
      <c r="G50" s="27"/>
      <c r="H50" s="26"/>
      <c r="I50" s="26"/>
      <c r="J50" s="25"/>
    </row>
    <row r="51" spans="1:10" ht="15.75" customHeight="1" x14ac:dyDescent="0.2">
      <c r="A51" s="232" t="s">
        <v>7</v>
      </c>
      <c r="B51" s="35"/>
      <c r="C51" s="35"/>
      <c r="D51" s="22"/>
      <c r="E51" s="28"/>
      <c r="F51" s="3"/>
      <c r="G51" s="27"/>
      <c r="H51" s="26"/>
      <c r="I51" s="26"/>
      <c r="J51" s="25"/>
    </row>
    <row r="52" spans="1:10" ht="15.75" customHeight="1" x14ac:dyDescent="0.2">
      <c r="A52" s="232" t="s">
        <v>8</v>
      </c>
      <c r="B52" s="35"/>
      <c r="C52" s="35"/>
      <c r="D52" s="22"/>
      <c r="E52" s="28"/>
      <c r="F52" s="3"/>
      <c r="G52" s="27"/>
      <c r="H52" s="26"/>
      <c r="I52" s="26"/>
      <c r="J52" s="25"/>
    </row>
    <row r="53" spans="1:10" s="34" customFormat="1" ht="15.75" customHeight="1" x14ac:dyDescent="0.2">
      <c r="A53" s="10" t="s">
        <v>335</v>
      </c>
      <c r="B53" s="180">
        <f>'Fremtind Livsforsikring'!B53+'DNB Livsforsikring'!B53+'Eika Forsikring AS'!B53+'Frende Livsforsikring'!B53+'Frende Skadeforsikring'!B53+'Gjensidige Forsikring'!B53+'Gjensidige Pensjon'!B53+'If Skadeforsikring NUF'!B53+KLP!B53+'KLP Skadeforsikring AS'!B53+'Landkreditt Forsikring'!B53+'Nordea Liv '!B53+'Oslo Pensjonsforsikring'!B53+'Protector Forsikring'!B53+'Sparebank 1 Fors.'!B53+'Storebrand Livsforsikring'!B53+'Telenor Forsikring'!B53+'Tryg Forsikring'!B53+'WaterCircles F'!B53+'Euro Accident'!B53+'Ly Forsikring'!B53+'Youplus Livsforsikring'!B53+'Oslo Forsikring'!B53+'Knif Trygghet Forsikring'!B53</f>
        <v>199707.08867784814</v>
      </c>
      <c r="C53" s="180">
        <f>'Fremtind Livsforsikring'!C53+'DNB Livsforsikring'!C53+'Eika Forsikring AS'!C53+'Frende Livsforsikring'!C53+'Frende Skadeforsikring'!C53+'Gjensidige Forsikring'!C53+'Gjensidige Pensjon'!C53+'If Skadeforsikring NUF'!C53+KLP!C53+'KLP Skadeforsikring AS'!C53+'Landkreditt Forsikring'!C53+'Nordea Liv '!C53+'Oslo Pensjonsforsikring'!C53+'Protector Forsikring'!C53+'Sparebank 1 Fors.'!C53+'Storebrand Livsforsikring'!C53+'Telenor Forsikring'!C53+'Tryg Forsikring'!C53+'WaterCircles F'!C53+'Euro Accident'!C53+'Ly Forsikring'!C53+'Youplus Livsforsikring'!C53+'Oslo Forsikring'!C53+'Knif Trygghet Forsikring'!C53</f>
        <v>301453.25274000003</v>
      </c>
      <c r="D53" s="20">
        <f t="shared" si="22"/>
        <v>50.9</v>
      </c>
      <c r="E53" s="327"/>
      <c r="F53" s="328"/>
      <c r="G53" s="25"/>
      <c r="H53" s="127"/>
      <c r="I53" s="127"/>
      <c r="J53" s="25"/>
    </row>
    <row r="54" spans="1:10" ht="15.75" customHeight="1" x14ac:dyDescent="0.2">
      <c r="A54" s="17" t="s">
        <v>333</v>
      </c>
      <c r="B54" s="35">
        <f>'Fremtind Livsforsikring'!B54+'DNB Livsforsikring'!B54+'Eika Forsikring AS'!B54+'Frende Livsforsikring'!B54+'Frende Skadeforsikring'!B54+'Gjensidige Forsikring'!B54+'Gjensidige Pensjon'!B54+'If Skadeforsikring NUF'!B54+KLP!B54+'KLP Skadeforsikring AS'!B54+'Landkreditt Forsikring'!B54+'Nordea Liv '!B54+'Oslo Pensjonsforsikring'!B54+'Protector Forsikring'!B54+'Sparebank 1 Fors.'!B54+'Storebrand Livsforsikring'!B54+'Telenor Forsikring'!B54+'Tryg Forsikring'!B54+'WaterCircles F'!B54+'Euro Accident'!B54+'Ly Forsikring'!B54+'Youplus Livsforsikring'!B54+'Oslo Forsikring'!B54+'Knif Trygghet Forsikring'!B54</f>
        <v>198718.08867784814</v>
      </c>
      <c r="C54" s="35">
        <f>'Fremtind Livsforsikring'!C54+'DNB Livsforsikring'!C54+'Eika Forsikring AS'!C54+'Frende Livsforsikring'!C54+'Frende Skadeforsikring'!C54+'Gjensidige Forsikring'!C54+'Gjensidige Pensjon'!C54+'If Skadeforsikring NUF'!C54+KLP!C54+'KLP Skadeforsikring AS'!C54+'Landkreditt Forsikring'!C54+'Nordea Liv '!C54+'Oslo Pensjonsforsikring'!C54+'Protector Forsikring'!C54+'Sparebank 1 Fors.'!C54+'Storebrand Livsforsikring'!C54+'Telenor Forsikring'!C54+'Tryg Forsikring'!C54+'WaterCircles F'!C54+'Euro Accident'!C54+'Ly Forsikring'!C54+'Youplus Livsforsikring'!C54+'Oslo Forsikring'!C54+'Knif Trygghet Forsikring'!C54</f>
        <v>294472.18773999996</v>
      </c>
      <c r="D54" s="20">
        <f t="shared" si="22"/>
        <v>48.2</v>
      </c>
      <c r="E54" s="28"/>
      <c r="F54" s="3"/>
      <c r="G54" s="27"/>
      <c r="H54" s="26"/>
      <c r="I54" s="26"/>
      <c r="J54" s="25"/>
    </row>
    <row r="55" spans="1:10" ht="15.75" customHeight="1" x14ac:dyDescent="0.2">
      <c r="A55" s="17" t="s">
        <v>334</v>
      </c>
      <c r="B55" s="35">
        <f>'Fremtind Livsforsikring'!B55+'DNB Livsforsikring'!B55+'Eika Forsikring AS'!B55+'Frende Livsforsikring'!B55+'Frende Skadeforsikring'!B55+'Gjensidige Forsikring'!B55+'Gjensidige Pensjon'!B55+'If Skadeforsikring NUF'!B55+KLP!B55+'KLP Skadeforsikring AS'!B55+'Landkreditt Forsikring'!B55+'Nordea Liv '!B55+'Oslo Pensjonsforsikring'!B55+'Protector Forsikring'!B55+'Sparebank 1 Fors.'!B55+'Storebrand Livsforsikring'!B55+'Telenor Forsikring'!B55+'Tryg Forsikring'!B55+'WaterCircles F'!B55+'Euro Accident'!B55+'Ly Forsikring'!B55+'Youplus Livsforsikring'!B55+'Oslo Forsikring'!B55+'Knif Trygghet Forsikring'!B55</f>
        <v>989</v>
      </c>
      <c r="C55" s="35">
        <f>'Fremtind Livsforsikring'!C55+'DNB Livsforsikring'!C55+'Eika Forsikring AS'!C55+'Frende Livsforsikring'!C55+'Frende Skadeforsikring'!C55+'Gjensidige Forsikring'!C55+'Gjensidige Pensjon'!C55+'If Skadeforsikring NUF'!C55+KLP!C55+'KLP Skadeforsikring AS'!C55+'Landkreditt Forsikring'!C55+'Nordea Liv '!C55+'Oslo Pensjonsforsikring'!C55+'Protector Forsikring'!C55+'Sparebank 1 Fors.'!C55+'Storebrand Livsforsikring'!C55+'Telenor Forsikring'!C55+'Tryg Forsikring'!C55+'WaterCircles F'!C55+'Euro Accident'!C55+'Ly Forsikring'!C55+'Youplus Livsforsikring'!C55+'Oslo Forsikring'!C55+'Knif Trygghet Forsikring'!C55</f>
        <v>6981.0649999999996</v>
      </c>
      <c r="D55" s="20">
        <f t="shared" si="22"/>
        <v>605.9</v>
      </c>
      <c r="E55" s="28"/>
      <c r="F55" s="3"/>
      <c r="G55" s="27"/>
      <c r="H55" s="26"/>
      <c r="I55" s="26"/>
      <c r="J55" s="25"/>
    </row>
    <row r="56" spans="1:10" s="34" customFormat="1" ht="15.75" customHeight="1" x14ac:dyDescent="0.2">
      <c r="A56" s="10" t="s">
        <v>336</v>
      </c>
      <c r="B56" s="180">
        <f>'Fremtind Livsforsikring'!B56+'DNB Livsforsikring'!B56+'Eika Forsikring AS'!B56+'Frende Livsforsikring'!B56+'Frende Skadeforsikring'!B56+'Gjensidige Forsikring'!B56+'Gjensidige Pensjon'!B56+'If Skadeforsikring NUF'!B56+KLP!B56+'KLP Skadeforsikring AS'!B56+'Landkreditt Forsikring'!B56+'Nordea Liv '!B56+'Oslo Pensjonsforsikring'!B56+'Protector Forsikring'!B56+'Sparebank 1 Fors.'!B56+'Storebrand Livsforsikring'!B56+'Telenor Forsikring'!B56+'Tryg Forsikring'!B56+'WaterCircles F'!B56+'Euro Accident'!B56+'Ly Forsikring'!B56+'Youplus Livsforsikring'!B56+'Oslo Forsikring'!B56+'Knif Trygghet Forsikring'!B56</f>
        <v>175366.75099999999</v>
      </c>
      <c r="C56" s="180">
        <f>'Fremtind Livsforsikring'!C56+'DNB Livsforsikring'!C56+'Eika Forsikring AS'!C56+'Frende Livsforsikring'!C56+'Frende Skadeforsikring'!C56+'Gjensidige Forsikring'!C56+'Gjensidige Pensjon'!C56+'If Skadeforsikring NUF'!C56+KLP!C56+'KLP Skadeforsikring AS'!C56+'Landkreditt Forsikring'!C56+'Nordea Liv '!C56+'Oslo Pensjonsforsikring'!C56+'Protector Forsikring'!C56+'Sparebank 1 Fors.'!C56+'Storebrand Livsforsikring'!C56+'Telenor Forsikring'!C56+'Tryg Forsikring'!C56+'WaterCircles F'!C56+'Euro Accident'!C56+'Ly Forsikring'!C56+'Youplus Livsforsikring'!C56+'Oslo Forsikring'!C56+'Knif Trygghet Forsikring'!C56</f>
        <v>93932.501000000004</v>
      </c>
      <c r="D56" s="20">
        <f t="shared" si="22"/>
        <v>-46.4</v>
      </c>
      <c r="E56" s="327"/>
      <c r="F56" s="328"/>
      <c r="G56" s="25"/>
      <c r="H56" s="127"/>
      <c r="I56" s="127"/>
      <c r="J56" s="25"/>
    </row>
    <row r="57" spans="1:10" ht="15.75" customHeight="1" x14ac:dyDescent="0.2">
      <c r="A57" s="17" t="s">
        <v>333</v>
      </c>
      <c r="B57" s="35">
        <f>'Fremtind Livsforsikring'!B57+'DNB Livsforsikring'!B57+'Eika Forsikring AS'!B57+'Frende Livsforsikring'!B57+'Frende Skadeforsikring'!B57+'Gjensidige Forsikring'!B57+'Gjensidige Pensjon'!B57+'If Skadeforsikring NUF'!B57+KLP!B57+'KLP Skadeforsikring AS'!B57+'Landkreditt Forsikring'!B57+'Nordea Liv '!B57+'Oslo Pensjonsforsikring'!B57+'Protector Forsikring'!B57+'Sparebank 1 Fors.'!B57+'Storebrand Livsforsikring'!B57+'Telenor Forsikring'!B57+'Tryg Forsikring'!B57+'WaterCircles F'!B57+'Euro Accident'!B57+'Ly Forsikring'!B57+'Youplus Livsforsikring'!B57+'Oslo Forsikring'!B57+'Knif Trygghet Forsikring'!B57</f>
        <v>175366.75099999999</v>
      </c>
      <c r="C57" s="35">
        <f>'Fremtind Livsforsikring'!C57+'DNB Livsforsikring'!C57+'Eika Forsikring AS'!C57+'Frende Livsforsikring'!C57+'Frende Skadeforsikring'!C57+'Gjensidige Forsikring'!C57+'Gjensidige Pensjon'!C57+'If Skadeforsikring NUF'!C57+KLP!C57+'KLP Skadeforsikring AS'!C57+'Landkreditt Forsikring'!C57+'Nordea Liv '!C57+'Oslo Pensjonsforsikring'!C57+'Protector Forsikring'!C57+'Sparebank 1 Fors.'!C57+'Storebrand Livsforsikring'!C57+'Telenor Forsikring'!C57+'Tryg Forsikring'!C57+'WaterCircles F'!C57+'Euro Accident'!C57+'Ly Forsikring'!C57+'Youplus Livsforsikring'!C57+'Oslo Forsikring'!C57+'Knif Trygghet Forsikring'!C57</f>
        <v>93932.501000000004</v>
      </c>
      <c r="D57" s="20">
        <f t="shared" si="22"/>
        <v>-46.4</v>
      </c>
      <c r="E57" s="28"/>
      <c r="F57" s="3"/>
      <c r="G57" s="27"/>
      <c r="H57" s="26"/>
      <c r="I57" s="26"/>
      <c r="J57" s="25"/>
    </row>
    <row r="58" spans="1:10" ht="15.75" customHeight="1" x14ac:dyDescent="0.2">
      <c r="A58" s="7" t="s">
        <v>334</v>
      </c>
      <c r="B58" s="36"/>
      <c r="C58" s="36"/>
      <c r="D58" s="29"/>
      <c r="E58" s="28"/>
      <c r="F58" s="3"/>
      <c r="G58" s="27"/>
      <c r="H58" s="26"/>
      <c r="I58" s="26"/>
      <c r="J58" s="25"/>
    </row>
    <row r="59" spans="1:10" ht="15.75" customHeight="1" x14ac:dyDescent="0.25">
      <c r="A59" s="113"/>
      <c r="B59" s="23"/>
      <c r="C59" s="23"/>
      <c r="D59" s="23"/>
      <c r="E59" s="23"/>
      <c r="F59" s="23"/>
      <c r="G59" s="23"/>
      <c r="H59" s="23"/>
      <c r="I59" s="23"/>
      <c r="J59" s="23"/>
    </row>
    <row r="60" spans="1:10" ht="15.75" customHeight="1" x14ac:dyDescent="0.2">
      <c r="A60" s="113"/>
    </row>
    <row r="61" spans="1:10" ht="15.75" customHeight="1" x14ac:dyDescent="0.25">
      <c r="A61" s="109" t="s">
        <v>245</v>
      </c>
      <c r="C61" s="21"/>
      <c r="D61" s="4"/>
      <c r="E61" s="21"/>
      <c r="F61" s="21"/>
      <c r="G61" s="4"/>
      <c r="H61" s="21"/>
      <c r="I61" s="21"/>
      <c r="J61" s="4"/>
    </row>
    <row r="62" spans="1:10" ht="20.100000000000001" customHeight="1" x14ac:dyDescent="0.25">
      <c r="A62" s="21"/>
      <c r="B62" s="564"/>
      <c r="C62" s="564"/>
      <c r="D62" s="564"/>
      <c r="E62" s="564"/>
      <c r="F62" s="564"/>
      <c r="G62" s="564"/>
      <c r="H62" s="564"/>
      <c r="I62" s="564"/>
      <c r="J62" s="564"/>
    </row>
    <row r="63" spans="1:10" ht="15.75" customHeight="1" x14ac:dyDescent="0.2">
      <c r="A63" s="107"/>
      <c r="B63" s="566" t="s">
        <v>0</v>
      </c>
      <c r="C63" s="567"/>
      <c r="D63" s="567"/>
      <c r="E63" s="566" t="s">
        <v>1</v>
      </c>
      <c r="F63" s="567"/>
      <c r="G63" s="568"/>
      <c r="H63" s="567" t="s">
        <v>2</v>
      </c>
      <c r="I63" s="567"/>
      <c r="J63" s="568"/>
    </row>
    <row r="64" spans="1:10" ht="15.75" customHeight="1" x14ac:dyDescent="0.2">
      <c r="A64" s="104"/>
      <c r="B64" s="535">
        <v>45565</v>
      </c>
      <c r="C64" s="535">
        <v>45930</v>
      </c>
      <c r="D64" s="16" t="s">
        <v>3</v>
      </c>
      <c r="E64" s="535">
        <v>45565</v>
      </c>
      <c r="F64" s="535">
        <v>45930</v>
      </c>
      <c r="G64" s="16" t="s">
        <v>3</v>
      </c>
      <c r="H64" s="535">
        <v>45565</v>
      </c>
      <c r="I64" s="535">
        <v>45930</v>
      </c>
      <c r="J64" s="16" t="s">
        <v>3</v>
      </c>
    </row>
    <row r="65" spans="1:10" ht="15.75" customHeight="1" x14ac:dyDescent="0.2">
      <c r="A65" s="538"/>
      <c r="B65" s="12"/>
      <c r="C65" s="12"/>
      <c r="D65" s="14" t="s">
        <v>4</v>
      </c>
      <c r="E65" s="13"/>
      <c r="F65" s="13"/>
      <c r="G65" s="12" t="s">
        <v>4</v>
      </c>
      <c r="H65" s="13"/>
      <c r="I65" s="13"/>
      <c r="J65" s="12" t="s">
        <v>4</v>
      </c>
    </row>
    <row r="66" spans="1:10" s="34" customFormat="1" ht="15.75" customHeight="1" x14ac:dyDescent="0.2">
      <c r="A66" s="11" t="s">
        <v>23</v>
      </c>
      <c r="B66" s="262">
        <f>'Fremtind Livsforsikring'!B66+'DNB Livsforsikring'!B66+'Eika Forsikring AS'!B66+'Frende Livsforsikring'!B66+'Frende Skadeforsikring'!B66+'Gjensidige Forsikring'!B66+'Gjensidige Pensjon'!B66+'If Skadeforsikring NUF'!B66+KLP!B66+'KLP Skadeforsikring AS'!B66+'Landkreditt Forsikring'!B66+'Nordea Liv '!B66+'Oslo Pensjonsforsikring'!B66+'Protector Forsikring'!B66+'Sparebank 1 Fors.'!B66+'Storebrand Livsforsikring'!B66+'Telenor Forsikring'!B66+'Tryg Forsikring'!B66+'WaterCircles F'!B66+'Euro Accident'!B66+'Ly Forsikring'!B66+'Youplus Livsforsikring'!B66+'Oslo Forsikring'!B66+'Knif Trygghet Forsikring'!B66</f>
        <v>6948626.5419399999</v>
      </c>
      <c r="C66" s="262">
        <f>'Fremtind Livsforsikring'!C66+'DNB Livsforsikring'!C66+'Eika Forsikring AS'!C66+'Frende Livsforsikring'!C66+'Frende Skadeforsikring'!C66+'Gjensidige Forsikring'!C66+'Gjensidige Pensjon'!C66+'If Skadeforsikring NUF'!C66+KLP!C66+'KLP Skadeforsikring AS'!C66+'Landkreditt Forsikring'!C66+'Nordea Liv '!C66+'Oslo Pensjonsforsikring'!C66+'Protector Forsikring'!C66+'Sparebank 1 Fors.'!C66+'Storebrand Livsforsikring'!C66+'Telenor Forsikring'!C66+'Tryg Forsikring'!C66+'WaterCircles F'!C66+'Euro Accident'!C66+'Ly Forsikring'!C66+'Youplus Livsforsikring'!C66+'Oslo Forsikring'!C66+'Knif Trygghet Forsikring'!C66</f>
        <v>7510990.3208799995</v>
      </c>
      <c r="D66" s="20">
        <f t="shared" ref="D66:D111" si="23">IF(B66=0, "    ---- ", IF(ABS(ROUND(100/B66*C66-100,1))&lt;999,ROUND(100/B66*C66-100,1),IF(ROUND(100/B66*C66-100,1)&gt;999,999,-999)))</f>
        <v>8.1</v>
      </c>
      <c r="E66" s="180">
        <f>'Fremtind Livsforsikring'!F66+'DNB Livsforsikring'!F66+'Eika Forsikring AS'!F66+'Frende Livsforsikring'!F66+'Frende Skadeforsikring'!F66+'Gjensidige Forsikring'!F66+'Gjensidige Pensjon'!F66+'If Skadeforsikring NUF'!F66+KLP!F66+'KLP Skadeforsikring AS'!F66+'Landkreditt Forsikring'!F66+'Nordea Liv '!F66+'Oslo Pensjonsforsikring'!F66+'Protector Forsikring'!F66+'Sparebank 1 Fors.'!F66+'Storebrand Livsforsikring'!F66+'Telenor Forsikring'!F66+'Tryg Forsikring'!F66+'WaterCircles F'!F66+'Euro Accident'!F66+'Ly Forsikring'!F66+'Youplus Livsforsikring'!F66+'Oslo Forsikring'!F66+'Knif Trygghet Forsikring'!F66</f>
        <v>39937724.614830002</v>
      </c>
      <c r="F66" s="180">
        <f>'Fremtind Livsforsikring'!G66+'DNB Livsforsikring'!G66+'Eika Forsikring AS'!G66+'Frende Livsforsikring'!G66+'Frende Skadeforsikring'!G66+'Gjensidige Forsikring'!G66+'Gjensidige Pensjon'!G66+'If Skadeforsikring NUF'!G66+KLP!G66+'KLP Skadeforsikring AS'!G66+'Landkreditt Forsikring'!G66+'Nordea Liv '!G66+'Oslo Pensjonsforsikring'!G66+'Protector Forsikring'!G66+'Sparebank 1 Fors.'!G66+'Storebrand Livsforsikring'!G66+'Telenor Forsikring'!G66+'Tryg Forsikring'!G66+'WaterCircles F'!G66+'Euro Accident'!G66+'Ly Forsikring'!G66+'Youplus Livsforsikring'!G66+'Oslo Forsikring'!G66+'Knif Trygghet Forsikring'!G66</f>
        <v>43700292.114629999</v>
      </c>
      <c r="G66" s="125">
        <f t="shared" ref="G66:G125" si="24">IF(E66=0, "    ---- ", IF(ABS(ROUND(100/E66*F66-100,1))&lt;999,ROUND(100/E66*F66-100,1),IF(ROUND(100/E66*F66-100,1)&gt;999,999,-999)))</f>
        <v>9.4</v>
      </c>
      <c r="H66" s="262">
        <f t="shared" ref="H66:H86" si="25">SUM(B66,E66)</f>
        <v>46886351.156770006</v>
      </c>
      <c r="I66" s="262">
        <f t="shared" ref="I66:I86" si="26">SUM(C66,F66)</f>
        <v>51211282.435509995</v>
      </c>
      <c r="J66" s="20">
        <f t="shared" ref="J66:J111" si="27">IF(H66=0, "    ---- ", IF(ABS(ROUND(100/H66*I66-100,1))&lt;999,ROUND(100/H66*I66-100,1),IF(ROUND(100/H66*I66-100,1)&gt;999,999,-999)))</f>
        <v>9.1999999999999993</v>
      </c>
    </row>
    <row r="67" spans="1:10" ht="15.75" customHeight="1" x14ac:dyDescent="0.25">
      <c r="A67" s="17" t="s">
        <v>9</v>
      </c>
      <c r="B67" s="178">
        <f>'Fremtind Livsforsikring'!B67+'DNB Livsforsikring'!B67+'Eika Forsikring AS'!B67+'Frende Livsforsikring'!B67+'Frende Skadeforsikring'!B67+'Gjensidige Forsikring'!B67+'Gjensidige Pensjon'!B67+'If Skadeforsikring NUF'!B67+KLP!B67+'KLP Skadeforsikring AS'!B67+'Landkreditt Forsikring'!B67+'Nordea Liv '!B67+'Oslo Pensjonsforsikring'!B67+'Protector Forsikring'!B67+'Sparebank 1 Fors.'!B67+'Storebrand Livsforsikring'!B67+'Telenor Forsikring'!B67+'Tryg Forsikring'!B67+'WaterCircles F'!B67+'Euro Accident'!B67+'Ly Forsikring'!B67+'Youplus Livsforsikring'!B67+'Oslo Forsikring'!B67+'Knif Trygghet Forsikring'!B67</f>
        <v>3944280.4160509529</v>
      </c>
      <c r="C67" s="178">
        <f>'Fremtind Livsforsikring'!C67+'DNB Livsforsikring'!C67+'Eika Forsikring AS'!C67+'Frende Livsforsikring'!C67+'Frende Skadeforsikring'!C67+'Gjensidige Forsikring'!C67+'Gjensidige Pensjon'!C67+'If Skadeforsikring NUF'!C67+KLP!C67+'KLP Skadeforsikring AS'!C67+'Landkreditt Forsikring'!C67+'Nordea Liv '!C67+'Oslo Pensjonsforsikring'!C67+'Protector Forsikring'!C67+'Sparebank 1 Fors.'!C67+'Storebrand Livsforsikring'!C67+'Telenor Forsikring'!C67+'Tryg Forsikring'!C67+'WaterCircles F'!C67+'Euro Accident'!C67+'Ly Forsikring'!C67+'Youplus Livsforsikring'!C67+'Oslo Forsikring'!C67+'Knif Trygghet Forsikring'!C67</f>
        <v>4033642.2429913133</v>
      </c>
      <c r="D67" s="185">
        <f t="shared" si="23"/>
        <v>2.2999999999999998</v>
      </c>
      <c r="E67" s="35"/>
      <c r="F67" s="35"/>
      <c r="G67" s="121"/>
      <c r="H67" s="181">
        <f t="shared" si="25"/>
        <v>3944280.4160509529</v>
      </c>
      <c r="I67" s="181">
        <f t="shared" si="26"/>
        <v>4033642.2429913133</v>
      </c>
      <c r="J67" s="19">
        <f t="shared" si="27"/>
        <v>2.2999999999999998</v>
      </c>
    </row>
    <row r="68" spans="1:10" ht="15.75" customHeight="1" x14ac:dyDescent="0.25">
      <c r="A68" s="17" t="s">
        <v>10</v>
      </c>
      <c r="B68" s="178">
        <f>'Fremtind Livsforsikring'!B68+'DNB Livsforsikring'!B68+'Eika Forsikring AS'!B68+'Frende Livsforsikring'!B68+'Frende Skadeforsikring'!B68+'Gjensidige Forsikring'!B68+'Gjensidige Pensjon'!B68+'If Skadeforsikring NUF'!B68+KLP!B68+'KLP Skadeforsikring AS'!B68+'Landkreditt Forsikring'!B68+'Nordea Liv '!B68+'Oslo Pensjonsforsikring'!B68+'Protector Forsikring'!B68+'Sparebank 1 Fors.'!B68+'Storebrand Livsforsikring'!B68+'Telenor Forsikring'!B68+'Tryg Forsikring'!B68+'WaterCircles F'!B68+'Euro Accident'!B68+'Ly Forsikring'!B68+'Youplus Livsforsikring'!B68+'Oslo Forsikring'!B68+'Knif Trygghet Forsikring'!B68</f>
        <v>23014.56684</v>
      </c>
      <c r="C68" s="178">
        <f>'Fremtind Livsforsikring'!C68+'DNB Livsforsikring'!C68+'Eika Forsikring AS'!C68+'Frende Livsforsikring'!C68+'Frende Skadeforsikring'!C68+'Gjensidige Forsikring'!C68+'Gjensidige Pensjon'!C68+'If Skadeforsikring NUF'!C68+KLP!C68+'KLP Skadeforsikring AS'!C68+'Landkreditt Forsikring'!C68+'Nordea Liv '!C68+'Oslo Pensjonsforsikring'!C68+'Protector Forsikring'!C68+'Sparebank 1 Fors.'!C68+'Storebrand Livsforsikring'!C68+'Telenor Forsikring'!C68+'Tryg Forsikring'!C68+'WaterCircles F'!C68+'Euro Accident'!C68+'Ly Forsikring'!C68+'Youplus Livsforsikring'!C68+'Oslo Forsikring'!C68+'Knif Trygghet Forsikring'!C68</f>
        <v>18986.147519999999</v>
      </c>
      <c r="D68" s="185">
        <f t="shared" si="23"/>
        <v>-17.5</v>
      </c>
      <c r="E68" s="35">
        <f>'Fremtind Livsforsikring'!F68+'DNB Livsforsikring'!F68+'Eika Forsikring AS'!F68+'Frende Livsforsikring'!F68+'Frende Skadeforsikring'!F68+'Gjensidige Forsikring'!F68+'Gjensidige Pensjon'!F68+'If Skadeforsikring NUF'!F68+KLP!F68+'KLP Skadeforsikring AS'!F68+'Landkreditt Forsikring'!F68+'Nordea Liv '!F68+'Oslo Pensjonsforsikring'!F68+'Protector Forsikring'!F68+'Sparebank 1 Fors.'!F68+'Storebrand Livsforsikring'!F68+'Telenor Forsikring'!F68+'Tryg Forsikring'!F68+'WaterCircles F'!F68+'Euro Accident'!F68+'Ly Forsikring'!F68+'Youplus Livsforsikring'!F68+'Oslo Forsikring'!F68+'Knif Trygghet Forsikring'!F68</f>
        <v>38385448.956649996</v>
      </c>
      <c r="F68" s="35">
        <f>'Fremtind Livsforsikring'!G68+'DNB Livsforsikring'!G68+'Eika Forsikring AS'!G68+'Frende Livsforsikring'!G68+'Frende Skadeforsikring'!G68+'Gjensidige Forsikring'!G68+'Gjensidige Pensjon'!G68+'If Skadeforsikring NUF'!G68+KLP!G68+'KLP Skadeforsikring AS'!G68+'Landkreditt Forsikring'!G68+'Nordea Liv '!G68+'Oslo Pensjonsforsikring'!G68+'Protector Forsikring'!G68+'Sparebank 1 Fors.'!G68+'Storebrand Livsforsikring'!G68+'Telenor Forsikring'!G68+'Tryg Forsikring'!G68+'WaterCircles F'!G68+'Euro Accident'!G68+'Ly Forsikring'!G68+'Youplus Livsforsikring'!G68+'Oslo Forsikring'!G68+'Knif Trygghet Forsikring'!G68</f>
        <v>42057450.404270001</v>
      </c>
      <c r="G68" s="121">
        <f t="shared" si="24"/>
        <v>9.6</v>
      </c>
      <c r="H68" s="181">
        <f t="shared" si="25"/>
        <v>38408463.523489997</v>
      </c>
      <c r="I68" s="181">
        <f t="shared" si="26"/>
        <v>42076436.551789999</v>
      </c>
      <c r="J68" s="19">
        <f t="shared" si="27"/>
        <v>9.5</v>
      </c>
    </row>
    <row r="69" spans="1:10" ht="15.75" customHeight="1" x14ac:dyDescent="0.2">
      <c r="A69" s="232" t="s">
        <v>337</v>
      </c>
      <c r="B69" s="179"/>
      <c r="C69" s="179"/>
      <c r="D69" s="22"/>
      <c r="E69" s="179"/>
      <c r="F69" s="179"/>
      <c r="G69" s="121"/>
      <c r="H69" s="179"/>
      <c r="I69" s="179"/>
      <c r="J69" s="19"/>
    </row>
    <row r="70" spans="1:10" ht="15.75" customHeight="1" x14ac:dyDescent="0.2">
      <c r="A70" s="232" t="s">
        <v>12</v>
      </c>
      <c r="B70" s="179"/>
      <c r="C70" s="179"/>
      <c r="D70" s="22"/>
      <c r="E70" s="179"/>
      <c r="F70" s="179"/>
      <c r="G70" s="121"/>
      <c r="H70" s="179"/>
      <c r="I70" s="179"/>
      <c r="J70" s="19"/>
    </row>
    <row r="71" spans="1:10" ht="15.75" customHeight="1" x14ac:dyDescent="0.2">
      <c r="A71" s="232" t="s">
        <v>13</v>
      </c>
      <c r="B71" s="179"/>
      <c r="C71" s="179"/>
      <c r="D71" s="22"/>
      <c r="E71" s="179"/>
      <c r="F71" s="179"/>
      <c r="G71" s="121"/>
      <c r="H71" s="179"/>
      <c r="I71" s="179"/>
      <c r="J71" s="19"/>
    </row>
    <row r="72" spans="1:10" ht="15.75" customHeight="1" x14ac:dyDescent="0.2">
      <c r="A72" s="232" t="s">
        <v>338</v>
      </c>
      <c r="B72" s="179"/>
      <c r="C72" s="179"/>
      <c r="D72" s="22"/>
      <c r="E72" s="179"/>
      <c r="F72" s="179"/>
      <c r="G72" s="121"/>
      <c r="H72" s="179"/>
      <c r="I72" s="179"/>
      <c r="J72" s="20"/>
    </row>
    <row r="73" spans="1:10" ht="15.75" customHeight="1" x14ac:dyDescent="0.2">
      <c r="A73" s="232" t="s">
        <v>12</v>
      </c>
      <c r="B73" s="179"/>
      <c r="C73" s="179"/>
      <c r="D73" s="22"/>
      <c r="E73" s="179"/>
      <c r="F73" s="179"/>
      <c r="G73" s="121"/>
      <c r="H73" s="179"/>
      <c r="I73" s="179"/>
      <c r="J73" s="19"/>
    </row>
    <row r="74" spans="1:10" ht="15.75" customHeight="1" x14ac:dyDescent="0.2">
      <c r="A74" s="232" t="s">
        <v>13</v>
      </c>
      <c r="B74" s="179"/>
      <c r="C74" s="179"/>
      <c r="D74" s="22"/>
      <c r="E74" s="179"/>
      <c r="F74" s="179"/>
      <c r="G74" s="121"/>
      <c r="H74" s="179"/>
      <c r="I74" s="179"/>
      <c r="J74" s="19"/>
    </row>
    <row r="75" spans="1:10" ht="15.75" customHeight="1" x14ac:dyDescent="0.2">
      <c r="A75" s="17" t="s">
        <v>309</v>
      </c>
      <c r="B75" s="35">
        <f>'Fremtind Livsforsikring'!B75+'DNB Livsforsikring'!B75+'Eika Forsikring AS'!B75+'Frende Livsforsikring'!B75+'Frende Skadeforsikring'!B75+'Gjensidige Forsikring'!B75+'Gjensidige Pensjon'!B75+'If Skadeforsikring NUF'!B75+KLP!B75+'KLP Skadeforsikring AS'!B75+'Landkreditt Forsikring'!B75+'Nordea Liv '!B75+'Oslo Pensjonsforsikring'!B75+'Protector Forsikring'!B75+'Sparebank 1 Fors.'!B75+'Storebrand Livsforsikring'!B75+'Telenor Forsikring'!B75+'Tryg Forsikring'!B75+'WaterCircles F'!B75+'Euro Accident'!B75+'Ly Forsikring'!B75+'Youplus Livsforsikring'!B75+'Oslo Forsikring'!B75+'Knif Trygghet Forsikring'!B75</f>
        <v>598660.98216999997</v>
      </c>
      <c r="C75" s="35">
        <f>'Fremtind Livsforsikring'!C75+'DNB Livsforsikring'!C75+'Eika Forsikring AS'!C75+'Frende Livsforsikring'!C75+'Frende Skadeforsikring'!C75+'Gjensidige Forsikring'!C75+'Gjensidige Pensjon'!C75+'If Skadeforsikring NUF'!C75+KLP!C75+'KLP Skadeforsikring AS'!C75+'Landkreditt Forsikring'!C75+'Nordea Liv '!C75+'Oslo Pensjonsforsikring'!C75+'Protector Forsikring'!C75+'Sparebank 1 Fors.'!C75+'Storebrand Livsforsikring'!C75+'Telenor Forsikring'!C75+'Tryg Forsikring'!C75+'WaterCircles F'!C75+'Euro Accident'!C75+'Ly Forsikring'!C75+'Youplus Livsforsikring'!C75+'Oslo Forsikring'!C75+'Knif Trygghet Forsikring'!C75</f>
        <v>751636.89049000002</v>
      </c>
      <c r="D75" s="19">
        <f t="shared" si="23"/>
        <v>25.6</v>
      </c>
      <c r="E75" s="35">
        <f>'Fremtind Livsforsikring'!F75+'DNB Livsforsikring'!F75+'Eika Forsikring AS'!F75+'Frende Livsforsikring'!F75+'Frende Skadeforsikring'!F75+'Gjensidige Forsikring'!F75+'Gjensidige Pensjon'!F75+'If Skadeforsikring NUF'!F75+KLP!F75+'KLP Skadeforsikring AS'!F75+'Landkreditt Forsikring'!F75+'Nordea Liv '!F75+'Oslo Pensjonsforsikring'!F75+'Protector Forsikring'!F75+'Sparebank 1 Fors.'!F75+'Storebrand Livsforsikring'!F75+'Telenor Forsikring'!F75+'Tryg Forsikring'!F75+'WaterCircles F'!F75+'Euro Accident'!F75+'Ly Forsikring'!F75+'Youplus Livsforsikring'!F75+'Oslo Forsikring'!F75+'Knif Trygghet Forsikring'!F75</f>
        <v>1552275.65818</v>
      </c>
      <c r="F75" s="35">
        <f>'Fremtind Livsforsikring'!G75+'DNB Livsforsikring'!G75+'Eika Forsikring AS'!G75+'Frende Livsforsikring'!G75+'Frende Skadeforsikring'!G75+'Gjensidige Forsikring'!G75+'Gjensidige Pensjon'!G75+'If Skadeforsikring NUF'!G75+KLP!G75+'KLP Skadeforsikring AS'!G75+'Landkreditt Forsikring'!G75+'Nordea Liv '!G75+'Oslo Pensjonsforsikring'!G75+'Protector Forsikring'!G75+'Sparebank 1 Fors.'!G75+'Storebrand Livsforsikring'!G75+'Telenor Forsikring'!G75+'Tryg Forsikring'!G75+'WaterCircles F'!G75+'Euro Accident'!G75+'Ly Forsikring'!G75+'Youplus Livsforsikring'!G75+'Oslo Forsikring'!G75+'Knif Trygghet Forsikring'!G75</f>
        <v>1642841.7103600001</v>
      </c>
      <c r="G75" s="121">
        <f t="shared" si="24"/>
        <v>5.8</v>
      </c>
      <c r="H75" s="181">
        <f t="shared" si="25"/>
        <v>2150936.64035</v>
      </c>
      <c r="I75" s="181">
        <f t="shared" si="26"/>
        <v>2394478.60085</v>
      </c>
      <c r="J75" s="19">
        <f t="shared" si="27"/>
        <v>11.3</v>
      </c>
    </row>
    <row r="76" spans="1:10" ht="15.75" customHeight="1" x14ac:dyDescent="0.2">
      <c r="A76" s="17" t="s">
        <v>308</v>
      </c>
      <c r="B76" s="35">
        <f>'Fremtind Livsforsikring'!B76+'DNB Livsforsikring'!B76+'Eika Forsikring AS'!B76+'Frende Livsforsikring'!B76+'Frende Skadeforsikring'!B76+'Gjensidige Forsikring'!B76+'Gjensidige Pensjon'!B76+'If Skadeforsikring NUF'!B76+KLP!B76+'KLP Skadeforsikring AS'!B76+'Landkreditt Forsikring'!B76+'Nordea Liv '!B76+'Oslo Pensjonsforsikring'!B76+'Protector Forsikring'!B76+'Sparebank 1 Fors.'!B76+'Storebrand Livsforsikring'!B76+'Telenor Forsikring'!B76+'Tryg Forsikring'!B76+'WaterCircles F'!B76+'Euro Accident'!B76+'Ly Forsikring'!B76+'Youplus Livsforsikring'!B76+'Oslo Forsikring'!B76+'Knif Trygghet Forsikring'!B76</f>
        <v>2382670.5768790469</v>
      </c>
      <c r="C76" s="35">
        <f>'Fremtind Livsforsikring'!C76+'DNB Livsforsikring'!C76+'Eika Forsikring AS'!C76+'Frende Livsforsikring'!C76+'Frende Skadeforsikring'!C76+'Gjensidige Forsikring'!C76+'Gjensidige Pensjon'!C76+'If Skadeforsikring NUF'!C76+KLP!C76+'KLP Skadeforsikring AS'!C76+'Landkreditt Forsikring'!C76+'Nordea Liv '!C76+'Oslo Pensjonsforsikring'!C76+'Protector Forsikring'!C76+'Sparebank 1 Fors.'!C76+'Storebrand Livsforsikring'!C76+'Telenor Forsikring'!C76+'Tryg Forsikring'!C76+'WaterCircles F'!C76+'Euro Accident'!C76+'Ly Forsikring'!C76+'Youplus Livsforsikring'!C76+'Oslo Forsikring'!C76+'Knif Trygghet Forsikring'!C76</f>
        <v>2706725.0398786869</v>
      </c>
      <c r="D76" s="19">
        <f t="shared" ref="D76" si="28">IF(B76=0, "    ---- ", IF(ABS(ROUND(100/B76*C76-100,1))&lt;999,ROUND(100/B76*C76-100,1),IF(ROUND(100/B76*C76-100,1)&gt;999,999,-999)))</f>
        <v>13.6</v>
      </c>
      <c r="E76" s="35"/>
      <c r="F76" s="35"/>
      <c r="G76" s="121"/>
      <c r="H76" s="181">
        <f t="shared" ref="H76" si="29">SUM(B76,E76)</f>
        <v>2382670.5768790469</v>
      </c>
      <c r="I76" s="181">
        <f t="shared" ref="I76" si="30">SUM(C76,F76)</f>
        <v>2706725.0398786869</v>
      </c>
      <c r="J76" s="19">
        <f t="shared" ref="J76" si="31">IF(H76=0, "    ---- ", IF(ABS(ROUND(100/H76*I76-100,1))&lt;999,ROUND(100/H76*I76-100,1),IF(ROUND(100/H76*I76-100,1)&gt;999,999,-999)))</f>
        <v>13.6</v>
      </c>
    </row>
    <row r="77" spans="1:10" ht="15.75" customHeight="1" x14ac:dyDescent="0.2">
      <c r="A77" s="17" t="s">
        <v>339</v>
      </c>
      <c r="B77" s="35">
        <f>'Fremtind Livsforsikring'!B77+'DNB Livsforsikring'!B77+'Eika Forsikring AS'!B77+'Frende Livsforsikring'!B77+'Frende Skadeforsikring'!B77+'Gjensidige Forsikring'!B77+'Gjensidige Pensjon'!B77+'If Skadeforsikring NUF'!B77+KLP!B77+'KLP Skadeforsikring AS'!B77+'Landkreditt Forsikring'!B77+'Nordea Liv '!B77+'Oslo Pensjonsforsikring'!B77+'Protector Forsikring'!B77+'Sparebank 1 Fors.'!B77+'Storebrand Livsforsikring'!B77+'Telenor Forsikring'!B77+'Tryg Forsikring'!B77+'WaterCircles F'!B77+'Euro Accident'!B77+'Ly Forsikring'!B77+'Youplus Livsforsikring'!B77+'Oslo Forsikring'!B77+'Knif Trygghet Forsikring'!B77</f>
        <v>3882545.1778909531</v>
      </c>
      <c r="C77" s="35">
        <f>'Fremtind Livsforsikring'!C77+'DNB Livsforsikring'!C77+'Eika Forsikring AS'!C77+'Frende Livsforsikring'!C77+'Frende Skadeforsikring'!C77+'Gjensidige Forsikring'!C77+'Gjensidige Pensjon'!C77+'If Skadeforsikring NUF'!C77+KLP!C77+'KLP Skadeforsikring AS'!C77+'Landkreditt Forsikring'!C77+'Nordea Liv '!C77+'Oslo Pensjonsforsikring'!C77+'Protector Forsikring'!C77+'Sparebank 1 Fors.'!C77+'Storebrand Livsforsikring'!C77+'Telenor Forsikring'!C77+'Tryg Forsikring'!C77+'WaterCircles F'!C77+'Euro Accident'!C77+'Ly Forsikring'!C77+'Youplus Livsforsikring'!C77+'Oslo Forsikring'!C77+'Knif Trygghet Forsikring'!C77</f>
        <v>3960754.8675113129</v>
      </c>
      <c r="D77" s="19">
        <f t="shared" si="23"/>
        <v>2</v>
      </c>
      <c r="E77" s="35">
        <f>'Fremtind Livsforsikring'!F77+'DNB Livsforsikring'!F77+'Eika Forsikring AS'!F77+'Frende Livsforsikring'!F77+'Frende Skadeforsikring'!F77+'Gjensidige Forsikring'!F77+'Gjensidige Pensjon'!F77+'If Skadeforsikring NUF'!F77+KLP!F77+'KLP Skadeforsikring AS'!F77+'Landkreditt Forsikring'!F77+'Nordea Liv '!F77+'Oslo Pensjonsforsikring'!F77+'Protector Forsikring'!F77+'Sparebank 1 Fors.'!F77+'Storebrand Livsforsikring'!F77+'Telenor Forsikring'!F77+'Tryg Forsikring'!F77+'WaterCircles F'!F77+'Euro Accident'!F77+'Ly Forsikring'!F77+'Youplus Livsforsikring'!F77+'Oslo Forsikring'!F77+'Knif Trygghet Forsikring'!F77</f>
        <v>38376001.484650001</v>
      </c>
      <c r="F77" s="35">
        <f>'Fremtind Livsforsikring'!G77+'DNB Livsforsikring'!G77+'Eika Forsikring AS'!G77+'Frende Livsforsikring'!G77+'Frende Skadeforsikring'!G77+'Gjensidige Forsikring'!G77+'Gjensidige Pensjon'!G77+'If Skadeforsikring NUF'!G77+KLP!G77+'KLP Skadeforsikring AS'!G77+'Landkreditt Forsikring'!G77+'Nordea Liv '!G77+'Oslo Pensjonsforsikring'!G77+'Protector Forsikring'!G77+'Sparebank 1 Fors.'!G77+'Storebrand Livsforsikring'!G77+'Telenor Forsikring'!G77+'Tryg Forsikring'!G77+'WaterCircles F'!G77+'Euro Accident'!G77+'Ly Forsikring'!G77+'Youplus Livsforsikring'!G77+'Oslo Forsikring'!G77+'Knif Trygghet Forsikring'!G77</f>
        <v>42047105.765269995</v>
      </c>
      <c r="G77" s="121">
        <f t="shared" si="24"/>
        <v>9.6</v>
      </c>
      <c r="H77" s="181">
        <f t="shared" si="25"/>
        <v>42258546.662540957</v>
      </c>
      <c r="I77" s="181">
        <f t="shared" si="26"/>
        <v>46007860.632781304</v>
      </c>
      <c r="J77" s="19">
        <f t="shared" si="27"/>
        <v>8.9</v>
      </c>
    </row>
    <row r="78" spans="1:10" ht="15.75" customHeight="1" x14ac:dyDescent="0.2">
      <c r="A78" s="17" t="s">
        <v>9</v>
      </c>
      <c r="B78" s="35">
        <f>'Fremtind Livsforsikring'!B78+'DNB Livsforsikring'!B78+'Eika Forsikring AS'!B78+'Frende Livsforsikring'!B78+'Frende Skadeforsikring'!B78+'Gjensidige Forsikring'!B78+'Gjensidige Pensjon'!B78+'If Skadeforsikring NUF'!B78+KLP!B78+'KLP Skadeforsikring AS'!B78+'Landkreditt Forsikring'!B78+'Nordea Liv '!B78+'Oslo Pensjonsforsikring'!B78+'Protector Forsikring'!B78+'Sparebank 1 Fors.'!B78+'Storebrand Livsforsikring'!B78+'Telenor Forsikring'!B78+'Tryg Forsikring'!B78+'WaterCircles F'!B78+'Euro Accident'!B78+'Ly Forsikring'!B78+'Youplus Livsforsikring'!B78+'Oslo Forsikring'!B78+'Knif Trygghet Forsikring'!B78</f>
        <v>3859530.6110509527</v>
      </c>
      <c r="C78" s="35">
        <f>'Fremtind Livsforsikring'!C78+'DNB Livsforsikring'!C78+'Eika Forsikring AS'!C78+'Frende Livsforsikring'!C78+'Frende Skadeforsikring'!C78+'Gjensidige Forsikring'!C78+'Gjensidige Pensjon'!C78+'If Skadeforsikring NUF'!C78+KLP!C78+'KLP Skadeforsikring AS'!C78+'Landkreditt Forsikring'!C78+'Nordea Liv '!C78+'Oslo Pensjonsforsikring'!C78+'Protector Forsikring'!C78+'Sparebank 1 Fors.'!C78+'Storebrand Livsforsikring'!C78+'Telenor Forsikring'!C78+'Tryg Forsikring'!C78+'WaterCircles F'!C78+'Euro Accident'!C78+'Ly Forsikring'!C78+'Youplus Livsforsikring'!C78+'Oslo Forsikring'!C78+'Knif Trygghet Forsikring'!C78</f>
        <v>3941768.7199913128</v>
      </c>
      <c r="D78" s="19">
        <f t="shared" si="23"/>
        <v>2.1</v>
      </c>
      <c r="E78" s="35"/>
      <c r="F78" s="35"/>
      <c r="G78" s="121"/>
      <c r="H78" s="181">
        <f t="shared" si="25"/>
        <v>3859530.6110509527</v>
      </c>
      <c r="I78" s="181">
        <f t="shared" si="26"/>
        <v>3941768.7199913128</v>
      </c>
      <c r="J78" s="19">
        <f t="shared" si="27"/>
        <v>2.1</v>
      </c>
    </row>
    <row r="79" spans="1:10" ht="15.75" customHeight="1" x14ac:dyDescent="0.2">
      <c r="A79" s="17" t="s">
        <v>366</v>
      </c>
      <c r="B79" s="35">
        <f>'Fremtind Livsforsikring'!B79+'DNB Livsforsikring'!B79+'Eika Forsikring AS'!B79+'Frende Livsforsikring'!B79+'Frende Skadeforsikring'!B79+'Gjensidige Forsikring'!B79+'Gjensidige Pensjon'!B79+'If Skadeforsikring NUF'!B79+KLP!B79+'KLP Skadeforsikring AS'!B79+'Landkreditt Forsikring'!B79+'Nordea Liv '!B79+'Oslo Pensjonsforsikring'!B79+'Protector Forsikring'!B79+'Sparebank 1 Fors.'!B79+'Storebrand Livsforsikring'!B79+'Telenor Forsikring'!B79+'Tryg Forsikring'!B79+'WaterCircles F'!B79+'Euro Accident'!B79+'Ly Forsikring'!B79+'Youplus Livsforsikring'!B79+'Oslo Forsikring'!B79+'Knif Trygghet Forsikring'!B79</f>
        <v>23014.56684</v>
      </c>
      <c r="C79" s="35">
        <f>'Fremtind Livsforsikring'!C79+'DNB Livsforsikring'!C79+'Eika Forsikring AS'!C79+'Frende Livsforsikring'!C79+'Frende Skadeforsikring'!C79+'Gjensidige Forsikring'!C79+'Gjensidige Pensjon'!C79+'If Skadeforsikring NUF'!C79+KLP!C79+'KLP Skadeforsikring AS'!C79+'Landkreditt Forsikring'!C79+'Nordea Liv '!C79+'Oslo Pensjonsforsikring'!C79+'Protector Forsikring'!C79+'Sparebank 1 Fors.'!C79+'Storebrand Livsforsikring'!C79+'Telenor Forsikring'!C79+'Tryg Forsikring'!C79+'WaterCircles F'!C79+'Euro Accident'!C79+'Ly Forsikring'!C79+'Youplus Livsforsikring'!C79+'Oslo Forsikring'!C79+'Knif Trygghet Forsikring'!C79</f>
        <v>18986.147519999999</v>
      </c>
      <c r="D79" s="19">
        <f t="shared" si="23"/>
        <v>-17.5</v>
      </c>
      <c r="E79" s="35">
        <f>'Fremtind Livsforsikring'!F79+'DNB Livsforsikring'!F79+'Eika Forsikring AS'!F79+'Frende Livsforsikring'!F79+'Frende Skadeforsikring'!F79+'Gjensidige Forsikring'!F79+'Gjensidige Pensjon'!F79+'If Skadeforsikring NUF'!F79+KLP!F79+'KLP Skadeforsikring AS'!F79+'Landkreditt Forsikring'!F79+'Nordea Liv '!F79+'Oslo Pensjonsforsikring'!F79+'Protector Forsikring'!F79+'Sparebank 1 Fors.'!F79+'Storebrand Livsforsikring'!F79+'Telenor Forsikring'!F79+'Tryg Forsikring'!F79+'WaterCircles F'!F79+'Euro Accident'!F79+'Ly Forsikring'!F79+'Youplus Livsforsikring'!F79+'Oslo Forsikring'!F79+'Knif Trygghet Forsikring'!F79</f>
        <v>38376001.484650001</v>
      </c>
      <c r="F79" s="35">
        <f>'Fremtind Livsforsikring'!G79+'DNB Livsforsikring'!G79+'Eika Forsikring AS'!G79+'Frende Livsforsikring'!G79+'Frende Skadeforsikring'!G79+'Gjensidige Forsikring'!G79+'Gjensidige Pensjon'!G79+'If Skadeforsikring NUF'!G79+KLP!G79+'KLP Skadeforsikring AS'!G79+'Landkreditt Forsikring'!G79+'Nordea Liv '!G79+'Oslo Pensjonsforsikring'!G79+'Protector Forsikring'!G79+'Sparebank 1 Fors.'!G79+'Storebrand Livsforsikring'!G79+'Telenor Forsikring'!G79+'Tryg Forsikring'!G79+'WaterCircles F'!G79+'Euro Accident'!G79+'Ly Forsikring'!G79+'Youplus Livsforsikring'!G79+'Oslo Forsikring'!G79+'Knif Trygghet Forsikring'!G79</f>
        <v>42047105.765269995</v>
      </c>
      <c r="G79" s="121">
        <f t="shared" si="24"/>
        <v>9.6</v>
      </c>
      <c r="H79" s="181">
        <f t="shared" si="25"/>
        <v>38399016.051490001</v>
      </c>
      <c r="I79" s="181">
        <f t="shared" si="26"/>
        <v>42066091.912789993</v>
      </c>
      <c r="J79" s="19">
        <f t="shared" si="27"/>
        <v>9.5</v>
      </c>
    </row>
    <row r="80" spans="1:10" ht="15.75" customHeight="1" x14ac:dyDescent="0.2">
      <c r="A80" s="232" t="s">
        <v>337</v>
      </c>
      <c r="B80" s="179"/>
      <c r="C80" s="179"/>
      <c r="D80" s="22"/>
      <c r="E80" s="179"/>
      <c r="F80" s="179"/>
      <c r="G80" s="121"/>
      <c r="H80" s="179"/>
      <c r="I80" s="179"/>
      <c r="J80" s="19"/>
    </row>
    <row r="81" spans="1:13" ht="15.75" customHeight="1" x14ac:dyDescent="0.2">
      <c r="A81" s="232" t="s">
        <v>12</v>
      </c>
      <c r="B81" s="179"/>
      <c r="C81" s="179"/>
      <c r="D81" s="22"/>
      <c r="E81" s="179"/>
      <c r="F81" s="179"/>
      <c r="G81" s="121"/>
      <c r="H81" s="179"/>
      <c r="I81" s="179"/>
      <c r="J81" s="19"/>
    </row>
    <row r="82" spans="1:13" ht="15.75" customHeight="1" x14ac:dyDescent="0.2">
      <c r="A82" s="232" t="s">
        <v>13</v>
      </c>
      <c r="B82" s="179"/>
      <c r="C82" s="179"/>
      <c r="D82" s="22"/>
      <c r="E82" s="179"/>
      <c r="F82" s="179"/>
      <c r="G82" s="121"/>
      <c r="H82" s="179"/>
      <c r="I82" s="179"/>
      <c r="J82" s="19"/>
    </row>
    <row r="83" spans="1:13" ht="15.75" customHeight="1" x14ac:dyDescent="0.2">
      <c r="A83" s="232" t="s">
        <v>338</v>
      </c>
      <c r="B83" s="179"/>
      <c r="C83" s="179"/>
      <c r="D83" s="22"/>
      <c r="E83" s="179"/>
      <c r="F83" s="179"/>
      <c r="G83" s="121"/>
      <c r="H83" s="179"/>
      <c r="I83" s="179"/>
      <c r="J83" s="20"/>
    </row>
    <row r="84" spans="1:13" ht="15.75" customHeight="1" x14ac:dyDescent="0.2">
      <c r="A84" s="232" t="s">
        <v>12</v>
      </c>
      <c r="B84" s="179"/>
      <c r="C84" s="179"/>
      <c r="D84" s="22"/>
      <c r="E84" s="179"/>
      <c r="F84" s="179"/>
      <c r="G84" s="121"/>
      <c r="H84" s="179"/>
      <c r="I84" s="179"/>
      <c r="J84" s="19"/>
    </row>
    <row r="85" spans="1:13" ht="15.75" customHeight="1" x14ac:dyDescent="0.2">
      <c r="A85" s="232" t="s">
        <v>13</v>
      </c>
      <c r="B85" s="179"/>
      <c r="C85" s="179"/>
      <c r="D85" s="22"/>
      <c r="E85" s="179"/>
      <c r="F85" s="179"/>
      <c r="G85" s="121"/>
      <c r="H85" s="179"/>
      <c r="I85" s="179"/>
      <c r="J85" s="19"/>
    </row>
    <row r="86" spans="1:13" ht="15.75" customHeight="1" x14ac:dyDescent="0.2">
      <c r="A86" s="17" t="s">
        <v>340</v>
      </c>
      <c r="B86" s="178">
        <f>'Fremtind Livsforsikring'!B86+'DNB Livsforsikring'!B86+'Eika Forsikring AS'!B86+'Frende Livsforsikring'!B86+'Frende Skadeforsikring'!B86+'Gjensidige Forsikring'!B86+'Gjensidige Pensjon'!B86+'If Skadeforsikring NUF'!B86+KLP!B86+'KLP Skadeforsikring AS'!B86+'Landkreditt Forsikring'!B86+'Nordea Liv '!B86+'Oslo Pensjonsforsikring'!B86+'Protector Forsikring'!B86+'Sparebank 1 Fors.'!B86+'Storebrand Livsforsikring'!B86+'Telenor Forsikring'!B86+'Tryg Forsikring'!B86+'WaterCircles F'!B86+'Euro Accident'!B86+'Ly Forsikring'!B86+'Youplus Livsforsikring'!B86+'Oslo Forsikring'!B86+'Knif Trygghet Forsikring'!B86</f>
        <v>84749.797999999995</v>
      </c>
      <c r="C86" s="178">
        <f>'Fremtind Livsforsikring'!C86+'DNB Livsforsikring'!C86+'Eika Forsikring AS'!C86+'Frende Livsforsikring'!C86+'Frende Skadeforsikring'!C86+'Gjensidige Forsikring'!C86+'Gjensidige Pensjon'!C86+'If Skadeforsikring NUF'!C86+KLP!C86+'KLP Skadeforsikring AS'!C86+'Landkreditt Forsikring'!C86+'Nordea Liv '!C86+'Oslo Pensjonsforsikring'!C86+'Protector Forsikring'!C86+'Sparebank 1 Fors.'!C86+'Storebrand Livsforsikring'!C86+'Telenor Forsikring'!C86+'Tryg Forsikring'!C86+'WaterCircles F'!C86+'Euro Accident'!C86+'Ly Forsikring'!C86+'Youplus Livsforsikring'!C86+'Oslo Forsikring'!C86+'Knif Trygghet Forsikring'!C86</f>
        <v>91873.523000000001</v>
      </c>
      <c r="D86" s="19">
        <f t="shared" si="23"/>
        <v>8.4</v>
      </c>
      <c r="E86" s="35">
        <f>'Fremtind Livsforsikring'!F86+'DNB Livsforsikring'!F86+'Eika Forsikring AS'!F86+'Frende Livsforsikring'!F86+'Frende Skadeforsikring'!F86+'Gjensidige Forsikring'!F86+'Gjensidige Pensjon'!F86+'If Skadeforsikring NUF'!F86+KLP!F86+'KLP Skadeforsikring AS'!F86+'Landkreditt Forsikring'!F86+'Nordea Liv '!F86+'Oslo Pensjonsforsikring'!F86+'Protector Forsikring'!F86+'Sparebank 1 Fors.'!F86+'Storebrand Livsforsikring'!F86+'Telenor Forsikring'!F86+'Tryg Forsikring'!F86+'WaterCircles F'!F86+'Euro Accident'!F86+'Ly Forsikring'!F86+'Youplus Livsforsikring'!F86+'Oslo Forsikring'!F86+'Knif Trygghet Forsikring'!F86</f>
        <v>9447.4719999999998</v>
      </c>
      <c r="F86" s="35">
        <f>'Fremtind Livsforsikring'!G86+'DNB Livsforsikring'!G86+'Eika Forsikring AS'!G86+'Frende Livsforsikring'!G86+'Frende Skadeforsikring'!G86+'Gjensidige Forsikring'!G86+'Gjensidige Pensjon'!G86+'If Skadeforsikring NUF'!G86+KLP!G86+'KLP Skadeforsikring AS'!G86+'Landkreditt Forsikring'!G86+'Nordea Liv '!G86+'Oslo Pensjonsforsikring'!G86+'Protector Forsikring'!G86+'Sparebank 1 Fors.'!G86+'Storebrand Livsforsikring'!G86+'Telenor Forsikring'!G86+'Tryg Forsikring'!G86+'WaterCircles F'!G86+'Euro Accident'!G86+'Ly Forsikring'!G86+'Youplus Livsforsikring'!G86+'Oslo Forsikring'!G86+'Knif Trygghet Forsikring'!G86</f>
        <v>10344.639000000001</v>
      </c>
      <c r="G86" s="121">
        <f t="shared" si="24"/>
        <v>9.5</v>
      </c>
      <c r="H86" s="181">
        <f t="shared" si="25"/>
        <v>94197.26999999999</v>
      </c>
      <c r="I86" s="181">
        <f t="shared" si="26"/>
        <v>102218.162</v>
      </c>
      <c r="J86" s="19">
        <f t="shared" si="27"/>
        <v>8.5</v>
      </c>
    </row>
    <row r="87" spans="1:13" s="34" customFormat="1" ht="15.75" customHeight="1" x14ac:dyDescent="0.2">
      <c r="A87" s="10" t="s">
        <v>322</v>
      </c>
      <c r="B87" s="242">
        <f>'Fremtind Livsforsikring'!B87+'DNB Livsforsikring'!B87+'Eika Forsikring AS'!B87+'Frende Livsforsikring'!B87+'Frende Skadeforsikring'!B87+'Gjensidige Forsikring'!B87+'Gjensidige Pensjon'!B87+'If Skadeforsikring NUF'!B87+KLP!B87+'KLP Skadeforsikring AS'!B87+'Landkreditt Forsikring'!B87+'Nordea Liv '!B87+'Oslo Pensjonsforsikring'!B87+'Protector Forsikring'!B87+'Sparebank 1 Fors.'!B87+'Storebrand Livsforsikring'!B87+'Telenor Forsikring'!B87+'Tryg Forsikring'!B87+'WaterCircles F'!B87+'Euro Accident'!B87+'Ly Forsikring'!B87+'Youplus Livsforsikring'!B87+'Oslo Forsikring'!B87+'Knif Trygghet Forsikring'!B87</f>
        <v>405658737.57987016</v>
      </c>
      <c r="C87" s="242">
        <f>'Fremtind Livsforsikring'!C87+'DNB Livsforsikring'!C87+'Eika Forsikring AS'!C87+'Frende Livsforsikring'!C87+'Frende Skadeforsikring'!C87+'Gjensidige Forsikring'!C87+'Gjensidige Pensjon'!C87+'If Skadeforsikring NUF'!C87+KLP!C87+'KLP Skadeforsikring AS'!C87+'Landkreditt Forsikring'!C87+'Nordea Liv '!C87+'Oslo Pensjonsforsikring'!C87+'Protector Forsikring'!C87+'Sparebank 1 Fors.'!C87+'Storebrand Livsforsikring'!C87+'Telenor Forsikring'!C87+'Tryg Forsikring'!C87+'WaterCircles F'!C87+'Euro Accident'!C87+'Ly Forsikring'!C87+'Youplus Livsforsikring'!C87+'Oslo Forsikring'!C87+'Knif Trygghet Forsikring'!C87</f>
        <v>413661412.67975593</v>
      </c>
      <c r="D87" s="20">
        <f t="shared" si="23"/>
        <v>2</v>
      </c>
      <c r="E87" s="180">
        <f>'Fremtind Livsforsikring'!F87+'DNB Livsforsikring'!F87+'Eika Forsikring AS'!F87+'Frende Livsforsikring'!F87+'Frende Skadeforsikring'!F87+'Gjensidige Forsikring'!F87+'Gjensidige Pensjon'!F87+'If Skadeforsikring NUF'!F87+KLP!F87+'KLP Skadeforsikring AS'!F87+'Landkreditt Forsikring'!F87+'Nordea Liv '!F87+'Oslo Pensjonsforsikring'!F87+'Protector Forsikring'!F87+'Sparebank 1 Fors.'!F87+'Storebrand Livsforsikring'!F87+'Telenor Forsikring'!F87+'Tryg Forsikring'!F87+'WaterCircles F'!F87+'Euro Accident'!F87+'Ly Forsikring'!F87+'Youplus Livsforsikring'!F87+'Oslo Forsikring'!F87+'Knif Trygghet Forsikring'!F87</f>
        <v>644679032.81613994</v>
      </c>
      <c r="F87" s="180">
        <f>'Fremtind Livsforsikring'!G87+'DNB Livsforsikring'!G87+'Eika Forsikring AS'!G87+'Frende Livsforsikring'!G87+'Frende Skadeforsikring'!G87+'Gjensidige Forsikring'!G87+'Gjensidige Pensjon'!G87+'If Skadeforsikring NUF'!G87+KLP!G87+'KLP Skadeforsikring AS'!G87+'Landkreditt Forsikring'!G87+'Nordea Liv '!G87+'Oslo Pensjonsforsikring'!G87+'Protector Forsikring'!G87+'Sparebank 1 Fors.'!G87+'Storebrand Livsforsikring'!G87+'Telenor Forsikring'!G87+'Tryg Forsikring'!G87+'WaterCircles F'!G87+'Euro Accident'!G87+'Ly Forsikring'!G87+'Youplus Livsforsikring'!G87+'Oslo Forsikring'!G87+'Knif Trygghet Forsikring'!G87</f>
        <v>755060098.53505003</v>
      </c>
      <c r="G87" s="125">
        <f t="shared" si="24"/>
        <v>17.100000000000001</v>
      </c>
      <c r="H87" s="262">
        <f t="shared" ref="H87:H111" si="32">SUM(B87,E87)</f>
        <v>1050337770.3960102</v>
      </c>
      <c r="I87" s="262">
        <f t="shared" ref="I87:I111" si="33">SUM(C87,F87)</f>
        <v>1168721511.2148061</v>
      </c>
      <c r="J87" s="20">
        <f t="shared" si="27"/>
        <v>11.3</v>
      </c>
    </row>
    <row r="88" spans="1:13" ht="15.75" customHeight="1" x14ac:dyDescent="0.2">
      <c r="A88" s="17" t="s">
        <v>9</v>
      </c>
      <c r="B88" s="178">
        <f>'Fremtind Livsforsikring'!B88+'DNB Livsforsikring'!B88+'Eika Forsikring AS'!B88+'Frende Livsforsikring'!B88+'Frende Skadeforsikring'!B88+'Gjensidige Forsikring'!B88+'Gjensidige Pensjon'!B88+'If Skadeforsikring NUF'!B88+KLP!B88+'KLP Skadeforsikring AS'!B88+'Landkreditt Forsikring'!B88+'Nordea Liv '!B88+'Oslo Pensjonsforsikring'!B88+'Protector Forsikring'!B88+'Sparebank 1 Fors.'!B88+'Storebrand Livsforsikring'!B88+'Telenor Forsikring'!B88+'Tryg Forsikring'!B88+'WaterCircles F'!B88+'Euro Accident'!B88+'Ly Forsikring'!B88+'Youplus Livsforsikring'!B88+'Oslo Forsikring'!B88+'Knif Trygghet Forsikring'!B88</f>
        <v>385141705.67896819</v>
      </c>
      <c r="C88" s="178">
        <f>'Fremtind Livsforsikring'!C88+'DNB Livsforsikring'!C88+'Eika Forsikring AS'!C88+'Frende Livsforsikring'!C88+'Frende Skadeforsikring'!C88+'Gjensidige Forsikring'!C88+'Gjensidige Pensjon'!C88+'If Skadeforsikring NUF'!C88+KLP!C88+'KLP Skadeforsikring AS'!C88+'Landkreditt Forsikring'!C88+'Nordea Liv '!C88+'Oslo Pensjonsforsikring'!C88+'Protector Forsikring'!C88+'Sparebank 1 Fors.'!C88+'Storebrand Livsforsikring'!C88+'Telenor Forsikring'!C88+'Tryg Forsikring'!C88+'WaterCircles F'!C88+'Euro Accident'!C88+'Ly Forsikring'!C88+'Youplus Livsforsikring'!C88+'Oslo Forsikring'!C88+'Knif Trygghet Forsikring'!C88</f>
        <v>387562118.29697394</v>
      </c>
      <c r="D88" s="19">
        <f t="shared" si="23"/>
        <v>0.6</v>
      </c>
      <c r="E88" s="35"/>
      <c r="F88" s="35"/>
      <c r="G88" s="121"/>
      <c r="H88" s="181">
        <f t="shared" si="32"/>
        <v>385141705.67896819</v>
      </c>
      <c r="I88" s="181">
        <f t="shared" si="33"/>
        <v>387562118.29697394</v>
      </c>
      <c r="J88" s="19">
        <f t="shared" si="27"/>
        <v>0.6</v>
      </c>
      <c r="M88" s="21"/>
    </row>
    <row r="89" spans="1:13" ht="15.75" customHeight="1" x14ac:dyDescent="0.2">
      <c r="A89" s="17" t="s">
        <v>10</v>
      </c>
      <c r="B89" s="178">
        <f>'Fremtind Livsforsikring'!B89+'DNB Livsforsikring'!B89+'Eika Forsikring AS'!B89+'Frende Livsforsikring'!B89+'Frende Skadeforsikring'!B89+'Gjensidige Forsikring'!B89+'Gjensidige Pensjon'!B89+'If Skadeforsikring NUF'!B89+KLP!B89+'KLP Skadeforsikring AS'!B89+'Landkreditt Forsikring'!B89+'Nordea Liv '!B89+'Oslo Pensjonsforsikring'!B89+'Protector Forsikring'!B89+'Sparebank 1 Fors.'!B89+'Storebrand Livsforsikring'!B89+'Telenor Forsikring'!B89+'Tryg Forsikring'!B89+'WaterCircles F'!B89+'Euro Accident'!B89+'Ly Forsikring'!B89+'Youplus Livsforsikring'!B89+'Oslo Forsikring'!B89+'Knif Trygghet Forsikring'!B89</f>
        <v>2380158.8111019903</v>
      </c>
      <c r="C89" s="178">
        <f>'Fremtind Livsforsikring'!C89+'DNB Livsforsikring'!C89+'Eika Forsikring AS'!C89+'Frende Livsforsikring'!C89+'Frende Skadeforsikring'!C89+'Gjensidige Forsikring'!C89+'Gjensidige Pensjon'!C89+'If Skadeforsikring NUF'!C89+KLP!C89+'KLP Skadeforsikring AS'!C89+'Landkreditt Forsikring'!C89+'Nordea Liv '!C89+'Oslo Pensjonsforsikring'!C89+'Protector Forsikring'!C89+'Sparebank 1 Fors.'!C89+'Storebrand Livsforsikring'!C89+'Telenor Forsikring'!C89+'Tryg Forsikring'!C89+'WaterCircles F'!C89+'Euro Accident'!C89+'Ly Forsikring'!C89+'Youplus Livsforsikring'!C89+'Oslo Forsikring'!C89+'Knif Trygghet Forsikring'!C89</f>
        <v>4133319.7162820296</v>
      </c>
      <c r="D89" s="19">
        <f t="shared" si="23"/>
        <v>73.7</v>
      </c>
      <c r="E89" s="35">
        <f>'Fremtind Livsforsikring'!F89+'DNB Livsforsikring'!F89+'Eika Forsikring AS'!F89+'Frende Livsforsikring'!F89+'Frende Skadeforsikring'!F89+'Gjensidige Forsikring'!F89+'Gjensidige Pensjon'!F89+'If Skadeforsikring NUF'!F89+KLP!F89+'KLP Skadeforsikring AS'!F89+'Landkreditt Forsikring'!F89+'Nordea Liv '!F89+'Oslo Pensjonsforsikring'!F89+'Protector Forsikring'!F89+'Sparebank 1 Fors.'!F89+'Storebrand Livsforsikring'!F89+'Telenor Forsikring'!F89+'Tryg Forsikring'!F89+'WaterCircles F'!F89+'Euro Accident'!F89+'Ly Forsikring'!F89+'Youplus Livsforsikring'!F89+'Oslo Forsikring'!F89+'Knif Trygghet Forsikring'!F89</f>
        <v>634795235.7437799</v>
      </c>
      <c r="F89" s="35">
        <f>'Fremtind Livsforsikring'!G89+'DNB Livsforsikring'!G89+'Eika Forsikring AS'!G89+'Frende Livsforsikring'!G89+'Frende Skadeforsikring'!G89+'Gjensidige Forsikring'!G89+'Gjensidige Pensjon'!G89+'If Skadeforsikring NUF'!G89+KLP!G89+'KLP Skadeforsikring AS'!G89+'Landkreditt Forsikring'!G89+'Nordea Liv '!G89+'Oslo Pensjonsforsikring'!G89+'Protector Forsikring'!G89+'Sparebank 1 Fors.'!G89+'Storebrand Livsforsikring'!G89+'Telenor Forsikring'!G89+'Tryg Forsikring'!G89+'WaterCircles F'!G89+'Euro Accident'!G89+'Ly Forsikring'!G89+'Youplus Livsforsikring'!G89+'Oslo Forsikring'!G89+'Knif Trygghet Forsikring'!G89</f>
        <v>743056050.28052998</v>
      </c>
      <c r="G89" s="121">
        <f t="shared" si="24"/>
        <v>17.100000000000001</v>
      </c>
      <c r="H89" s="181">
        <f t="shared" si="32"/>
        <v>637175394.55488193</v>
      </c>
      <c r="I89" s="181">
        <f t="shared" si="33"/>
        <v>747189369.99681199</v>
      </c>
      <c r="J89" s="19">
        <f t="shared" si="27"/>
        <v>17.3</v>
      </c>
      <c r="M89" s="21"/>
    </row>
    <row r="90" spans="1:13" ht="15.75" customHeight="1" x14ac:dyDescent="0.2">
      <c r="A90" s="232" t="s">
        <v>337</v>
      </c>
      <c r="B90" s="179"/>
      <c r="C90" s="179"/>
      <c r="D90" s="22"/>
      <c r="E90" s="179"/>
      <c r="F90" s="179"/>
      <c r="G90" s="121"/>
      <c r="H90" s="179"/>
      <c r="I90" s="179"/>
      <c r="J90" s="19"/>
    </row>
    <row r="91" spans="1:13" ht="15.75" customHeight="1" x14ac:dyDescent="0.2">
      <c r="A91" s="232" t="s">
        <v>12</v>
      </c>
      <c r="B91" s="179"/>
      <c r="C91" s="179"/>
      <c r="D91" s="22"/>
      <c r="E91" s="179"/>
      <c r="F91" s="179"/>
      <c r="G91" s="121"/>
      <c r="H91" s="179"/>
      <c r="I91" s="179"/>
      <c r="J91" s="19"/>
    </row>
    <row r="92" spans="1:13" ht="15.75" customHeight="1" x14ac:dyDescent="0.2">
      <c r="A92" s="232" t="s">
        <v>13</v>
      </c>
      <c r="B92" s="179"/>
      <c r="C92" s="179"/>
      <c r="D92" s="22"/>
      <c r="E92" s="179"/>
      <c r="F92" s="179"/>
      <c r="G92" s="121"/>
      <c r="H92" s="179"/>
      <c r="I92" s="179"/>
      <c r="J92" s="19"/>
    </row>
    <row r="93" spans="1:13" ht="15.75" customHeight="1" x14ac:dyDescent="0.2">
      <c r="A93" s="232" t="s">
        <v>338</v>
      </c>
      <c r="B93" s="179"/>
      <c r="C93" s="179"/>
      <c r="D93" s="22"/>
      <c r="E93" s="179"/>
      <c r="F93" s="179"/>
      <c r="G93" s="121"/>
      <c r="H93" s="179"/>
      <c r="I93" s="179"/>
      <c r="J93" s="19"/>
    </row>
    <row r="94" spans="1:13" ht="15.75" customHeight="1" x14ac:dyDescent="0.2">
      <c r="A94" s="232" t="s">
        <v>12</v>
      </c>
      <c r="B94" s="179"/>
      <c r="C94" s="179"/>
      <c r="D94" s="22"/>
      <c r="E94" s="179"/>
      <c r="F94" s="179"/>
      <c r="G94" s="121"/>
      <c r="H94" s="179"/>
      <c r="I94" s="179"/>
      <c r="J94" s="19"/>
    </row>
    <row r="95" spans="1:13" ht="15.75" customHeight="1" x14ac:dyDescent="0.2">
      <c r="A95" s="232" t="s">
        <v>13</v>
      </c>
      <c r="B95" s="179"/>
      <c r="C95" s="179"/>
      <c r="D95" s="22"/>
      <c r="E95" s="179"/>
      <c r="F95" s="179"/>
      <c r="G95" s="121"/>
      <c r="H95" s="179"/>
      <c r="I95" s="179"/>
      <c r="J95" s="19"/>
    </row>
    <row r="96" spans="1:13" ht="15.75" customHeight="1" x14ac:dyDescent="0.2">
      <c r="A96" s="17" t="s">
        <v>309</v>
      </c>
      <c r="B96" s="178">
        <f>'Fremtind Livsforsikring'!B96+'DNB Livsforsikring'!B96+'Eika Forsikring AS'!B96+'Frende Livsforsikring'!B96+'Frende Skadeforsikring'!B96+'Gjensidige Forsikring'!B96+'Gjensidige Pensjon'!B96+'If Skadeforsikring NUF'!B96+KLP!B96+'KLP Skadeforsikring AS'!B96+'Landkreditt Forsikring'!B96+'Nordea Liv '!B96+'Oslo Pensjonsforsikring'!B96+'Protector Forsikring'!B96+'Sparebank 1 Fors.'!B96+'Storebrand Livsforsikring'!B96+'Telenor Forsikring'!B96+'Tryg Forsikring'!B96+'WaterCircles F'!B96+'Euro Accident'!B96+'Ly Forsikring'!B96+'Youplus Livsforsikring'!B96+'Oslo Forsikring'!B96+'Knif Trygghet Forsikring'!B96</f>
        <v>6363253.6699199993</v>
      </c>
      <c r="C96" s="178">
        <f>'Fremtind Livsforsikring'!C96+'DNB Livsforsikring'!C96+'Eika Forsikring AS'!C96+'Frende Livsforsikring'!C96+'Frende Skadeforsikring'!C96+'Gjensidige Forsikring'!C96+'Gjensidige Pensjon'!C96+'If Skadeforsikring NUF'!C96+KLP!C96+'KLP Skadeforsikring AS'!C96+'Landkreditt Forsikring'!C96+'Nordea Liv '!C96+'Oslo Pensjonsforsikring'!C96+'Protector Forsikring'!C96+'Sparebank 1 Fors.'!C96+'Storebrand Livsforsikring'!C96+'Telenor Forsikring'!C96+'Tryg Forsikring'!C96+'WaterCircles F'!C96+'Euro Accident'!C96+'Ly Forsikring'!C96+'Youplus Livsforsikring'!C96+'Oslo Forsikring'!C96+'Knif Trygghet Forsikring'!C96</f>
        <v>8330283.9419200001</v>
      </c>
      <c r="D96" s="19">
        <f t="shared" si="23"/>
        <v>30.9</v>
      </c>
      <c r="E96" s="35">
        <f>'Fremtind Livsforsikring'!F96+'DNB Livsforsikring'!F96+'Eika Forsikring AS'!F96+'Frende Livsforsikring'!F96+'Frende Skadeforsikring'!F96+'Gjensidige Forsikring'!F96+'Gjensidige Pensjon'!F96+'If Skadeforsikring NUF'!F96+KLP!F96+'KLP Skadeforsikring AS'!F96+'Landkreditt Forsikring'!F96+'Nordea Liv '!F96+'Oslo Pensjonsforsikring'!F96+'Protector Forsikring'!F96+'Sparebank 1 Fors.'!F96+'Storebrand Livsforsikring'!F96+'Telenor Forsikring'!F96+'Tryg Forsikring'!F96+'WaterCircles F'!F96+'Euro Accident'!F96+'Ly Forsikring'!F96+'Youplus Livsforsikring'!F96+'Oslo Forsikring'!F96+'Knif Trygghet Forsikring'!F96</f>
        <v>9883797.0723599996</v>
      </c>
      <c r="F96" s="35">
        <f>'Fremtind Livsforsikring'!G96+'DNB Livsforsikring'!G96+'Eika Forsikring AS'!G96+'Frende Livsforsikring'!G96+'Frende Skadeforsikring'!G96+'Gjensidige Forsikring'!G96+'Gjensidige Pensjon'!G96+'If Skadeforsikring NUF'!G96+KLP!G96+'KLP Skadeforsikring AS'!G96+'Landkreditt Forsikring'!G96+'Nordea Liv '!G96+'Oslo Pensjonsforsikring'!G96+'Protector Forsikring'!G96+'Sparebank 1 Fors.'!G96+'Storebrand Livsforsikring'!G96+'Telenor Forsikring'!G96+'Tryg Forsikring'!G96+'WaterCircles F'!G96+'Euro Accident'!G96+'Ly Forsikring'!G96+'Youplus Livsforsikring'!G96+'Oslo Forsikring'!G96+'Knif Trygghet Forsikring'!G96</f>
        <v>12004048.254519999</v>
      </c>
      <c r="G96" s="121">
        <f t="shared" si="24"/>
        <v>21.5</v>
      </c>
      <c r="H96" s="181">
        <f t="shared" si="32"/>
        <v>16247050.742279999</v>
      </c>
      <c r="I96" s="181">
        <f t="shared" si="33"/>
        <v>20334332.19644</v>
      </c>
      <c r="J96" s="19">
        <f t="shared" si="27"/>
        <v>25.2</v>
      </c>
    </row>
    <row r="97" spans="1:10" ht="15.75" customHeight="1" x14ac:dyDescent="0.2">
      <c r="A97" s="17" t="s">
        <v>308</v>
      </c>
      <c r="B97" s="178">
        <f>'Fremtind Livsforsikring'!B97+'DNB Livsforsikring'!B97+'Eika Forsikring AS'!B97+'Frende Livsforsikring'!B97+'Frende Skadeforsikring'!B97+'Gjensidige Forsikring'!B97+'Gjensidige Pensjon'!B97+'If Skadeforsikring NUF'!B97+KLP!B97+'KLP Skadeforsikring AS'!B97+'Landkreditt Forsikring'!B97+'Nordea Liv '!B97+'Oslo Pensjonsforsikring'!B97+'Protector Forsikring'!B97+'Sparebank 1 Fors.'!B97+'Storebrand Livsforsikring'!B97+'Telenor Forsikring'!B97+'Tryg Forsikring'!B97+'WaterCircles F'!B97+'Euro Accident'!B97+'Ly Forsikring'!B97+'Youplus Livsforsikring'!B97+'Oslo Forsikring'!B97+'Knif Trygghet Forsikring'!B97</f>
        <v>11773619.419879999</v>
      </c>
      <c r="C97" s="178">
        <f>'Fremtind Livsforsikring'!C97+'DNB Livsforsikring'!C97+'Eika Forsikring AS'!C97+'Frende Livsforsikring'!C97+'Frende Skadeforsikring'!C97+'Gjensidige Forsikring'!C97+'Gjensidige Pensjon'!C97+'If Skadeforsikring NUF'!C97+KLP!C97+'KLP Skadeforsikring AS'!C97+'Landkreditt Forsikring'!C97+'Nordea Liv '!C97+'Oslo Pensjonsforsikring'!C97+'Protector Forsikring'!C97+'Sparebank 1 Fors.'!C97+'Storebrand Livsforsikring'!C97+'Telenor Forsikring'!C97+'Tryg Forsikring'!C97+'WaterCircles F'!C97+'Euro Accident'!C97+'Ly Forsikring'!C97+'Youplus Livsforsikring'!C97+'Oslo Forsikring'!C97+'Knif Trygghet Forsikring'!C97</f>
        <v>13635690.724579999</v>
      </c>
      <c r="D97" s="19">
        <f t="shared" ref="D97" si="34">IF(B97=0, "    ---- ", IF(ABS(ROUND(100/B97*C97-100,1))&lt;999,ROUND(100/B97*C97-100,1),IF(ROUND(100/B97*C97-100,1)&gt;999,999,-999)))</f>
        <v>15.8</v>
      </c>
      <c r="E97" s="35"/>
      <c r="F97" s="35"/>
      <c r="G97" s="121"/>
      <c r="H97" s="181">
        <f t="shared" ref="H97" si="35">SUM(B97,E97)</f>
        <v>11773619.419879999</v>
      </c>
      <c r="I97" s="181">
        <f t="shared" ref="I97" si="36">SUM(C97,F97)</f>
        <v>13635690.724579999</v>
      </c>
      <c r="J97" s="19">
        <f t="shared" ref="J97" si="37">IF(H97=0, "    ---- ", IF(ABS(ROUND(100/H97*I97-100,1))&lt;999,ROUND(100/H97*I97-100,1),IF(ROUND(100/H97*I97-100,1)&gt;999,999,-999)))</f>
        <v>15.8</v>
      </c>
    </row>
    <row r="98" spans="1:10" ht="15.75" customHeight="1" x14ac:dyDescent="0.2">
      <c r="A98" s="17" t="s">
        <v>339</v>
      </c>
      <c r="B98" s="178">
        <f>'Fremtind Livsforsikring'!B98+'DNB Livsforsikring'!B98+'Eika Forsikring AS'!B98+'Frende Livsforsikring'!B98+'Frende Skadeforsikring'!B98+'Gjensidige Forsikring'!B98+'Gjensidige Pensjon'!B98+'If Skadeforsikring NUF'!B98+KLP!B98+'KLP Skadeforsikring AS'!B98+'Landkreditt Forsikring'!B98+'Nordea Liv '!B98+'Oslo Pensjonsforsikring'!B98+'Protector Forsikring'!B98+'Sparebank 1 Fors.'!B98+'Storebrand Livsforsikring'!B98+'Telenor Forsikring'!B98+'Tryg Forsikring'!B98+'WaterCircles F'!B98+'Euro Accident'!B98+'Ly Forsikring'!B98+'Youplus Livsforsikring'!B98+'Oslo Forsikring'!B98+'Knif Trygghet Forsikring'!B98</f>
        <v>383241980.13622022</v>
      </c>
      <c r="C98" s="178">
        <f>'Fremtind Livsforsikring'!C98+'DNB Livsforsikring'!C98+'Eika Forsikring AS'!C98+'Frende Livsforsikring'!C98+'Frende Skadeforsikring'!C98+'Gjensidige Forsikring'!C98+'Gjensidige Pensjon'!C98+'If Skadeforsikring NUF'!C98+KLP!C98+'KLP Skadeforsikring AS'!C98+'Landkreditt Forsikring'!C98+'Nordea Liv '!C98+'Oslo Pensjonsforsikring'!C98+'Protector Forsikring'!C98+'Sparebank 1 Fors.'!C98+'Storebrand Livsforsikring'!C98+'Telenor Forsikring'!C98+'Tryg Forsikring'!C98+'WaterCircles F'!C98+'Euro Accident'!C98+'Ly Forsikring'!C98+'Youplus Livsforsikring'!C98+'Oslo Forsikring'!C98+'Knif Trygghet Forsikring'!C98</f>
        <v>387597996.54548991</v>
      </c>
      <c r="D98" s="19">
        <f t="shared" si="23"/>
        <v>1.1000000000000001</v>
      </c>
      <c r="E98" s="35">
        <f>'Fremtind Livsforsikring'!F98+'DNB Livsforsikring'!F98+'Eika Forsikring AS'!F98+'Frende Livsforsikring'!F98+'Frende Skadeforsikring'!F98+'Gjensidige Forsikring'!F98+'Gjensidige Pensjon'!F98+'If Skadeforsikring NUF'!F98+KLP!F98+'KLP Skadeforsikring AS'!F98+'Landkreditt Forsikring'!F98+'Nordea Liv '!F98+'Oslo Pensjonsforsikring'!F98+'Protector Forsikring'!F98+'Sparebank 1 Fors.'!F98+'Storebrand Livsforsikring'!F98+'Telenor Forsikring'!F98+'Tryg Forsikring'!F98+'WaterCircles F'!F98+'Euro Accident'!F98+'Ly Forsikring'!F98+'Youplus Livsforsikring'!F98+'Oslo Forsikring'!F98+'Knif Trygghet Forsikring'!F98</f>
        <v>634383540.77482986</v>
      </c>
      <c r="F98" s="35">
        <f>'Fremtind Livsforsikring'!G98+'DNB Livsforsikring'!G98+'Eika Forsikring AS'!G98+'Frende Livsforsikring'!G98+'Frende Skadeforsikring'!G98+'Gjensidige Forsikring'!G98+'Gjensidige Pensjon'!G98+'If Skadeforsikring NUF'!G98+KLP!G98+'KLP Skadeforsikring AS'!G98+'Landkreditt Forsikring'!G98+'Nordea Liv '!G98+'Oslo Pensjonsforsikring'!G98+'Protector Forsikring'!G98+'Sparebank 1 Fors.'!G98+'Storebrand Livsforsikring'!G98+'Telenor Forsikring'!G98+'Tryg Forsikring'!G98+'WaterCircles F'!G98+'Euro Accident'!G98+'Ly Forsikring'!G98+'Youplus Livsforsikring'!G98+'Oslo Forsikring'!G98+'Knif Trygghet Forsikring'!G98</f>
        <v>742641502.71170497</v>
      </c>
      <c r="G98" s="121">
        <f t="shared" si="24"/>
        <v>17.100000000000001</v>
      </c>
      <c r="H98" s="181">
        <f t="shared" si="32"/>
        <v>1017625520.9110501</v>
      </c>
      <c r="I98" s="181">
        <f t="shared" si="33"/>
        <v>1130239499.257195</v>
      </c>
      <c r="J98" s="19">
        <f t="shared" si="27"/>
        <v>11.1</v>
      </c>
    </row>
    <row r="99" spans="1:10" ht="15.75" customHeight="1" x14ac:dyDescent="0.2">
      <c r="A99" s="17" t="s">
        <v>9</v>
      </c>
      <c r="B99" s="178">
        <f>'Fremtind Livsforsikring'!B99+'DNB Livsforsikring'!B99+'Eika Forsikring AS'!B99+'Frende Livsforsikring'!B99+'Frende Skadeforsikring'!B99+'Gjensidige Forsikring'!B99+'Gjensidige Pensjon'!B99+'If Skadeforsikring NUF'!B99+KLP!B99+'KLP Skadeforsikring AS'!B99+'Landkreditt Forsikring'!B99+'Nordea Liv '!B99+'Oslo Pensjonsforsikring'!B99+'Protector Forsikring'!B99+'Sparebank 1 Fors.'!B99+'Storebrand Livsforsikring'!B99+'Telenor Forsikring'!B99+'Tryg Forsikring'!B99+'WaterCircles F'!B99+'Euro Accident'!B99+'Ly Forsikring'!B99+'Youplus Livsforsikring'!B99+'Oslo Forsikring'!B99+'Knif Trygghet Forsikring'!B99</f>
        <v>380861821.32511818</v>
      </c>
      <c r="C99" s="178">
        <f>'Fremtind Livsforsikring'!C99+'DNB Livsforsikring'!C99+'Eika Forsikring AS'!C99+'Frende Livsforsikring'!C99+'Frende Skadeforsikring'!C99+'Gjensidige Forsikring'!C99+'Gjensidige Pensjon'!C99+'If Skadeforsikring NUF'!C99+KLP!C99+'KLP Skadeforsikring AS'!C99+'Landkreditt Forsikring'!C99+'Nordea Liv '!C99+'Oslo Pensjonsforsikring'!C99+'Protector Forsikring'!C99+'Sparebank 1 Fors.'!C99+'Storebrand Livsforsikring'!C99+'Telenor Forsikring'!C99+'Tryg Forsikring'!C99+'WaterCircles F'!C99+'Euro Accident'!C99+'Ly Forsikring'!C99+'Youplus Livsforsikring'!C99+'Oslo Forsikring'!C99+'Knif Trygghet Forsikring'!C99</f>
        <v>383464676.8292079</v>
      </c>
      <c r="D99" s="19">
        <f t="shared" si="23"/>
        <v>0.7</v>
      </c>
      <c r="E99" s="35"/>
      <c r="F99" s="35"/>
      <c r="G99" s="121"/>
      <c r="H99" s="181">
        <f t="shared" si="32"/>
        <v>380861821.32511818</v>
      </c>
      <c r="I99" s="181">
        <f t="shared" si="33"/>
        <v>383464676.8292079</v>
      </c>
      <c r="J99" s="19">
        <f t="shared" si="27"/>
        <v>0.7</v>
      </c>
    </row>
    <row r="100" spans="1:10" ht="15.75" customHeight="1" x14ac:dyDescent="0.2">
      <c r="A100" s="17" t="s">
        <v>366</v>
      </c>
      <c r="B100" s="178">
        <f>'Fremtind Livsforsikring'!B100+'DNB Livsforsikring'!B100+'Eika Forsikring AS'!B100+'Frende Livsforsikring'!B100+'Frende Skadeforsikring'!B100+'Gjensidige Forsikring'!B100+'Gjensidige Pensjon'!B100+'If Skadeforsikring NUF'!B100+KLP!B100+'KLP Skadeforsikring AS'!B100+'Landkreditt Forsikring'!B100+'Nordea Liv '!B100+'Oslo Pensjonsforsikring'!B100+'Protector Forsikring'!B100+'Sparebank 1 Fors.'!B100+'Storebrand Livsforsikring'!B100+'Telenor Forsikring'!B100+'Tryg Forsikring'!B100+'WaterCircles F'!B100+'Euro Accident'!B100+'Ly Forsikring'!B100+'Youplus Livsforsikring'!B100+'Oslo Forsikring'!B100+'Knif Trygghet Forsikring'!B100</f>
        <v>2380158.8111019903</v>
      </c>
      <c r="C100" s="178">
        <f>'Fremtind Livsforsikring'!C100+'DNB Livsforsikring'!C100+'Eika Forsikring AS'!C100+'Frende Livsforsikring'!C100+'Frende Skadeforsikring'!C100+'Gjensidige Forsikring'!C100+'Gjensidige Pensjon'!C100+'If Skadeforsikring NUF'!C100+KLP!C100+'KLP Skadeforsikring AS'!C100+'Landkreditt Forsikring'!C100+'Nordea Liv '!C100+'Oslo Pensjonsforsikring'!C100+'Protector Forsikring'!C100+'Sparebank 1 Fors.'!C100+'Storebrand Livsforsikring'!C100+'Telenor Forsikring'!C100+'Tryg Forsikring'!C100+'WaterCircles F'!C100+'Euro Accident'!C100+'Ly Forsikring'!C100+'Youplus Livsforsikring'!C100+'Oslo Forsikring'!C100+'Knif Trygghet Forsikring'!C100</f>
        <v>4133319.7162820296</v>
      </c>
      <c r="D100" s="19">
        <f t="shared" si="23"/>
        <v>73.7</v>
      </c>
      <c r="E100" s="35">
        <f>'Fremtind Livsforsikring'!F100+'DNB Livsforsikring'!F100+'Eika Forsikring AS'!F100+'Frende Livsforsikring'!F100+'Frende Skadeforsikring'!F100+'Gjensidige Forsikring'!F100+'Gjensidige Pensjon'!F100+'If Skadeforsikring NUF'!F100+KLP!F100+'KLP Skadeforsikring AS'!F100+'Landkreditt Forsikring'!F100+'Nordea Liv '!F100+'Oslo Pensjonsforsikring'!F100+'Protector Forsikring'!F100+'Sparebank 1 Fors.'!F100+'Storebrand Livsforsikring'!F100+'Telenor Forsikring'!F100+'Tryg Forsikring'!F100+'WaterCircles F'!F100+'Euro Accident'!F100+'Ly Forsikring'!F100+'Youplus Livsforsikring'!F100+'Oslo Forsikring'!F100+'Knif Trygghet Forsikring'!F100</f>
        <v>634383540.77482986</v>
      </c>
      <c r="F100" s="35">
        <f>'Fremtind Livsforsikring'!G100+'DNB Livsforsikring'!G100+'Eika Forsikring AS'!G100+'Frende Livsforsikring'!G100+'Frende Skadeforsikring'!G100+'Gjensidige Forsikring'!G100+'Gjensidige Pensjon'!G100+'If Skadeforsikring NUF'!G100+KLP!G100+'KLP Skadeforsikring AS'!G100+'Landkreditt Forsikring'!G100+'Nordea Liv '!G100+'Oslo Pensjonsforsikring'!G100+'Protector Forsikring'!G100+'Sparebank 1 Fors.'!G100+'Storebrand Livsforsikring'!G100+'Telenor Forsikring'!G100+'Tryg Forsikring'!G100+'WaterCircles F'!G100+'Euro Accident'!G100+'Ly Forsikring'!G100+'Youplus Livsforsikring'!G100+'Oslo Forsikring'!G100+'Knif Trygghet Forsikring'!G100</f>
        <v>742641502.71170497</v>
      </c>
      <c r="G100" s="121">
        <f t="shared" si="24"/>
        <v>17.100000000000001</v>
      </c>
      <c r="H100" s="181">
        <f t="shared" si="32"/>
        <v>636763699.5859319</v>
      </c>
      <c r="I100" s="181">
        <f t="shared" si="33"/>
        <v>746774822.42798698</v>
      </c>
      <c r="J100" s="19">
        <f t="shared" si="27"/>
        <v>17.3</v>
      </c>
    </row>
    <row r="101" spans="1:10" ht="15.75" customHeight="1" x14ac:dyDescent="0.2">
      <c r="A101" s="232" t="s">
        <v>337</v>
      </c>
      <c r="B101" s="179"/>
      <c r="C101" s="179"/>
      <c r="D101" s="22"/>
      <c r="E101" s="179"/>
      <c r="F101" s="179"/>
      <c r="G101" s="121"/>
      <c r="H101" s="179"/>
      <c r="I101" s="179"/>
      <c r="J101" s="19"/>
    </row>
    <row r="102" spans="1:10" ht="15.75" customHeight="1" x14ac:dyDescent="0.2">
      <c r="A102" s="232" t="s">
        <v>12</v>
      </c>
      <c r="B102" s="179"/>
      <c r="C102" s="179"/>
      <c r="D102" s="22"/>
      <c r="E102" s="179"/>
      <c r="F102" s="179"/>
      <c r="G102" s="121"/>
      <c r="H102" s="179"/>
      <c r="I102" s="179"/>
      <c r="J102" s="19"/>
    </row>
    <row r="103" spans="1:10" ht="15.75" customHeight="1" x14ac:dyDescent="0.2">
      <c r="A103" s="232" t="s">
        <v>13</v>
      </c>
      <c r="B103" s="179"/>
      <c r="C103" s="179"/>
      <c r="D103" s="22"/>
      <c r="E103" s="179"/>
      <c r="F103" s="179"/>
      <c r="G103" s="121"/>
      <c r="H103" s="179"/>
      <c r="I103" s="179"/>
      <c r="J103" s="19"/>
    </row>
    <row r="104" spans="1:10" ht="15.75" customHeight="1" x14ac:dyDescent="0.2">
      <c r="A104" s="232" t="s">
        <v>338</v>
      </c>
      <c r="B104" s="179"/>
      <c r="C104" s="179"/>
      <c r="D104" s="22"/>
      <c r="E104" s="179"/>
      <c r="F104" s="179"/>
      <c r="G104" s="121"/>
      <c r="H104" s="179"/>
      <c r="I104" s="179"/>
      <c r="J104" s="19"/>
    </row>
    <row r="105" spans="1:10" ht="15.75" customHeight="1" x14ac:dyDescent="0.2">
      <c r="A105" s="232" t="s">
        <v>12</v>
      </c>
      <c r="B105" s="179"/>
      <c r="C105" s="179"/>
      <c r="D105" s="22"/>
      <c r="E105" s="179"/>
      <c r="F105" s="179"/>
      <c r="G105" s="121"/>
      <c r="H105" s="179"/>
      <c r="I105" s="179"/>
      <c r="J105" s="19"/>
    </row>
    <row r="106" spans="1:10" ht="15.75" customHeight="1" x14ac:dyDescent="0.2">
      <c r="A106" s="232" t="s">
        <v>13</v>
      </c>
      <c r="B106" s="179"/>
      <c r="C106" s="179"/>
      <c r="D106" s="22"/>
      <c r="E106" s="179"/>
      <c r="F106" s="179"/>
      <c r="G106" s="121"/>
      <c r="H106" s="179"/>
      <c r="I106" s="179"/>
      <c r="J106" s="19"/>
    </row>
    <row r="107" spans="1:10" ht="15.75" customHeight="1" x14ac:dyDescent="0.2">
      <c r="A107" s="17" t="s">
        <v>340</v>
      </c>
      <c r="B107" s="178">
        <f>'Fremtind Livsforsikring'!B107+'DNB Livsforsikring'!B107+'Eika Forsikring AS'!B107+'Frende Livsforsikring'!B107+'Frende Skadeforsikring'!B107+'Gjensidige Forsikring'!B107+'Gjensidige Pensjon'!B107+'If Skadeforsikring NUF'!B107+KLP!B107+'KLP Skadeforsikring AS'!B107+'Landkreditt Forsikring'!B107+'Nordea Liv '!B107+'Oslo Pensjonsforsikring'!B107+'Protector Forsikring'!B107+'Sparebank 1 Fors.'!B107+'Storebrand Livsforsikring'!B107+'Telenor Forsikring'!B107+'Tryg Forsikring'!B107+'WaterCircles F'!B107+'Euro Accident'!B107+'Ly Forsikring'!B107+'Youplus Livsforsikring'!B107+'Oslo Forsikring'!B107+'Knif Trygghet Forsikring'!B107</f>
        <v>4279884.5010000002</v>
      </c>
      <c r="C107" s="178">
        <f>'Fremtind Livsforsikring'!C107+'DNB Livsforsikring'!C107+'Eika Forsikring AS'!C107+'Frende Livsforsikring'!C107+'Frende Skadeforsikring'!C107+'Gjensidige Forsikring'!C107+'Gjensidige Pensjon'!C107+'If Skadeforsikring NUF'!C107+KLP!C107+'KLP Skadeforsikring AS'!C107+'Landkreditt Forsikring'!C107+'Nordea Liv '!C107+'Oslo Pensjonsforsikring'!C107+'Protector Forsikring'!C107+'Sparebank 1 Fors.'!C107+'Storebrand Livsforsikring'!C107+'Telenor Forsikring'!C107+'Tryg Forsikring'!C107+'WaterCircles F'!C107+'Euro Accident'!C107+'Ly Forsikring'!C107+'Youplus Livsforsikring'!C107+'Oslo Forsikring'!C107+'Knif Trygghet Forsikring'!C107</f>
        <v>4097441.4679999999</v>
      </c>
      <c r="D107" s="19">
        <f t="shared" si="23"/>
        <v>-4.3</v>
      </c>
      <c r="E107" s="35">
        <f>'Fremtind Livsforsikring'!F107+'DNB Livsforsikring'!F107+'Eika Forsikring AS'!F107+'Frende Livsforsikring'!F107+'Frende Skadeforsikring'!F107+'Gjensidige Forsikring'!F107+'Gjensidige Pensjon'!F107+'If Skadeforsikring NUF'!F107+KLP!F107+'KLP Skadeforsikring AS'!F107+'Landkreditt Forsikring'!F107+'Nordea Liv '!F107+'Oslo Pensjonsforsikring'!F107+'Protector Forsikring'!F107+'Sparebank 1 Fors.'!F107+'Storebrand Livsforsikring'!F107+'Telenor Forsikring'!F107+'Tryg Forsikring'!F107+'WaterCircles F'!F107+'Euro Accident'!F107+'Ly Forsikring'!F107+'Youplus Livsforsikring'!F107+'Oslo Forsikring'!F107+'Knif Trygghet Forsikring'!F107</f>
        <v>411694.46815999987</v>
      </c>
      <c r="F107" s="35">
        <f>'Fremtind Livsforsikring'!G107+'DNB Livsforsikring'!G107+'Eika Forsikring AS'!G107+'Frende Livsforsikring'!G107+'Frende Skadeforsikring'!G107+'Gjensidige Forsikring'!G107+'Gjensidige Pensjon'!G107+'If Skadeforsikring NUF'!G107+KLP!G107+'KLP Skadeforsikring AS'!G107+'Landkreditt Forsikring'!G107+'Nordea Liv '!G107+'Oslo Pensjonsforsikring'!G107+'Protector Forsikring'!G107+'Sparebank 1 Fors.'!G107+'Storebrand Livsforsikring'!G107+'Telenor Forsikring'!G107+'Tryg Forsikring'!G107+'WaterCircles F'!G107+'Euro Accident'!G107+'Ly Forsikring'!G107+'Youplus Livsforsikring'!G107+'Oslo Forsikring'!G107+'Knif Trygghet Forsikring'!G107</f>
        <v>414547.44103501504</v>
      </c>
      <c r="G107" s="121">
        <f t="shared" si="24"/>
        <v>0.7</v>
      </c>
      <c r="H107" s="181">
        <f t="shared" si="32"/>
        <v>4691578.9691599999</v>
      </c>
      <c r="I107" s="181">
        <f t="shared" si="33"/>
        <v>4511988.9090350149</v>
      </c>
      <c r="J107" s="19">
        <f t="shared" si="27"/>
        <v>-3.8</v>
      </c>
    </row>
    <row r="108" spans="1:10" ht="15.75" customHeight="1" x14ac:dyDescent="0.2">
      <c r="A108" s="17" t="s">
        <v>341</v>
      </c>
      <c r="B108" s="178">
        <f>'Fremtind Livsforsikring'!B108+'DNB Livsforsikring'!B108+'Eika Forsikring AS'!B108+'Frende Livsforsikring'!B108+'Frende Skadeforsikring'!B108+'Gjensidige Forsikring'!B108+'Gjensidige Pensjon'!B108+'If Skadeforsikring NUF'!B108+KLP!B108+'KLP Skadeforsikring AS'!B108+'Landkreditt Forsikring'!B108+'Nordea Liv '!B108+'Oslo Pensjonsforsikring'!B108+'Protector Forsikring'!B108+'Sparebank 1 Fors.'!B108+'Storebrand Livsforsikring'!B108+'Telenor Forsikring'!B108+'Tryg Forsikring'!B108+'WaterCircles F'!B108+'Euro Accident'!B108+'Ly Forsikring'!B108+'Youplus Livsforsikring'!B108+'Oslo Forsikring'!B108+'Knif Trygghet Forsikring'!B108</f>
        <v>331689178.53608841</v>
      </c>
      <c r="C108" s="178">
        <f>'Fremtind Livsforsikring'!C108+'DNB Livsforsikring'!C108+'Eika Forsikring AS'!C108+'Frende Livsforsikring'!C108+'Frende Skadeforsikring'!C108+'Gjensidige Forsikring'!C108+'Gjensidige Pensjon'!C108+'If Skadeforsikring NUF'!C108+KLP!C108+'KLP Skadeforsikring AS'!C108+'Landkreditt Forsikring'!C108+'Nordea Liv '!C108+'Oslo Pensjonsforsikring'!C108+'Protector Forsikring'!C108+'Sparebank 1 Fors.'!C108+'Storebrand Livsforsikring'!C108+'Telenor Forsikring'!C108+'Tryg Forsikring'!C108+'WaterCircles F'!C108+'Euro Accident'!C108+'Ly Forsikring'!C108+'Youplus Livsforsikring'!C108+'Oslo Forsikring'!C108+'Knif Trygghet Forsikring'!C108</f>
        <v>332033277.85169542</v>
      </c>
      <c r="D108" s="19">
        <f t="shared" si="23"/>
        <v>0.1</v>
      </c>
      <c r="E108" s="35">
        <f>'Fremtind Livsforsikring'!F108+'DNB Livsforsikring'!F108+'Eika Forsikring AS'!F108+'Frende Livsforsikring'!F108+'Frende Skadeforsikring'!F108+'Gjensidige Forsikring'!F108+'Gjensidige Pensjon'!F108+'If Skadeforsikring NUF'!F108+KLP!F108+'KLP Skadeforsikring AS'!F108+'Landkreditt Forsikring'!F108+'Nordea Liv '!F108+'Oslo Pensjonsforsikring'!F108+'Protector Forsikring'!F108+'Sparebank 1 Fors.'!F108+'Storebrand Livsforsikring'!F108+'Telenor Forsikring'!F108+'Tryg Forsikring'!F108+'WaterCircles F'!F108+'Euro Accident'!F108+'Ly Forsikring'!F108+'Youplus Livsforsikring'!F108+'Oslo Forsikring'!F108+'Knif Trygghet Forsikring'!F108</f>
        <v>23180561.847210001</v>
      </c>
      <c r="F108" s="35">
        <f>'Fremtind Livsforsikring'!G108+'DNB Livsforsikring'!G108+'Eika Forsikring AS'!G108+'Frende Livsforsikring'!G108+'Frende Skadeforsikring'!G108+'Gjensidige Forsikring'!G108+'Gjensidige Pensjon'!G108+'If Skadeforsikring NUF'!G108+KLP!G108+'KLP Skadeforsikring AS'!G108+'Landkreditt Forsikring'!G108+'Nordea Liv '!G108+'Oslo Pensjonsforsikring'!G108+'Protector Forsikring'!G108+'Sparebank 1 Fors.'!G108+'Storebrand Livsforsikring'!G108+'Telenor Forsikring'!G108+'Tryg Forsikring'!G108+'WaterCircles F'!G108+'Euro Accident'!G108+'Ly Forsikring'!G108+'Youplus Livsforsikring'!G108+'Oslo Forsikring'!G108+'Knif Trygghet Forsikring'!G108</f>
        <v>25426949.195970349</v>
      </c>
      <c r="G108" s="121">
        <f t="shared" si="24"/>
        <v>9.6999999999999993</v>
      </c>
      <c r="H108" s="181">
        <f t="shared" si="32"/>
        <v>354869740.3832984</v>
      </c>
      <c r="I108" s="181">
        <f t="shared" si="33"/>
        <v>357460227.04766577</v>
      </c>
      <c r="J108" s="19">
        <f t="shared" si="27"/>
        <v>0.7</v>
      </c>
    </row>
    <row r="109" spans="1:10" ht="15.75" customHeight="1" x14ac:dyDescent="0.2">
      <c r="A109" s="17" t="s">
        <v>374</v>
      </c>
      <c r="B109" s="178">
        <f>'Fremtind Livsforsikring'!B109+'DNB Livsforsikring'!B109+'Eika Forsikring AS'!B109+'Frende Livsforsikring'!B109+'Frende Skadeforsikring'!B109+'Gjensidige Forsikring'!B109+'Gjensidige Pensjon'!B109+'If Skadeforsikring NUF'!B109+KLP!B109+'KLP Skadeforsikring AS'!B109+'Landkreditt Forsikring'!B109+'Nordea Liv '!B109+'Oslo Pensjonsforsikring'!B109+'Protector Forsikring'!B109+'Sparebank 1 Fors.'!B109+'Storebrand Livsforsikring'!B109+'Telenor Forsikring'!B109+'Tryg Forsikring'!B109+'WaterCircles F'!B109+'Euro Accident'!B109+'Ly Forsikring'!B109+'Youplus Livsforsikring'!B109+'Oslo Forsikring'!B109+'Knif Trygghet Forsikring'!B109</f>
        <v>2301940.8743978902</v>
      </c>
      <c r="C109" s="178">
        <f>'Fremtind Livsforsikring'!C109+'DNB Livsforsikring'!C109+'Eika Forsikring AS'!C109+'Frende Livsforsikring'!C109+'Frende Skadeforsikring'!C109+'Gjensidige Forsikring'!C109+'Gjensidige Pensjon'!C109+'If Skadeforsikring NUF'!C109+KLP!C109+'KLP Skadeforsikring AS'!C109+'Landkreditt Forsikring'!C109+'Nordea Liv '!C109+'Oslo Pensjonsforsikring'!C109+'Protector Forsikring'!C109+'Sparebank 1 Fors.'!C109+'Storebrand Livsforsikring'!C109+'Telenor Forsikring'!C109+'Tryg Forsikring'!C109+'WaterCircles F'!C109+'Euro Accident'!C109+'Ly Forsikring'!C109+'Youplus Livsforsikring'!C109+'Oslo Forsikring'!C109+'Knif Trygghet Forsikring'!C109</f>
        <v>2639362.7613713299</v>
      </c>
      <c r="D109" s="19">
        <f t="shared" si="23"/>
        <v>14.7</v>
      </c>
      <c r="E109" s="35">
        <f>'Fremtind Livsforsikring'!F109+'DNB Livsforsikring'!F109+'Eika Forsikring AS'!F109+'Frende Livsforsikring'!F109+'Frende Skadeforsikring'!F109+'Gjensidige Forsikring'!F109+'Gjensidige Pensjon'!F109+'If Skadeforsikring NUF'!F109+KLP!F109+'KLP Skadeforsikring AS'!F109+'Landkreditt Forsikring'!F109+'Nordea Liv '!F109+'Oslo Pensjonsforsikring'!F109+'Protector Forsikring'!F109+'Sparebank 1 Fors.'!F109+'Storebrand Livsforsikring'!F109+'Telenor Forsikring'!F109+'Tryg Forsikring'!F109+'WaterCircles F'!F109+'Euro Accident'!F109+'Ly Forsikring'!F109+'Youplus Livsforsikring'!F109+'Oslo Forsikring'!F109+'Knif Trygghet Forsikring'!F109</f>
        <v>241957725.61478996</v>
      </c>
      <c r="F109" s="35">
        <f>'Fremtind Livsforsikring'!G109+'DNB Livsforsikring'!G109+'Eika Forsikring AS'!G109+'Frende Livsforsikring'!G109+'Frende Skadeforsikring'!G109+'Gjensidige Forsikring'!G109+'Gjensidige Pensjon'!G109+'If Skadeforsikring NUF'!G109+KLP!G109+'KLP Skadeforsikring AS'!G109+'Landkreditt Forsikring'!G109+'Nordea Liv '!G109+'Oslo Pensjonsforsikring'!G109+'Protector Forsikring'!G109+'Sparebank 1 Fors.'!G109+'Storebrand Livsforsikring'!G109+'Telenor Forsikring'!G109+'Tryg Forsikring'!G109+'WaterCircles F'!G109+'Euro Accident'!G109+'Ly Forsikring'!G109+'Youplus Livsforsikring'!G109+'Oslo Forsikring'!G109+'Knif Trygghet Forsikring'!G109</f>
        <v>289652173.35506999</v>
      </c>
      <c r="G109" s="121">
        <f t="shared" si="24"/>
        <v>19.7</v>
      </c>
      <c r="H109" s="181">
        <f t="shared" si="32"/>
        <v>244259666.48918787</v>
      </c>
      <c r="I109" s="181">
        <f t="shared" si="33"/>
        <v>292291536.11644131</v>
      </c>
      <c r="J109" s="19">
        <f t="shared" si="27"/>
        <v>19.7</v>
      </c>
    </row>
    <row r="110" spans="1:10" ht="15.75" customHeight="1" x14ac:dyDescent="0.2">
      <c r="A110" s="17" t="s">
        <v>342</v>
      </c>
      <c r="B110" s="178">
        <f>'Fremtind Livsforsikring'!B110+'DNB Livsforsikring'!B110+'Eika Forsikring AS'!B110+'Frende Livsforsikring'!B110+'Frende Skadeforsikring'!B110+'Gjensidige Forsikring'!B110+'Gjensidige Pensjon'!B110+'If Skadeforsikring NUF'!B110+KLP!B110+'KLP Skadeforsikring AS'!B110+'Landkreditt Forsikring'!B110+'Nordea Liv '!B110+'Oslo Pensjonsforsikring'!B110+'Protector Forsikring'!B110+'Sparebank 1 Fors.'!B110+'Storebrand Livsforsikring'!B110+'Telenor Forsikring'!B110+'Tryg Forsikring'!B110+'WaterCircles F'!B110+'Euro Accident'!B110+'Ly Forsikring'!B110+'Youplus Livsforsikring'!B110+'Oslo Forsikring'!B110+'Knif Trygghet Forsikring'!B110</f>
        <v>3108486.0642400002</v>
      </c>
      <c r="C110" s="178">
        <f>'Fremtind Livsforsikring'!C110+'DNB Livsforsikring'!C110+'Eika Forsikring AS'!C110+'Frende Livsforsikring'!C110+'Frende Skadeforsikring'!C110+'Gjensidige Forsikring'!C110+'Gjensidige Pensjon'!C110+'If Skadeforsikring NUF'!C110+KLP!C110+'KLP Skadeforsikring AS'!C110+'Landkreditt Forsikring'!C110+'Nordea Liv '!C110+'Oslo Pensjonsforsikring'!C110+'Protector Forsikring'!C110+'Sparebank 1 Fors.'!C110+'Storebrand Livsforsikring'!C110+'Telenor Forsikring'!C110+'Tryg Forsikring'!C110+'WaterCircles F'!C110+'Euro Accident'!C110+'Ly Forsikring'!C110+'Youplus Livsforsikring'!C110+'Oslo Forsikring'!C110+'Knif Trygghet Forsikring'!C110</f>
        <v>4394926.2454599999</v>
      </c>
      <c r="D110" s="19">
        <f t="shared" si="23"/>
        <v>41.4</v>
      </c>
      <c r="E110" s="35"/>
      <c r="F110" s="35"/>
      <c r="G110" s="121"/>
      <c r="H110" s="181">
        <f t="shared" si="32"/>
        <v>3108486.0642400002</v>
      </c>
      <c r="I110" s="181">
        <f t="shared" si="33"/>
        <v>4394926.2454599999</v>
      </c>
      <c r="J110" s="19">
        <f t="shared" si="27"/>
        <v>41.4</v>
      </c>
    </row>
    <row r="111" spans="1:10" s="34" customFormat="1" ht="15.75" customHeight="1" x14ac:dyDescent="0.2">
      <c r="A111" s="10" t="s">
        <v>323</v>
      </c>
      <c r="B111" s="242">
        <f>'Fremtind Livsforsikring'!B111+'DNB Livsforsikring'!B111+'Eika Forsikring AS'!B111+'Frende Livsforsikring'!B111+'Frende Skadeforsikring'!B111+'Gjensidige Forsikring'!B111+'Gjensidige Pensjon'!B111+'If Skadeforsikring NUF'!B111+KLP!B111+'KLP Skadeforsikring AS'!B111+'Landkreditt Forsikring'!B111+'Nordea Liv '!B111+'Oslo Pensjonsforsikring'!B111+'Protector Forsikring'!B111+'Sparebank 1 Fors.'!B111+'Storebrand Livsforsikring'!B111+'Telenor Forsikring'!B111+'Tryg Forsikring'!B111+'WaterCircles F'!B111+'Euro Accident'!B111+'Ly Forsikring'!B111+'Youplus Livsforsikring'!B111+'Oslo Forsikring'!B111+'Knif Trygghet Forsikring'!B111</f>
        <v>519328.56218999997</v>
      </c>
      <c r="C111" s="242">
        <f>'Fremtind Livsforsikring'!C111+'DNB Livsforsikring'!C111+'Eika Forsikring AS'!C111+'Frende Livsforsikring'!C111+'Frende Skadeforsikring'!C111+'Gjensidige Forsikring'!C111+'Gjensidige Pensjon'!C111+'If Skadeforsikring NUF'!C111+KLP!C111+'KLP Skadeforsikring AS'!C111+'Landkreditt Forsikring'!C111+'Nordea Liv '!C111+'Oslo Pensjonsforsikring'!C111+'Protector Forsikring'!C111+'Sparebank 1 Fors.'!C111+'Storebrand Livsforsikring'!C111+'Telenor Forsikring'!C111+'Tryg Forsikring'!C111+'WaterCircles F'!C111+'Euro Accident'!C111+'Ly Forsikring'!C111+'Youplus Livsforsikring'!C111+'Oslo Forsikring'!C111+'Knif Trygghet Forsikring'!C111</f>
        <v>1939100.3254</v>
      </c>
      <c r="D111" s="20">
        <f t="shared" si="23"/>
        <v>273.39999999999998</v>
      </c>
      <c r="E111" s="180">
        <f>'Fremtind Livsforsikring'!F111+'DNB Livsforsikring'!F111+'Eika Forsikring AS'!F111+'Frende Livsforsikring'!F111+'Frende Skadeforsikring'!F111+'Gjensidige Forsikring'!F111+'Gjensidige Pensjon'!F111+'If Skadeforsikring NUF'!F111+KLP!F111+'KLP Skadeforsikring AS'!F111+'Landkreditt Forsikring'!F111+'Nordea Liv '!F111+'Oslo Pensjonsforsikring'!F111+'Protector Forsikring'!F111+'Sparebank 1 Fors.'!F111+'Storebrand Livsforsikring'!F111+'Telenor Forsikring'!F111+'Tryg Forsikring'!F111+'WaterCircles F'!F111+'Euro Accident'!F111+'Ly Forsikring'!F111+'Youplus Livsforsikring'!F111+'Oslo Forsikring'!F111+'Knif Trygghet Forsikring'!F111</f>
        <v>38644797.141279995</v>
      </c>
      <c r="F111" s="180">
        <f>'Fremtind Livsforsikring'!G111+'DNB Livsforsikring'!G111+'Eika Forsikring AS'!G111+'Frende Livsforsikring'!G111+'Frende Skadeforsikring'!G111+'Gjensidige Forsikring'!G111+'Gjensidige Pensjon'!G111+'If Skadeforsikring NUF'!G111+KLP!G111+'KLP Skadeforsikring AS'!G111+'Landkreditt Forsikring'!G111+'Nordea Liv '!G111+'Oslo Pensjonsforsikring'!G111+'Protector Forsikring'!G111+'Sparebank 1 Fors.'!G111+'Storebrand Livsforsikring'!G111+'Telenor Forsikring'!G111+'Tryg Forsikring'!G111+'WaterCircles F'!G111+'Euro Accident'!G111+'Ly Forsikring'!G111+'Youplus Livsforsikring'!G111+'Oslo Forsikring'!G111+'Knif Trygghet Forsikring'!G111</f>
        <v>52148910.288860008</v>
      </c>
      <c r="G111" s="125">
        <f t="shared" si="24"/>
        <v>34.9</v>
      </c>
      <c r="H111" s="262">
        <f t="shared" si="32"/>
        <v>39164125.703469992</v>
      </c>
      <c r="I111" s="262">
        <f t="shared" si="33"/>
        <v>54088010.61426001</v>
      </c>
      <c r="J111" s="20">
        <f t="shared" si="27"/>
        <v>38.1</v>
      </c>
    </row>
    <row r="112" spans="1:10" ht="15.75" customHeight="1" x14ac:dyDescent="0.2">
      <c r="A112" s="17" t="s">
        <v>9</v>
      </c>
      <c r="B112" s="178">
        <f>'Fremtind Livsforsikring'!B112+'DNB Livsforsikring'!B112+'Eika Forsikring AS'!B112+'Frende Livsforsikring'!B112+'Frende Skadeforsikring'!B112+'Gjensidige Forsikring'!B112+'Gjensidige Pensjon'!B112+'If Skadeforsikring NUF'!B112+KLP!B112+'KLP Skadeforsikring AS'!B112+'Landkreditt Forsikring'!B112+'Nordea Liv '!B112+'Oslo Pensjonsforsikring'!B112+'Protector Forsikring'!B112+'Sparebank 1 Fors.'!B112+'Storebrand Livsforsikring'!B112+'Telenor Forsikring'!B112+'Tryg Forsikring'!B112+'WaterCircles F'!B112+'Euro Accident'!B112+'Ly Forsikring'!B112+'Youplus Livsforsikring'!B112+'Oslo Forsikring'!B112+'Knif Trygghet Forsikring'!B112</f>
        <v>372578.54186</v>
      </c>
      <c r="C112" s="178">
        <f>'Fremtind Livsforsikring'!C112+'DNB Livsforsikring'!C112+'Eika Forsikring AS'!C112+'Frende Livsforsikring'!C112+'Frende Skadeforsikring'!C112+'Gjensidige Forsikring'!C112+'Gjensidige Pensjon'!C112+'If Skadeforsikring NUF'!C112+KLP!C112+'KLP Skadeforsikring AS'!C112+'Landkreditt Forsikring'!C112+'Nordea Liv '!C112+'Oslo Pensjonsforsikring'!C112+'Protector Forsikring'!C112+'Sparebank 1 Fors.'!C112+'Storebrand Livsforsikring'!C112+'Telenor Forsikring'!C112+'Tryg Forsikring'!C112+'WaterCircles F'!C112+'Euro Accident'!C112+'Ly Forsikring'!C112+'Youplus Livsforsikring'!C112+'Oslo Forsikring'!C112+'Knif Trygghet Forsikring'!C112</f>
        <v>1785731.4592800001</v>
      </c>
      <c r="D112" s="19">
        <f t="shared" ref="D112:D125" si="38">IF(B112=0, "    ---- ", IF(ABS(ROUND(100/B112*C112-100,1))&lt;999,ROUND(100/B112*C112-100,1),IF(ROUND(100/B112*C112-100,1)&gt;999,999,-999)))</f>
        <v>379.3</v>
      </c>
      <c r="E112" s="35">
        <f>'Fremtind Livsforsikring'!F112+'DNB Livsforsikring'!F112+'Eika Forsikring AS'!F112+'Frende Livsforsikring'!F112+'Frende Skadeforsikring'!F112+'Gjensidige Forsikring'!F112+'Gjensidige Pensjon'!F112+'If Skadeforsikring NUF'!F112+KLP!F112+'KLP Skadeforsikring AS'!F112+'Landkreditt Forsikring'!F112+'Nordea Liv '!F112+'Oslo Pensjonsforsikring'!F112+'Protector Forsikring'!F112+'Sparebank 1 Fors.'!F112+'Storebrand Livsforsikring'!F112+'Telenor Forsikring'!F112+'Tryg Forsikring'!F112+'WaterCircles F'!F112+'Euro Accident'!F112+'Ly Forsikring'!F112+'Youplus Livsforsikring'!F112+'Oslo Forsikring'!F112+'Knif Trygghet Forsikring'!F112</f>
        <v>983.60799999999995</v>
      </c>
      <c r="F112" s="35">
        <f>'Fremtind Livsforsikring'!G112+'DNB Livsforsikring'!G112+'Eika Forsikring AS'!G112+'Frende Livsforsikring'!G112+'Frende Skadeforsikring'!G112+'Gjensidige Forsikring'!G112+'Gjensidige Pensjon'!G112+'If Skadeforsikring NUF'!G112+KLP!G112+'KLP Skadeforsikring AS'!G112+'Landkreditt Forsikring'!G112+'Nordea Liv '!G112+'Oslo Pensjonsforsikring'!G112+'Protector Forsikring'!G112+'Sparebank 1 Fors.'!G112+'Storebrand Livsforsikring'!G112+'Telenor Forsikring'!G112+'Tryg Forsikring'!G112+'WaterCircles F'!G112+'Euro Accident'!G112+'Ly Forsikring'!G112+'Youplus Livsforsikring'!G112+'Oslo Forsikring'!G112+'Knif Trygghet Forsikring'!G112</f>
        <v>4916.7809999999999</v>
      </c>
      <c r="G112" s="121">
        <f t="shared" si="24"/>
        <v>399.9</v>
      </c>
      <c r="H112" s="181">
        <f t="shared" ref="H112:H125" si="39">SUM(B112,E112)</f>
        <v>373562.14986</v>
      </c>
      <c r="I112" s="181">
        <f t="shared" ref="I112:I125" si="40">SUM(C112,F112)</f>
        <v>1790648.24028</v>
      </c>
      <c r="J112" s="19">
        <f t="shared" ref="J112:J125" si="41">IF(H112=0, "    ---- ", IF(ABS(ROUND(100/H112*I112-100,1))&lt;999,ROUND(100/H112*I112-100,1),IF(ROUND(100/H112*I112-100,1)&gt;999,999,-999)))</f>
        <v>379.3</v>
      </c>
    </row>
    <row r="113" spans="1:10" ht="15.75" customHeight="1" x14ac:dyDescent="0.2">
      <c r="A113" s="17" t="s">
        <v>10</v>
      </c>
      <c r="B113" s="178">
        <f>'Fremtind Livsforsikring'!B113+'DNB Livsforsikring'!B113+'Eika Forsikring AS'!B113+'Frende Livsforsikring'!B113+'Frende Skadeforsikring'!B113+'Gjensidige Forsikring'!B113+'Gjensidige Pensjon'!B113+'If Skadeforsikring NUF'!B113+KLP!B113+'KLP Skadeforsikring AS'!B113+'Landkreditt Forsikring'!B113+'Nordea Liv '!B113+'Oslo Pensjonsforsikring'!B113+'Protector Forsikring'!B113+'Sparebank 1 Fors.'!B113+'Storebrand Livsforsikring'!B113+'Telenor Forsikring'!B113+'Tryg Forsikring'!B113+'WaterCircles F'!B113+'Euro Accident'!B113+'Ly Forsikring'!B113+'Youplus Livsforsikring'!B113+'Oslo Forsikring'!B113+'Knif Trygghet Forsikring'!B113</f>
        <v>0</v>
      </c>
      <c r="C113" s="178">
        <f>'Fremtind Livsforsikring'!C113+'DNB Livsforsikring'!C113+'Eika Forsikring AS'!C113+'Frende Livsforsikring'!C113+'Frende Skadeforsikring'!C113+'Gjensidige Forsikring'!C113+'Gjensidige Pensjon'!C113+'If Skadeforsikring NUF'!C113+KLP!C113+'KLP Skadeforsikring AS'!C113+'Landkreditt Forsikring'!C113+'Nordea Liv '!C113+'Oslo Pensjonsforsikring'!C113+'Protector Forsikring'!C113+'Sparebank 1 Fors.'!C113+'Storebrand Livsforsikring'!C113+'Telenor Forsikring'!C113+'Tryg Forsikring'!C113+'WaterCircles F'!C113+'Euro Accident'!C113+'Ly Forsikring'!C113+'Youplus Livsforsikring'!C113+'Oslo Forsikring'!C113+'Knif Trygghet Forsikring'!C113</f>
        <v>29350.70577</v>
      </c>
      <c r="D113" s="19" t="str">
        <f t="shared" si="38"/>
        <v xml:space="preserve">    ---- </v>
      </c>
      <c r="E113" s="35">
        <f>'Fremtind Livsforsikring'!F113+'DNB Livsforsikring'!F113+'Eika Forsikring AS'!F113+'Frende Livsforsikring'!F113+'Frende Skadeforsikring'!F113+'Gjensidige Forsikring'!F113+'Gjensidige Pensjon'!F113+'If Skadeforsikring NUF'!F113+KLP!F113+'KLP Skadeforsikring AS'!F113+'Landkreditt Forsikring'!F113+'Nordea Liv '!F113+'Oslo Pensjonsforsikring'!F113+'Protector Forsikring'!F113+'Sparebank 1 Fors.'!F113+'Storebrand Livsforsikring'!F113+'Telenor Forsikring'!F113+'Tryg Forsikring'!F113+'WaterCircles F'!F113+'Euro Accident'!F113+'Ly Forsikring'!F113+'Youplus Livsforsikring'!F113+'Oslo Forsikring'!F113+'Knif Trygghet Forsikring'!F113</f>
        <v>38643813.53328</v>
      </c>
      <c r="F113" s="35">
        <f>'Fremtind Livsforsikring'!G113+'DNB Livsforsikring'!G113+'Eika Forsikring AS'!G113+'Frende Livsforsikring'!G113+'Frende Skadeforsikring'!G113+'Gjensidige Forsikring'!G113+'Gjensidige Pensjon'!G113+'If Skadeforsikring NUF'!G113+KLP!G113+'KLP Skadeforsikring AS'!G113+'Landkreditt Forsikring'!G113+'Nordea Liv '!G113+'Oslo Pensjonsforsikring'!G113+'Protector Forsikring'!G113+'Sparebank 1 Fors.'!G113+'Storebrand Livsforsikring'!G113+'Telenor Forsikring'!G113+'Tryg Forsikring'!G113+'WaterCircles F'!G113+'Euro Accident'!G113+'Ly Forsikring'!G113+'Youplus Livsforsikring'!G113+'Oslo Forsikring'!G113+'Knif Trygghet Forsikring'!G113</f>
        <v>52143993.507860005</v>
      </c>
      <c r="G113" s="125">
        <f t="shared" si="24"/>
        <v>34.9</v>
      </c>
      <c r="H113" s="181">
        <f t="shared" si="39"/>
        <v>38643813.53328</v>
      </c>
      <c r="I113" s="181">
        <f t="shared" si="40"/>
        <v>52173344.213630006</v>
      </c>
      <c r="J113" s="20">
        <f t="shared" si="41"/>
        <v>35</v>
      </c>
    </row>
    <row r="114" spans="1:10" ht="15.75" customHeight="1" x14ac:dyDescent="0.2">
      <c r="A114" s="17" t="s">
        <v>26</v>
      </c>
      <c r="B114" s="178">
        <f>'Fremtind Livsforsikring'!B114+'DNB Livsforsikring'!B114+'Eika Forsikring AS'!B114+'Frende Livsforsikring'!B114+'Frende Skadeforsikring'!B114+'Gjensidige Forsikring'!B114+'Gjensidige Pensjon'!B114+'If Skadeforsikring NUF'!B114+KLP!B114+'KLP Skadeforsikring AS'!B114+'Landkreditt Forsikring'!B114+'Nordea Liv '!B114+'Oslo Pensjonsforsikring'!B114+'Protector Forsikring'!B114+'Sparebank 1 Fors.'!B114+'Storebrand Livsforsikring'!B114+'Telenor Forsikring'!B114+'Tryg Forsikring'!B114+'WaterCircles F'!B114+'Euro Accident'!B114+'Ly Forsikring'!B114+'Youplus Livsforsikring'!B114+'Oslo Forsikring'!B114+'Knif Trygghet Forsikring'!B114</f>
        <v>146750.02033</v>
      </c>
      <c r="C114" s="178">
        <f>'Fremtind Livsforsikring'!C114+'DNB Livsforsikring'!C114+'Eika Forsikring AS'!C114+'Frende Livsforsikring'!C114+'Frende Skadeforsikring'!C114+'Gjensidige Forsikring'!C114+'Gjensidige Pensjon'!C114+'If Skadeforsikring NUF'!C114+KLP!C114+'KLP Skadeforsikring AS'!C114+'Landkreditt Forsikring'!C114+'Nordea Liv '!C114+'Oslo Pensjonsforsikring'!C114+'Protector Forsikring'!C114+'Sparebank 1 Fors.'!C114+'Storebrand Livsforsikring'!C114+'Telenor Forsikring'!C114+'Tryg Forsikring'!C114+'WaterCircles F'!C114+'Euro Accident'!C114+'Ly Forsikring'!C114+'Youplus Livsforsikring'!C114+'Oslo Forsikring'!C114+'Knif Trygghet Forsikring'!C114</f>
        <v>124018.16034999999</v>
      </c>
      <c r="D114" s="19">
        <f t="shared" si="38"/>
        <v>-15.5</v>
      </c>
      <c r="E114" s="35"/>
      <c r="F114" s="35"/>
      <c r="G114" s="125"/>
      <c r="H114" s="181">
        <f t="shared" si="39"/>
        <v>146750.02033</v>
      </c>
      <c r="I114" s="181">
        <f t="shared" si="40"/>
        <v>124018.16034999999</v>
      </c>
      <c r="J114" s="20">
        <f t="shared" si="41"/>
        <v>-15.5</v>
      </c>
    </row>
    <row r="115" spans="1:10" ht="15.75" customHeight="1" x14ac:dyDescent="0.2">
      <c r="A115" s="232" t="s">
        <v>15</v>
      </c>
      <c r="B115" s="35"/>
      <c r="C115" s="35"/>
      <c r="D115" s="22"/>
      <c r="E115" s="35"/>
      <c r="F115" s="35"/>
      <c r="G115" s="121"/>
      <c r="H115" s="181"/>
      <c r="I115" s="181"/>
      <c r="J115" s="19"/>
    </row>
    <row r="116" spans="1:10" ht="15.75" customHeight="1" x14ac:dyDescent="0.2">
      <c r="A116" s="17" t="s">
        <v>343</v>
      </c>
      <c r="B116" s="178">
        <f>'Fremtind Livsforsikring'!B116+'DNB Livsforsikring'!B116+'Eika Forsikring AS'!B116+'Frende Livsforsikring'!B116+'Frende Skadeforsikring'!B116+'Gjensidige Forsikring'!B116+'Gjensidige Pensjon'!B116+'If Skadeforsikring NUF'!B116+KLP!B116+'KLP Skadeforsikring AS'!B116+'Landkreditt Forsikring'!B116+'Nordea Liv '!B116+'Oslo Pensjonsforsikring'!B116+'Protector Forsikring'!B116+'Sparebank 1 Fors.'!B116+'Storebrand Livsforsikring'!B116+'Telenor Forsikring'!B116+'Tryg Forsikring'!B116+'WaterCircles F'!B116+'Euro Accident'!B116+'Ly Forsikring'!B116+'Youplus Livsforsikring'!B116+'Oslo Forsikring'!B116+'Knif Trygghet Forsikring'!B116</f>
        <v>46757.834289999999</v>
      </c>
      <c r="C116" s="178">
        <f>'Fremtind Livsforsikring'!C116+'DNB Livsforsikring'!C116+'Eika Forsikring AS'!C116+'Frende Livsforsikring'!C116+'Frende Skadeforsikring'!C116+'Gjensidige Forsikring'!C116+'Gjensidige Pensjon'!C116+'If Skadeforsikring NUF'!C116+KLP!C116+'KLP Skadeforsikring AS'!C116+'Landkreditt Forsikring'!C116+'Nordea Liv '!C116+'Oslo Pensjonsforsikring'!C116+'Protector Forsikring'!C116+'Sparebank 1 Fors.'!C116+'Storebrand Livsforsikring'!C116+'Telenor Forsikring'!C116+'Tryg Forsikring'!C116+'WaterCircles F'!C116+'Euro Accident'!C116+'Ly Forsikring'!C116+'Youplus Livsforsikring'!C116+'Oslo Forsikring'!C116+'Knif Trygghet Forsikring'!C116</f>
        <v>926335.00771000003</v>
      </c>
      <c r="D116" s="19">
        <f t="shared" si="38"/>
        <v>999</v>
      </c>
      <c r="E116" s="35">
        <f>'Fremtind Livsforsikring'!F116+'DNB Livsforsikring'!F116+'Eika Forsikring AS'!F116+'Frende Livsforsikring'!F116+'Frende Skadeforsikring'!F116+'Gjensidige Forsikring'!F116+'Gjensidige Pensjon'!F116+'If Skadeforsikring NUF'!F116+KLP!F116+'KLP Skadeforsikring AS'!F116+'Landkreditt Forsikring'!F116+'Nordea Liv '!F116+'Oslo Pensjonsforsikring'!F116+'Protector Forsikring'!F116+'Sparebank 1 Fors.'!F116+'Storebrand Livsforsikring'!F116+'Telenor Forsikring'!F116+'Tryg Forsikring'!F116+'WaterCircles F'!F116+'Euro Accident'!F116+'Ly Forsikring'!F116+'Youplus Livsforsikring'!F116+'Oslo Forsikring'!F116+'Knif Trygghet Forsikring'!F116</f>
        <v>983.60799999999995</v>
      </c>
      <c r="F116" s="35">
        <f>'Fremtind Livsforsikring'!G116+'DNB Livsforsikring'!G116+'Eika Forsikring AS'!G116+'Frende Livsforsikring'!G116+'Frende Skadeforsikring'!G116+'Gjensidige Forsikring'!G116+'Gjensidige Pensjon'!G116+'If Skadeforsikring NUF'!G116+KLP!G116+'KLP Skadeforsikring AS'!G116+'Landkreditt Forsikring'!G116+'Nordea Liv '!G116+'Oslo Pensjonsforsikring'!G116+'Protector Forsikring'!G116+'Sparebank 1 Fors.'!G116+'Storebrand Livsforsikring'!G116+'Telenor Forsikring'!G116+'Tryg Forsikring'!G116+'WaterCircles F'!G116+'Euro Accident'!G116+'Ly Forsikring'!G116+'Youplus Livsforsikring'!G116+'Oslo Forsikring'!G116+'Knif Trygghet Forsikring'!G116</f>
        <v>4916.7809999999999</v>
      </c>
      <c r="G116" s="121">
        <f t="shared" si="24"/>
        <v>399.9</v>
      </c>
      <c r="H116" s="181">
        <f t="shared" si="39"/>
        <v>47741.442289999999</v>
      </c>
      <c r="I116" s="181">
        <f t="shared" si="40"/>
        <v>931251.78870999999</v>
      </c>
      <c r="J116" s="19">
        <f t="shared" si="41"/>
        <v>999</v>
      </c>
    </row>
    <row r="117" spans="1:10" ht="15.75" customHeight="1" x14ac:dyDescent="0.2">
      <c r="A117" s="17" t="s">
        <v>374</v>
      </c>
      <c r="B117" s="178"/>
      <c r="C117" s="178"/>
      <c r="D117" s="19"/>
      <c r="E117" s="35">
        <f>'Fremtind Livsforsikring'!F117+'DNB Livsforsikring'!F117+'Eika Forsikring AS'!F117+'Frende Livsforsikring'!F117+'Frende Skadeforsikring'!F117+'Gjensidige Forsikring'!F117+'Gjensidige Pensjon'!F117+'If Skadeforsikring NUF'!F117+KLP!F117+'KLP Skadeforsikring AS'!F117+'Landkreditt Forsikring'!F117+'Nordea Liv '!F117+'Oslo Pensjonsforsikring'!F117+'Protector Forsikring'!F117+'Sparebank 1 Fors.'!F117+'Storebrand Livsforsikring'!F117+'Telenor Forsikring'!F117+'Tryg Forsikring'!F117+'WaterCircles F'!F117+'Euro Accident'!F117+'Ly Forsikring'!F117+'Youplus Livsforsikring'!F117+'Oslo Forsikring'!F117+'Knif Trygghet Forsikring'!F117</f>
        <v>25572967.858699996</v>
      </c>
      <c r="F117" s="35">
        <f>'Fremtind Livsforsikring'!G117+'DNB Livsforsikring'!G117+'Eika Forsikring AS'!G117+'Frende Livsforsikring'!G117+'Frende Skadeforsikring'!G117+'Gjensidige Forsikring'!G117+'Gjensidige Pensjon'!G117+'If Skadeforsikring NUF'!G117+KLP!G117+'KLP Skadeforsikring AS'!G117+'Landkreditt Forsikring'!G117+'Nordea Liv '!G117+'Oslo Pensjonsforsikring'!G117+'Protector Forsikring'!G117+'Sparebank 1 Fors.'!G117+'Storebrand Livsforsikring'!G117+'Telenor Forsikring'!G117+'Tryg Forsikring'!G117+'WaterCircles F'!G117+'Euro Accident'!G117+'Ly Forsikring'!G117+'Youplus Livsforsikring'!G117+'Oslo Forsikring'!G117+'Knif Trygghet Forsikring'!G117</f>
        <v>31526809.596859999</v>
      </c>
      <c r="G117" s="121">
        <f t="shared" si="24"/>
        <v>23.3</v>
      </c>
      <c r="H117" s="181">
        <f t="shared" si="39"/>
        <v>25572967.858699996</v>
      </c>
      <c r="I117" s="181">
        <f t="shared" si="40"/>
        <v>31526809.596859999</v>
      </c>
      <c r="J117" s="19">
        <f t="shared" si="41"/>
        <v>23.3</v>
      </c>
    </row>
    <row r="118" spans="1:10" ht="15.75" customHeight="1" x14ac:dyDescent="0.2">
      <c r="A118" s="17" t="s">
        <v>342</v>
      </c>
      <c r="B118" s="178"/>
      <c r="C118" s="178"/>
      <c r="D118" s="19"/>
      <c r="E118" s="35"/>
      <c r="F118" s="35"/>
      <c r="G118" s="121"/>
      <c r="H118" s="181"/>
      <c r="I118" s="181"/>
      <c r="J118" s="19"/>
    </row>
    <row r="119" spans="1:10" s="34" customFormat="1" ht="15.75" customHeight="1" x14ac:dyDescent="0.2">
      <c r="A119" s="10" t="s">
        <v>324</v>
      </c>
      <c r="B119" s="262">
        <f>'Fremtind Livsforsikring'!B119+'DNB Livsforsikring'!B119+'Eika Forsikring AS'!B119+'Frende Livsforsikring'!B119+'Frende Skadeforsikring'!B119+'Gjensidige Forsikring'!B119+'Gjensidige Pensjon'!B119+'If Skadeforsikring NUF'!B119+KLP!B119+'KLP Skadeforsikring AS'!B119+'Landkreditt Forsikring'!B119+'Nordea Liv '!B119+'Oslo Pensjonsforsikring'!B119+'Protector Forsikring'!B119+'Sparebank 1 Fors.'!B119+'Storebrand Livsforsikring'!B119+'Telenor Forsikring'!B119+'Tryg Forsikring'!B119+'WaterCircles F'!B119+'Euro Accident'!B119+'Ly Forsikring'!B119+'Youplus Livsforsikring'!B119+'Oslo Forsikring'!B119+'Knif Trygghet Forsikring'!B119</f>
        <v>227189.77121000044</v>
      </c>
      <c r="C119" s="262">
        <f>'Fremtind Livsforsikring'!C119+'DNB Livsforsikring'!C119+'Eika Forsikring AS'!C119+'Frende Livsforsikring'!C119+'Frende Skadeforsikring'!C119+'Gjensidige Forsikring'!C119+'Gjensidige Pensjon'!C119+'If Skadeforsikring NUF'!C119+KLP!C119+'KLP Skadeforsikring AS'!C119+'Landkreditt Forsikring'!C119+'Nordea Liv '!C119+'Oslo Pensjonsforsikring'!C119+'Protector Forsikring'!C119+'Sparebank 1 Fors.'!C119+'Storebrand Livsforsikring'!C119+'Telenor Forsikring'!C119+'Tryg Forsikring'!C119+'WaterCircles F'!C119+'Euro Accident'!C119+'Ly Forsikring'!C119+'Youplus Livsforsikring'!C119+'Oslo Forsikring'!C119+'Knif Trygghet Forsikring'!C119</f>
        <v>530919.91648000095</v>
      </c>
      <c r="D119" s="20">
        <f t="shared" si="38"/>
        <v>133.69999999999999</v>
      </c>
      <c r="E119" s="180">
        <f>'Fremtind Livsforsikring'!F119+'DNB Livsforsikring'!F119+'Eika Forsikring AS'!F119+'Frende Livsforsikring'!F119+'Frende Skadeforsikring'!F119+'Gjensidige Forsikring'!F119+'Gjensidige Pensjon'!F119+'If Skadeforsikring NUF'!F119+KLP!F119+'KLP Skadeforsikring AS'!F119+'Landkreditt Forsikring'!F119+'Nordea Liv '!F119+'Oslo Pensjonsforsikring'!F119+'Protector Forsikring'!F119+'Sparebank 1 Fors.'!F119+'Storebrand Livsforsikring'!F119+'Telenor Forsikring'!F119+'Tryg Forsikring'!F119+'WaterCircles F'!F119+'Euro Accident'!F119+'Ly Forsikring'!F119+'Youplus Livsforsikring'!F119+'Oslo Forsikring'!F119+'Knif Trygghet Forsikring'!F119</f>
        <v>41926323.577330001</v>
      </c>
      <c r="F119" s="180">
        <f>'Fremtind Livsforsikring'!G119+'DNB Livsforsikring'!G119+'Eika Forsikring AS'!G119+'Frende Livsforsikring'!G119+'Frende Skadeforsikring'!G119+'Gjensidige Forsikring'!G119+'Gjensidige Pensjon'!G119+'If Skadeforsikring NUF'!G119+KLP!G119+'KLP Skadeforsikring AS'!G119+'Landkreditt Forsikring'!G119+'Nordea Liv '!G119+'Oslo Pensjonsforsikring'!G119+'Protector Forsikring'!G119+'Sparebank 1 Fors.'!G119+'Storebrand Livsforsikring'!G119+'Telenor Forsikring'!G119+'Tryg Forsikring'!G119+'WaterCircles F'!G119+'Euro Accident'!G119+'Ly Forsikring'!G119+'Youplus Livsforsikring'!G119+'Oslo Forsikring'!G119+'Knif Trygghet Forsikring'!G119</f>
        <v>54651238.348740004</v>
      </c>
      <c r="G119" s="125">
        <f t="shared" si="24"/>
        <v>30.4</v>
      </c>
      <c r="H119" s="262">
        <f t="shared" si="39"/>
        <v>42153513.348540001</v>
      </c>
      <c r="I119" s="262">
        <f t="shared" si="40"/>
        <v>55182158.265220001</v>
      </c>
      <c r="J119" s="20">
        <f t="shared" si="41"/>
        <v>30.9</v>
      </c>
    </row>
    <row r="120" spans="1:10" ht="15.75" customHeight="1" x14ac:dyDescent="0.2">
      <c r="A120" s="17" t="s">
        <v>9</v>
      </c>
      <c r="B120" s="181">
        <f>'Fremtind Livsforsikring'!B120+'DNB Livsforsikring'!B120+'Eika Forsikring AS'!B120+'Frende Livsforsikring'!B120+'Frende Skadeforsikring'!B120+'Gjensidige Forsikring'!B120+'Gjensidige Pensjon'!B120+'If Skadeforsikring NUF'!B120+KLP!B120+'KLP Skadeforsikring AS'!B120+'Landkreditt Forsikring'!B120+'Nordea Liv '!B120+'Oslo Pensjonsforsikring'!B120+'Protector Forsikring'!B120+'Sparebank 1 Fors.'!B120+'Storebrand Livsforsikring'!B120+'Telenor Forsikring'!B120+'Tryg Forsikring'!B120+'WaterCircles F'!B120+'Euro Accident'!B120+'Ly Forsikring'!B120+'Youplus Livsforsikring'!B120+'Oslo Forsikring'!B120+'Knif Trygghet Forsikring'!B120</f>
        <v>121259.43174000045</v>
      </c>
      <c r="C120" s="181">
        <f>'Fremtind Livsforsikring'!C120+'DNB Livsforsikring'!C120+'Eika Forsikring AS'!C120+'Frende Livsforsikring'!C120+'Frende Skadeforsikring'!C120+'Gjensidige Forsikring'!C120+'Gjensidige Pensjon'!C120+'If Skadeforsikring NUF'!C120+KLP!C120+'KLP Skadeforsikring AS'!C120+'Landkreditt Forsikring'!C120+'Nordea Liv '!C120+'Oslo Pensjonsforsikring'!C120+'Protector Forsikring'!C120+'Sparebank 1 Fors.'!C120+'Storebrand Livsforsikring'!C120+'Telenor Forsikring'!C120+'Tryg Forsikring'!C120+'WaterCircles F'!C120+'Euro Accident'!C120+'Ly Forsikring'!C120+'Youplus Livsforsikring'!C120+'Oslo Forsikring'!C120+'Knif Trygghet Forsikring'!C120</f>
        <v>168573.31706000093</v>
      </c>
      <c r="D120" s="19">
        <f t="shared" si="38"/>
        <v>39</v>
      </c>
      <c r="E120" s="35"/>
      <c r="F120" s="35"/>
      <c r="G120" s="121"/>
      <c r="H120" s="181">
        <f t="shared" si="39"/>
        <v>121259.43174000045</v>
      </c>
      <c r="I120" s="181">
        <f t="shared" si="40"/>
        <v>168573.31706000093</v>
      </c>
      <c r="J120" s="19">
        <f t="shared" si="41"/>
        <v>39</v>
      </c>
    </row>
    <row r="121" spans="1:10" ht="15.75" customHeight="1" x14ac:dyDescent="0.2">
      <c r="A121" s="17" t="s">
        <v>10</v>
      </c>
      <c r="B121" s="181">
        <f>'Fremtind Livsforsikring'!B121+'DNB Livsforsikring'!B121+'Eika Forsikring AS'!B121+'Frende Livsforsikring'!B121+'Frende Skadeforsikring'!B121+'Gjensidige Forsikring'!B121+'Gjensidige Pensjon'!B121+'If Skadeforsikring NUF'!B121+KLP!B121+'KLP Skadeforsikring AS'!B121+'Landkreditt Forsikring'!B121+'Nordea Liv '!B121+'Oslo Pensjonsforsikring'!B121+'Protector Forsikring'!B121+'Sparebank 1 Fors.'!B121+'Storebrand Livsforsikring'!B121+'Telenor Forsikring'!B121+'Tryg Forsikring'!B121+'WaterCircles F'!B121+'Euro Accident'!B121+'Ly Forsikring'!B121+'Youplus Livsforsikring'!B121+'Oslo Forsikring'!B121+'Knif Trygghet Forsikring'!B121</f>
        <v>11408.852629999999</v>
      </c>
      <c r="C121" s="181">
        <f>'Fremtind Livsforsikring'!C121+'DNB Livsforsikring'!C121+'Eika Forsikring AS'!C121+'Frende Livsforsikring'!C121+'Frende Skadeforsikring'!C121+'Gjensidige Forsikring'!C121+'Gjensidige Pensjon'!C121+'If Skadeforsikring NUF'!C121+KLP!C121+'KLP Skadeforsikring AS'!C121+'Landkreditt Forsikring'!C121+'Nordea Liv '!C121+'Oslo Pensjonsforsikring'!C121+'Protector Forsikring'!C121+'Sparebank 1 Fors.'!C121+'Storebrand Livsforsikring'!C121+'Telenor Forsikring'!C121+'Tryg Forsikring'!C121+'WaterCircles F'!C121+'Euro Accident'!C121+'Ly Forsikring'!C121+'Youplus Livsforsikring'!C121+'Oslo Forsikring'!C121+'Knif Trygghet Forsikring'!C121</f>
        <v>43016.717629999999</v>
      </c>
      <c r="D121" s="19">
        <f t="shared" si="38"/>
        <v>277</v>
      </c>
      <c r="E121" s="35">
        <f>'Fremtind Livsforsikring'!F121+'DNB Livsforsikring'!F121+'Eika Forsikring AS'!F121+'Frende Livsforsikring'!F121+'Frende Skadeforsikring'!F121+'Gjensidige Forsikring'!F121+'Gjensidige Pensjon'!F121+'If Skadeforsikring NUF'!F121+KLP!F121+'KLP Skadeforsikring AS'!F121+'Landkreditt Forsikring'!F121+'Nordea Liv '!F121+'Oslo Pensjonsforsikring'!F121+'Protector Forsikring'!F121+'Sparebank 1 Fors.'!F121+'Storebrand Livsforsikring'!F121+'Telenor Forsikring'!F121+'Tryg Forsikring'!F121+'WaterCircles F'!F121+'Euro Accident'!F121+'Ly Forsikring'!F121+'Youplus Livsforsikring'!F121+'Oslo Forsikring'!F121+'Knif Trygghet Forsikring'!F121</f>
        <v>41926323.577330001</v>
      </c>
      <c r="F121" s="35">
        <f>'Fremtind Livsforsikring'!G121+'DNB Livsforsikring'!G121+'Eika Forsikring AS'!G121+'Frende Livsforsikring'!G121+'Frende Skadeforsikring'!G121+'Gjensidige Forsikring'!G121+'Gjensidige Pensjon'!G121+'If Skadeforsikring NUF'!G121+KLP!G121+'KLP Skadeforsikring AS'!G121+'Landkreditt Forsikring'!G121+'Nordea Liv '!G121+'Oslo Pensjonsforsikring'!G121+'Protector Forsikring'!G121+'Sparebank 1 Fors.'!G121+'Storebrand Livsforsikring'!G121+'Telenor Forsikring'!G121+'Tryg Forsikring'!G121+'WaterCircles F'!G121+'Euro Accident'!G121+'Ly Forsikring'!G121+'Youplus Livsforsikring'!G121+'Oslo Forsikring'!G121+'Knif Trygghet Forsikring'!G121</f>
        <v>54651238.348740004</v>
      </c>
      <c r="G121" s="121">
        <f t="shared" si="24"/>
        <v>30.4</v>
      </c>
      <c r="H121" s="181">
        <f t="shared" si="39"/>
        <v>41937732.429959998</v>
      </c>
      <c r="I121" s="181">
        <f t="shared" si="40"/>
        <v>54694255.066370003</v>
      </c>
      <c r="J121" s="19">
        <f t="shared" si="41"/>
        <v>30.4</v>
      </c>
    </row>
    <row r="122" spans="1:10" ht="15.75" customHeight="1" x14ac:dyDescent="0.2">
      <c r="A122" s="17" t="s">
        <v>26</v>
      </c>
      <c r="B122" s="181">
        <f>'Fremtind Livsforsikring'!B122+'DNB Livsforsikring'!B122+'Eika Forsikring AS'!B122+'Frende Livsforsikring'!B122+'Frende Skadeforsikring'!B122+'Gjensidige Forsikring'!B122+'Gjensidige Pensjon'!B122+'If Skadeforsikring NUF'!B122+KLP!B122+'KLP Skadeforsikring AS'!B122+'Landkreditt Forsikring'!B122+'Nordea Liv '!B122+'Oslo Pensjonsforsikring'!B122+'Protector Forsikring'!B122+'Sparebank 1 Fors.'!B122+'Storebrand Livsforsikring'!B122+'Telenor Forsikring'!B122+'Tryg Forsikring'!B122+'WaterCircles F'!B122+'Euro Accident'!B122+'Ly Forsikring'!B122+'Youplus Livsforsikring'!B122+'Oslo Forsikring'!B122+'Knif Trygghet Forsikring'!B122</f>
        <v>94521.486840000012</v>
      </c>
      <c r="C122" s="181">
        <f>'Fremtind Livsforsikring'!C122+'DNB Livsforsikring'!C122+'Eika Forsikring AS'!C122+'Frende Livsforsikring'!C122+'Frende Skadeforsikring'!C122+'Gjensidige Forsikring'!C122+'Gjensidige Pensjon'!C122+'If Skadeforsikring NUF'!C122+KLP!C122+'KLP Skadeforsikring AS'!C122+'Landkreditt Forsikring'!C122+'Nordea Liv '!C122+'Oslo Pensjonsforsikring'!C122+'Protector Forsikring'!C122+'Sparebank 1 Fors.'!C122+'Storebrand Livsforsikring'!C122+'Telenor Forsikring'!C122+'Tryg Forsikring'!C122+'WaterCircles F'!C122+'Euro Accident'!C122+'Ly Forsikring'!C122+'Youplus Livsforsikring'!C122+'Oslo Forsikring'!C122+'Knif Trygghet Forsikring'!C122</f>
        <v>319329.88179000001</v>
      </c>
      <c r="D122" s="19">
        <f t="shared" si="38"/>
        <v>237.8</v>
      </c>
      <c r="E122" s="35"/>
      <c r="F122" s="35"/>
      <c r="G122" s="121"/>
      <c r="H122" s="181">
        <f t="shared" si="39"/>
        <v>94521.486840000012</v>
      </c>
      <c r="I122" s="181">
        <f t="shared" si="40"/>
        <v>319329.88179000001</v>
      </c>
      <c r="J122" s="19">
        <f t="shared" si="41"/>
        <v>237.8</v>
      </c>
    </row>
    <row r="123" spans="1:10" ht="15.75" customHeight="1" x14ac:dyDescent="0.2">
      <c r="A123" s="232" t="s">
        <v>14</v>
      </c>
      <c r="B123" s="35"/>
      <c r="C123" s="35"/>
      <c r="D123" s="22"/>
      <c r="E123" s="35"/>
      <c r="F123" s="35"/>
      <c r="G123" s="121"/>
      <c r="H123" s="181"/>
      <c r="I123" s="181"/>
      <c r="J123" s="19"/>
    </row>
    <row r="124" spans="1:10" ht="15.75" customHeight="1" x14ac:dyDescent="0.2">
      <c r="A124" s="17" t="s">
        <v>341</v>
      </c>
      <c r="B124" s="181">
        <f>'Fremtind Livsforsikring'!B124+'DNB Livsforsikring'!B124+'Eika Forsikring AS'!B124+'Frende Livsforsikring'!B124+'Frende Skadeforsikring'!B124+'Gjensidige Forsikring'!B124+'Gjensidige Pensjon'!B124+'If Skadeforsikring NUF'!B124+KLP!B124+'KLP Skadeforsikring AS'!B124+'Landkreditt Forsikring'!B124+'Nordea Liv '!B124+'Oslo Pensjonsforsikring'!B124+'Protector Forsikring'!B124+'Sparebank 1 Fors.'!B124+'Storebrand Livsforsikring'!B124+'Telenor Forsikring'!B124+'Tryg Forsikring'!B124+'WaterCircles F'!B124+'Euro Accident'!B124+'Ly Forsikring'!B124+'Youplus Livsforsikring'!B124+'Oslo Forsikring'!B124+'Knif Trygghet Forsikring'!B124</f>
        <v>20786.291000000001</v>
      </c>
      <c r="C124" s="181">
        <f>'Fremtind Livsforsikring'!C124+'DNB Livsforsikring'!C124+'Eika Forsikring AS'!C124+'Frende Livsforsikring'!C124+'Frende Skadeforsikring'!C124+'Gjensidige Forsikring'!C124+'Gjensidige Pensjon'!C124+'If Skadeforsikring NUF'!C124+KLP!C124+'KLP Skadeforsikring AS'!C124+'Landkreditt Forsikring'!C124+'Nordea Liv '!C124+'Oslo Pensjonsforsikring'!C124+'Protector Forsikring'!C124+'Sparebank 1 Fors.'!C124+'Storebrand Livsforsikring'!C124+'Telenor Forsikring'!C124+'Tryg Forsikring'!C124+'WaterCircles F'!C124+'Euro Accident'!C124+'Ly Forsikring'!C124+'Youplus Livsforsikring'!C124+'Oslo Forsikring'!C124+'Knif Trygghet Forsikring'!C124</f>
        <v>23736.603000000003</v>
      </c>
      <c r="D124" s="19">
        <f t="shared" si="38"/>
        <v>14.2</v>
      </c>
      <c r="E124" s="35">
        <f>'Fremtind Livsforsikring'!F124+'DNB Livsforsikring'!F124+'Eika Forsikring AS'!F124+'Frende Livsforsikring'!F124+'Frende Skadeforsikring'!F124+'Gjensidige Forsikring'!F124+'Gjensidige Pensjon'!F124+'If Skadeforsikring NUF'!F124+KLP!F124+'KLP Skadeforsikring AS'!F124+'Landkreditt Forsikring'!F124+'Nordea Liv '!F124+'Oslo Pensjonsforsikring'!F124+'Protector Forsikring'!F124+'Sparebank 1 Fors.'!F124+'Storebrand Livsforsikring'!F124+'Telenor Forsikring'!F124+'Tryg Forsikring'!F124+'WaterCircles F'!F124+'Euro Accident'!F124+'Ly Forsikring'!F124+'Youplus Livsforsikring'!F124+'Oslo Forsikring'!F124+'Knif Trygghet Forsikring'!F124</f>
        <v>19052.526000000002</v>
      </c>
      <c r="F124" s="35">
        <f>'Fremtind Livsforsikring'!G124+'DNB Livsforsikring'!G124+'Eika Forsikring AS'!G124+'Frende Livsforsikring'!G124+'Frende Skadeforsikring'!G124+'Gjensidige Forsikring'!G124+'Gjensidige Pensjon'!G124+'If Skadeforsikring NUF'!G124+KLP!G124+'KLP Skadeforsikring AS'!G124+'Landkreditt Forsikring'!G124+'Nordea Liv '!G124+'Oslo Pensjonsforsikring'!G124+'Protector Forsikring'!G124+'Sparebank 1 Fors.'!G124+'Storebrand Livsforsikring'!G124+'Telenor Forsikring'!G124+'Tryg Forsikring'!G124+'WaterCircles F'!G124+'Euro Accident'!G124+'Ly Forsikring'!G124+'Youplus Livsforsikring'!G124+'Oslo Forsikring'!G124+'Knif Trygghet Forsikring'!G124</f>
        <v>42870.733</v>
      </c>
      <c r="G124" s="121">
        <f t="shared" si="24"/>
        <v>125</v>
      </c>
      <c r="H124" s="181">
        <f t="shared" si="39"/>
        <v>39838.817000000003</v>
      </c>
      <c r="I124" s="181">
        <f t="shared" si="40"/>
        <v>66607.33600000001</v>
      </c>
      <c r="J124" s="19">
        <f t="shared" si="41"/>
        <v>67.2</v>
      </c>
    </row>
    <row r="125" spans="1:10" ht="15.75" customHeight="1" x14ac:dyDescent="0.2">
      <c r="A125" s="17" t="s">
        <v>374</v>
      </c>
      <c r="B125" s="181">
        <f>'Fremtind Livsforsikring'!B125+'DNB Livsforsikring'!B125+'Eika Forsikring AS'!B125+'Frende Livsforsikring'!B125+'Frende Skadeforsikring'!B125+'Gjensidige Forsikring'!B125+'Gjensidige Pensjon'!B125+'If Skadeforsikring NUF'!B125+KLP!B125+'KLP Skadeforsikring AS'!B125+'Landkreditt Forsikring'!B125+'Nordea Liv '!B125+'Oslo Pensjonsforsikring'!B125+'Protector Forsikring'!B125+'Sparebank 1 Fors.'!B125+'Storebrand Livsforsikring'!B125+'Telenor Forsikring'!B125+'Tryg Forsikring'!B125+'WaterCircles F'!B125+'Euro Accident'!B125+'Ly Forsikring'!B125+'Youplus Livsforsikring'!B125+'Oslo Forsikring'!B125+'Knif Trygghet Forsikring'!B125</f>
        <v>2994.0066200000001</v>
      </c>
      <c r="C125" s="181">
        <f>'Fremtind Livsforsikring'!C125+'DNB Livsforsikring'!C125+'Eika Forsikring AS'!C125+'Frende Livsforsikring'!C125+'Frende Skadeforsikring'!C125+'Gjensidige Forsikring'!C125+'Gjensidige Pensjon'!C125+'If Skadeforsikring NUF'!C125+KLP!C125+'KLP Skadeforsikring AS'!C125+'Landkreditt Forsikring'!C125+'Nordea Liv '!C125+'Oslo Pensjonsforsikring'!C125+'Protector Forsikring'!C125+'Sparebank 1 Fors.'!C125+'Storebrand Livsforsikring'!C125+'Telenor Forsikring'!C125+'Tryg Forsikring'!C125+'WaterCircles F'!C125+'Euro Accident'!C125+'Ly Forsikring'!C125+'Youplus Livsforsikring'!C125+'Oslo Forsikring'!C125+'Knif Trygghet Forsikring'!C125</f>
        <v>1836.07998</v>
      </c>
      <c r="D125" s="19">
        <f t="shared" si="38"/>
        <v>-38.700000000000003</v>
      </c>
      <c r="E125" s="35">
        <f>'Fremtind Livsforsikring'!F125+'DNB Livsforsikring'!F125+'Eika Forsikring AS'!F125+'Frende Livsforsikring'!F125+'Frende Skadeforsikring'!F125+'Gjensidige Forsikring'!F125+'Gjensidige Pensjon'!F125+'If Skadeforsikring NUF'!F125+KLP!F125+'KLP Skadeforsikring AS'!F125+'Landkreditt Forsikring'!F125+'Nordea Liv '!F125+'Oslo Pensjonsforsikring'!F125+'Protector Forsikring'!F125+'Sparebank 1 Fors.'!F125+'Storebrand Livsforsikring'!F125+'Telenor Forsikring'!F125+'Tryg Forsikring'!F125+'WaterCircles F'!F125+'Euro Accident'!F125+'Ly Forsikring'!F125+'Youplus Livsforsikring'!F125+'Oslo Forsikring'!F125+'Knif Trygghet Forsikring'!F125</f>
        <v>25622671.995370001</v>
      </c>
      <c r="F125" s="35">
        <f>'Fremtind Livsforsikring'!G125+'DNB Livsforsikring'!G125+'Eika Forsikring AS'!G125+'Frende Livsforsikring'!G125+'Frende Skadeforsikring'!G125+'Gjensidige Forsikring'!G125+'Gjensidige Pensjon'!G125+'If Skadeforsikring NUF'!G125+KLP!G125+'KLP Skadeforsikring AS'!G125+'Landkreditt Forsikring'!G125+'Nordea Liv '!G125+'Oslo Pensjonsforsikring'!G125+'Protector Forsikring'!G125+'Sparebank 1 Fors.'!G125+'Storebrand Livsforsikring'!G125+'Telenor Forsikring'!G125+'Tryg Forsikring'!G125+'WaterCircles F'!G125+'Euro Accident'!G125+'Ly Forsikring'!G125+'Youplus Livsforsikring'!G125+'Oslo Forsikring'!G125+'Knif Trygghet Forsikring'!G125</f>
        <v>29542619.077039998</v>
      </c>
      <c r="G125" s="121">
        <f t="shared" si="24"/>
        <v>15.3</v>
      </c>
      <c r="H125" s="181">
        <f t="shared" si="39"/>
        <v>25625666.001990002</v>
      </c>
      <c r="I125" s="181">
        <f t="shared" si="40"/>
        <v>29544455.157019999</v>
      </c>
      <c r="J125" s="19">
        <f t="shared" si="41"/>
        <v>15.3</v>
      </c>
    </row>
    <row r="126" spans="1:10" ht="15.75" customHeight="1" x14ac:dyDescent="0.2">
      <c r="A126" s="7" t="s">
        <v>342</v>
      </c>
      <c r="B126" s="182"/>
      <c r="C126" s="182"/>
      <c r="D126" s="18"/>
      <c r="E126" s="36"/>
      <c r="F126" s="36"/>
      <c r="G126" s="122"/>
      <c r="H126" s="182"/>
      <c r="I126" s="183"/>
      <c r="J126" s="18"/>
    </row>
    <row r="127" spans="1:10" ht="15.75" customHeight="1" x14ac:dyDescent="0.2">
      <c r="A127" s="113"/>
    </row>
    <row r="128" spans="1:10" ht="15.75" customHeight="1" x14ac:dyDescent="0.2">
      <c r="A128" s="21"/>
    </row>
    <row r="129" spans="1:10" ht="15.75" customHeight="1" x14ac:dyDescent="0.25">
      <c r="A129" s="109" t="s">
        <v>27</v>
      </c>
    </row>
    <row r="130" spans="1:10" ht="15.75" customHeight="1" x14ac:dyDescent="0.25">
      <c r="A130" s="21"/>
      <c r="B130" s="564"/>
      <c r="C130" s="564"/>
      <c r="D130" s="564"/>
      <c r="E130" s="564"/>
      <c r="F130" s="564"/>
      <c r="G130" s="564"/>
      <c r="H130" s="564"/>
      <c r="I130" s="564"/>
      <c r="J130" s="564"/>
    </row>
    <row r="131" spans="1:10" ht="20.100000000000001" customHeight="1" x14ac:dyDescent="0.2">
      <c r="A131" s="107"/>
      <c r="B131" s="566" t="s">
        <v>0</v>
      </c>
      <c r="C131" s="567"/>
      <c r="D131" s="568"/>
      <c r="E131" s="567" t="s">
        <v>1</v>
      </c>
      <c r="F131" s="567"/>
      <c r="G131" s="567"/>
      <c r="H131" s="566" t="s">
        <v>2</v>
      </c>
      <c r="I131" s="567"/>
      <c r="J131" s="568"/>
    </row>
    <row r="132" spans="1:10" ht="15.75" customHeight="1" x14ac:dyDescent="0.2">
      <c r="A132" s="104"/>
      <c r="B132" s="535">
        <v>45565</v>
      </c>
      <c r="C132" s="535">
        <v>45930</v>
      </c>
      <c r="D132" s="16" t="s">
        <v>3</v>
      </c>
      <c r="E132" s="535">
        <v>45565</v>
      </c>
      <c r="F132" s="535">
        <v>45930</v>
      </c>
      <c r="G132" s="16" t="s">
        <v>3</v>
      </c>
      <c r="H132" s="535">
        <v>45565</v>
      </c>
      <c r="I132" s="535">
        <v>45930</v>
      </c>
      <c r="J132" s="16" t="s">
        <v>3</v>
      </c>
    </row>
    <row r="133" spans="1:10" ht="15.75" customHeight="1" x14ac:dyDescent="0.2">
      <c r="A133" s="538"/>
      <c r="B133" s="12"/>
      <c r="C133" s="12"/>
      <c r="D133" s="14" t="s">
        <v>4</v>
      </c>
      <c r="E133" s="13"/>
      <c r="F133" s="13"/>
      <c r="G133" s="12" t="s">
        <v>4</v>
      </c>
      <c r="H133" s="13"/>
      <c r="I133" s="13"/>
      <c r="J133" s="12" t="s">
        <v>4</v>
      </c>
    </row>
    <row r="134" spans="1:10" s="34" customFormat="1" ht="15.75" customHeight="1" x14ac:dyDescent="0.2">
      <c r="A134" s="11" t="s">
        <v>344</v>
      </c>
      <c r="B134" s="180">
        <f>'Fremtind Livsforsikring'!B134+'DNB Livsforsikring'!B134+'Eika Forsikring AS'!B134+'Frende Livsforsikring'!B134+'Frende Skadeforsikring'!B134+'Gjensidige Forsikring'!B134+'Gjensidige Pensjon'!B134+'If Skadeforsikring NUF'!B134+KLP!B134+'KLP Skadeforsikring AS'!B134+'Landkreditt Forsikring'!B134+'Nordea Liv '!B134+'Oslo Pensjonsforsikring'!B134+'Protector Forsikring'!B134+'Sparebank 1 Fors.'!B134+'Storebrand Livsforsikring'!B134+'Telenor Forsikring'!B134+'Tryg Forsikring'!B134+'WaterCircles F'!B134+'Euro Accident'!B134+'Ly Forsikring'!B134+'Youplus Livsforsikring'!B134+'Oslo Forsikring'!B134+'Knif Trygghet Forsikring'!B134</f>
        <v>60204323.671910003</v>
      </c>
      <c r="C134" s="180">
        <f>'Fremtind Livsforsikring'!C134+'DNB Livsforsikring'!C134+'Eika Forsikring AS'!C134+'Frende Livsforsikring'!C134+'Frende Skadeforsikring'!C134+'Gjensidige Forsikring'!C134+'Gjensidige Pensjon'!C134+'If Skadeforsikring NUF'!C134+KLP!C134+'KLP Skadeforsikring AS'!C134+'Landkreditt Forsikring'!C134+'Nordea Liv '!C134+'Oslo Pensjonsforsikring'!C134+'Protector Forsikring'!C134+'Sparebank 1 Fors.'!C134+'Storebrand Livsforsikring'!C134+'Telenor Forsikring'!C134+'Tryg Forsikring'!C134+'WaterCircles F'!C134+'Euro Accident'!C134+'Ly Forsikring'!C134+'Youplus Livsforsikring'!C134+'Oslo Forsikring'!C134+'Knif Trygghet Forsikring'!C134</f>
        <v>62812325.141309999</v>
      </c>
      <c r="D134" s="8">
        <f t="shared" ref="D134:D137" si="42">IF(B134=0, "    ---- ", IF(ABS(ROUND(100/B134*C134-100,1))&lt;999,ROUND(100/B134*C134-100,1),IF(ROUND(100/B134*C134-100,1)&gt;999,999,-999)))</f>
        <v>4.3</v>
      </c>
      <c r="E134" s="180">
        <f>'Fremtind Livsforsikring'!F134+'DNB Livsforsikring'!F134+'Eika Forsikring AS'!F134+'Frende Livsforsikring'!F134+'Frende Skadeforsikring'!F134+'Gjensidige Forsikring'!F134+'Gjensidige Pensjon'!F134+'If Skadeforsikring NUF'!F134+KLP!F134+'KLP Skadeforsikring AS'!F134+'Landkreditt Forsikring'!F134+'Nordea Liv '!F134+'Oslo Pensjonsforsikring'!F134+'Protector Forsikring'!F134+'Sparebank 1 Fors.'!F134+'Storebrand Livsforsikring'!F134+'Telenor Forsikring'!F134+'Tryg Forsikring'!F134+'WaterCircles F'!F134+'Euro Accident'!F134+'Ly Forsikring'!F134+'Youplus Livsforsikring'!F134+'Oslo Forsikring'!F134+'Knif Trygghet Forsikring'!F134</f>
        <v>170993.152</v>
      </c>
      <c r="F134" s="180">
        <f>'Fremtind Livsforsikring'!G134+'DNB Livsforsikring'!G134+'Eika Forsikring AS'!G134+'Frende Livsforsikring'!G134+'Frende Skadeforsikring'!G134+'Gjensidige Forsikring'!G134+'Gjensidige Pensjon'!G134+'If Skadeforsikring NUF'!G134+KLP!G134+'KLP Skadeforsikring AS'!G134+'Landkreditt Forsikring'!G134+'Nordea Liv '!G134+'Oslo Pensjonsforsikring'!G134+'Protector Forsikring'!G134+'Sparebank 1 Fors.'!G134+'Storebrand Livsforsikring'!G134+'Telenor Forsikring'!G134+'Tryg Forsikring'!G134+'WaterCircles F'!G134+'Euro Accident'!G134+'Ly Forsikring'!G134+'Youplus Livsforsikring'!G134+'Oslo Forsikring'!G134+'Knif Trygghet Forsikring'!G134</f>
        <v>170064.51</v>
      </c>
      <c r="G134" s="8">
        <f t="shared" ref="G134:G136" si="43">IF(E134=0, "    ---- ", IF(ABS(ROUND(100/E134*F134-100,1))&lt;999,ROUND(100/E134*F134-100,1),IF(ROUND(100/E134*F134-100,1)&gt;999,999,-999)))</f>
        <v>-0.5</v>
      </c>
      <c r="H134" s="180">
        <f t="shared" ref="H134:I137" si="44">SUM(B134,E134)</f>
        <v>60375316.823910005</v>
      </c>
      <c r="I134" s="180">
        <f t="shared" si="44"/>
        <v>62982389.651309997</v>
      </c>
      <c r="J134" s="8">
        <f t="shared" ref="J134:J137" si="45">IF(H134=0, "    ---- ", IF(ABS(ROUND(100/H134*I134-100,1))&lt;999,ROUND(100/H134*I134-100,1),IF(ROUND(100/H134*I134-100,1)&gt;999,999,-999)))</f>
        <v>4.3</v>
      </c>
    </row>
    <row r="135" spans="1:10" s="34" customFormat="1" ht="15.75" customHeight="1" x14ac:dyDescent="0.2">
      <c r="A135" s="10" t="s">
        <v>345</v>
      </c>
      <c r="B135" s="180">
        <f>'Fremtind Livsforsikring'!B135+'DNB Livsforsikring'!B135+'Eika Forsikring AS'!B135+'Frende Livsforsikring'!B135+'Frende Skadeforsikring'!B135+'Gjensidige Forsikring'!B135+'Gjensidige Pensjon'!B135+'If Skadeforsikring NUF'!B135+KLP!B135+'KLP Skadeforsikring AS'!B135+'Landkreditt Forsikring'!B135+'Nordea Liv '!B135+'Oslo Pensjonsforsikring'!B135+'Protector Forsikring'!B135+'Sparebank 1 Fors.'!B135+'Storebrand Livsforsikring'!B135+'Telenor Forsikring'!B135+'Tryg Forsikring'!B135+'WaterCircles F'!B135+'Euro Accident'!B135+'Ly Forsikring'!B135+'Youplus Livsforsikring'!B135+'Oslo Forsikring'!B135+'Knif Trygghet Forsikring'!B135</f>
        <v>908259329.50178003</v>
      </c>
      <c r="C135" s="180">
        <f>'Fremtind Livsforsikring'!C135+'DNB Livsforsikring'!C135+'Eika Forsikring AS'!C135+'Frende Livsforsikring'!C135+'Frende Skadeforsikring'!C135+'Gjensidige Forsikring'!C135+'Gjensidige Pensjon'!C135+'If Skadeforsikring NUF'!C135+KLP!C135+'KLP Skadeforsikring AS'!C135+'Landkreditt Forsikring'!C135+'Nordea Liv '!C135+'Oslo Pensjonsforsikring'!C135+'Protector Forsikring'!C135+'Sparebank 1 Fors.'!C135+'Storebrand Livsforsikring'!C135+'Telenor Forsikring'!C135+'Tryg Forsikring'!C135+'WaterCircles F'!C135+'Euro Accident'!C135+'Ly Forsikring'!C135+'Youplus Livsforsikring'!C135+'Oslo Forsikring'!C135+'Knif Trygghet Forsikring'!C135</f>
        <v>981716105.01883006</v>
      </c>
      <c r="D135" s="8">
        <f t="shared" si="42"/>
        <v>8.1</v>
      </c>
      <c r="E135" s="180">
        <f>'Fremtind Livsforsikring'!F135+'DNB Livsforsikring'!F135+'Eika Forsikring AS'!F135+'Frende Livsforsikring'!F135+'Frende Skadeforsikring'!F135+'Gjensidige Forsikring'!F135+'Gjensidige Pensjon'!F135+'If Skadeforsikring NUF'!F135+KLP!F135+'KLP Skadeforsikring AS'!F135+'Landkreditt Forsikring'!F135+'Nordea Liv '!F135+'Oslo Pensjonsforsikring'!F135+'Protector Forsikring'!F135+'Sparebank 1 Fors.'!F135+'Storebrand Livsforsikring'!F135+'Telenor Forsikring'!F135+'Tryg Forsikring'!F135+'WaterCircles F'!F135+'Euro Accident'!F135+'Ly Forsikring'!F135+'Youplus Livsforsikring'!F135+'Oslo Forsikring'!F135+'Knif Trygghet Forsikring'!F135</f>
        <v>2924765.91579</v>
      </c>
      <c r="F135" s="180">
        <f>'Fremtind Livsforsikring'!G135+'DNB Livsforsikring'!G135+'Eika Forsikring AS'!G135+'Frende Livsforsikring'!G135+'Frende Skadeforsikring'!G135+'Gjensidige Forsikring'!G135+'Gjensidige Pensjon'!G135+'If Skadeforsikring NUF'!G135+KLP!G135+'KLP Skadeforsikring AS'!G135+'Landkreditt Forsikring'!G135+'Nordea Liv '!G135+'Oslo Pensjonsforsikring'!G135+'Protector Forsikring'!G135+'Sparebank 1 Fors.'!G135+'Storebrand Livsforsikring'!G135+'Telenor Forsikring'!G135+'Tryg Forsikring'!G135+'WaterCircles F'!G135+'Euro Accident'!G135+'Ly Forsikring'!G135+'Youplus Livsforsikring'!G135+'Oslo Forsikring'!G135+'Knif Trygghet Forsikring'!G135</f>
        <v>3056998.4517899998</v>
      </c>
      <c r="G135" s="8">
        <f t="shared" si="43"/>
        <v>4.5</v>
      </c>
      <c r="H135" s="180">
        <f t="shared" si="44"/>
        <v>911184095.41756999</v>
      </c>
      <c r="I135" s="180">
        <f t="shared" si="44"/>
        <v>984773103.47062004</v>
      </c>
      <c r="J135" s="8">
        <f t="shared" si="45"/>
        <v>8.1</v>
      </c>
    </row>
    <row r="136" spans="1:10" s="34" customFormat="1" ht="15.75" customHeight="1" x14ac:dyDescent="0.2">
      <c r="A136" s="10" t="s">
        <v>346</v>
      </c>
      <c r="B136" s="180">
        <f>'Fremtind Livsforsikring'!B136+'DNB Livsforsikring'!B136+'Eika Forsikring AS'!B136+'Frende Livsforsikring'!B136+'Frende Skadeforsikring'!B136+'Gjensidige Forsikring'!B136+'Gjensidige Pensjon'!B136+'If Skadeforsikring NUF'!B136+KLP!B136+'KLP Skadeforsikring AS'!B136+'Landkreditt Forsikring'!B136+'Nordea Liv '!B136+'Oslo Pensjonsforsikring'!B136+'Protector Forsikring'!B136+'Sparebank 1 Fors.'!B136+'Storebrand Livsforsikring'!B136+'Telenor Forsikring'!B136+'Tryg Forsikring'!B136+'WaterCircles F'!B136+'Euro Accident'!B136+'Ly Forsikring'!B136+'Youplus Livsforsikring'!B136+'Oslo Forsikring'!B136+'Knif Trygghet Forsikring'!B136</f>
        <v>2154341.656</v>
      </c>
      <c r="C136" s="180">
        <f>'Fremtind Livsforsikring'!C136+'DNB Livsforsikring'!C136+'Eika Forsikring AS'!C136+'Frende Livsforsikring'!C136+'Frende Skadeforsikring'!C136+'Gjensidige Forsikring'!C136+'Gjensidige Pensjon'!C136+'If Skadeforsikring NUF'!C136+KLP!C136+'KLP Skadeforsikring AS'!C136+'Landkreditt Forsikring'!C136+'Nordea Liv '!C136+'Oslo Pensjonsforsikring'!C136+'Protector Forsikring'!C136+'Sparebank 1 Fors.'!C136+'Storebrand Livsforsikring'!C136+'Telenor Forsikring'!C136+'Tryg Forsikring'!C136+'WaterCircles F'!C136+'Euro Accident'!C136+'Ly Forsikring'!C136+'Youplus Livsforsikring'!C136+'Oslo Forsikring'!C136+'Knif Trygghet Forsikring'!C136</f>
        <v>3294636.9920000001</v>
      </c>
      <c r="D136" s="8">
        <f t="shared" si="42"/>
        <v>52.9</v>
      </c>
      <c r="E136" s="180">
        <f>'Fremtind Livsforsikring'!F136+'DNB Livsforsikring'!F136+'Eika Forsikring AS'!F136+'Frende Livsforsikring'!F136+'Frende Skadeforsikring'!F136+'Gjensidige Forsikring'!F136+'Gjensidige Pensjon'!F136+'If Skadeforsikring NUF'!F136+KLP!F136+'KLP Skadeforsikring AS'!F136+'Landkreditt Forsikring'!F136+'Nordea Liv '!F136+'Oslo Pensjonsforsikring'!F136+'Protector Forsikring'!F136+'Sparebank 1 Fors.'!F136+'Storebrand Livsforsikring'!F136+'Telenor Forsikring'!F136+'Tryg Forsikring'!F136+'WaterCircles F'!F136+'Euro Accident'!F136+'Ly Forsikring'!F136+'Youplus Livsforsikring'!F136+'Oslo Forsikring'!F136+'Knif Trygghet Forsikring'!F136</f>
        <v>-373.47899999999998</v>
      </c>
      <c r="F136" s="180">
        <f>'Fremtind Livsforsikring'!G136+'DNB Livsforsikring'!G136+'Eika Forsikring AS'!G136+'Frende Livsforsikring'!G136+'Frende Skadeforsikring'!G136+'Gjensidige Forsikring'!G136+'Gjensidige Pensjon'!G136+'If Skadeforsikring NUF'!G136+KLP!G136+'KLP Skadeforsikring AS'!G136+'Landkreditt Forsikring'!G136+'Nordea Liv '!G136+'Oslo Pensjonsforsikring'!G136+'Protector Forsikring'!G136+'Sparebank 1 Fors.'!G136+'Storebrand Livsforsikring'!G136+'Telenor Forsikring'!G136+'Tryg Forsikring'!G136+'WaterCircles F'!G136+'Euro Accident'!G136+'Ly Forsikring'!G136+'Youplus Livsforsikring'!G136+'Oslo Forsikring'!G136+'Knif Trygghet Forsikring'!G136</f>
        <v>47.674999999999997</v>
      </c>
      <c r="G136" s="8">
        <f t="shared" si="43"/>
        <v>-112.8</v>
      </c>
      <c r="H136" s="180">
        <f t="shared" si="44"/>
        <v>2153968.1770000001</v>
      </c>
      <c r="I136" s="180">
        <f t="shared" si="44"/>
        <v>3294684.6669999999</v>
      </c>
      <c r="J136" s="8">
        <f t="shared" si="45"/>
        <v>53</v>
      </c>
    </row>
    <row r="137" spans="1:10" s="34" customFormat="1" ht="15.75" customHeight="1" x14ac:dyDescent="0.2">
      <c r="A137" s="32" t="s">
        <v>347</v>
      </c>
      <c r="B137" s="215">
        <f>'Fremtind Livsforsikring'!B137+'DNB Livsforsikring'!B137+'Eika Forsikring AS'!B137+'Frende Livsforsikring'!B137+'Frende Skadeforsikring'!B137+'Gjensidige Forsikring'!B137+'Gjensidige Pensjon'!B137+'If Skadeforsikring NUF'!B137+KLP!B137+'KLP Skadeforsikring AS'!B137+'Landkreditt Forsikring'!B137+'Nordea Liv '!B137+'Oslo Pensjonsforsikring'!B137+'Protector Forsikring'!B137+'Sparebank 1 Fors.'!B137+'Storebrand Livsforsikring'!B137+'Telenor Forsikring'!B137+'Tryg Forsikring'!B137+'WaterCircles F'!B137+'Euro Accident'!B137+'Ly Forsikring'!B137+'Youplus Livsforsikring'!B137+'Oslo Forsikring'!B137+'Knif Trygghet Forsikring'!B137</f>
        <v>2423007.9249999998</v>
      </c>
      <c r="C137" s="215">
        <f>'Fremtind Livsforsikring'!C137+'DNB Livsforsikring'!C137+'Eika Forsikring AS'!C137+'Frende Livsforsikring'!C137+'Frende Skadeforsikring'!C137+'Gjensidige Forsikring'!C137+'Gjensidige Pensjon'!C137+'If Skadeforsikring NUF'!C137+KLP!C137+'KLP Skadeforsikring AS'!C137+'Landkreditt Forsikring'!C137+'Nordea Liv '!C137+'Oslo Pensjonsforsikring'!C137+'Protector Forsikring'!C137+'Sparebank 1 Fors.'!C137+'Storebrand Livsforsikring'!C137+'Telenor Forsikring'!C137+'Tryg Forsikring'!C137+'WaterCircles F'!C137+'Euro Accident'!C137+'Ly Forsikring'!C137+'Youplus Livsforsikring'!C137+'Oslo Forsikring'!C137+'Knif Trygghet Forsikring'!C137</f>
        <v>4156500.3450000002</v>
      </c>
      <c r="D137" s="6">
        <f t="shared" si="42"/>
        <v>71.5</v>
      </c>
      <c r="E137" s="215"/>
      <c r="F137" s="215"/>
      <c r="G137" s="6"/>
      <c r="H137" s="215">
        <f t="shared" si="44"/>
        <v>2423007.9249999998</v>
      </c>
      <c r="I137" s="215">
        <f t="shared" si="44"/>
        <v>4156500.3450000002</v>
      </c>
      <c r="J137" s="6">
        <f t="shared" si="45"/>
        <v>71.5</v>
      </c>
    </row>
    <row r="138" spans="1:10" ht="15.75" customHeight="1" x14ac:dyDescent="0.2">
      <c r="A138" s="5"/>
      <c r="G138" s="4"/>
      <c r="J138" s="4"/>
    </row>
    <row r="139" spans="1:10" ht="15.75" customHeight="1" x14ac:dyDescent="0.2"/>
    <row r="140" spans="1:10" ht="15.75" customHeight="1" x14ac:dyDescent="0.2"/>
    <row r="141" spans="1:10" ht="15.75" customHeight="1" x14ac:dyDescent="0.2"/>
    <row r="142" spans="1:10" ht="15.75" customHeight="1" x14ac:dyDescent="0.2"/>
    <row r="143" spans="1:10" ht="15.75" customHeight="1" x14ac:dyDescent="0.2"/>
    <row r="144" spans="1:10"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sheetData>
  <mergeCells count="27">
    <mergeCell ref="B131:D131"/>
    <mergeCell ref="E131:G131"/>
    <mergeCell ref="H131:J131"/>
    <mergeCell ref="B130:D130"/>
    <mergeCell ref="E130:G130"/>
    <mergeCell ref="H130:J130"/>
    <mergeCell ref="B63:D63"/>
    <mergeCell ref="E63:G63"/>
    <mergeCell ref="H63:J63"/>
    <mergeCell ref="B19:D19"/>
    <mergeCell ref="E19:G19"/>
    <mergeCell ref="H19:J19"/>
    <mergeCell ref="B62:D62"/>
    <mergeCell ref="E62:G62"/>
    <mergeCell ref="H62:J62"/>
    <mergeCell ref="B42:D42"/>
    <mergeCell ref="E42:G42"/>
    <mergeCell ref="H42:J42"/>
    <mergeCell ref="B18:D18"/>
    <mergeCell ref="E18:G18"/>
    <mergeCell ref="H18:J18"/>
    <mergeCell ref="B2:D2"/>
    <mergeCell ref="E2:G2"/>
    <mergeCell ref="H2:J2"/>
    <mergeCell ref="B4:D4"/>
    <mergeCell ref="E4:G4"/>
    <mergeCell ref="H4:J4"/>
  </mergeCells>
  <conditionalFormatting sqref="A50:A52">
    <cfRule type="expression" dxfId="458" priority="63">
      <formula>kvartal &lt; 4</formula>
    </cfRule>
  </conditionalFormatting>
  <conditionalFormatting sqref="A69:A74">
    <cfRule type="expression" dxfId="457" priority="61">
      <formula>kvartal &lt; 4</formula>
    </cfRule>
  </conditionalFormatting>
  <conditionalFormatting sqref="A80:A85">
    <cfRule type="expression" dxfId="456" priority="60">
      <formula>kvartal &lt; 4</formula>
    </cfRule>
  </conditionalFormatting>
  <conditionalFormatting sqref="A90:A95">
    <cfRule type="expression" dxfId="455" priority="57">
      <formula>kvartal &lt; 4</formula>
    </cfRule>
  </conditionalFormatting>
  <conditionalFormatting sqref="A101:A106">
    <cfRule type="expression" dxfId="454" priority="56">
      <formula>kvartal &lt; 4</formula>
    </cfRule>
  </conditionalFormatting>
  <conditionalFormatting sqref="A115">
    <cfRule type="expression" dxfId="453" priority="55">
      <formula>kvartal &lt; 4</formula>
    </cfRule>
  </conditionalFormatting>
  <conditionalFormatting sqref="A123">
    <cfRule type="expression" dxfId="452" priority="54">
      <formula>kvartal &lt; 4</formula>
    </cfRule>
  </conditionalFormatting>
  <conditionalFormatting sqref="B50:C52">
    <cfRule type="expression" dxfId="451" priority="5">
      <formula>kvartal&lt;4</formula>
    </cfRule>
  </conditionalFormatting>
  <conditionalFormatting sqref="B69:C69">
    <cfRule type="expression" dxfId="450" priority="45">
      <formula>kvartal&lt;4</formula>
    </cfRule>
  </conditionalFormatting>
  <conditionalFormatting sqref="B72:C72">
    <cfRule type="expression" dxfId="449" priority="44">
      <formula>kvartal&lt;4</formula>
    </cfRule>
  </conditionalFormatting>
  <conditionalFormatting sqref="B115:C115">
    <cfRule type="expression" dxfId="448" priority="33">
      <formula>kvartal&lt;4</formula>
    </cfRule>
  </conditionalFormatting>
  <conditionalFormatting sqref="B123:C123">
    <cfRule type="expression" dxfId="447" priority="32">
      <formula>kvartal&lt;4</formula>
    </cfRule>
  </conditionalFormatting>
  <conditionalFormatting sqref="E115:F115">
    <cfRule type="expression" dxfId="446" priority="25">
      <formula>kvartal&lt;4</formula>
    </cfRule>
  </conditionalFormatting>
  <conditionalFormatting sqref="E123:F123">
    <cfRule type="expression" dxfId="445" priority="24">
      <formula>kvartal&lt;4</formula>
    </cfRule>
  </conditionalFormatting>
  <conditionalFormatting sqref="H115:I115">
    <cfRule type="expression" dxfId="444" priority="68">
      <formula>kvartal&lt;4</formula>
    </cfRule>
  </conditionalFormatting>
  <conditionalFormatting sqref="H123:I123">
    <cfRule type="expression" dxfId="443" priority="67">
      <formula>kvartal&lt;4</formula>
    </cfRule>
  </conditionalFormatting>
  <pageMargins left="0.23622047244094491" right="0.23622047244094491" top="0.62992125984251968" bottom="0.59055118110236227" header="0.51181102362204722" footer="0.51181102362204722"/>
  <pageSetup paperSize="9" scale="55" fitToHeight="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P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6" x14ac:dyDescent="0.2">
      <c r="A1" s="126" t="s">
        <v>124</v>
      </c>
      <c r="B1" s="536"/>
      <c r="C1" s="192" t="s">
        <v>117</v>
      </c>
    </row>
    <row r="2" spans="1:16" ht="15.75" x14ac:dyDescent="0.25">
      <c r="A2" s="109" t="s">
        <v>28</v>
      </c>
      <c r="B2" s="572"/>
      <c r="C2" s="572"/>
      <c r="D2" s="572"/>
      <c r="E2" s="234"/>
      <c r="F2" s="572"/>
      <c r="G2" s="572"/>
      <c r="H2" s="572"/>
      <c r="I2" s="234"/>
      <c r="J2" s="572"/>
      <c r="K2" s="572"/>
      <c r="L2" s="572"/>
      <c r="M2" s="234"/>
    </row>
    <row r="3" spans="1:16" ht="15.75" x14ac:dyDescent="0.25">
      <c r="A3" s="120"/>
      <c r="B3" s="234"/>
      <c r="C3" s="234"/>
      <c r="D3" s="234"/>
      <c r="E3" s="234"/>
      <c r="F3" s="234"/>
      <c r="G3" s="234"/>
      <c r="H3" s="234"/>
      <c r="I3" s="234"/>
      <c r="J3" s="234"/>
      <c r="K3" s="234"/>
      <c r="L3" s="234"/>
      <c r="M3" s="234"/>
    </row>
    <row r="4" spans="1:16" x14ac:dyDescent="0.2">
      <c r="A4" s="107"/>
      <c r="B4" s="570" t="s">
        <v>0</v>
      </c>
      <c r="C4" s="571"/>
      <c r="D4" s="571"/>
      <c r="E4" s="236"/>
      <c r="F4" s="570" t="s">
        <v>1</v>
      </c>
      <c r="G4" s="571"/>
      <c r="H4" s="571"/>
      <c r="I4" s="238"/>
      <c r="J4" s="570" t="s">
        <v>2</v>
      </c>
      <c r="K4" s="571"/>
      <c r="L4" s="571"/>
      <c r="M4" s="238"/>
    </row>
    <row r="5" spans="1:16"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6" x14ac:dyDescent="0.2">
      <c r="A6" s="537"/>
      <c r="B6" s="114"/>
      <c r="C6" s="114"/>
      <c r="D6" s="190" t="s">
        <v>4</v>
      </c>
      <c r="E6" s="114" t="s">
        <v>30</v>
      </c>
      <c r="F6" s="118"/>
      <c r="G6" s="118"/>
      <c r="H6" s="189" t="s">
        <v>4</v>
      </c>
      <c r="I6" s="114" t="s">
        <v>30</v>
      </c>
      <c r="J6" s="118"/>
      <c r="K6" s="118"/>
      <c r="L6" s="189" t="s">
        <v>4</v>
      </c>
      <c r="M6" s="114" t="s">
        <v>30</v>
      </c>
    </row>
    <row r="7" spans="1:16" ht="15.75" x14ac:dyDescent="0.2">
      <c r="A7" s="11" t="s">
        <v>23</v>
      </c>
      <c r="B7" s="240">
        <v>99739</v>
      </c>
      <c r="C7" s="241">
        <v>84977.027000000002</v>
      </c>
      <c r="D7" s="277">
        <f>IF(B7=0, "    ---- ", IF(ABS(ROUND(100/B7*C7-100,1))&lt;999,ROUND(100/B7*C7-100,1),IF(ROUND(100/B7*C7-100,1)&gt;999,999,-999)))</f>
        <v>-14.8</v>
      </c>
      <c r="E7" s="8">
        <f>IFERROR(100/'Skjema total MA'!C7*C7,0)</f>
        <v>1.8626026281895731</v>
      </c>
      <c r="F7" s="240">
        <v>358025</v>
      </c>
      <c r="G7" s="241">
        <v>375047.90207000001</v>
      </c>
      <c r="H7" s="277">
        <f>IF(F7=0, "    ---- ", IF(ABS(ROUND(100/F7*G7-100,1))&lt;999,ROUND(100/F7*G7-100,1),IF(ROUND(100/F7*G7-100,1)&gt;999,999,-999)))</f>
        <v>4.8</v>
      </c>
      <c r="I7" s="117">
        <f>IFERROR(100/'Skjema total MA'!F7*G7,0)</f>
        <v>4.5918071285685587</v>
      </c>
      <c r="J7" s="242">
        <f t="shared" ref="J7:K12" si="0">SUM(B7,F7)</f>
        <v>457764</v>
      </c>
      <c r="K7" s="243">
        <f t="shared" si="0"/>
        <v>460024.92907000001</v>
      </c>
      <c r="L7" s="332">
        <f>IF(J7=0, "    ---- ", IF(ABS(ROUND(100/J7*K7-100,1))&lt;999,ROUND(100/J7*K7-100,1),IF(ROUND(100/J7*K7-100,1)&gt;999,999,-999)))</f>
        <v>0.5</v>
      </c>
      <c r="M7" s="8">
        <f>IFERROR(100/'Skjema total MA'!I7*K7,0)</f>
        <v>3.6136969784886324</v>
      </c>
    </row>
    <row r="8" spans="1:16" ht="15.75" x14ac:dyDescent="0.2">
      <c r="A8" s="17" t="s">
        <v>25</v>
      </c>
      <c r="B8" s="220">
        <v>18378.491000000002</v>
      </c>
      <c r="C8" s="221">
        <v>17256.751</v>
      </c>
      <c r="D8" s="121">
        <f t="shared" ref="D8:D12" si="1">IF(B8=0, "    ---- ", IF(ABS(ROUND(100/B8*C8-100,1))&lt;999,ROUND(100/B8*C8-100,1),IF(ROUND(100/B8*C8-100,1)&gt;999,999,-999)))</f>
        <v>-6.1</v>
      </c>
      <c r="E8" s="22">
        <f>IFERROR(100/'Skjema total MA'!C8*C8,0)</f>
        <v>0.56170715768289547</v>
      </c>
      <c r="F8" s="224"/>
      <c r="G8" s="225"/>
      <c r="H8" s="121"/>
      <c r="I8" s="129"/>
      <c r="J8" s="178">
        <f t="shared" si="0"/>
        <v>18378.491000000002</v>
      </c>
      <c r="K8" s="226">
        <f t="shared" si="0"/>
        <v>17256.751</v>
      </c>
      <c r="L8" s="121">
        <f t="shared" ref="L8:L9" si="2">IF(J8=0, "    ---- ", IF(ABS(ROUND(100/J8*K8-100,1))&lt;999,ROUND(100/J8*K8-100,1),IF(ROUND(100/J8*K8-100,1)&gt;999,999,-999)))</f>
        <v>-6.1</v>
      </c>
      <c r="M8" s="22">
        <f>IFERROR(100/'Skjema total MA'!I8*K8,0)</f>
        <v>0.56170715768289547</v>
      </c>
    </row>
    <row r="9" spans="1:16" ht="15.75" x14ac:dyDescent="0.2">
      <c r="A9" s="17" t="s">
        <v>24</v>
      </c>
      <c r="B9" s="220">
        <v>13116.375</v>
      </c>
      <c r="C9" s="221">
        <v>11427.763999999999</v>
      </c>
      <c r="D9" s="121">
        <f t="shared" si="1"/>
        <v>-12.9</v>
      </c>
      <c r="E9" s="22">
        <f>IFERROR(100/'Skjema total MA'!C9*C9,0)</f>
        <v>1.2642113816097522</v>
      </c>
      <c r="F9" s="224"/>
      <c r="G9" s="225"/>
      <c r="H9" s="121"/>
      <c r="I9" s="129"/>
      <c r="J9" s="178">
        <f t="shared" si="0"/>
        <v>13116.375</v>
      </c>
      <c r="K9" s="226">
        <f t="shared" si="0"/>
        <v>11427.763999999999</v>
      </c>
      <c r="L9" s="121">
        <f t="shared" si="2"/>
        <v>-12.9</v>
      </c>
      <c r="M9" s="22">
        <f>IFERROR(100/'Skjema total MA'!I9*K9,0)</f>
        <v>1.2642113816097522</v>
      </c>
    </row>
    <row r="10" spans="1:16" ht="15.75" x14ac:dyDescent="0.2">
      <c r="A10" s="10" t="s">
        <v>322</v>
      </c>
      <c r="B10" s="244">
        <v>6122531</v>
      </c>
      <c r="C10" s="245">
        <v>5214589.2151852101</v>
      </c>
      <c r="D10" s="125">
        <f t="shared" si="1"/>
        <v>-14.8</v>
      </c>
      <c r="E10" s="8">
        <f>IFERROR(100/'Skjema total MA'!C10*C10,0)</f>
        <v>41.556101973338173</v>
      </c>
      <c r="F10" s="244">
        <v>9044921.3399999999</v>
      </c>
      <c r="G10" s="245">
        <v>9861709.4712481499</v>
      </c>
      <c r="H10" s="125">
        <f t="shared" ref="H10:H12" si="3">IF(F10=0, "    ---- ", IF(ABS(ROUND(100/F10*G10-100,1))&lt;999,ROUND(100/F10*G10-100,1),IF(ROUND(100/F10*G10-100,1)&gt;999,999,-999)))</f>
        <v>9</v>
      </c>
      <c r="I10" s="117">
        <f>IFERROR(100/'Skjema total MA'!F10*G10,0)</f>
        <v>9.5112807129729173</v>
      </c>
      <c r="J10" s="242">
        <f t="shared" si="0"/>
        <v>15167452.34</v>
      </c>
      <c r="K10" s="243">
        <f t="shared" si="0"/>
        <v>15076298.68643336</v>
      </c>
      <c r="L10" s="333">
        <f t="shared" ref="L10:L12" si="4">IF(J10=0, "    ---- ", IF(ABS(ROUND(100/J10*K10-100,1))&lt;999,ROUND(100/J10*K10-100,1),IF(ROUND(100/J10*K10-100,1)&gt;999,999,-999)))</f>
        <v>-0.6</v>
      </c>
      <c r="M10" s="8">
        <f>IFERROR(100/'Skjema total MA'!I10*K10,0)</f>
        <v>12.970793765464476</v>
      </c>
      <c r="P10" s="21"/>
    </row>
    <row r="11" spans="1:16" s="34" customFormat="1" ht="15.75" x14ac:dyDescent="0.2">
      <c r="A11" s="10" t="s">
        <v>323</v>
      </c>
      <c r="B11" s="244"/>
      <c r="C11" s="245">
        <v>333.04399999999998</v>
      </c>
      <c r="D11" s="125" t="str">
        <f t="shared" si="1"/>
        <v xml:space="preserve">    ---- </v>
      </c>
      <c r="E11" s="8">
        <f>IFERROR(100/'Skjema total MA'!C11*C11,0)</f>
        <v>100</v>
      </c>
      <c r="F11" s="244">
        <v>29290</v>
      </c>
      <c r="G11" s="245">
        <v>35369.12876</v>
      </c>
      <c r="H11" s="125">
        <f t="shared" si="3"/>
        <v>20.8</v>
      </c>
      <c r="I11" s="117">
        <f>IFERROR(100/'Skjema total MA'!F11*G11,0)</f>
        <v>7.181348533273618</v>
      </c>
      <c r="J11" s="242">
        <f t="shared" si="0"/>
        <v>29290</v>
      </c>
      <c r="K11" s="243">
        <f t="shared" si="0"/>
        <v>35702.172760000001</v>
      </c>
      <c r="L11" s="333">
        <f t="shared" si="4"/>
        <v>21.9</v>
      </c>
      <c r="M11" s="8">
        <f>IFERROR(100/'Skjema total MA'!I11*K11,0)</f>
        <v>7.2440712607249713</v>
      </c>
      <c r="N11" s="106"/>
    </row>
    <row r="12" spans="1:16" s="34" customFormat="1" ht="15.75" x14ac:dyDescent="0.2">
      <c r="A12" s="32" t="s">
        <v>324</v>
      </c>
      <c r="B12" s="246"/>
      <c r="C12" s="247">
        <v>341.79806000000002</v>
      </c>
      <c r="D12" s="123" t="str">
        <f t="shared" si="1"/>
        <v xml:space="preserve">    ---- </v>
      </c>
      <c r="E12" s="29">
        <f>IFERROR(100/'Skjema total MA'!C12*C12,0)</f>
        <v>100</v>
      </c>
      <c r="F12" s="246">
        <v>57728</v>
      </c>
      <c r="G12" s="247">
        <v>31800.171399999999</v>
      </c>
      <c r="H12" s="123">
        <f t="shared" si="3"/>
        <v>-44.9</v>
      </c>
      <c r="I12" s="123">
        <f>IFERROR(100/'Skjema total MA'!F12*G12,0)</f>
        <v>6.4726401366694697</v>
      </c>
      <c r="J12" s="248">
        <f t="shared" si="0"/>
        <v>57728</v>
      </c>
      <c r="K12" s="249">
        <f t="shared" si="0"/>
        <v>32141.96946</v>
      </c>
      <c r="L12" s="334">
        <f t="shared" si="4"/>
        <v>-44.3</v>
      </c>
      <c r="M12" s="29">
        <f>IFERROR(100/'Skjema total MA'!I12*K12,0)</f>
        <v>6.537661824132492</v>
      </c>
      <c r="N12" s="106"/>
      <c r="P12" s="106"/>
    </row>
    <row r="13" spans="1:16" s="34" customFormat="1" x14ac:dyDescent="0.2">
      <c r="A13" s="106"/>
      <c r="B13" s="108"/>
      <c r="C13" s="26"/>
      <c r="D13" s="116"/>
      <c r="E13" s="116"/>
      <c r="F13" s="108"/>
      <c r="G13" s="26"/>
      <c r="H13" s="116"/>
      <c r="I13" s="116"/>
      <c r="J13" s="37"/>
      <c r="K13" s="37"/>
      <c r="L13" s="116"/>
      <c r="M13" s="116"/>
      <c r="N13" s="106"/>
    </row>
    <row r="14" spans="1:16" x14ac:dyDescent="0.2">
      <c r="A14" s="112" t="s">
        <v>246</v>
      </c>
    </row>
    <row r="16" spans="1:16"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v>181958</v>
      </c>
      <c r="C22" s="244">
        <v>194694</v>
      </c>
      <c r="D22" s="277">
        <f t="shared" ref="D22:D39" si="5">IF(B22=0, "    ---- ", IF(ABS(ROUND(100/B22*C22-100,1))&lt;999,ROUND(100/B22*C22-100,1),IF(ROUND(100/B22*C22-100,1)&gt;999,999,-999)))</f>
        <v>7</v>
      </c>
      <c r="E22" s="8">
        <f>IFERROR(100/'Skjema total MA'!C22*C22,0)</f>
        <v>9.222324585244861</v>
      </c>
      <c r="F22" s="252">
        <v>14981</v>
      </c>
      <c r="G22" s="252">
        <v>13952.956</v>
      </c>
      <c r="H22" s="277">
        <f t="shared" ref="H22:H35" si="6">IF(F22=0, "    ---- ", IF(ABS(ROUND(100/F22*G22-100,1))&lt;999,ROUND(100/F22*G22-100,1),IF(ROUND(100/F22*G22-100,1)&gt;999,999,-999)))</f>
        <v>-6.9</v>
      </c>
      <c r="I22" s="8">
        <f>IFERROR(100/'Skjema total MA'!F22*G22,0)</f>
        <v>1.7438157351243144</v>
      </c>
      <c r="J22" s="250">
        <f t="shared" ref="J22:K35" si="7">SUM(B22,F22)</f>
        <v>196939</v>
      </c>
      <c r="K22" s="250">
        <f t="shared" si="7"/>
        <v>208646.95600000001</v>
      </c>
      <c r="L22" s="332">
        <f t="shared" ref="L22:L35" si="8">IF(J22=0, "    ---- ", IF(ABS(ROUND(100/J22*K22-100,1))&lt;999,ROUND(100/J22*K22-100,1),IF(ROUND(100/J22*K22-100,1)&gt;999,999,-999)))</f>
        <v>5.9</v>
      </c>
      <c r="M22" s="20">
        <f>IFERROR(100/'Skjema total MA'!I22*K22,0)</f>
        <v>7.1669059240080575</v>
      </c>
    </row>
    <row r="23" spans="1:13" ht="15.75" x14ac:dyDescent="0.2">
      <c r="A23" s="372" t="s">
        <v>325</v>
      </c>
      <c r="B23" s="220">
        <v>160534.664610543</v>
      </c>
      <c r="C23" s="220">
        <v>171926.82</v>
      </c>
      <c r="D23" s="121">
        <f t="shared" si="5"/>
        <v>7.1</v>
      </c>
      <c r="E23" s="8">
        <f>IFERROR(100/'Skjema total MA'!C23*C23,0)</f>
        <v>13.038319817659655</v>
      </c>
      <c r="F23" s="228">
        <v>9944.1575948123409</v>
      </c>
      <c r="G23" s="228">
        <v>9388.4429999999993</v>
      </c>
      <c r="H23" s="121">
        <f t="shared" si="6"/>
        <v>-5.6</v>
      </c>
      <c r="I23" s="325">
        <f>IFERROR(100/'Skjema total MA'!F23*G23,0)</f>
        <v>24.072115718254235</v>
      </c>
      <c r="J23" s="228">
        <f t="shared" ref="J23:J25" si="9">SUM(B23,F23)</f>
        <v>170478.82220535533</v>
      </c>
      <c r="K23" s="228">
        <f t="shared" ref="K23:K25" si="10">SUM(C23,G23)</f>
        <v>181315.26300000001</v>
      </c>
      <c r="L23" s="121">
        <f t="shared" si="8"/>
        <v>6.4</v>
      </c>
      <c r="M23" s="19">
        <f>IFERROR(100/'Skjema total MA'!I23*K23,0)</f>
        <v>13.355293593399548</v>
      </c>
    </row>
    <row r="24" spans="1:13" ht="15.75" x14ac:dyDescent="0.2">
      <c r="A24" s="372" t="s">
        <v>326</v>
      </c>
      <c r="B24" s="220">
        <v>6599.6006211497097</v>
      </c>
      <c r="C24" s="220">
        <v>7445.29</v>
      </c>
      <c r="D24" s="121">
        <f t="shared" si="5"/>
        <v>12.8</v>
      </c>
      <c r="E24" s="8">
        <f>IFERROR(100/'Skjema total MA'!C24*C24,0)</f>
        <v>75.486298235518831</v>
      </c>
      <c r="F24" s="228">
        <v>17.662802122224399</v>
      </c>
      <c r="G24" s="228">
        <v>36.6</v>
      </c>
      <c r="H24" s="121">
        <f t="shared" si="6"/>
        <v>107.2</v>
      </c>
      <c r="I24" s="325">
        <f>IFERROR(100/'Skjema total MA'!F24*G24,0)</f>
        <v>9.5747452751509723</v>
      </c>
      <c r="J24" s="228">
        <f t="shared" si="9"/>
        <v>6617.2634232719338</v>
      </c>
      <c r="K24" s="228">
        <f t="shared" si="10"/>
        <v>7481.89</v>
      </c>
      <c r="L24" s="121">
        <f t="shared" si="8"/>
        <v>13.1</v>
      </c>
      <c r="M24" s="19">
        <f>IFERROR(100/'Skjema total MA'!I24*K24,0)</f>
        <v>73.027129592238211</v>
      </c>
    </row>
    <row r="25" spans="1:13" ht="15.75" x14ac:dyDescent="0.2">
      <c r="A25" s="372" t="s">
        <v>327</v>
      </c>
      <c r="B25" s="220">
        <v>14823.734768307</v>
      </c>
      <c r="C25" s="220">
        <v>15321.89</v>
      </c>
      <c r="D25" s="121">
        <f t="shared" si="5"/>
        <v>3.4</v>
      </c>
      <c r="E25" s="8">
        <f>IFERROR(100/'Skjema total MA'!C25*C25,0)</f>
        <v>100</v>
      </c>
      <c r="F25" s="228">
        <v>5019.1796030654396</v>
      </c>
      <c r="G25" s="228">
        <v>4527.9129999999996</v>
      </c>
      <c r="H25" s="121">
        <f t="shared" si="6"/>
        <v>-9.8000000000000007</v>
      </c>
      <c r="I25" s="325">
        <f>IFERROR(100/'Skjema total MA'!F25*G25,0)</f>
        <v>41.843362082782861</v>
      </c>
      <c r="J25" s="228">
        <f t="shared" si="9"/>
        <v>19842.914371372441</v>
      </c>
      <c r="K25" s="228">
        <f t="shared" si="10"/>
        <v>19849.803</v>
      </c>
      <c r="L25" s="121">
        <f t="shared" si="8"/>
        <v>0</v>
      </c>
      <c r="M25" s="19">
        <f>IFERROR(100/'Skjema total MA'!I25*K25,0)</f>
        <v>75.927815770236549</v>
      </c>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v>75924.157999999996</v>
      </c>
      <c r="C28" s="226">
        <v>73306.538</v>
      </c>
      <c r="D28" s="121">
        <f t="shared" si="5"/>
        <v>-3.4</v>
      </c>
      <c r="E28" s="8">
        <f>IFERROR(100/'Skjema total MA'!C28*C28,0)</f>
        <v>2.7968580781170047</v>
      </c>
      <c r="F28" s="253"/>
      <c r="G28" s="254"/>
      <c r="H28" s="121"/>
      <c r="I28" s="22"/>
      <c r="J28" s="35">
        <f t="shared" si="7"/>
        <v>75924.157999999996</v>
      </c>
      <c r="K28" s="35">
        <f t="shared" si="7"/>
        <v>73306.538</v>
      </c>
      <c r="L28" s="198">
        <f t="shared" si="8"/>
        <v>-3.4</v>
      </c>
      <c r="M28" s="19">
        <f>IFERROR(100/'Skjema total MA'!I28*K28,0)</f>
        <v>2.7968580781170047</v>
      </c>
    </row>
    <row r="29" spans="1:13" ht="15.75" x14ac:dyDescent="0.2">
      <c r="A29" s="10" t="s">
        <v>322</v>
      </c>
      <c r="B29" s="180">
        <v>19447403</v>
      </c>
      <c r="C29" s="180">
        <v>18509564.1185969</v>
      </c>
      <c r="D29" s="125">
        <f t="shared" si="5"/>
        <v>-4.8</v>
      </c>
      <c r="E29" s="8">
        <f>IFERROR(100/'Skjema total MA'!C29*C29,0)</f>
        <v>42.033279923166077</v>
      </c>
      <c r="F29" s="242">
        <v>5001080.034</v>
      </c>
      <c r="G29" s="242">
        <v>4880998.4081264697</v>
      </c>
      <c r="H29" s="125">
        <f t="shared" si="6"/>
        <v>-2.4</v>
      </c>
      <c r="I29" s="8">
        <f>IFERROR(100/'Skjema total MA'!F29*G29,0)</f>
        <v>15.795120432209107</v>
      </c>
      <c r="J29" s="180">
        <f t="shared" si="7"/>
        <v>24448483.034000002</v>
      </c>
      <c r="K29" s="180">
        <f t="shared" si="7"/>
        <v>23390562.52672337</v>
      </c>
      <c r="L29" s="333">
        <f t="shared" si="8"/>
        <v>-4.3</v>
      </c>
      <c r="M29" s="20">
        <f>IFERROR(100/'Skjema total MA'!I29*K29,0)</f>
        <v>31.213454346495368</v>
      </c>
    </row>
    <row r="30" spans="1:13" ht="15.75" x14ac:dyDescent="0.2">
      <c r="A30" s="372" t="s">
        <v>325</v>
      </c>
      <c r="B30" s="220">
        <v>4155307.72771515</v>
      </c>
      <c r="C30" s="220">
        <v>3479460.1582738599</v>
      </c>
      <c r="D30" s="121">
        <f t="shared" si="5"/>
        <v>-16.3</v>
      </c>
      <c r="E30" s="8">
        <f>IFERROR(100/'Skjema total MA'!C30*C30,0)</f>
        <v>18.305684477723542</v>
      </c>
      <c r="F30" s="228">
        <v>1617638.4010000001</v>
      </c>
      <c r="G30" s="228">
        <v>1605537.93307293</v>
      </c>
      <c r="H30" s="121">
        <f t="shared" si="6"/>
        <v>-0.7</v>
      </c>
      <c r="I30" s="325">
        <f>IFERROR(100/'Skjema total MA'!F30*G30,0)</f>
        <v>43.544159492193707</v>
      </c>
      <c r="J30" s="228">
        <f t="shared" ref="J30:J32" si="11">SUM(B30,F30)</f>
        <v>5772946.1287151501</v>
      </c>
      <c r="K30" s="228">
        <f t="shared" ref="K30:K32" si="12">SUM(C30,G30)</f>
        <v>5084998.0913467901</v>
      </c>
      <c r="L30" s="121">
        <f t="shared" si="8"/>
        <v>-11.9</v>
      </c>
      <c r="M30" s="19">
        <f>IFERROR(100/'Skjema total MA'!I30*K30,0)</f>
        <v>22.406115896689634</v>
      </c>
    </row>
    <row r="31" spans="1:13" ht="15.75" x14ac:dyDescent="0.2">
      <c r="A31" s="372" t="s">
        <v>326</v>
      </c>
      <c r="B31" s="220">
        <v>13872780.2100625</v>
      </c>
      <c r="C31" s="220">
        <v>13556269.241648801</v>
      </c>
      <c r="D31" s="121">
        <f t="shared" si="5"/>
        <v>-2.2999999999999998</v>
      </c>
      <c r="E31" s="8">
        <f>IFERROR(100/'Skjema total MA'!C31*C31,0)</f>
        <v>60.838896295463726</v>
      </c>
      <c r="F31" s="228">
        <v>2792123.1869999999</v>
      </c>
      <c r="G31" s="228">
        <v>2646396.65095367</v>
      </c>
      <c r="H31" s="121">
        <f t="shared" si="6"/>
        <v>-5.2</v>
      </c>
      <c r="I31" s="325">
        <f>IFERROR(100/'Skjema total MA'!F31*G31,0)</f>
        <v>36.032928723116385</v>
      </c>
      <c r="J31" s="228">
        <f t="shared" si="11"/>
        <v>16664903.397062499</v>
      </c>
      <c r="K31" s="228">
        <f t="shared" si="12"/>
        <v>16202665.89260247</v>
      </c>
      <c r="L31" s="121">
        <f t="shared" si="8"/>
        <v>-2.8</v>
      </c>
      <c r="M31" s="19">
        <f>IFERROR(100/'Skjema total MA'!I31*K31,0)</f>
        <v>54.689544020306826</v>
      </c>
    </row>
    <row r="32" spans="1:13" ht="15.75" x14ac:dyDescent="0.2">
      <c r="A32" s="372" t="s">
        <v>327</v>
      </c>
      <c r="B32" s="220">
        <v>1419315.0622223499</v>
      </c>
      <c r="C32" s="220">
        <v>1473834.7186742099</v>
      </c>
      <c r="D32" s="121">
        <f t="shared" si="5"/>
        <v>3.8</v>
      </c>
      <c r="E32" s="8">
        <f>IFERROR(100/'Skjema total MA'!C32*C32,0)</f>
        <v>57.228054505022364</v>
      </c>
      <c r="F32" s="228">
        <v>591318.446</v>
      </c>
      <c r="G32" s="228">
        <v>629063.82409987296</v>
      </c>
      <c r="H32" s="121">
        <f t="shared" si="6"/>
        <v>6.4</v>
      </c>
      <c r="I32" s="325">
        <f>IFERROR(100/'Skjema total MA'!F32*G32,0)</f>
        <v>8.7064428548230772</v>
      </c>
      <c r="J32" s="228">
        <f t="shared" si="11"/>
        <v>2010633.5082223499</v>
      </c>
      <c r="K32" s="228">
        <f t="shared" si="12"/>
        <v>2102898.5427740831</v>
      </c>
      <c r="L32" s="121">
        <f t="shared" si="8"/>
        <v>4.5999999999999996</v>
      </c>
      <c r="M32" s="19">
        <f>IFERROR(100/'Skjema total MA'!I32*K32,0)</f>
        <v>21.456749468000442</v>
      </c>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v>8892</v>
      </c>
      <c r="C34" s="243">
        <v>8658.3871199999994</v>
      </c>
      <c r="D34" s="125">
        <f t="shared" si="5"/>
        <v>-2.6</v>
      </c>
      <c r="E34" s="8">
        <f>IFERROR(100/'Skjema total MA'!C34*C34,0)</f>
        <v>35.666207331884941</v>
      </c>
      <c r="F34" s="242">
        <v>-405027</v>
      </c>
      <c r="G34" s="243">
        <v>-352198.43599999999</v>
      </c>
      <c r="H34" s="125">
        <f t="shared" si="6"/>
        <v>-13</v>
      </c>
      <c r="I34" s="8">
        <f>IFERROR(100/'Skjema total MA'!F34*G34,0)</f>
        <v>180.13683820979199</v>
      </c>
      <c r="J34" s="180">
        <f t="shared" si="7"/>
        <v>-396135</v>
      </c>
      <c r="K34" s="180">
        <f t="shared" si="7"/>
        <v>-343540.04888000002</v>
      </c>
      <c r="L34" s="333">
        <f t="shared" si="8"/>
        <v>-13.3</v>
      </c>
      <c r="M34" s="20">
        <f>IFERROR(100/'Skjema total MA'!I34*K34,0)</f>
        <v>200.61787258139441</v>
      </c>
    </row>
    <row r="35" spans="1:13" ht="15.75" x14ac:dyDescent="0.2">
      <c r="A35" s="10" t="s">
        <v>324</v>
      </c>
      <c r="B35" s="180">
        <v>-381650</v>
      </c>
      <c r="C35" s="243">
        <v>-347833.74774999998</v>
      </c>
      <c r="D35" s="125">
        <f t="shared" si="5"/>
        <v>-8.9</v>
      </c>
      <c r="E35" s="8">
        <f>IFERROR(100/'Skjema total MA'!C35*C35,0)</f>
        <v>100.38162965246799</v>
      </c>
      <c r="F35" s="242">
        <v>-5582</v>
      </c>
      <c r="G35" s="243">
        <v>-2088.8048399999998</v>
      </c>
      <c r="H35" s="125">
        <f t="shared" si="6"/>
        <v>-62.6</v>
      </c>
      <c r="I35" s="8">
        <f>IFERROR(100/'Skjema total MA'!F35*G35,0)</f>
        <v>-1.1463077989288455</v>
      </c>
      <c r="J35" s="180">
        <f t="shared" si="7"/>
        <v>-387232</v>
      </c>
      <c r="K35" s="180">
        <f t="shared" si="7"/>
        <v>-349922.55258999998</v>
      </c>
      <c r="L35" s="333">
        <f t="shared" si="8"/>
        <v>-9.6</v>
      </c>
      <c r="M35" s="20">
        <f>IFERROR(100/'Skjema total MA'!I35*K35,0)</f>
        <v>212.98933311428286</v>
      </c>
    </row>
    <row r="36" spans="1:13" ht="15.75" x14ac:dyDescent="0.2">
      <c r="A36" s="9" t="s">
        <v>254</v>
      </c>
      <c r="B36" s="180">
        <v>1301</v>
      </c>
      <c r="C36" s="243">
        <v>1204.569</v>
      </c>
      <c r="D36" s="125">
        <f t="shared" si="5"/>
        <v>-7.4</v>
      </c>
      <c r="E36" s="8">
        <f>IFERROR(100/'Skjema total MA'!C36*C36,0)</f>
        <v>6.0642123276033626</v>
      </c>
      <c r="F36" s="253"/>
      <c r="G36" s="254"/>
      <c r="H36" s="125"/>
      <c r="I36" s="339"/>
      <c r="J36" s="180">
        <f t="shared" ref="J36:J39" si="13">SUM(B36,F36)</f>
        <v>1301</v>
      </c>
      <c r="K36" s="180">
        <f t="shared" ref="K36:K39" si="14">SUM(C36,G36)</f>
        <v>1204.569</v>
      </c>
      <c r="L36" s="333"/>
      <c r="M36" s="20">
        <f>IFERROR(100/'Skjema total MA'!I36*K36,0)</f>
        <v>6.0642123276033626</v>
      </c>
    </row>
    <row r="37" spans="1:13" ht="15.75" x14ac:dyDescent="0.2">
      <c r="A37" s="9" t="s">
        <v>330</v>
      </c>
      <c r="B37" s="180">
        <v>2151019</v>
      </c>
      <c r="C37" s="243">
        <v>1980252.9373445199</v>
      </c>
      <c r="D37" s="125">
        <f t="shared" si="5"/>
        <v>-7.9</v>
      </c>
      <c r="E37" s="8">
        <f>IFERROR(100/'Skjema total MA'!C37*C37,0)</f>
        <v>83.563645836450419</v>
      </c>
      <c r="F37" s="253"/>
      <c r="G37" s="255"/>
      <c r="H37" s="125"/>
      <c r="I37" s="339"/>
      <c r="J37" s="180">
        <f t="shared" si="13"/>
        <v>2151019</v>
      </c>
      <c r="K37" s="180">
        <f t="shared" si="14"/>
        <v>1980252.9373445199</v>
      </c>
      <c r="L37" s="333"/>
      <c r="M37" s="20">
        <f>IFERROR(100/'Skjema total MA'!I37*K37,0)</f>
        <v>83.563645836450419</v>
      </c>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v>1</v>
      </c>
      <c r="C39" s="249">
        <v>1.8089999999999999</v>
      </c>
      <c r="D39" s="123">
        <f t="shared" si="5"/>
        <v>80.900000000000006</v>
      </c>
      <c r="E39" s="29">
        <f>IFERROR(100/'Skjema total MA'!C38*C39,0)</f>
        <v>0</v>
      </c>
      <c r="F39" s="256"/>
      <c r="G39" s="257"/>
      <c r="H39" s="123"/>
      <c r="I39" s="29"/>
      <c r="J39" s="180">
        <f t="shared" si="13"/>
        <v>1</v>
      </c>
      <c r="K39" s="180">
        <f t="shared" si="14"/>
        <v>1.8089999999999999</v>
      </c>
      <c r="L39" s="334"/>
      <c r="M39" s="29">
        <f>IFERROR(100/'Skjema total MA'!I39*K39,0)</f>
        <v>100</v>
      </c>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569384</v>
      </c>
      <c r="C47" s="245">
        <v>591034</v>
      </c>
      <c r="D47" s="332">
        <f t="shared" ref="D47:D57" si="15">IF(B47=0, "    ---- ", IF(ABS(ROUND(100/B47*C47-100,1))&lt;999,ROUND(100/B47*C47-100,1),IF(ROUND(100/B47*C47-100,1)&gt;999,999,-999)))</f>
        <v>3.8</v>
      </c>
      <c r="E47" s="8">
        <f>IFERROR(100/'Skjema total MA'!C47*C47,0)</f>
        <v>9.278154684749321</v>
      </c>
      <c r="F47" s="108"/>
      <c r="G47" s="26"/>
      <c r="H47" s="116"/>
      <c r="I47" s="116"/>
      <c r="J47" s="30"/>
      <c r="K47" s="30"/>
      <c r="L47" s="116"/>
      <c r="M47" s="116"/>
    </row>
    <row r="48" spans="1:13" ht="15.75" x14ac:dyDescent="0.2">
      <c r="A48" s="17" t="s">
        <v>333</v>
      </c>
      <c r="B48" s="220">
        <v>569384</v>
      </c>
      <c r="C48" s="221">
        <v>591034</v>
      </c>
      <c r="D48" s="198">
        <f t="shared" si="15"/>
        <v>3.8</v>
      </c>
      <c r="E48" s="22">
        <f>IFERROR(100/'Skjema total MA'!C48*C48,0)</f>
        <v>16.16321943861815</v>
      </c>
      <c r="F48" s="108"/>
      <c r="G48" s="26"/>
      <c r="H48" s="108"/>
      <c r="I48" s="108"/>
      <c r="J48" s="26"/>
      <c r="K48" s="26"/>
      <c r="L48" s="116"/>
      <c r="M48" s="116"/>
    </row>
    <row r="49" spans="1:13" ht="15.75" x14ac:dyDescent="0.2">
      <c r="A49" s="17" t="s">
        <v>334</v>
      </c>
      <c r="B49" s="35"/>
      <c r="C49" s="226"/>
      <c r="D49" s="198"/>
      <c r="E49" s="22"/>
      <c r="F49" s="108"/>
      <c r="G49" s="26"/>
      <c r="H49" s="108"/>
      <c r="I49" s="108"/>
      <c r="J49" s="30"/>
      <c r="K49" s="30"/>
      <c r="L49" s="116"/>
      <c r="M49" s="116"/>
    </row>
    <row r="50" spans="1:13" x14ac:dyDescent="0.2">
      <c r="A50" s="232" t="s">
        <v>6</v>
      </c>
      <c r="B50" s="253"/>
      <c r="C50" s="253"/>
      <c r="D50" s="198"/>
      <c r="E50" s="19"/>
      <c r="F50" s="108"/>
      <c r="G50" s="26"/>
      <c r="H50" s="108"/>
      <c r="I50" s="108"/>
      <c r="J50" s="26"/>
      <c r="K50" s="26"/>
      <c r="L50" s="116"/>
      <c r="M50" s="116"/>
    </row>
    <row r="51" spans="1:13" x14ac:dyDescent="0.2">
      <c r="A51" s="232" t="s">
        <v>7</v>
      </c>
      <c r="B51" s="253"/>
      <c r="C51" s="253"/>
      <c r="D51" s="198"/>
      <c r="E51" s="19"/>
      <c r="F51" s="108"/>
      <c r="G51" s="26"/>
      <c r="H51" s="108"/>
      <c r="I51" s="108"/>
      <c r="J51" s="26"/>
      <c r="K51" s="26"/>
      <c r="L51" s="116"/>
      <c r="M51" s="116"/>
    </row>
    <row r="52" spans="1:13" x14ac:dyDescent="0.2">
      <c r="A52" s="232" t="s">
        <v>8</v>
      </c>
      <c r="B52" s="253"/>
      <c r="C52" s="253"/>
      <c r="D52" s="198"/>
      <c r="E52" s="19"/>
      <c r="F52" s="108"/>
      <c r="G52" s="26"/>
      <c r="H52" s="108"/>
      <c r="I52" s="108"/>
      <c r="J52" s="26"/>
      <c r="K52" s="26"/>
      <c r="L52" s="116"/>
      <c r="M52" s="116"/>
    </row>
    <row r="53" spans="1:13" ht="15.75" x14ac:dyDescent="0.2">
      <c r="A53" s="10" t="s">
        <v>335</v>
      </c>
      <c r="B53" s="244">
        <v>29600</v>
      </c>
      <c r="C53" s="245">
        <v>28983.13</v>
      </c>
      <c r="D53" s="333">
        <f t="shared" si="15"/>
        <v>-2.1</v>
      </c>
      <c r="E53" s="8">
        <f>IFERROR(100/'Skjema total MA'!C53*C53,0)</f>
        <v>9.6144691545251355</v>
      </c>
      <c r="F53" s="108"/>
      <c r="G53" s="26"/>
      <c r="H53" s="108"/>
      <c r="I53" s="108"/>
      <c r="J53" s="26"/>
      <c r="K53" s="26"/>
      <c r="L53" s="116"/>
      <c r="M53" s="116"/>
    </row>
    <row r="54" spans="1:13" ht="15.75" x14ac:dyDescent="0.2">
      <c r="A54" s="17" t="s">
        <v>333</v>
      </c>
      <c r="B54" s="220">
        <v>29600</v>
      </c>
      <c r="C54" s="221">
        <v>28983.13</v>
      </c>
      <c r="D54" s="198">
        <f t="shared" si="15"/>
        <v>-2.1</v>
      </c>
      <c r="E54" s="22">
        <f>IFERROR(100/'Skjema total MA'!C54*C54,0)</f>
        <v>9.8423997941667221</v>
      </c>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v>38100</v>
      </c>
      <c r="C56" s="245">
        <v>19058.477999999999</v>
      </c>
      <c r="D56" s="333">
        <f t="shared" si="15"/>
        <v>-50</v>
      </c>
      <c r="E56" s="8">
        <f>IFERROR(100/'Skjema total MA'!C56*C56,0)</f>
        <v>20.28954600069682</v>
      </c>
      <c r="F56" s="108"/>
      <c r="G56" s="26"/>
      <c r="H56" s="108"/>
      <c r="I56" s="108"/>
      <c r="J56" s="26"/>
      <c r="K56" s="26"/>
      <c r="L56" s="116"/>
      <c r="M56" s="116"/>
    </row>
    <row r="57" spans="1:13" ht="15.75" x14ac:dyDescent="0.2">
      <c r="A57" s="17" t="s">
        <v>333</v>
      </c>
      <c r="B57" s="220">
        <v>38100</v>
      </c>
      <c r="C57" s="221">
        <v>19058.477999999999</v>
      </c>
      <c r="D57" s="198">
        <f t="shared" si="15"/>
        <v>-50</v>
      </c>
      <c r="E57" s="22">
        <f>IFERROR(100/'Skjema total MA'!C57*C57,0)</f>
        <v>20.28954600069682</v>
      </c>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v>1933879.05822</v>
      </c>
      <c r="C66" s="280">
        <v>2093910</v>
      </c>
      <c r="D66" s="277">
        <f t="shared" ref="D66:D111" si="16">IF(B66=0, "    ---- ", IF(ABS(ROUND(100/B66*C66-100,1))&lt;999,ROUND(100/B66*C66-100,1),IF(ROUND(100/B66*C66-100,1)&gt;999,999,-999)))</f>
        <v>8.3000000000000007</v>
      </c>
      <c r="E66" s="8">
        <f>IFERROR(100/'Skjema total MA'!C66*C66,0)</f>
        <v>27.877948320331136</v>
      </c>
      <c r="F66" s="279">
        <v>11721565</v>
      </c>
      <c r="G66" s="279">
        <v>12840791</v>
      </c>
      <c r="H66" s="277">
        <f t="shared" ref="H66:H111" si="17">IF(F66=0, "    ---- ", IF(ABS(ROUND(100/F66*G66-100,1))&lt;999,ROUND(100/F66*G66-100,1),IF(ROUND(100/F66*G66-100,1)&gt;999,999,-999)))</f>
        <v>9.5</v>
      </c>
      <c r="I66" s="8">
        <f>IFERROR(100/'Skjema total MA'!F66*G66,0)</f>
        <v>29.383764681291812</v>
      </c>
      <c r="J66" s="243">
        <f t="shared" ref="J66:K86" si="18">SUM(B66,F66)</f>
        <v>13655444.058219999</v>
      </c>
      <c r="K66" s="250">
        <f t="shared" si="18"/>
        <v>14934701</v>
      </c>
      <c r="L66" s="333">
        <f t="shared" ref="L66:L111" si="19">IF(J66=0, "    ---- ", IF(ABS(ROUND(100/J66*K66-100,1))&lt;999,ROUND(100/J66*K66-100,1),IF(ROUND(100/J66*K66-100,1)&gt;999,999,-999)))</f>
        <v>9.4</v>
      </c>
      <c r="M66" s="8">
        <f>IFERROR(100/'Skjema total MA'!I66*K66,0)</f>
        <v>29.162911549436718</v>
      </c>
    </row>
    <row r="67" spans="1:13" x14ac:dyDescent="0.2">
      <c r="A67" s="17" t="s">
        <v>9</v>
      </c>
      <c r="B67" s="35">
        <v>1556764</v>
      </c>
      <c r="C67" s="108">
        <v>1642148.8740000001</v>
      </c>
      <c r="D67" s="121">
        <f t="shared" si="16"/>
        <v>5.5</v>
      </c>
      <c r="E67" s="22">
        <f>IFERROR(100/'Skjema total MA'!C67*C67,0)</f>
        <v>40.711316846538104</v>
      </c>
      <c r="F67" s="178"/>
      <c r="G67" s="108"/>
      <c r="H67" s="121"/>
      <c r="I67" s="22"/>
      <c r="J67" s="226">
        <f t="shared" si="18"/>
        <v>1556764</v>
      </c>
      <c r="K67" s="35">
        <f t="shared" si="18"/>
        <v>1642148.8740000001</v>
      </c>
      <c r="L67" s="198">
        <f t="shared" si="19"/>
        <v>5.5</v>
      </c>
      <c r="M67" s="22">
        <f>IFERROR(100/'Skjema total MA'!I67*K67,0)</f>
        <v>40.711316846538104</v>
      </c>
    </row>
    <row r="68" spans="1:13" x14ac:dyDescent="0.2">
      <c r="A68" s="17" t="s">
        <v>10</v>
      </c>
      <c r="B68" s="229"/>
      <c r="C68" s="230"/>
      <c r="D68" s="121"/>
      <c r="E68" s="22"/>
      <c r="F68" s="229">
        <v>11721565</v>
      </c>
      <c r="G68" s="230">
        <v>12840791</v>
      </c>
      <c r="H68" s="121">
        <f t="shared" si="17"/>
        <v>9.5</v>
      </c>
      <c r="I68" s="22">
        <f>IFERROR(100/'Skjema total MA'!F68*G68,0)</f>
        <v>30.531548813753826</v>
      </c>
      <c r="J68" s="226">
        <f t="shared" si="18"/>
        <v>11721565</v>
      </c>
      <c r="K68" s="35">
        <f t="shared" si="18"/>
        <v>12840791</v>
      </c>
      <c r="L68" s="198">
        <f t="shared" si="19"/>
        <v>9.5</v>
      </c>
      <c r="M68" s="22">
        <f>IFERROR(100/'Skjema total MA'!I68*K68,0)</f>
        <v>30.51777206511974</v>
      </c>
    </row>
    <row r="69" spans="1:13" ht="15.75" x14ac:dyDescent="0.2">
      <c r="A69" s="232" t="s">
        <v>337</v>
      </c>
      <c r="B69" s="231"/>
      <c r="C69" s="231"/>
      <c r="D69" s="121"/>
      <c r="E69" s="325"/>
      <c r="F69" s="539"/>
      <c r="G69" s="231"/>
      <c r="H69" s="121"/>
      <c r="I69" s="325"/>
      <c r="J69" s="539"/>
      <c r="K69" s="231"/>
      <c r="L69" s="121"/>
      <c r="M69" s="19"/>
    </row>
    <row r="70" spans="1:13" x14ac:dyDescent="0.2">
      <c r="A70" s="232" t="s">
        <v>12</v>
      </c>
      <c r="B70" s="231"/>
      <c r="C70" s="231"/>
      <c r="D70" s="121"/>
      <c r="E70" s="325"/>
      <c r="F70" s="539"/>
      <c r="G70" s="231"/>
      <c r="H70" s="121"/>
      <c r="I70" s="325"/>
      <c r="J70" s="539"/>
      <c r="K70" s="231"/>
      <c r="L70" s="121"/>
      <c r="M70" s="19"/>
    </row>
    <row r="71" spans="1:13" x14ac:dyDescent="0.2">
      <c r="A71" s="232" t="s">
        <v>13</v>
      </c>
      <c r="B71" s="231"/>
      <c r="C71" s="231"/>
      <c r="D71" s="121"/>
      <c r="E71" s="325"/>
      <c r="F71" s="539"/>
      <c r="G71" s="231"/>
      <c r="H71" s="121"/>
      <c r="I71" s="325"/>
      <c r="J71" s="539"/>
      <c r="K71" s="231"/>
      <c r="L71" s="121"/>
      <c r="M71" s="19"/>
    </row>
    <row r="72" spans="1:13" ht="15.75" x14ac:dyDescent="0.2">
      <c r="A72" s="232" t="s">
        <v>338</v>
      </c>
      <c r="B72" s="231"/>
      <c r="C72" s="231"/>
      <c r="D72" s="121"/>
      <c r="E72" s="325"/>
      <c r="F72" s="539"/>
      <c r="G72" s="231"/>
      <c r="H72" s="121"/>
      <c r="I72" s="325"/>
      <c r="J72" s="539"/>
      <c r="K72" s="231"/>
      <c r="L72" s="121"/>
      <c r="M72" s="19"/>
    </row>
    <row r="73" spans="1:13" x14ac:dyDescent="0.2">
      <c r="A73" s="232" t="s">
        <v>12</v>
      </c>
      <c r="B73" s="231"/>
      <c r="C73" s="231"/>
      <c r="D73" s="121"/>
      <c r="E73" s="325"/>
      <c r="F73" s="539"/>
      <c r="G73" s="231"/>
      <c r="H73" s="121"/>
      <c r="I73" s="325"/>
      <c r="J73" s="539"/>
      <c r="K73" s="231"/>
      <c r="L73" s="121"/>
      <c r="M73" s="19"/>
    </row>
    <row r="74" spans="1:13" x14ac:dyDescent="0.2">
      <c r="A74" s="232" t="s">
        <v>13</v>
      </c>
      <c r="B74" s="231"/>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v>377115.05822000001</v>
      </c>
      <c r="C76" s="108">
        <v>451761.12599999999</v>
      </c>
      <c r="D76" s="121">
        <f t="shared" ref="D76" si="20">IF(B76=0, "    ---- ", IF(ABS(ROUND(100/B76*C76-100,1))&lt;999,ROUND(100/B76*C76-100,1),IF(ROUND(100/B76*C76-100,1)&gt;999,999,-999)))</f>
        <v>19.8</v>
      </c>
      <c r="E76" s="22">
        <f>IFERROR(100/'Skjema total MA'!C76*C76,0)</f>
        <v>16.690322043950481</v>
      </c>
      <c r="F76" s="178"/>
      <c r="G76" s="108"/>
      <c r="H76" s="121"/>
      <c r="I76" s="22"/>
      <c r="J76" s="226">
        <f t="shared" ref="J76" si="21">SUM(B76,F76)</f>
        <v>377115.05822000001</v>
      </c>
      <c r="K76" s="35">
        <f t="shared" ref="K76" si="22">SUM(C76,G76)</f>
        <v>451761.12599999999</v>
      </c>
      <c r="L76" s="198">
        <f t="shared" ref="L76" si="23">IF(J76=0, "    ---- ", IF(ABS(ROUND(100/J76*K76-100,1))&lt;999,ROUND(100/J76*K76-100,1),IF(ROUND(100/J76*K76-100,1)&gt;999,999,-999)))</f>
        <v>19.8</v>
      </c>
      <c r="M76" s="22">
        <f>IFERROR(100/'Skjema total MA'!I76*K76,0)</f>
        <v>16.690322043950481</v>
      </c>
    </row>
    <row r="77" spans="1:13" ht="15.75" x14ac:dyDescent="0.2">
      <c r="A77" s="17" t="s">
        <v>339</v>
      </c>
      <c r="B77" s="178">
        <v>1532510</v>
      </c>
      <c r="C77" s="178">
        <v>1619655.0959999999</v>
      </c>
      <c r="D77" s="121">
        <f t="shared" si="16"/>
        <v>5.7</v>
      </c>
      <c r="E77" s="22">
        <f>IFERROR(100/'Skjema total MA'!C77*C77,0)</f>
        <v>40.892586140219485</v>
      </c>
      <c r="F77" s="178">
        <v>11721565</v>
      </c>
      <c r="G77" s="108">
        <v>12840791</v>
      </c>
      <c r="H77" s="121">
        <f t="shared" si="17"/>
        <v>9.5</v>
      </c>
      <c r="I77" s="22">
        <f>IFERROR(100/'Skjema total MA'!F77*G77,0)</f>
        <v>30.539060337908484</v>
      </c>
      <c r="J77" s="226">
        <f t="shared" si="18"/>
        <v>13254075</v>
      </c>
      <c r="K77" s="35">
        <f t="shared" si="18"/>
        <v>14460446.096000001</v>
      </c>
      <c r="L77" s="198">
        <f t="shared" si="19"/>
        <v>9.1</v>
      </c>
      <c r="M77" s="22">
        <f>IFERROR(100/'Skjema total MA'!I77*K77,0)</f>
        <v>31.430381454634972</v>
      </c>
    </row>
    <row r="78" spans="1:13" x14ac:dyDescent="0.2">
      <c r="A78" s="17" t="s">
        <v>9</v>
      </c>
      <c r="B78" s="178">
        <v>1532510</v>
      </c>
      <c r="C78" s="108">
        <v>1619655.0959999999</v>
      </c>
      <c r="D78" s="121">
        <f t="shared" si="16"/>
        <v>5.7</v>
      </c>
      <c r="E78" s="22">
        <f>IFERROR(100/'Skjema total MA'!C78*C78,0)</f>
        <v>41.089551697583346</v>
      </c>
      <c r="F78" s="178"/>
      <c r="G78" s="108"/>
      <c r="H78" s="121"/>
      <c r="I78" s="22"/>
      <c r="J78" s="226">
        <f t="shared" si="18"/>
        <v>1532510</v>
      </c>
      <c r="K78" s="35">
        <f t="shared" si="18"/>
        <v>1619655.0959999999</v>
      </c>
      <c r="L78" s="198">
        <f t="shared" si="19"/>
        <v>5.7</v>
      </c>
      <c r="M78" s="22">
        <f>IFERROR(100/'Skjema total MA'!I78*K78,0)</f>
        <v>41.089551697583346</v>
      </c>
    </row>
    <row r="79" spans="1:13" x14ac:dyDescent="0.2">
      <c r="A79" s="17" t="s">
        <v>366</v>
      </c>
      <c r="B79" s="229"/>
      <c r="C79" s="230"/>
      <c r="D79" s="121"/>
      <c r="E79" s="22"/>
      <c r="F79" s="229">
        <v>11721565</v>
      </c>
      <c r="G79" s="230">
        <v>12840791</v>
      </c>
      <c r="H79" s="121">
        <f t="shared" si="17"/>
        <v>9.5</v>
      </c>
      <c r="I79" s="22">
        <f>IFERROR(100/'Skjema total MA'!F79*G79,0)</f>
        <v>30.539060337908484</v>
      </c>
      <c r="J79" s="226">
        <f t="shared" si="18"/>
        <v>11721565</v>
      </c>
      <c r="K79" s="35">
        <f t="shared" si="18"/>
        <v>12840791</v>
      </c>
      <c r="L79" s="198">
        <f t="shared" si="19"/>
        <v>9.5</v>
      </c>
      <c r="M79" s="22">
        <f>IFERROR(100/'Skjema total MA'!I79*K79,0)</f>
        <v>30.525276811121643</v>
      </c>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v>24253.888999999999</v>
      </c>
      <c r="C86" s="108">
        <v>22493.777999999998</v>
      </c>
      <c r="D86" s="121">
        <f t="shared" si="16"/>
        <v>-7.3</v>
      </c>
      <c r="E86" s="22">
        <f>IFERROR(100/'Skjema total MA'!C86*C86,0)</f>
        <v>24.483417273548984</v>
      </c>
      <c r="F86" s="178"/>
      <c r="G86" s="108"/>
      <c r="H86" s="121"/>
      <c r="I86" s="22"/>
      <c r="J86" s="226">
        <f t="shared" si="18"/>
        <v>24253.888999999999</v>
      </c>
      <c r="K86" s="35">
        <f t="shared" si="18"/>
        <v>22493.777999999998</v>
      </c>
      <c r="L86" s="198">
        <f t="shared" si="19"/>
        <v>-7.3</v>
      </c>
      <c r="M86" s="22">
        <f>IFERROR(100/'Skjema total MA'!I86*K86,0)</f>
        <v>22.005656881210598</v>
      </c>
    </row>
    <row r="87" spans="1:13" ht="15.75" x14ac:dyDescent="0.2">
      <c r="A87" s="10" t="s">
        <v>322</v>
      </c>
      <c r="B87" s="280">
        <v>153929927.99984998</v>
      </c>
      <c r="C87" s="280">
        <v>153782448.34509203</v>
      </c>
      <c r="D87" s="125">
        <f t="shared" si="16"/>
        <v>-0.1</v>
      </c>
      <c r="E87" s="8">
        <f>IFERROR(100/'Skjema total MA'!C87*C87,0)</f>
        <v>37.175923020923811</v>
      </c>
      <c r="F87" s="279">
        <v>182602400.04978999</v>
      </c>
      <c r="G87" s="279">
        <v>217885181.11202499</v>
      </c>
      <c r="H87" s="125">
        <f t="shared" si="17"/>
        <v>19.3</v>
      </c>
      <c r="I87" s="8">
        <f>IFERROR(100/'Skjema total MA'!F87*G87,0)</f>
        <v>28.856667374525649</v>
      </c>
      <c r="J87" s="243">
        <f t="shared" ref="J87:K111" si="24">SUM(B87,F87)</f>
        <v>336532328.04963994</v>
      </c>
      <c r="K87" s="180">
        <f t="shared" si="24"/>
        <v>371667629.45711702</v>
      </c>
      <c r="L87" s="333">
        <f t="shared" si="19"/>
        <v>10.4</v>
      </c>
      <c r="M87" s="8">
        <f>IFERROR(100/'Skjema total MA'!I87*K87,0)</f>
        <v>31.801214052336039</v>
      </c>
    </row>
    <row r="88" spans="1:13" x14ac:dyDescent="0.2">
      <c r="A88" s="17" t="s">
        <v>9</v>
      </c>
      <c r="B88" s="178">
        <v>153789320.34799999</v>
      </c>
      <c r="C88" s="108">
        <v>153645824.58399999</v>
      </c>
      <c r="D88" s="121">
        <f t="shared" si="16"/>
        <v>-0.1</v>
      </c>
      <c r="E88" s="22">
        <f>IFERROR(100/'Skjema total MA'!C88*C88,0)</f>
        <v>39.644180205008354</v>
      </c>
      <c r="F88" s="178"/>
      <c r="G88" s="108"/>
      <c r="H88" s="121"/>
      <c r="I88" s="22"/>
      <c r="J88" s="226">
        <f t="shared" si="24"/>
        <v>153789320.34799999</v>
      </c>
      <c r="K88" s="35">
        <f t="shared" si="24"/>
        <v>153645824.58399999</v>
      </c>
      <c r="L88" s="198">
        <f t="shared" si="19"/>
        <v>-0.1</v>
      </c>
      <c r="M88" s="22">
        <f>IFERROR(100/'Skjema total MA'!I88*K88,0)</f>
        <v>39.644180205008354</v>
      </c>
    </row>
    <row r="89" spans="1:13" x14ac:dyDescent="0.2">
      <c r="A89" s="17" t="s">
        <v>10</v>
      </c>
      <c r="B89" s="178">
        <v>83938</v>
      </c>
      <c r="C89" s="108">
        <v>79845.072462029901</v>
      </c>
      <c r="D89" s="121">
        <f t="shared" si="16"/>
        <v>-4.9000000000000004</v>
      </c>
      <c r="E89" s="22">
        <f>IFERROR(100/'Skjema total MA'!C89*C89,0)</f>
        <v>1.9317419881046971</v>
      </c>
      <c r="F89" s="178">
        <v>182602400.04978999</v>
      </c>
      <c r="G89" s="108">
        <v>217885181.11202499</v>
      </c>
      <c r="H89" s="121">
        <f t="shared" si="17"/>
        <v>19.3</v>
      </c>
      <c r="I89" s="22">
        <f>IFERROR(100/'Skjema total MA'!F89*G89,0)</f>
        <v>29.322845972355065</v>
      </c>
      <c r="J89" s="226">
        <f t="shared" si="24"/>
        <v>182686338.04978999</v>
      </c>
      <c r="K89" s="35">
        <f t="shared" si="24"/>
        <v>217965026.18448702</v>
      </c>
      <c r="L89" s="198">
        <f t="shared" si="19"/>
        <v>19.3</v>
      </c>
      <c r="M89" s="22">
        <f>IFERROR(100/'Skjema total MA'!I89*K89,0)</f>
        <v>29.171323219629983</v>
      </c>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v>56669.651850000002</v>
      </c>
      <c r="C97" s="108">
        <v>56778.688629999997</v>
      </c>
      <c r="D97" s="121">
        <f t="shared" ref="D97" si="25">IF(B97=0, "    ---- ", IF(ABS(ROUND(100/B97*C97-100,1))&lt;999,ROUND(100/B97*C97-100,1),IF(ROUND(100/B97*C97-100,1)&gt;999,999,-999)))</f>
        <v>0.2</v>
      </c>
      <c r="E97" s="22">
        <f>IFERROR(100/'Skjema total MA'!C98*C97,0)</f>
        <v>1.4648860194337006E-2</v>
      </c>
      <c r="F97" s="178"/>
      <c r="G97" s="108"/>
      <c r="H97" s="121"/>
      <c r="I97" s="22"/>
      <c r="J97" s="226">
        <f t="shared" ref="J97" si="26">SUM(B97,F97)</f>
        <v>56669.651850000002</v>
      </c>
      <c r="K97" s="35">
        <f t="shared" ref="K97" si="27">SUM(C97,G97)</f>
        <v>56778.688629999997</v>
      </c>
      <c r="L97" s="198">
        <f t="shared" ref="L97" si="28">IF(J97=0, "    ---- ", IF(ABS(ROUND(100/J97*K97-100,1))&lt;999,ROUND(100/J97*K97-100,1),IF(ROUND(100/J97*K97-100,1)&gt;999,999,-999)))</f>
        <v>0.2</v>
      </c>
      <c r="M97" s="22">
        <f>IFERROR(100/'Skjema total MA'!I98*K97,0)</f>
        <v>5.023597977890132E-3</v>
      </c>
    </row>
    <row r="98" spans="1:13" ht="15.75" x14ac:dyDescent="0.2">
      <c r="A98" s="17" t="s">
        <v>339</v>
      </c>
      <c r="B98" s="178">
        <v>152743571.34815001</v>
      </c>
      <c r="C98" s="178">
        <v>152624591.24569601</v>
      </c>
      <c r="D98" s="121">
        <f t="shared" si="16"/>
        <v>-0.1</v>
      </c>
      <c r="E98" s="22">
        <f>IFERROR(100/'Skjema total MA'!C98*C98,0)</f>
        <v>39.377033061568838</v>
      </c>
      <c r="F98" s="229">
        <v>182303028</v>
      </c>
      <c r="G98" s="229">
        <v>217578461</v>
      </c>
      <c r="H98" s="121">
        <f t="shared" si="17"/>
        <v>19.3</v>
      </c>
      <c r="I98" s="22">
        <f>IFERROR(100/'Skjema total MA'!F98*G98,0)</f>
        <v>29.297912950666916</v>
      </c>
      <c r="J98" s="226">
        <f t="shared" si="24"/>
        <v>335046599.34815001</v>
      </c>
      <c r="K98" s="35">
        <f t="shared" si="24"/>
        <v>370203052.24569601</v>
      </c>
      <c r="L98" s="198">
        <f t="shared" si="19"/>
        <v>10.5</v>
      </c>
      <c r="M98" s="22">
        <f>IFERROR(100/'Skjema total MA'!I98*K98,0)</f>
        <v>32.754389887187386</v>
      </c>
    </row>
    <row r="99" spans="1:13" x14ac:dyDescent="0.2">
      <c r="A99" s="17" t="s">
        <v>9</v>
      </c>
      <c r="B99" s="229">
        <v>152659633.34815001</v>
      </c>
      <c r="C99" s="230">
        <v>152544746.17323399</v>
      </c>
      <c r="D99" s="121">
        <f t="shared" si="16"/>
        <v>-0.1</v>
      </c>
      <c r="E99" s="22">
        <f>IFERROR(100/'Skjema total MA'!C99*C99,0)</f>
        <v>39.780651358710728</v>
      </c>
      <c r="F99" s="178"/>
      <c r="G99" s="108"/>
      <c r="H99" s="121"/>
      <c r="I99" s="22"/>
      <c r="J99" s="226">
        <f t="shared" si="24"/>
        <v>152659633.34815001</v>
      </c>
      <c r="K99" s="35">
        <f t="shared" si="24"/>
        <v>152544746.17323399</v>
      </c>
      <c r="L99" s="198">
        <f t="shared" si="19"/>
        <v>-0.1</v>
      </c>
      <c r="M99" s="22">
        <f>IFERROR(100/'Skjema total MA'!I99*K99,0)</f>
        <v>39.780651358710728</v>
      </c>
    </row>
    <row r="100" spans="1:13" x14ac:dyDescent="0.2">
      <c r="A100" s="17" t="s">
        <v>366</v>
      </c>
      <c r="B100" s="229">
        <v>83938</v>
      </c>
      <c r="C100" s="230">
        <v>79845.072462029901</v>
      </c>
      <c r="D100" s="121">
        <f t="shared" si="16"/>
        <v>-4.9000000000000004</v>
      </c>
      <c r="E100" s="22">
        <f>IFERROR(100/'Skjema total MA'!C100*C100,0)</f>
        <v>1.9317419881046971</v>
      </c>
      <c r="F100" s="178">
        <v>182303028</v>
      </c>
      <c r="G100" s="178">
        <v>217578461</v>
      </c>
      <c r="H100" s="121">
        <f t="shared" si="17"/>
        <v>19.3</v>
      </c>
      <c r="I100" s="22">
        <f>IFERROR(100/'Skjema total MA'!F100*G100,0)</f>
        <v>29.297912950666916</v>
      </c>
      <c r="J100" s="226">
        <f t="shared" si="24"/>
        <v>182386966</v>
      </c>
      <c r="K100" s="35">
        <f t="shared" si="24"/>
        <v>217658306.07246202</v>
      </c>
      <c r="L100" s="198">
        <f t="shared" si="19"/>
        <v>19.3</v>
      </c>
      <c r="M100" s="22">
        <f>IFERROR(100/'Skjema total MA'!I100*K100,0)</f>
        <v>29.146444086691375</v>
      </c>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v>1129687.1470000001</v>
      </c>
      <c r="C107" s="108">
        <v>1101078.4110000001</v>
      </c>
      <c r="D107" s="121">
        <f t="shared" si="16"/>
        <v>-2.5</v>
      </c>
      <c r="E107" s="22">
        <f>IFERROR(100/'Skjema total MA'!C107*C107,0)</f>
        <v>26.87234020544647</v>
      </c>
      <c r="F107" s="178">
        <v>299371.549</v>
      </c>
      <c r="G107" s="108">
        <v>306719.984235015</v>
      </c>
      <c r="H107" s="121">
        <f t="shared" si="17"/>
        <v>2.5</v>
      </c>
      <c r="I107" s="22">
        <f>IFERROR(100/'Skjema total MA'!F107*G107,0)</f>
        <v>73.989115327600757</v>
      </c>
      <c r="J107" s="226">
        <f t="shared" si="24"/>
        <v>1429058.696</v>
      </c>
      <c r="K107" s="35">
        <f t="shared" si="24"/>
        <v>1407798.3952350151</v>
      </c>
      <c r="L107" s="198">
        <f t="shared" si="19"/>
        <v>-1.5</v>
      </c>
      <c r="M107" s="22">
        <f>IFERROR(100/'Skjema total MA'!I107*K107,0)</f>
        <v>31.201282264146851</v>
      </c>
    </row>
    <row r="108" spans="1:13" ht="15.75" x14ac:dyDescent="0.2">
      <c r="A108" s="17" t="s">
        <v>341</v>
      </c>
      <c r="B108" s="178">
        <v>133633795</v>
      </c>
      <c r="C108" s="178">
        <v>132528515.70242301</v>
      </c>
      <c r="D108" s="121">
        <f t="shared" si="16"/>
        <v>-0.8</v>
      </c>
      <c r="E108" s="22">
        <f>IFERROR(100/'Skjema total MA'!C108*C108,0)</f>
        <v>39.914226838918729</v>
      </c>
      <c r="F108" s="178">
        <v>1796320.9909999999</v>
      </c>
      <c r="G108" s="178">
        <v>2682359.9353903499</v>
      </c>
      <c r="H108" s="121">
        <f t="shared" si="17"/>
        <v>49.3</v>
      </c>
      <c r="I108" s="22">
        <f>IFERROR(100/'Skjema total MA'!F108*G108,0)</f>
        <v>10.549279485780579</v>
      </c>
      <c r="J108" s="226">
        <f t="shared" si="24"/>
        <v>135430115.991</v>
      </c>
      <c r="K108" s="35">
        <f t="shared" si="24"/>
        <v>135210875.63781336</v>
      </c>
      <c r="L108" s="198">
        <f t="shared" si="19"/>
        <v>-0.2</v>
      </c>
      <c r="M108" s="22">
        <f>IFERROR(100/'Skjema total MA'!I108*K108,0)</f>
        <v>37.825432147947353</v>
      </c>
    </row>
    <row r="109" spans="1:13" ht="15.75" x14ac:dyDescent="0.2">
      <c r="A109" s="17" t="s">
        <v>374</v>
      </c>
      <c r="B109" s="178">
        <v>83938</v>
      </c>
      <c r="C109" s="178">
        <v>79845.072462029901</v>
      </c>
      <c r="D109" s="121">
        <f t="shared" si="16"/>
        <v>-4.9000000000000004</v>
      </c>
      <c r="E109" s="22">
        <f>IFERROR(100/'Skjema total MA'!C109*C109,0)</f>
        <v>3.0251647719900734</v>
      </c>
      <c r="F109" s="178">
        <v>68601391</v>
      </c>
      <c r="G109" s="178">
        <v>83170025</v>
      </c>
      <c r="H109" s="121">
        <f t="shared" si="17"/>
        <v>21.2</v>
      </c>
      <c r="I109" s="22">
        <f>IFERROR(100/'Skjema total MA'!F109*G109,0)</f>
        <v>28.713758311091997</v>
      </c>
      <c r="J109" s="226">
        <f t="shared" si="24"/>
        <v>68685329</v>
      </c>
      <c r="K109" s="35">
        <f t="shared" si="24"/>
        <v>83249870.072462037</v>
      </c>
      <c r="L109" s="198">
        <f t="shared" si="19"/>
        <v>21.2</v>
      </c>
      <c r="M109" s="22">
        <f>IFERROR(100/'Skjema total MA'!I109*K109,0)</f>
        <v>28.481792931320964</v>
      </c>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v>202923</v>
      </c>
      <c r="C111" s="116">
        <v>176066.51128999999</v>
      </c>
      <c r="D111" s="125">
        <f t="shared" si="16"/>
        <v>-13.2</v>
      </c>
      <c r="E111" s="8">
        <f>IFERROR(100/'Skjema total MA'!C111*C111,0)</f>
        <v>9.0798041227537194</v>
      </c>
      <c r="F111" s="242">
        <v>11562052</v>
      </c>
      <c r="G111" s="116">
        <v>16989120.715410002</v>
      </c>
      <c r="H111" s="125">
        <f t="shared" si="17"/>
        <v>46.9</v>
      </c>
      <c r="I111" s="8">
        <f>IFERROR(100/'Skjema total MA'!F111*G111,0)</f>
        <v>32.578093427657294</v>
      </c>
      <c r="J111" s="243">
        <f t="shared" si="24"/>
        <v>11764975</v>
      </c>
      <c r="K111" s="180">
        <f t="shared" si="24"/>
        <v>17165187.2267</v>
      </c>
      <c r="L111" s="333">
        <f t="shared" si="19"/>
        <v>45.9</v>
      </c>
      <c r="M111" s="8">
        <f>IFERROR(100/'Skjema total MA'!I111*K111,0)</f>
        <v>31.735660143089998</v>
      </c>
    </row>
    <row r="112" spans="1:13" x14ac:dyDescent="0.2">
      <c r="A112" s="17" t="s">
        <v>9</v>
      </c>
      <c r="B112" s="178">
        <v>202923</v>
      </c>
      <c r="C112" s="108">
        <v>176066.51128999999</v>
      </c>
      <c r="D112" s="121">
        <f t="shared" ref="D112:D124" si="29">IF(B112=0, "    ---- ", IF(ABS(ROUND(100/B112*C112-100,1))&lt;999,ROUND(100/B112*C112-100,1),IF(ROUND(100/B112*C112-100,1)&gt;999,999,-999)))</f>
        <v>-13.2</v>
      </c>
      <c r="E112" s="22">
        <f>IFERROR(100/'Skjema total MA'!C112*C112,0)</f>
        <v>9.8596298102397402</v>
      </c>
      <c r="F112" s="178"/>
      <c r="G112" s="108"/>
      <c r="H112" s="121"/>
      <c r="I112" s="22"/>
      <c r="J112" s="226">
        <f t="shared" ref="J112:K125" si="30">SUM(B112,F112)</f>
        <v>202923</v>
      </c>
      <c r="K112" s="35">
        <f t="shared" si="30"/>
        <v>176066.51128999999</v>
      </c>
      <c r="L112" s="198">
        <f t="shared" ref="L112:L125" si="31">IF(J112=0, "    ---- ", IF(ABS(ROUND(100/J112*K112-100,1))&lt;999,ROUND(100/J112*K112-100,1),IF(ROUND(100/J112*K112-100,1)&gt;999,999,-999)))</f>
        <v>-13.2</v>
      </c>
      <c r="M112" s="22">
        <f>IFERROR(100/'Skjema total MA'!I112*K112,0)</f>
        <v>9.8325571337488835</v>
      </c>
    </row>
    <row r="113" spans="1:13" x14ac:dyDescent="0.2">
      <c r="A113" s="17" t="s">
        <v>10</v>
      </c>
      <c r="B113" s="178"/>
      <c r="C113" s="108"/>
      <c r="D113" s="121"/>
      <c r="E113" s="22"/>
      <c r="F113" s="178">
        <v>11562052</v>
      </c>
      <c r="G113" s="108">
        <v>16989120.715410002</v>
      </c>
      <c r="H113" s="121">
        <f t="shared" ref="H113:H125" si="32">IF(F113=0, "    ---- ", IF(ABS(ROUND(100/F113*G113-100,1))&lt;999,ROUND(100/F113*G113-100,1),IF(ROUND(100/F113*G113-100,1)&gt;999,999,-999)))</f>
        <v>46.9</v>
      </c>
      <c r="I113" s="22">
        <f>IFERROR(100/'Skjema total MA'!F113*G113,0)</f>
        <v>32.581165293465915</v>
      </c>
      <c r="J113" s="226">
        <f t="shared" si="30"/>
        <v>11562052</v>
      </c>
      <c r="K113" s="35">
        <f t="shared" si="30"/>
        <v>16989120.715410002</v>
      </c>
      <c r="L113" s="198">
        <f t="shared" si="31"/>
        <v>46.9</v>
      </c>
      <c r="M113" s="22">
        <f>IFERROR(100/'Skjema total MA'!I113*K113,0)</f>
        <v>32.562836389873752</v>
      </c>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v>27400</v>
      </c>
      <c r="C116" s="178">
        <v>30206.471870000001</v>
      </c>
      <c r="D116" s="121">
        <f t="shared" si="29"/>
        <v>10.199999999999999</v>
      </c>
      <c r="E116" s="22">
        <f>IFERROR(100/'Skjema total MA'!C116*C116,0)</f>
        <v>3.2608582876160166</v>
      </c>
      <c r="F116" s="178"/>
      <c r="G116" s="178"/>
      <c r="H116" s="121"/>
      <c r="I116" s="22"/>
      <c r="J116" s="226">
        <f t="shared" si="30"/>
        <v>27400</v>
      </c>
      <c r="K116" s="35">
        <f t="shared" si="30"/>
        <v>30206.471870000001</v>
      </c>
      <c r="L116" s="198">
        <f t="shared" si="31"/>
        <v>10.199999999999999</v>
      </c>
      <c r="M116" s="22">
        <f>IFERROR(100/'Skjema total MA'!I116*K116,0)</f>
        <v>3.2436417557750929</v>
      </c>
    </row>
    <row r="117" spans="1:13" ht="15.75" x14ac:dyDescent="0.2">
      <c r="A117" s="17" t="s">
        <v>374</v>
      </c>
      <c r="B117" s="178"/>
      <c r="C117" s="178"/>
      <c r="D117" s="121"/>
      <c r="E117" s="22"/>
      <c r="F117" s="178">
        <v>8803377.0859999992</v>
      </c>
      <c r="G117" s="178">
        <v>11753946.43627</v>
      </c>
      <c r="H117" s="121">
        <f t="shared" si="32"/>
        <v>33.5</v>
      </c>
      <c r="I117" s="22">
        <f>IFERROR(100/'Skjema total MA'!F117*G117,0)</f>
        <v>37.282384695978458</v>
      </c>
      <c r="J117" s="226">
        <f t="shared" si="30"/>
        <v>8803377.0859999992</v>
      </c>
      <c r="K117" s="35">
        <f t="shared" si="30"/>
        <v>11753946.43627</v>
      </c>
      <c r="L117" s="198">
        <f t="shared" si="31"/>
        <v>33.5</v>
      </c>
      <c r="M117" s="22">
        <f>IFERROR(100/'Skjema total MA'!I117*K117,0)</f>
        <v>37.282384695978458</v>
      </c>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v>69501</v>
      </c>
      <c r="C119" s="116">
        <v>79599.185440000001</v>
      </c>
      <c r="D119" s="125">
        <f t="shared" si="29"/>
        <v>14.5</v>
      </c>
      <c r="E119" s="8">
        <f>IFERROR(100/'Skjema total MA'!C119*C119,0)</f>
        <v>14.992691547106125</v>
      </c>
      <c r="F119" s="242">
        <v>13007016</v>
      </c>
      <c r="G119" s="116">
        <v>15801568.62614</v>
      </c>
      <c r="H119" s="125">
        <f t="shared" si="32"/>
        <v>21.5</v>
      </c>
      <c r="I119" s="8">
        <f>IFERROR(100/'Skjema total MA'!F119*G119,0)</f>
        <v>28.91346857560147</v>
      </c>
      <c r="J119" s="243">
        <f t="shared" si="30"/>
        <v>13076517</v>
      </c>
      <c r="K119" s="180">
        <f t="shared" si="30"/>
        <v>15881167.81158</v>
      </c>
      <c r="L119" s="333">
        <f t="shared" si="31"/>
        <v>21.4</v>
      </c>
      <c r="M119" s="8">
        <f>IFERROR(100/'Skjema total MA'!I119*K119,0)</f>
        <v>28.779533658779567</v>
      </c>
    </row>
    <row r="120" spans="1:13" x14ac:dyDescent="0.2">
      <c r="A120" s="17" t="s">
        <v>9</v>
      </c>
      <c r="B120" s="178">
        <v>69501</v>
      </c>
      <c r="C120" s="108">
        <v>79599.185440000001</v>
      </c>
      <c r="D120" s="121">
        <f t="shared" si="29"/>
        <v>14.5</v>
      </c>
      <c r="E120" s="22">
        <f>IFERROR(100/'Skjema total MA'!C120*C120,0)</f>
        <v>47.219326776175357</v>
      </c>
      <c r="F120" s="178"/>
      <c r="G120" s="108"/>
      <c r="H120" s="121"/>
      <c r="I120" s="22"/>
      <c r="J120" s="226">
        <f t="shared" si="30"/>
        <v>69501</v>
      </c>
      <c r="K120" s="35">
        <f t="shared" si="30"/>
        <v>79599.185440000001</v>
      </c>
      <c r="L120" s="198">
        <f t="shared" si="31"/>
        <v>14.5</v>
      </c>
      <c r="M120" s="22">
        <f>IFERROR(100/'Skjema total MA'!I120*K120,0)</f>
        <v>47.219326776175357</v>
      </c>
    </row>
    <row r="121" spans="1:13" x14ac:dyDescent="0.2">
      <c r="A121" s="17" t="s">
        <v>10</v>
      </c>
      <c r="B121" s="178"/>
      <c r="C121" s="108"/>
      <c r="D121" s="121"/>
      <c r="E121" s="22"/>
      <c r="F121" s="178">
        <v>13007016</v>
      </c>
      <c r="G121" s="108">
        <v>15801568.62614</v>
      </c>
      <c r="H121" s="121">
        <f t="shared" si="32"/>
        <v>21.5</v>
      </c>
      <c r="I121" s="22">
        <f>IFERROR(100/'Skjema total MA'!F121*G121,0)</f>
        <v>28.91346857560147</v>
      </c>
      <c r="J121" s="226">
        <f t="shared" si="30"/>
        <v>13007016</v>
      </c>
      <c r="K121" s="35">
        <f t="shared" si="30"/>
        <v>15801568.62614</v>
      </c>
      <c r="L121" s="198">
        <f t="shared" si="31"/>
        <v>21.5</v>
      </c>
      <c r="M121" s="22">
        <f>IFERROR(100/'Skjema total MA'!I121*K121,0)</f>
        <v>28.8907282985484</v>
      </c>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v>18162</v>
      </c>
      <c r="C124" s="178">
        <v>19149.361000000001</v>
      </c>
      <c r="D124" s="121">
        <f t="shared" si="29"/>
        <v>5.4</v>
      </c>
      <c r="E124" s="22">
        <f>IFERROR(100/'Skjema total MA'!C124*C124,0)</f>
        <v>80.674395573789553</v>
      </c>
      <c r="F124" s="178"/>
      <c r="G124" s="178"/>
      <c r="H124" s="121"/>
      <c r="I124" s="22"/>
      <c r="J124" s="226">
        <f t="shared" si="30"/>
        <v>18162</v>
      </c>
      <c r="K124" s="35">
        <f t="shared" si="30"/>
        <v>19149.361000000001</v>
      </c>
      <c r="L124" s="198">
        <f t="shared" si="31"/>
        <v>5.4</v>
      </c>
      <c r="M124" s="22">
        <f>IFERROR(100/'Skjema total MA'!I124*K124,0)</f>
        <v>28.749627518506365</v>
      </c>
    </row>
    <row r="125" spans="1:13" ht="15.75" x14ac:dyDescent="0.2">
      <c r="A125" s="17" t="s">
        <v>374</v>
      </c>
      <c r="B125" s="178"/>
      <c r="C125" s="178"/>
      <c r="D125" s="121"/>
      <c r="E125" s="22"/>
      <c r="F125" s="178">
        <v>9036732.8249999993</v>
      </c>
      <c r="G125" s="178">
        <v>11065739.504969999</v>
      </c>
      <c r="H125" s="121">
        <f t="shared" si="32"/>
        <v>22.5</v>
      </c>
      <c r="I125" s="22">
        <f>IFERROR(100/'Skjema total MA'!F125*G125,0)</f>
        <v>37.456866894953457</v>
      </c>
      <c r="J125" s="226">
        <f t="shared" si="30"/>
        <v>9036732.8249999993</v>
      </c>
      <c r="K125" s="35">
        <f t="shared" si="30"/>
        <v>11065739.504969999</v>
      </c>
      <c r="L125" s="198">
        <f t="shared" si="31"/>
        <v>22.5</v>
      </c>
      <c r="M125" s="22">
        <f>IFERROR(100/'Skjema total MA'!I125*K125,0)</f>
        <v>37.454539087483191</v>
      </c>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442" priority="12">
      <formula>kvartal &lt; 4</formula>
    </cfRule>
  </conditionalFormatting>
  <conditionalFormatting sqref="A69:A74">
    <cfRule type="expression" dxfId="441" priority="10">
      <formula>kvartal &lt; 4</formula>
    </cfRule>
  </conditionalFormatting>
  <conditionalFormatting sqref="A80:A85">
    <cfRule type="expression" dxfId="440" priority="9">
      <formula>kvartal &lt; 4</formula>
    </cfRule>
  </conditionalFormatting>
  <conditionalFormatting sqref="A90:A95">
    <cfRule type="expression" dxfId="439" priority="6">
      <formula>kvartal &lt; 4</formula>
    </cfRule>
  </conditionalFormatting>
  <conditionalFormatting sqref="A101:A106">
    <cfRule type="expression" dxfId="438" priority="5">
      <formula>kvartal &lt; 4</formula>
    </cfRule>
  </conditionalFormatting>
  <conditionalFormatting sqref="A115:C115">
    <cfRule type="expression" dxfId="437" priority="4">
      <formula>kvartal &lt; 4</formula>
    </cfRule>
  </conditionalFormatting>
  <conditionalFormatting sqref="A123:C123">
    <cfRule type="expression" dxfId="436" priority="3">
      <formula>kvartal &lt; 4</formula>
    </cfRule>
  </conditionalFormatting>
  <conditionalFormatting sqref="B69:C69">
    <cfRule type="expression" dxfId="435" priority="99">
      <formula>kvartal &lt; 4</formula>
    </cfRule>
  </conditionalFormatting>
  <conditionalFormatting sqref="B72:C72">
    <cfRule type="expression" dxfId="434" priority="97">
      <formula>kvartal &lt; 4</formula>
    </cfRule>
  </conditionalFormatting>
  <conditionalFormatting sqref="F115:G115">
    <cfRule type="expression" dxfId="433" priority="57">
      <formula>kvartal &lt; 4</formula>
    </cfRule>
  </conditionalFormatting>
  <conditionalFormatting sqref="F123:G123">
    <cfRule type="expression" dxfId="432" priority="56">
      <formula>kvartal &lt; 4</formula>
    </cfRule>
  </conditionalFormatting>
  <conditionalFormatting sqref="J115:K115">
    <cfRule type="expression" dxfId="431" priority="32">
      <formula>kvartal &lt; 4</formula>
    </cfRule>
  </conditionalFormatting>
  <conditionalFormatting sqref="J123:K123">
    <cfRule type="expression" dxfId="430" priority="31">
      <formula>kvartal &lt; 4</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N144"/>
  <sheetViews>
    <sheetView showGridLines="0" zoomScaleNormal="100" workbookViewId="0"/>
  </sheetViews>
  <sheetFormatPr baseColWidth="10" defaultColWidth="11.42578125" defaultRowHeight="12.75" x14ac:dyDescent="0.2"/>
  <cols>
    <col min="1" max="1" width="46.140625" style="21" customWidth="1"/>
    <col min="2" max="2" width="10.7109375" style="21" customWidth="1"/>
    <col min="3" max="3" width="11" style="21" customWidth="1"/>
    <col min="4" max="5" width="8.7109375" style="21" customWidth="1"/>
    <col min="6" max="7" width="10.7109375" style="21" customWidth="1"/>
    <col min="8" max="9" width="8.7109375" style="21" customWidth="1"/>
    <col min="10" max="11" width="10.7109375" style="21" customWidth="1"/>
    <col min="12" max="13" width="8.7109375" style="21" customWidth="1"/>
    <col min="14" max="14" width="11.42578125" style="21"/>
    <col min="15" max="16384" width="11.42578125" style="1"/>
  </cols>
  <sheetData>
    <row r="1" spans="1:14" x14ac:dyDescent="0.2">
      <c r="A1" s="126" t="s">
        <v>124</v>
      </c>
      <c r="B1" s="536"/>
      <c r="C1" s="192" t="s">
        <v>55</v>
      </c>
    </row>
    <row r="2" spans="1:14" ht="15.75" x14ac:dyDescent="0.25">
      <c r="A2" s="109" t="s">
        <v>28</v>
      </c>
      <c r="B2" s="572"/>
      <c r="C2" s="572"/>
      <c r="D2" s="572"/>
      <c r="E2" s="234"/>
      <c r="F2" s="572"/>
      <c r="G2" s="572"/>
      <c r="H2" s="572"/>
      <c r="I2" s="234"/>
      <c r="J2" s="572"/>
      <c r="K2" s="572"/>
      <c r="L2" s="572"/>
      <c r="M2" s="234"/>
    </row>
    <row r="3" spans="1:14" ht="15.75" x14ac:dyDescent="0.25">
      <c r="A3" s="120"/>
      <c r="B3" s="234"/>
      <c r="C3" s="234"/>
      <c r="D3" s="234"/>
      <c r="E3" s="234"/>
      <c r="F3" s="234"/>
      <c r="G3" s="234"/>
      <c r="H3" s="234"/>
      <c r="I3" s="234"/>
      <c r="J3" s="234"/>
      <c r="K3" s="234"/>
      <c r="L3" s="234"/>
      <c r="M3" s="234"/>
    </row>
    <row r="4" spans="1:14" x14ac:dyDescent="0.2">
      <c r="A4" s="107"/>
      <c r="B4" s="570" t="s">
        <v>0</v>
      </c>
      <c r="C4" s="571"/>
      <c r="D4" s="571"/>
      <c r="E4" s="236"/>
      <c r="F4" s="570" t="s">
        <v>1</v>
      </c>
      <c r="G4" s="571"/>
      <c r="H4" s="571"/>
      <c r="I4" s="238"/>
      <c r="J4" s="570" t="s">
        <v>2</v>
      </c>
      <c r="K4" s="571"/>
      <c r="L4" s="571"/>
      <c r="M4" s="238"/>
    </row>
    <row r="5" spans="1:14" x14ac:dyDescent="0.2">
      <c r="A5" s="115"/>
      <c r="B5" s="535">
        <v>45565</v>
      </c>
      <c r="C5" s="535">
        <v>45930</v>
      </c>
      <c r="D5" s="189" t="s">
        <v>3</v>
      </c>
      <c r="E5" s="239" t="s">
        <v>29</v>
      </c>
      <c r="F5" s="535">
        <v>45565</v>
      </c>
      <c r="G5" s="535">
        <v>45930</v>
      </c>
      <c r="H5" s="189" t="s">
        <v>3</v>
      </c>
      <c r="I5" s="119" t="s">
        <v>29</v>
      </c>
      <c r="J5" s="535">
        <v>45565</v>
      </c>
      <c r="K5" s="535">
        <v>45930</v>
      </c>
      <c r="L5" s="189" t="s">
        <v>3</v>
      </c>
      <c r="M5" s="119" t="s">
        <v>29</v>
      </c>
    </row>
    <row r="6" spans="1:14" x14ac:dyDescent="0.2">
      <c r="A6" s="537"/>
      <c r="B6" s="114"/>
      <c r="C6" s="114"/>
      <c r="D6" s="190" t="s">
        <v>4</v>
      </c>
      <c r="E6" s="114" t="s">
        <v>30</v>
      </c>
      <c r="F6" s="118"/>
      <c r="G6" s="118"/>
      <c r="H6" s="189" t="s">
        <v>4</v>
      </c>
      <c r="I6" s="114" t="s">
        <v>30</v>
      </c>
      <c r="J6" s="118"/>
      <c r="K6" s="118"/>
      <c r="L6" s="189" t="s">
        <v>4</v>
      </c>
      <c r="M6" s="114" t="s">
        <v>30</v>
      </c>
    </row>
    <row r="7" spans="1:14" ht="15.75" x14ac:dyDescent="0.2">
      <c r="A7" s="11" t="s">
        <v>23</v>
      </c>
      <c r="B7" s="240">
        <v>343095</v>
      </c>
      <c r="C7" s="241"/>
      <c r="D7" s="277">
        <f>IF(B7=0, "    ---- ", IF(ABS(ROUND(100/B7*C7-100,1))&lt;999,ROUND(100/B7*C7-100,1),IF(ROUND(100/B7*C7-100,1)&gt;999,999,-999)))</f>
        <v>-100</v>
      </c>
      <c r="E7" s="8">
        <f>IFERROR(100/'Skjema total MA'!C7*C7,0)</f>
        <v>0</v>
      </c>
      <c r="F7" s="240"/>
      <c r="G7" s="241"/>
      <c r="H7" s="277"/>
      <c r="I7" s="117"/>
      <c r="J7" s="242">
        <f t="shared" ref="J7:K9" si="0">SUM(B7,F7)</f>
        <v>343095</v>
      </c>
      <c r="K7" s="243">
        <f t="shared" si="0"/>
        <v>0</v>
      </c>
      <c r="L7" s="332">
        <f>IF(J7=0, "    ---- ", IF(ABS(ROUND(100/J7*K7-100,1))&lt;999,ROUND(100/J7*K7-100,1),IF(ROUND(100/J7*K7-100,1)&gt;999,999,-999)))</f>
        <v>-100</v>
      </c>
      <c r="M7" s="8">
        <f>IFERROR(100/'Skjema total MA'!I7*K7,0)</f>
        <v>0</v>
      </c>
    </row>
    <row r="8" spans="1:14" ht="15.75" x14ac:dyDescent="0.2">
      <c r="A8" s="17" t="s">
        <v>25</v>
      </c>
      <c r="B8" s="220">
        <v>170657</v>
      </c>
      <c r="C8" s="221"/>
      <c r="D8" s="121">
        <f t="shared" ref="D8:D9" si="1">IF(B8=0, "    ---- ", IF(ABS(ROUND(100/B8*C8-100,1))&lt;999,ROUND(100/B8*C8-100,1),IF(ROUND(100/B8*C8-100,1)&gt;999,999,-999)))</f>
        <v>-100</v>
      </c>
      <c r="E8" s="22">
        <f>IFERROR(100/'Skjema total MA'!C8*C8,0)</f>
        <v>0</v>
      </c>
      <c r="F8" s="224"/>
      <c r="G8" s="225"/>
      <c r="H8" s="121"/>
      <c r="I8" s="129"/>
      <c r="J8" s="178">
        <f t="shared" si="0"/>
        <v>170657</v>
      </c>
      <c r="K8" s="226">
        <f t="shared" si="0"/>
        <v>0</v>
      </c>
      <c r="L8" s="121">
        <f t="shared" ref="L8:L9" si="2">IF(J8=0, "    ---- ", IF(ABS(ROUND(100/J8*K8-100,1))&lt;999,ROUND(100/J8*K8-100,1),IF(ROUND(100/J8*K8-100,1)&gt;999,999,-999)))</f>
        <v>-100</v>
      </c>
      <c r="M8" s="22">
        <f>IFERROR(100/'Skjema total MA'!I8*K8,0)</f>
        <v>0</v>
      </c>
    </row>
    <row r="9" spans="1:14" ht="15.75" x14ac:dyDescent="0.2">
      <c r="A9" s="17" t="s">
        <v>24</v>
      </c>
      <c r="B9" s="220">
        <v>172438</v>
      </c>
      <c r="C9" s="221"/>
      <c r="D9" s="121">
        <f t="shared" si="1"/>
        <v>-100</v>
      </c>
      <c r="E9" s="22">
        <f>IFERROR(100/'Skjema total MA'!C9*C9,0)</f>
        <v>0</v>
      </c>
      <c r="F9" s="224"/>
      <c r="G9" s="225"/>
      <c r="H9" s="121"/>
      <c r="I9" s="129"/>
      <c r="J9" s="178">
        <f t="shared" si="0"/>
        <v>172438</v>
      </c>
      <c r="K9" s="226">
        <f t="shared" si="0"/>
        <v>0</v>
      </c>
      <c r="L9" s="121">
        <f t="shared" si="2"/>
        <v>-100</v>
      </c>
      <c r="M9" s="22">
        <f>IFERROR(100/'Skjema total MA'!I9*K9,0)</f>
        <v>0</v>
      </c>
    </row>
    <row r="10" spans="1:14" ht="15.75" x14ac:dyDescent="0.2">
      <c r="A10" s="10" t="s">
        <v>322</v>
      </c>
      <c r="B10" s="244"/>
      <c r="C10" s="245"/>
      <c r="D10" s="125"/>
      <c r="E10" s="8"/>
      <c r="F10" s="244"/>
      <c r="G10" s="245"/>
      <c r="H10" s="125"/>
      <c r="I10" s="117"/>
      <c r="J10" s="242"/>
      <c r="K10" s="243"/>
      <c r="L10" s="333"/>
      <c r="M10" s="8"/>
    </row>
    <row r="11" spans="1:14" s="34" customFormat="1" ht="15.75" x14ac:dyDescent="0.2">
      <c r="A11" s="10" t="s">
        <v>323</v>
      </c>
      <c r="B11" s="244"/>
      <c r="C11" s="245"/>
      <c r="D11" s="125"/>
      <c r="E11" s="8"/>
      <c r="F11" s="244"/>
      <c r="G11" s="245"/>
      <c r="H11" s="125"/>
      <c r="I11" s="117"/>
      <c r="J11" s="242"/>
      <c r="K11" s="243"/>
      <c r="L11" s="333"/>
      <c r="M11" s="8"/>
      <c r="N11" s="106"/>
    </row>
    <row r="12" spans="1:14" s="34" customFormat="1" ht="15.75" x14ac:dyDescent="0.2">
      <c r="A12" s="32" t="s">
        <v>324</v>
      </c>
      <c r="B12" s="246"/>
      <c r="C12" s="247"/>
      <c r="D12" s="123"/>
      <c r="E12" s="29"/>
      <c r="F12" s="246"/>
      <c r="G12" s="247"/>
      <c r="H12" s="123"/>
      <c r="I12" s="123"/>
      <c r="J12" s="248"/>
      <c r="K12" s="249"/>
      <c r="L12" s="334"/>
      <c r="M12" s="29"/>
      <c r="N12" s="106"/>
    </row>
    <row r="13" spans="1:14" s="34" customFormat="1" x14ac:dyDescent="0.2">
      <c r="A13" s="106"/>
      <c r="B13" s="108"/>
      <c r="C13" s="26"/>
      <c r="D13" s="116"/>
      <c r="E13" s="116"/>
      <c r="F13" s="108"/>
      <c r="G13" s="26"/>
      <c r="H13" s="116"/>
      <c r="I13" s="116"/>
      <c r="J13" s="37"/>
      <c r="K13" s="37"/>
      <c r="L13" s="116"/>
      <c r="M13" s="116"/>
      <c r="N13" s="106"/>
    </row>
    <row r="14" spans="1:14" x14ac:dyDescent="0.2">
      <c r="A14" s="112" t="s">
        <v>246</v>
      </c>
    </row>
    <row r="16" spans="1:14" ht="15.75" x14ac:dyDescent="0.25">
      <c r="A16" s="113"/>
      <c r="C16" s="105"/>
      <c r="D16" s="105"/>
      <c r="E16" s="105"/>
      <c r="F16" s="105"/>
      <c r="G16" s="105"/>
      <c r="H16" s="105"/>
      <c r="I16" s="105"/>
      <c r="J16" s="105"/>
      <c r="K16" s="105"/>
      <c r="L16" s="105"/>
      <c r="M16" s="105"/>
    </row>
    <row r="17" spans="1:13" ht="15.75" x14ac:dyDescent="0.25">
      <c r="A17" s="109" t="s">
        <v>243</v>
      </c>
      <c r="B17" s="105"/>
      <c r="C17" s="105"/>
      <c r="D17" s="111"/>
      <c r="E17" s="111"/>
      <c r="F17" s="105"/>
      <c r="G17" s="105"/>
      <c r="H17" s="105"/>
      <c r="I17" s="105"/>
      <c r="J17" s="105"/>
      <c r="K17" s="105"/>
      <c r="L17" s="105"/>
      <c r="M17" s="105"/>
    </row>
    <row r="18" spans="1:13" ht="15.75" x14ac:dyDescent="0.25">
      <c r="B18" s="569"/>
      <c r="C18" s="569"/>
      <c r="D18" s="569"/>
      <c r="E18" s="234"/>
      <c r="F18" s="569"/>
      <c r="G18" s="569"/>
      <c r="H18" s="569"/>
      <c r="I18" s="234"/>
      <c r="J18" s="569"/>
      <c r="K18" s="569"/>
      <c r="L18" s="569"/>
      <c r="M18" s="234"/>
    </row>
    <row r="19" spans="1:13" x14ac:dyDescent="0.2">
      <c r="A19" s="107"/>
      <c r="B19" s="570" t="s">
        <v>0</v>
      </c>
      <c r="C19" s="571"/>
      <c r="D19" s="571"/>
      <c r="E19" s="236"/>
      <c r="F19" s="570" t="s">
        <v>1</v>
      </c>
      <c r="G19" s="571"/>
      <c r="H19" s="571"/>
      <c r="I19" s="238"/>
      <c r="J19" s="570" t="s">
        <v>2</v>
      </c>
      <c r="K19" s="571"/>
      <c r="L19" s="571"/>
      <c r="M19" s="238"/>
    </row>
    <row r="20" spans="1:13" x14ac:dyDescent="0.2">
      <c r="A20" s="104" t="s">
        <v>5</v>
      </c>
      <c r="B20" s="535">
        <v>45565</v>
      </c>
      <c r="C20" s="535">
        <v>45930</v>
      </c>
      <c r="D20" s="119" t="s">
        <v>3</v>
      </c>
      <c r="E20" s="239" t="s">
        <v>29</v>
      </c>
      <c r="F20" s="535">
        <v>45565</v>
      </c>
      <c r="G20" s="535">
        <v>45930</v>
      </c>
      <c r="H20" s="119" t="s">
        <v>3</v>
      </c>
      <c r="I20" s="119" t="s">
        <v>29</v>
      </c>
      <c r="J20" s="535">
        <v>45565</v>
      </c>
      <c r="K20" s="535">
        <v>45930</v>
      </c>
      <c r="L20" s="119" t="s">
        <v>3</v>
      </c>
      <c r="M20" s="119" t="s">
        <v>29</v>
      </c>
    </row>
    <row r="21" spans="1:13" x14ac:dyDescent="0.2">
      <c r="A21" s="538"/>
      <c r="B21" s="114"/>
      <c r="C21" s="114"/>
      <c r="D21" s="190" t="s">
        <v>4</v>
      </c>
      <c r="E21" s="114" t="s">
        <v>30</v>
      </c>
      <c r="F21" s="118"/>
      <c r="G21" s="118"/>
      <c r="H21" s="189" t="s">
        <v>4</v>
      </c>
      <c r="I21" s="114" t="s">
        <v>30</v>
      </c>
      <c r="J21" s="118"/>
      <c r="K21" s="118"/>
      <c r="L21" s="114" t="s">
        <v>4</v>
      </c>
      <c r="M21" s="114" t="s">
        <v>30</v>
      </c>
    </row>
    <row r="22" spans="1:13" ht="15.75" x14ac:dyDescent="0.2">
      <c r="A22" s="11" t="s">
        <v>23</v>
      </c>
      <c r="B22" s="244"/>
      <c r="C22" s="244"/>
      <c r="D22" s="277"/>
      <c r="E22" s="8"/>
      <c r="F22" s="252"/>
      <c r="G22" s="252"/>
      <c r="H22" s="277"/>
      <c r="I22" s="8"/>
      <c r="J22" s="250"/>
      <c r="K22" s="250"/>
      <c r="L22" s="332"/>
      <c r="M22" s="20"/>
    </row>
    <row r="23" spans="1:13" ht="15.75" x14ac:dyDescent="0.2">
      <c r="A23" s="372" t="s">
        <v>325</v>
      </c>
      <c r="B23" s="220"/>
      <c r="C23" s="220"/>
      <c r="D23" s="121"/>
      <c r="E23" s="8"/>
      <c r="F23" s="228"/>
      <c r="G23" s="228"/>
      <c r="H23" s="121"/>
      <c r="I23" s="325"/>
      <c r="J23" s="228"/>
      <c r="K23" s="228"/>
      <c r="L23" s="121"/>
      <c r="M23" s="19"/>
    </row>
    <row r="24" spans="1:13" ht="15.75" x14ac:dyDescent="0.2">
      <c r="A24" s="372" t="s">
        <v>326</v>
      </c>
      <c r="B24" s="220"/>
      <c r="C24" s="220"/>
      <c r="D24" s="121"/>
      <c r="E24" s="8"/>
      <c r="F24" s="228"/>
      <c r="G24" s="228"/>
      <c r="H24" s="121"/>
      <c r="I24" s="325"/>
      <c r="J24" s="228"/>
      <c r="K24" s="228"/>
      <c r="L24" s="121"/>
      <c r="M24" s="19"/>
    </row>
    <row r="25" spans="1:13" ht="15.75" x14ac:dyDescent="0.2">
      <c r="A25" s="372" t="s">
        <v>327</v>
      </c>
      <c r="B25" s="220"/>
      <c r="C25" s="220"/>
      <c r="D25" s="121"/>
      <c r="E25" s="8"/>
      <c r="F25" s="228"/>
      <c r="G25" s="228"/>
      <c r="H25" s="121"/>
      <c r="I25" s="325"/>
      <c r="J25" s="228"/>
      <c r="K25" s="228"/>
      <c r="L25" s="121"/>
      <c r="M25" s="19"/>
    </row>
    <row r="26" spans="1:13" ht="15.75" x14ac:dyDescent="0.2">
      <c r="A26" s="372" t="s">
        <v>328</v>
      </c>
      <c r="B26" s="220"/>
      <c r="C26" s="220"/>
      <c r="D26" s="121"/>
      <c r="E26" s="8"/>
      <c r="F26" s="228"/>
      <c r="G26" s="228"/>
      <c r="H26" s="121"/>
      <c r="I26" s="325"/>
      <c r="J26" s="228"/>
      <c r="K26" s="228"/>
      <c r="L26" s="121"/>
      <c r="M26" s="19"/>
    </row>
    <row r="27" spans="1:13" x14ac:dyDescent="0.2">
      <c r="A27" s="372" t="s">
        <v>11</v>
      </c>
      <c r="B27" s="220"/>
      <c r="C27" s="220"/>
      <c r="D27" s="121"/>
      <c r="E27" s="8"/>
      <c r="F27" s="228"/>
      <c r="G27" s="228"/>
      <c r="H27" s="121"/>
      <c r="I27" s="325"/>
      <c r="J27" s="228"/>
      <c r="K27" s="228"/>
      <c r="L27" s="121"/>
      <c r="M27" s="19"/>
    </row>
    <row r="28" spans="1:13" ht="15.75" x14ac:dyDescent="0.2">
      <c r="A28" s="38" t="s">
        <v>247</v>
      </c>
      <c r="B28" s="35"/>
      <c r="C28" s="226"/>
      <c r="D28" s="121"/>
      <c r="E28" s="8"/>
      <c r="F28" s="137"/>
      <c r="G28" s="137"/>
      <c r="H28" s="121"/>
      <c r="I28" s="22"/>
      <c r="J28" s="35"/>
      <c r="K28" s="35"/>
      <c r="L28" s="198"/>
      <c r="M28" s="19"/>
    </row>
    <row r="29" spans="1:13" ht="15.75" x14ac:dyDescent="0.2">
      <c r="A29" s="10" t="s">
        <v>322</v>
      </c>
      <c r="B29" s="180"/>
      <c r="C29" s="180"/>
      <c r="D29" s="125"/>
      <c r="E29" s="8"/>
      <c r="F29" s="242"/>
      <c r="G29" s="242"/>
      <c r="H29" s="125"/>
      <c r="I29" s="8"/>
      <c r="J29" s="180"/>
      <c r="K29" s="180"/>
      <c r="L29" s="333"/>
      <c r="M29" s="20"/>
    </row>
    <row r="30" spans="1:13" ht="15.75" x14ac:dyDescent="0.2">
      <c r="A30" s="372" t="s">
        <v>325</v>
      </c>
      <c r="B30" s="220"/>
      <c r="C30" s="220"/>
      <c r="D30" s="121"/>
      <c r="E30" s="8"/>
      <c r="F30" s="228"/>
      <c r="G30" s="228"/>
      <c r="H30" s="121"/>
      <c r="I30" s="325"/>
      <c r="J30" s="228"/>
      <c r="K30" s="228"/>
      <c r="L30" s="121"/>
      <c r="M30" s="19"/>
    </row>
    <row r="31" spans="1:13" ht="15.75" x14ac:dyDescent="0.2">
      <c r="A31" s="372" t="s">
        <v>326</v>
      </c>
      <c r="B31" s="220"/>
      <c r="C31" s="220"/>
      <c r="D31" s="121"/>
      <c r="E31" s="8"/>
      <c r="F31" s="228"/>
      <c r="G31" s="228"/>
      <c r="H31" s="121"/>
      <c r="I31" s="325"/>
      <c r="J31" s="228"/>
      <c r="K31" s="228"/>
      <c r="L31" s="121"/>
      <c r="M31" s="19"/>
    </row>
    <row r="32" spans="1:13" ht="15.75" x14ac:dyDescent="0.2">
      <c r="A32" s="372" t="s">
        <v>327</v>
      </c>
      <c r="B32" s="220"/>
      <c r="C32" s="220"/>
      <c r="D32" s="121"/>
      <c r="E32" s="8"/>
      <c r="F32" s="228"/>
      <c r="G32" s="228"/>
      <c r="H32" s="121"/>
      <c r="I32" s="325"/>
      <c r="J32" s="228"/>
      <c r="K32" s="228"/>
      <c r="L32" s="121"/>
      <c r="M32" s="19"/>
    </row>
    <row r="33" spans="1:13" ht="15.75" x14ac:dyDescent="0.2">
      <c r="A33" s="372" t="s">
        <v>328</v>
      </c>
      <c r="B33" s="220"/>
      <c r="C33" s="220"/>
      <c r="D33" s="121"/>
      <c r="E33" s="8"/>
      <c r="F33" s="228"/>
      <c r="G33" s="228"/>
      <c r="H33" s="121"/>
      <c r="I33" s="325"/>
      <c r="J33" s="228"/>
      <c r="K33" s="228"/>
      <c r="L33" s="121"/>
      <c r="M33" s="19"/>
    </row>
    <row r="34" spans="1:13" ht="15.75" x14ac:dyDescent="0.2">
      <c r="A34" s="10" t="s">
        <v>323</v>
      </c>
      <c r="B34" s="180"/>
      <c r="C34" s="243"/>
      <c r="D34" s="125"/>
      <c r="E34" s="8"/>
      <c r="F34" s="242"/>
      <c r="G34" s="243"/>
      <c r="H34" s="125"/>
      <c r="I34" s="8"/>
      <c r="J34" s="180"/>
      <c r="K34" s="180"/>
      <c r="L34" s="333"/>
      <c r="M34" s="20"/>
    </row>
    <row r="35" spans="1:13" ht="15.75" x14ac:dyDescent="0.2">
      <c r="A35" s="10" t="s">
        <v>324</v>
      </c>
      <c r="B35" s="180"/>
      <c r="C35" s="243"/>
      <c r="D35" s="125"/>
      <c r="E35" s="8"/>
      <c r="F35" s="242"/>
      <c r="G35" s="243"/>
      <c r="H35" s="125"/>
      <c r="I35" s="8"/>
      <c r="J35" s="180"/>
      <c r="K35" s="180"/>
      <c r="L35" s="333"/>
      <c r="M35" s="20"/>
    </row>
    <row r="36" spans="1:13" ht="15.75" x14ac:dyDescent="0.2">
      <c r="A36" s="9" t="s">
        <v>254</v>
      </c>
      <c r="B36" s="180"/>
      <c r="C36" s="243"/>
      <c r="D36" s="125"/>
      <c r="E36" s="8"/>
      <c r="F36" s="253"/>
      <c r="G36" s="254"/>
      <c r="H36" s="125"/>
      <c r="I36" s="339"/>
      <c r="J36" s="180"/>
      <c r="K36" s="180"/>
      <c r="L36" s="333"/>
      <c r="M36" s="20"/>
    </row>
    <row r="37" spans="1:13" ht="15.75" x14ac:dyDescent="0.2">
      <c r="A37" s="9" t="s">
        <v>330</v>
      </c>
      <c r="B37" s="180"/>
      <c r="C37" s="243"/>
      <c r="D37" s="125"/>
      <c r="E37" s="8"/>
      <c r="F37" s="253"/>
      <c r="G37" s="255"/>
      <c r="H37" s="125"/>
      <c r="I37" s="339"/>
      <c r="J37" s="180"/>
      <c r="K37" s="180"/>
      <c r="L37" s="333"/>
      <c r="M37" s="20"/>
    </row>
    <row r="38" spans="1:13" ht="15.75" x14ac:dyDescent="0.2">
      <c r="A38" s="9" t="s">
        <v>331</v>
      </c>
      <c r="B38" s="180"/>
      <c r="C38" s="243"/>
      <c r="D38" s="125"/>
      <c r="E38" s="20"/>
      <c r="F38" s="253"/>
      <c r="G38" s="254"/>
      <c r="H38" s="125"/>
      <c r="I38" s="339"/>
      <c r="J38" s="180"/>
      <c r="K38" s="180"/>
      <c r="L38" s="333"/>
      <c r="M38" s="20"/>
    </row>
    <row r="39" spans="1:13" ht="15.75" x14ac:dyDescent="0.2">
      <c r="A39" s="15" t="s">
        <v>332</v>
      </c>
      <c r="B39" s="215"/>
      <c r="C39" s="249"/>
      <c r="D39" s="123"/>
      <c r="E39" s="29"/>
      <c r="F39" s="256"/>
      <c r="G39" s="257"/>
      <c r="H39" s="123"/>
      <c r="I39" s="29"/>
      <c r="J39" s="180"/>
      <c r="K39" s="180"/>
      <c r="L39" s="334"/>
      <c r="M39" s="29"/>
    </row>
    <row r="40" spans="1:13" ht="15.75" x14ac:dyDescent="0.25">
      <c r="A40" s="34"/>
      <c r="B40" s="197"/>
      <c r="C40" s="197"/>
      <c r="D40" s="573"/>
      <c r="E40" s="573"/>
      <c r="F40" s="573"/>
      <c r="G40" s="573"/>
      <c r="H40" s="573"/>
      <c r="I40" s="573"/>
      <c r="J40" s="573"/>
      <c r="K40" s="573"/>
      <c r="L40" s="573"/>
      <c r="M40" s="234"/>
    </row>
    <row r="41" spans="1:13" x14ac:dyDescent="0.2">
      <c r="A41" s="113"/>
    </row>
    <row r="42" spans="1:13" ht="15.75" x14ac:dyDescent="0.25">
      <c r="A42" s="109" t="s">
        <v>244</v>
      </c>
      <c r="B42" s="572"/>
      <c r="C42" s="572"/>
      <c r="D42" s="572"/>
      <c r="E42" s="234"/>
      <c r="F42" s="572"/>
      <c r="G42" s="572"/>
      <c r="H42" s="572"/>
      <c r="I42" s="234"/>
      <c r="J42" s="572"/>
      <c r="K42" s="572"/>
      <c r="L42" s="572"/>
      <c r="M42" s="234"/>
    </row>
    <row r="43" spans="1:13" ht="15.75" x14ac:dyDescent="0.25">
      <c r="A43" s="120"/>
      <c r="B43" s="237"/>
      <c r="C43" s="237"/>
      <c r="D43" s="237"/>
      <c r="E43" s="237"/>
      <c r="F43" s="234"/>
      <c r="G43" s="234"/>
      <c r="H43" s="234"/>
      <c r="I43" s="234"/>
      <c r="J43" s="234"/>
      <c r="K43" s="234"/>
      <c r="L43" s="234"/>
      <c r="M43" s="234"/>
    </row>
    <row r="44" spans="1:13" ht="15.75" x14ac:dyDescent="0.25">
      <c r="A44" s="191"/>
      <c r="B44" s="570" t="s">
        <v>0</v>
      </c>
      <c r="C44" s="571"/>
      <c r="D44" s="571"/>
      <c r="E44" s="187"/>
      <c r="F44" s="234"/>
      <c r="G44" s="234"/>
      <c r="H44" s="234"/>
      <c r="I44" s="234"/>
      <c r="J44" s="234"/>
      <c r="K44" s="234"/>
      <c r="L44" s="234"/>
      <c r="M44" s="234"/>
    </row>
    <row r="45" spans="1:13" x14ac:dyDescent="0.2">
      <c r="A45" s="104"/>
      <c r="B45" s="535">
        <v>45565</v>
      </c>
      <c r="C45" s="535">
        <v>45930</v>
      </c>
      <c r="D45" s="119" t="s">
        <v>3</v>
      </c>
      <c r="E45" s="119" t="s">
        <v>29</v>
      </c>
      <c r="F45" s="128"/>
      <c r="G45" s="128"/>
      <c r="H45" s="127"/>
      <c r="I45" s="127"/>
      <c r="J45" s="128"/>
      <c r="K45" s="128"/>
      <c r="L45" s="127"/>
      <c r="M45" s="127"/>
    </row>
    <row r="46" spans="1:13" x14ac:dyDescent="0.2">
      <c r="A46" s="538"/>
      <c r="B46" s="188"/>
      <c r="C46" s="188"/>
      <c r="D46" s="189" t="s">
        <v>4</v>
      </c>
      <c r="E46" s="114" t="s">
        <v>30</v>
      </c>
      <c r="F46" s="127"/>
      <c r="G46" s="127"/>
      <c r="H46" s="127"/>
      <c r="I46" s="127"/>
      <c r="J46" s="127"/>
      <c r="K46" s="127"/>
      <c r="L46" s="127"/>
      <c r="M46" s="127"/>
    </row>
    <row r="47" spans="1:13" ht="15.75" x14ac:dyDescent="0.2">
      <c r="A47" s="11" t="s">
        <v>23</v>
      </c>
      <c r="B47" s="244">
        <v>109458</v>
      </c>
      <c r="C47" s="245"/>
      <c r="D47" s="332">
        <f t="shared" ref="D47:D48" si="3">IF(B47=0, "    ---- ", IF(ABS(ROUND(100/B47*C47-100,1))&lt;999,ROUND(100/B47*C47-100,1),IF(ROUND(100/B47*C47-100,1)&gt;999,999,-999)))</f>
        <v>-100</v>
      </c>
      <c r="E47" s="8">
        <f>IFERROR(100/'Skjema total MA'!C47*C47,0)</f>
        <v>0</v>
      </c>
      <c r="F47" s="108"/>
      <c r="G47" s="26"/>
      <c r="H47" s="116"/>
      <c r="I47" s="116"/>
      <c r="J47" s="30"/>
      <c r="K47" s="30"/>
      <c r="L47" s="116"/>
      <c r="M47" s="116"/>
    </row>
    <row r="48" spans="1:13" ht="15.75" x14ac:dyDescent="0.2">
      <c r="A48" s="17" t="s">
        <v>333</v>
      </c>
      <c r="B48" s="220">
        <v>39885</v>
      </c>
      <c r="C48" s="221"/>
      <c r="D48" s="198">
        <f t="shared" si="3"/>
        <v>-100</v>
      </c>
      <c r="E48" s="22">
        <f>IFERROR(100/'Skjema total MA'!C48*C48,0)</f>
        <v>0</v>
      </c>
      <c r="F48" s="108"/>
      <c r="G48" s="26"/>
      <c r="H48" s="108"/>
      <c r="I48" s="108"/>
      <c r="J48" s="26"/>
      <c r="K48" s="26"/>
      <c r="L48" s="116"/>
      <c r="M48" s="116"/>
    </row>
    <row r="49" spans="1:13" ht="15.75" x14ac:dyDescent="0.2">
      <c r="A49" s="17" t="s">
        <v>334</v>
      </c>
      <c r="B49" s="35">
        <v>69573</v>
      </c>
      <c r="C49" s="226"/>
      <c r="D49" s="198">
        <f>IF(B49=0, "    ---- ", IF(ABS(ROUND(100/B49*C49-100,1))&lt;999,ROUND(100/B49*C49-100,1),IF(ROUND(100/B49*C49-100,1)&gt;999,999,-999)))</f>
        <v>-100</v>
      </c>
      <c r="E49" s="22">
        <f>IFERROR(100/'Skjema total MA'!C49*C49,0)</f>
        <v>0</v>
      </c>
      <c r="F49" s="108"/>
      <c r="G49" s="26"/>
      <c r="H49" s="108"/>
      <c r="I49" s="108"/>
      <c r="J49" s="30"/>
      <c r="K49" s="30"/>
      <c r="L49" s="116"/>
      <c r="M49" s="116"/>
    </row>
    <row r="50" spans="1:13" x14ac:dyDescent="0.2">
      <c r="A50" s="232" t="s">
        <v>6</v>
      </c>
      <c r="B50" s="539"/>
      <c r="C50" s="231"/>
      <c r="D50" s="198"/>
      <c r="E50" s="19"/>
      <c r="F50" s="108"/>
      <c r="G50" s="26"/>
      <c r="H50" s="108"/>
      <c r="I50" s="108"/>
      <c r="J50" s="26"/>
      <c r="K50" s="26"/>
      <c r="L50" s="116"/>
      <c r="M50" s="116"/>
    </row>
    <row r="51" spans="1:13" x14ac:dyDescent="0.2">
      <c r="A51" s="232" t="s">
        <v>7</v>
      </c>
      <c r="B51" s="539"/>
      <c r="C51" s="231"/>
      <c r="D51" s="198"/>
      <c r="E51" s="19"/>
      <c r="F51" s="108"/>
      <c r="G51" s="26"/>
      <c r="H51" s="108"/>
      <c r="I51" s="108"/>
      <c r="J51" s="26"/>
      <c r="K51" s="26"/>
      <c r="L51" s="116"/>
      <c r="M51" s="116"/>
    </row>
    <row r="52" spans="1:13" x14ac:dyDescent="0.2">
      <c r="A52" s="232" t="s">
        <v>8</v>
      </c>
      <c r="B52" s="539"/>
      <c r="C52" s="231"/>
      <c r="D52" s="198"/>
      <c r="E52" s="19"/>
      <c r="F52" s="108"/>
      <c r="G52" s="26"/>
      <c r="H52" s="108"/>
      <c r="I52" s="108"/>
      <c r="J52" s="26"/>
      <c r="K52" s="26"/>
      <c r="L52" s="116"/>
      <c r="M52" s="116"/>
    </row>
    <row r="53" spans="1:13" ht="15.75" x14ac:dyDescent="0.2">
      <c r="A53" s="10" t="s">
        <v>335</v>
      </c>
      <c r="B53" s="244"/>
      <c r="C53" s="245"/>
      <c r="D53" s="333"/>
      <c r="E53" s="8"/>
      <c r="F53" s="108"/>
      <c r="G53" s="26"/>
      <c r="H53" s="108"/>
      <c r="I53" s="108"/>
      <c r="J53" s="26"/>
      <c r="K53" s="26"/>
      <c r="L53" s="116"/>
      <c r="M53" s="116"/>
    </row>
    <row r="54" spans="1:13" ht="15.75" x14ac:dyDescent="0.2">
      <c r="A54" s="17" t="s">
        <v>333</v>
      </c>
      <c r="B54" s="220"/>
      <c r="C54" s="221"/>
      <c r="D54" s="198"/>
      <c r="E54" s="22"/>
      <c r="F54" s="108"/>
      <c r="G54" s="26"/>
      <c r="H54" s="108"/>
      <c r="I54" s="108"/>
      <c r="J54" s="26"/>
      <c r="K54" s="26"/>
      <c r="L54" s="116"/>
      <c r="M54" s="116"/>
    </row>
    <row r="55" spans="1:13" ht="15.75" x14ac:dyDescent="0.2">
      <c r="A55" s="17" t="s">
        <v>334</v>
      </c>
      <c r="B55" s="220"/>
      <c r="C55" s="221"/>
      <c r="D55" s="198"/>
      <c r="E55" s="22"/>
      <c r="F55" s="108"/>
      <c r="G55" s="26"/>
      <c r="H55" s="108"/>
      <c r="I55" s="108"/>
      <c r="J55" s="26"/>
      <c r="K55" s="26"/>
      <c r="L55" s="116"/>
      <c r="M55" s="116"/>
    </row>
    <row r="56" spans="1:13" ht="15.75" x14ac:dyDescent="0.2">
      <c r="A56" s="10" t="s">
        <v>336</v>
      </c>
      <c r="B56" s="244"/>
      <c r="C56" s="245"/>
      <c r="D56" s="333"/>
      <c r="E56" s="8"/>
      <c r="F56" s="108"/>
      <c r="G56" s="26"/>
      <c r="H56" s="108"/>
      <c r="I56" s="108"/>
      <c r="J56" s="26"/>
      <c r="K56" s="26"/>
      <c r="L56" s="116"/>
      <c r="M56" s="116"/>
    </row>
    <row r="57" spans="1:13" ht="15.75" x14ac:dyDescent="0.2">
      <c r="A57" s="17" t="s">
        <v>333</v>
      </c>
      <c r="B57" s="220"/>
      <c r="C57" s="221"/>
      <c r="D57" s="198"/>
      <c r="E57" s="22"/>
      <c r="F57" s="108"/>
      <c r="G57" s="26"/>
      <c r="H57" s="108"/>
      <c r="I57" s="108"/>
      <c r="J57" s="26"/>
      <c r="K57" s="26"/>
      <c r="L57" s="116"/>
      <c r="M57" s="116"/>
    </row>
    <row r="58" spans="1:13" ht="15.75" x14ac:dyDescent="0.2">
      <c r="A58" s="7" t="s">
        <v>334</v>
      </c>
      <c r="B58" s="222"/>
      <c r="C58" s="223"/>
      <c r="D58" s="199"/>
      <c r="E58" s="18"/>
      <c r="F58" s="108"/>
      <c r="G58" s="26"/>
      <c r="H58" s="108"/>
      <c r="I58" s="108"/>
      <c r="J58" s="26"/>
      <c r="K58" s="26"/>
      <c r="L58" s="116"/>
      <c r="M58" s="116"/>
    </row>
    <row r="59" spans="1:13" ht="15.75" x14ac:dyDescent="0.25">
      <c r="A59" s="113"/>
      <c r="B59" s="105"/>
      <c r="C59" s="105"/>
      <c r="D59" s="105"/>
      <c r="E59" s="105"/>
      <c r="F59" s="105"/>
      <c r="G59" s="105"/>
      <c r="H59" s="105"/>
      <c r="I59" s="105"/>
      <c r="J59" s="105"/>
      <c r="K59" s="105"/>
      <c r="L59" s="105"/>
      <c r="M59" s="105"/>
    </row>
    <row r="60" spans="1:13" x14ac:dyDescent="0.2">
      <c r="A60" s="113"/>
    </row>
    <row r="61" spans="1:13" ht="15.75" x14ac:dyDescent="0.25">
      <c r="A61" s="109" t="s">
        <v>245</v>
      </c>
    </row>
    <row r="62" spans="1:13" ht="15.75" x14ac:dyDescent="0.25">
      <c r="B62" s="569"/>
      <c r="C62" s="569"/>
      <c r="D62" s="569"/>
      <c r="E62" s="234"/>
      <c r="F62" s="569"/>
      <c r="G62" s="569"/>
      <c r="H62" s="569"/>
      <c r="I62" s="234"/>
      <c r="J62" s="569"/>
      <c r="K62" s="569"/>
      <c r="L62" s="569"/>
      <c r="M62" s="234"/>
    </row>
    <row r="63" spans="1:13" x14ac:dyDescent="0.2">
      <c r="A63" s="107"/>
      <c r="B63" s="570" t="s">
        <v>0</v>
      </c>
      <c r="C63" s="571"/>
      <c r="D63" s="574"/>
      <c r="E63" s="235"/>
      <c r="F63" s="571" t="s">
        <v>1</v>
      </c>
      <c r="G63" s="571"/>
      <c r="H63" s="571"/>
      <c r="I63" s="238"/>
      <c r="J63" s="570" t="s">
        <v>2</v>
      </c>
      <c r="K63" s="571"/>
      <c r="L63" s="571"/>
      <c r="M63" s="238"/>
    </row>
    <row r="64" spans="1:13" x14ac:dyDescent="0.2">
      <c r="A64" s="104"/>
      <c r="B64" s="535">
        <v>45565</v>
      </c>
      <c r="C64" s="535">
        <v>45930</v>
      </c>
      <c r="D64" s="189" t="s">
        <v>3</v>
      </c>
      <c r="E64" s="239" t="s">
        <v>29</v>
      </c>
      <c r="F64" s="535">
        <v>45565</v>
      </c>
      <c r="G64" s="535">
        <v>45930</v>
      </c>
      <c r="H64" s="189" t="s">
        <v>3</v>
      </c>
      <c r="I64" s="239" t="s">
        <v>29</v>
      </c>
      <c r="J64" s="535">
        <v>45565</v>
      </c>
      <c r="K64" s="535">
        <v>45930</v>
      </c>
      <c r="L64" s="189" t="s">
        <v>3</v>
      </c>
      <c r="M64" s="119" t="s">
        <v>29</v>
      </c>
    </row>
    <row r="65" spans="1:13" x14ac:dyDescent="0.2">
      <c r="A65" s="538"/>
      <c r="B65" s="114"/>
      <c r="C65" s="114"/>
      <c r="D65" s="190" t="s">
        <v>4</v>
      </c>
      <c r="E65" s="114" t="s">
        <v>30</v>
      </c>
      <c r="F65" s="118"/>
      <c r="G65" s="118"/>
      <c r="H65" s="189" t="s">
        <v>4</v>
      </c>
      <c r="I65" s="114" t="s">
        <v>30</v>
      </c>
      <c r="J65" s="118"/>
      <c r="K65" s="154"/>
      <c r="L65" s="114" t="s">
        <v>4</v>
      </c>
      <c r="M65" s="114" t="s">
        <v>30</v>
      </c>
    </row>
    <row r="66" spans="1:13" ht="15.75" x14ac:dyDescent="0.2">
      <c r="A66" s="11" t="s">
        <v>23</v>
      </c>
      <c r="B66" s="280"/>
      <c r="C66" s="280"/>
      <c r="D66" s="277"/>
      <c r="E66" s="8"/>
      <c r="F66" s="279"/>
      <c r="G66" s="279"/>
      <c r="H66" s="277"/>
      <c r="I66" s="8"/>
      <c r="J66" s="243"/>
      <c r="K66" s="250"/>
      <c r="L66" s="333"/>
      <c r="M66" s="8"/>
    </row>
    <row r="67" spans="1:13" x14ac:dyDescent="0.2">
      <c r="A67" s="38" t="s">
        <v>9</v>
      </c>
      <c r="B67" s="35"/>
      <c r="C67" s="108"/>
      <c r="D67" s="121"/>
      <c r="E67" s="22"/>
      <c r="F67" s="178"/>
      <c r="G67" s="108"/>
      <c r="H67" s="121"/>
      <c r="I67" s="22"/>
      <c r="J67" s="226"/>
      <c r="K67" s="35"/>
      <c r="L67" s="198"/>
      <c r="M67" s="22"/>
    </row>
    <row r="68" spans="1:13" x14ac:dyDescent="0.2">
      <c r="A68" s="17" t="s">
        <v>10</v>
      </c>
      <c r="B68" s="229"/>
      <c r="C68" s="230"/>
      <c r="D68" s="121"/>
      <c r="E68" s="22"/>
      <c r="F68" s="229"/>
      <c r="G68" s="230"/>
      <c r="H68" s="121"/>
      <c r="I68" s="22"/>
      <c r="J68" s="226"/>
      <c r="K68" s="35"/>
      <c r="L68" s="198"/>
      <c r="M68" s="22"/>
    </row>
    <row r="69" spans="1:13" ht="15.75" x14ac:dyDescent="0.2">
      <c r="A69" s="232" t="s">
        <v>337</v>
      </c>
      <c r="B69" s="539"/>
      <c r="C69" s="231"/>
      <c r="D69" s="121"/>
      <c r="E69" s="325"/>
      <c r="F69" s="539"/>
      <c r="G69" s="231"/>
      <c r="H69" s="121"/>
      <c r="I69" s="325"/>
      <c r="J69" s="539"/>
      <c r="K69" s="231"/>
      <c r="L69" s="121"/>
      <c r="M69" s="19"/>
    </row>
    <row r="70" spans="1:13" x14ac:dyDescent="0.2">
      <c r="A70" s="232" t="s">
        <v>12</v>
      </c>
      <c r="B70" s="539"/>
      <c r="C70" s="231"/>
      <c r="D70" s="121"/>
      <c r="E70" s="325"/>
      <c r="F70" s="539"/>
      <c r="G70" s="231"/>
      <c r="H70" s="121"/>
      <c r="I70" s="325"/>
      <c r="J70" s="539"/>
      <c r="K70" s="231"/>
      <c r="L70" s="121"/>
      <c r="M70" s="19"/>
    </row>
    <row r="71" spans="1:13" x14ac:dyDescent="0.2">
      <c r="A71" s="232" t="s">
        <v>13</v>
      </c>
      <c r="B71" s="539"/>
      <c r="C71" s="231"/>
      <c r="D71" s="121"/>
      <c r="E71" s="325"/>
      <c r="F71" s="539"/>
      <c r="G71" s="231"/>
      <c r="H71" s="121"/>
      <c r="I71" s="325"/>
      <c r="J71" s="539"/>
      <c r="K71" s="231"/>
      <c r="L71" s="121"/>
      <c r="M71" s="19"/>
    </row>
    <row r="72" spans="1:13" ht="15.75" x14ac:dyDescent="0.2">
      <c r="A72" s="232" t="s">
        <v>338</v>
      </c>
      <c r="B72" s="539"/>
      <c r="C72" s="231"/>
      <c r="D72" s="121"/>
      <c r="E72" s="325"/>
      <c r="F72" s="539"/>
      <c r="G72" s="231"/>
      <c r="H72" s="121"/>
      <c r="I72" s="325"/>
      <c r="J72" s="539"/>
      <c r="K72" s="231"/>
      <c r="L72" s="121"/>
      <c r="M72" s="19"/>
    </row>
    <row r="73" spans="1:13" x14ac:dyDescent="0.2">
      <c r="A73" s="232" t="s">
        <v>12</v>
      </c>
      <c r="B73" s="539"/>
      <c r="C73" s="231"/>
      <c r="D73" s="121"/>
      <c r="E73" s="325"/>
      <c r="F73" s="539"/>
      <c r="G73" s="231"/>
      <c r="H73" s="121"/>
      <c r="I73" s="325"/>
      <c r="J73" s="539"/>
      <c r="K73" s="231"/>
      <c r="L73" s="121"/>
      <c r="M73" s="19"/>
    </row>
    <row r="74" spans="1:13" x14ac:dyDescent="0.2">
      <c r="A74" s="232" t="s">
        <v>13</v>
      </c>
      <c r="B74" s="539"/>
      <c r="C74" s="231"/>
      <c r="D74" s="121"/>
      <c r="E74" s="325"/>
      <c r="F74" s="539"/>
      <c r="G74" s="231"/>
      <c r="H74" s="121"/>
      <c r="I74" s="325"/>
      <c r="J74" s="539"/>
      <c r="K74" s="231"/>
      <c r="L74" s="121"/>
      <c r="M74" s="19"/>
    </row>
    <row r="75" spans="1:13" x14ac:dyDescent="0.2">
      <c r="A75" s="17" t="s">
        <v>309</v>
      </c>
      <c r="B75" s="178"/>
      <c r="C75" s="108"/>
      <c r="D75" s="121"/>
      <c r="E75" s="22"/>
      <c r="F75" s="178"/>
      <c r="G75" s="108"/>
      <c r="H75" s="121"/>
      <c r="I75" s="22"/>
      <c r="J75" s="226"/>
      <c r="K75" s="35"/>
      <c r="L75" s="198"/>
      <c r="M75" s="22"/>
    </row>
    <row r="76" spans="1:13" x14ac:dyDescent="0.2">
      <c r="A76" s="17" t="s">
        <v>308</v>
      </c>
      <c r="B76" s="178"/>
      <c r="C76" s="108"/>
      <c r="D76" s="121"/>
      <c r="E76" s="22"/>
      <c r="F76" s="178"/>
      <c r="G76" s="108"/>
      <c r="H76" s="121"/>
      <c r="I76" s="22"/>
      <c r="J76" s="226"/>
      <c r="K76" s="35"/>
      <c r="L76" s="198"/>
      <c r="M76" s="22"/>
    </row>
    <row r="77" spans="1:13" ht="15.75" x14ac:dyDescent="0.2">
      <c r="A77" s="17" t="s">
        <v>339</v>
      </c>
      <c r="B77" s="178"/>
      <c r="C77" s="178"/>
      <c r="D77" s="121"/>
      <c r="E77" s="22"/>
      <c r="F77" s="178"/>
      <c r="G77" s="108"/>
      <c r="H77" s="121"/>
      <c r="I77" s="22"/>
      <c r="J77" s="226"/>
      <c r="K77" s="35"/>
      <c r="L77" s="198"/>
      <c r="M77" s="22"/>
    </row>
    <row r="78" spans="1:13" x14ac:dyDescent="0.2">
      <c r="A78" s="17" t="s">
        <v>9</v>
      </c>
      <c r="B78" s="178"/>
      <c r="C78" s="108"/>
      <c r="D78" s="121"/>
      <c r="E78" s="22"/>
      <c r="F78" s="178"/>
      <c r="G78" s="108"/>
      <c r="H78" s="121"/>
      <c r="I78" s="22"/>
      <c r="J78" s="226"/>
      <c r="K78" s="35"/>
      <c r="L78" s="198"/>
      <c r="M78" s="22"/>
    </row>
    <row r="79" spans="1:13" x14ac:dyDescent="0.2">
      <c r="A79" s="17" t="s">
        <v>366</v>
      </c>
      <c r="B79" s="229"/>
      <c r="C79" s="230"/>
      <c r="D79" s="121"/>
      <c r="E79" s="22"/>
      <c r="F79" s="229"/>
      <c r="G79" s="230"/>
      <c r="H79" s="121"/>
      <c r="I79" s="22"/>
      <c r="J79" s="226"/>
      <c r="K79" s="35"/>
      <c r="L79" s="198"/>
      <c r="M79" s="22"/>
    </row>
    <row r="80" spans="1:13" ht="15.75" x14ac:dyDescent="0.2">
      <c r="A80" s="232" t="s">
        <v>337</v>
      </c>
      <c r="B80" s="539"/>
      <c r="C80" s="231"/>
      <c r="D80" s="121"/>
      <c r="E80" s="325"/>
      <c r="F80" s="539"/>
      <c r="G80" s="231"/>
      <c r="H80" s="121"/>
      <c r="I80" s="325"/>
      <c r="J80" s="539"/>
      <c r="K80" s="231"/>
      <c r="L80" s="121"/>
      <c r="M80" s="19"/>
    </row>
    <row r="81" spans="1:13" x14ac:dyDescent="0.2">
      <c r="A81" s="232" t="s">
        <v>12</v>
      </c>
      <c r="B81" s="539"/>
      <c r="C81" s="231"/>
      <c r="D81" s="121"/>
      <c r="E81" s="325"/>
      <c r="F81" s="539"/>
      <c r="G81" s="231"/>
      <c r="H81" s="121"/>
      <c r="I81" s="325"/>
      <c r="J81" s="539"/>
      <c r="K81" s="231"/>
      <c r="L81" s="121"/>
      <c r="M81" s="19"/>
    </row>
    <row r="82" spans="1:13" x14ac:dyDescent="0.2">
      <c r="A82" s="232" t="s">
        <v>13</v>
      </c>
      <c r="B82" s="539"/>
      <c r="C82" s="231"/>
      <c r="D82" s="121"/>
      <c r="E82" s="325"/>
      <c r="F82" s="539"/>
      <c r="G82" s="231"/>
      <c r="H82" s="121"/>
      <c r="I82" s="325"/>
      <c r="J82" s="539"/>
      <c r="K82" s="231"/>
      <c r="L82" s="121"/>
      <c r="M82" s="19"/>
    </row>
    <row r="83" spans="1:13" ht="15.75" x14ac:dyDescent="0.2">
      <c r="A83" s="232" t="s">
        <v>338</v>
      </c>
      <c r="B83" s="539"/>
      <c r="C83" s="231"/>
      <c r="D83" s="121"/>
      <c r="E83" s="325"/>
      <c r="F83" s="539"/>
      <c r="G83" s="231"/>
      <c r="H83" s="121"/>
      <c r="I83" s="325"/>
      <c r="J83" s="539"/>
      <c r="K83" s="231"/>
      <c r="L83" s="121"/>
      <c r="M83" s="19"/>
    </row>
    <row r="84" spans="1:13" x14ac:dyDescent="0.2">
      <c r="A84" s="232" t="s">
        <v>12</v>
      </c>
      <c r="B84" s="539"/>
      <c r="C84" s="231"/>
      <c r="D84" s="121"/>
      <c r="E84" s="325"/>
      <c r="F84" s="539"/>
      <c r="G84" s="231"/>
      <c r="H84" s="121"/>
      <c r="I84" s="325"/>
      <c r="J84" s="539"/>
      <c r="K84" s="231"/>
      <c r="L84" s="121"/>
      <c r="M84" s="19"/>
    </row>
    <row r="85" spans="1:13" x14ac:dyDescent="0.2">
      <c r="A85" s="232" t="s">
        <v>13</v>
      </c>
      <c r="B85" s="539"/>
      <c r="C85" s="231"/>
      <c r="D85" s="121"/>
      <c r="E85" s="325"/>
      <c r="F85" s="539"/>
      <c r="G85" s="231"/>
      <c r="H85" s="121"/>
      <c r="I85" s="325"/>
      <c r="J85" s="539"/>
      <c r="K85" s="231"/>
      <c r="L85" s="121"/>
      <c r="M85" s="19"/>
    </row>
    <row r="86" spans="1:13" ht="15.75" x14ac:dyDescent="0.2">
      <c r="A86" s="17" t="s">
        <v>340</v>
      </c>
      <c r="B86" s="178"/>
      <c r="C86" s="108"/>
      <c r="D86" s="121"/>
      <c r="E86" s="22"/>
      <c r="F86" s="178"/>
      <c r="G86" s="108"/>
      <c r="H86" s="121"/>
      <c r="I86" s="22"/>
      <c r="J86" s="226"/>
      <c r="K86" s="35"/>
      <c r="L86" s="198"/>
      <c r="M86" s="22"/>
    </row>
    <row r="87" spans="1:13" ht="15.75" x14ac:dyDescent="0.2">
      <c r="A87" s="10" t="s">
        <v>322</v>
      </c>
      <c r="B87" s="280"/>
      <c r="C87" s="280"/>
      <c r="D87" s="125"/>
      <c r="E87" s="8"/>
      <c r="F87" s="279"/>
      <c r="G87" s="279"/>
      <c r="H87" s="125"/>
      <c r="I87" s="8"/>
      <c r="J87" s="243"/>
      <c r="K87" s="180"/>
      <c r="L87" s="333"/>
      <c r="M87" s="8"/>
    </row>
    <row r="88" spans="1:13" x14ac:dyDescent="0.2">
      <c r="A88" s="17" t="s">
        <v>9</v>
      </c>
      <c r="B88" s="178"/>
      <c r="C88" s="108"/>
      <c r="D88" s="121"/>
      <c r="E88" s="22"/>
      <c r="F88" s="178"/>
      <c r="G88" s="108"/>
      <c r="H88" s="121"/>
      <c r="I88" s="22"/>
      <c r="J88" s="226"/>
      <c r="K88" s="35"/>
      <c r="L88" s="198"/>
      <c r="M88" s="22"/>
    </row>
    <row r="89" spans="1:13" x14ac:dyDescent="0.2">
      <c r="A89" s="17" t="s">
        <v>10</v>
      </c>
      <c r="B89" s="178"/>
      <c r="C89" s="108"/>
      <c r="D89" s="121"/>
      <c r="E89" s="22"/>
      <c r="F89" s="178"/>
      <c r="G89" s="108"/>
      <c r="H89" s="121"/>
      <c r="I89" s="22"/>
      <c r="J89" s="226"/>
      <c r="K89" s="35"/>
      <c r="L89" s="198"/>
      <c r="M89" s="22"/>
    </row>
    <row r="90" spans="1:13" ht="15.75" x14ac:dyDescent="0.2">
      <c r="A90" s="232" t="s">
        <v>337</v>
      </c>
      <c r="B90" s="539"/>
      <c r="C90" s="231"/>
      <c r="D90" s="121"/>
      <c r="E90" s="325"/>
      <c r="F90" s="539"/>
      <c r="G90" s="231"/>
      <c r="H90" s="121"/>
      <c r="I90" s="325"/>
      <c r="J90" s="539"/>
      <c r="K90" s="231"/>
      <c r="L90" s="121"/>
      <c r="M90" s="19"/>
    </row>
    <row r="91" spans="1:13" x14ac:dyDescent="0.2">
      <c r="A91" s="232" t="s">
        <v>12</v>
      </c>
      <c r="B91" s="539"/>
      <c r="C91" s="231"/>
      <c r="D91" s="121"/>
      <c r="E91" s="325"/>
      <c r="F91" s="539"/>
      <c r="G91" s="231"/>
      <c r="H91" s="121"/>
      <c r="I91" s="325"/>
      <c r="J91" s="539"/>
      <c r="K91" s="231"/>
      <c r="L91" s="121"/>
      <c r="M91" s="19"/>
    </row>
    <row r="92" spans="1:13" x14ac:dyDescent="0.2">
      <c r="A92" s="232" t="s">
        <v>13</v>
      </c>
      <c r="B92" s="539"/>
      <c r="C92" s="231"/>
      <c r="D92" s="121"/>
      <c r="E92" s="325"/>
      <c r="F92" s="539"/>
      <c r="G92" s="231"/>
      <c r="H92" s="121"/>
      <c r="I92" s="325"/>
      <c r="J92" s="539"/>
      <c r="K92" s="231"/>
      <c r="L92" s="121"/>
      <c r="M92" s="19"/>
    </row>
    <row r="93" spans="1:13" ht="15.75" x14ac:dyDescent="0.2">
      <c r="A93" s="232" t="s">
        <v>338</v>
      </c>
      <c r="B93" s="539"/>
      <c r="C93" s="231"/>
      <c r="D93" s="121"/>
      <c r="E93" s="325"/>
      <c r="F93" s="539"/>
      <c r="G93" s="231"/>
      <c r="H93" s="121"/>
      <c r="I93" s="325"/>
      <c r="J93" s="539"/>
      <c r="K93" s="231"/>
      <c r="L93" s="121"/>
      <c r="M93" s="19"/>
    </row>
    <row r="94" spans="1:13" x14ac:dyDescent="0.2">
      <c r="A94" s="232" t="s">
        <v>12</v>
      </c>
      <c r="B94" s="539"/>
      <c r="C94" s="231"/>
      <c r="D94" s="121"/>
      <c r="E94" s="325"/>
      <c r="F94" s="539"/>
      <c r="G94" s="231"/>
      <c r="H94" s="121"/>
      <c r="I94" s="325"/>
      <c r="J94" s="539"/>
      <c r="K94" s="231"/>
      <c r="L94" s="121"/>
      <c r="M94" s="19"/>
    </row>
    <row r="95" spans="1:13" x14ac:dyDescent="0.2">
      <c r="A95" s="232" t="s">
        <v>13</v>
      </c>
      <c r="B95" s="539"/>
      <c r="C95" s="231"/>
      <c r="D95" s="121"/>
      <c r="E95" s="325"/>
      <c r="F95" s="539"/>
      <c r="G95" s="231"/>
      <c r="H95" s="121"/>
      <c r="I95" s="325"/>
      <c r="J95" s="539"/>
      <c r="K95" s="231"/>
      <c r="L95" s="121"/>
      <c r="M95" s="19"/>
    </row>
    <row r="96" spans="1:13" x14ac:dyDescent="0.2">
      <c r="A96" s="17" t="s">
        <v>307</v>
      </c>
      <c r="B96" s="178"/>
      <c r="C96" s="108"/>
      <c r="D96" s="121"/>
      <c r="E96" s="22"/>
      <c r="F96" s="178"/>
      <c r="G96" s="108"/>
      <c r="H96" s="121"/>
      <c r="I96" s="22"/>
      <c r="J96" s="226"/>
      <c r="K96" s="35"/>
      <c r="L96" s="198"/>
      <c r="M96" s="22"/>
    </row>
    <row r="97" spans="1:13" x14ac:dyDescent="0.2">
      <c r="A97" s="17" t="s">
        <v>306</v>
      </c>
      <c r="B97" s="178"/>
      <c r="C97" s="108"/>
      <c r="D97" s="121"/>
      <c r="E97" s="22"/>
      <c r="F97" s="178"/>
      <c r="G97" s="108"/>
      <c r="H97" s="121"/>
      <c r="I97" s="22"/>
      <c r="J97" s="226"/>
      <c r="K97" s="35"/>
      <c r="L97" s="198"/>
      <c r="M97" s="22"/>
    </row>
    <row r="98" spans="1:13" ht="15.75" x14ac:dyDescent="0.2">
      <c r="A98" s="17" t="s">
        <v>339</v>
      </c>
      <c r="B98" s="178"/>
      <c r="C98" s="178"/>
      <c r="D98" s="121"/>
      <c r="E98" s="22"/>
      <c r="F98" s="229"/>
      <c r="G98" s="229"/>
      <c r="H98" s="121"/>
      <c r="I98" s="22"/>
      <c r="J98" s="226"/>
      <c r="K98" s="35"/>
      <c r="L98" s="198"/>
      <c r="M98" s="22"/>
    </row>
    <row r="99" spans="1:13" x14ac:dyDescent="0.2">
      <c r="A99" s="17" t="s">
        <v>9</v>
      </c>
      <c r="B99" s="229"/>
      <c r="C99" s="230"/>
      <c r="D99" s="121"/>
      <c r="E99" s="22"/>
      <c r="F99" s="178"/>
      <c r="G99" s="108"/>
      <c r="H99" s="121"/>
      <c r="I99" s="22"/>
      <c r="J99" s="226"/>
      <c r="K99" s="35"/>
      <c r="L99" s="198"/>
      <c r="M99" s="22"/>
    </row>
    <row r="100" spans="1:13" x14ac:dyDescent="0.2">
      <c r="A100" s="17" t="s">
        <v>366</v>
      </c>
      <c r="B100" s="229"/>
      <c r="C100" s="230"/>
      <c r="D100" s="121"/>
      <c r="E100" s="22"/>
      <c r="F100" s="178"/>
      <c r="G100" s="178"/>
      <c r="H100" s="121"/>
      <c r="I100" s="22"/>
      <c r="J100" s="226"/>
      <c r="K100" s="35"/>
      <c r="L100" s="198"/>
      <c r="M100" s="22"/>
    </row>
    <row r="101" spans="1:13" ht="15.75" x14ac:dyDescent="0.2">
      <c r="A101" s="232" t="s">
        <v>337</v>
      </c>
      <c r="B101" s="539"/>
      <c r="C101" s="231"/>
      <c r="D101" s="121"/>
      <c r="E101" s="325"/>
      <c r="F101" s="539"/>
      <c r="G101" s="231"/>
      <c r="H101" s="121"/>
      <c r="I101" s="325"/>
      <c r="J101" s="539"/>
      <c r="K101" s="231"/>
      <c r="L101" s="121"/>
      <c r="M101" s="19"/>
    </row>
    <row r="102" spans="1:13" x14ac:dyDescent="0.2">
      <c r="A102" s="232" t="s">
        <v>12</v>
      </c>
      <c r="B102" s="539"/>
      <c r="C102" s="231"/>
      <c r="D102" s="121"/>
      <c r="E102" s="325"/>
      <c r="F102" s="539"/>
      <c r="G102" s="231"/>
      <c r="H102" s="121"/>
      <c r="I102" s="325"/>
      <c r="J102" s="539"/>
      <c r="K102" s="231"/>
      <c r="L102" s="121"/>
      <c r="M102" s="19"/>
    </row>
    <row r="103" spans="1:13" x14ac:dyDescent="0.2">
      <c r="A103" s="232" t="s">
        <v>13</v>
      </c>
      <c r="B103" s="539"/>
      <c r="C103" s="231"/>
      <c r="D103" s="121"/>
      <c r="E103" s="325"/>
      <c r="F103" s="539"/>
      <c r="G103" s="231"/>
      <c r="H103" s="121"/>
      <c r="I103" s="325"/>
      <c r="J103" s="539"/>
      <c r="K103" s="231"/>
      <c r="L103" s="121"/>
      <c r="M103" s="19"/>
    </row>
    <row r="104" spans="1:13" ht="15.75" x14ac:dyDescent="0.2">
      <c r="A104" s="232" t="s">
        <v>338</v>
      </c>
      <c r="B104" s="539"/>
      <c r="C104" s="231"/>
      <c r="D104" s="121"/>
      <c r="E104" s="325"/>
      <c r="F104" s="539"/>
      <c r="G104" s="231"/>
      <c r="H104" s="121"/>
      <c r="I104" s="325"/>
      <c r="J104" s="539"/>
      <c r="K104" s="231"/>
      <c r="L104" s="121"/>
      <c r="M104" s="19"/>
    </row>
    <row r="105" spans="1:13" x14ac:dyDescent="0.2">
      <c r="A105" s="232" t="s">
        <v>12</v>
      </c>
      <c r="B105" s="539"/>
      <c r="C105" s="231"/>
      <c r="D105" s="121"/>
      <c r="E105" s="325"/>
      <c r="F105" s="539"/>
      <c r="G105" s="231"/>
      <c r="H105" s="121"/>
      <c r="I105" s="325"/>
      <c r="J105" s="539"/>
      <c r="K105" s="231"/>
      <c r="L105" s="121"/>
      <c r="M105" s="19"/>
    </row>
    <row r="106" spans="1:13" x14ac:dyDescent="0.2">
      <c r="A106" s="232" t="s">
        <v>13</v>
      </c>
      <c r="B106" s="539"/>
      <c r="C106" s="231"/>
      <c r="D106" s="121"/>
      <c r="E106" s="325"/>
      <c r="F106" s="539"/>
      <c r="G106" s="231"/>
      <c r="H106" s="121"/>
      <c r="I106" s="325"/>
      <c r="J106" s="539"/>
      <c r="K106" s="231"/>
      <c r="L106" s="121"/>
      <c r="M106" s="19"/>
    </row>
    <row r="107" spans="1:13" ht="15.75" x14ac:dyDescent="0.2">
      <c r="A107" s="17" t="s">
        <v>340</v>
      </c>
      <c r="B107" s="178"/>
      <c r="C107" s="108"/>
      <c r="D107" s="121"/>
      <c r="E107" s="22"/>
      <c r="F107" s="178"/>
      <c r="G107" s="108"/>
      <c r="H107" s="121"/>
      <c r="I107" s="22"/>
      <c r="J107" s="226"/>
      <c r="K107" s="35"/>
      <c r="L107" s="198"/>
      <c r="M107" s="22"/>
    </row>
    <row r="108" spans="1:13" ht="15.75" x14ac:dyDescent="0.2">
      <c r="A108" s="17" t="s">
        <v>341</v>
      </c>
      <c r="B108" s="178"/>
      <c r="C108" s="178"/>
      <c r="D108" s="121"/>
      <c r="E108" s="22"/>
      <c r="F108" s="178"/>
      <c r="G108" s="178"/>
      <c r="H108" s="121"/>
      <c r="I108" s="22"/>
      <c r="J108" s="226"/>
      <c r="K108" s="35"/>
      <c r="L108" s="198"/>
      <c r="M108" s="22"/>
    </row>
    <row r="109" spans="1:13" ht="15.75" x14ac:dyDescent="0.2">
      <c r="A109" s="17" t="s">
        <v>374</v>
      </c>
      <c r="B109" s="178"/>
      <c r="C109" s="178"/>
      <c r="D109" s="121"/>
      <c r="E109" s="22"/>
      <c r="F109" s="178"/>
      <c r="G109" s="178"/>
      <c r="H109" s="121"/>
      <c r="I109" s="22"/>
      <c r="J109" s="226"/>
      <c r="K109" s="35"/>
      <c r="L109" s="198"/>
      <c r="M109" s="22"/>
    </row>
    <row r="110" spans="1:13" ht="15.75" x14ac:dyDescent="0.2">
      <c r="A110" s="17" t="s">
        <v>342</v>
      </c>
      <c r="B110" s="178"/>
      <c r="C110" s="178"/>
      <c r="D110" s="121"/>
      <c r="E110" s="22"/>
      <c r="F110" s="178"/>
      <c r="G110" s="178"/>
      <c r="H110" s="121"/>
      <c r="I110" s="22"/>
      <c r="J110" s="226"/>
      <c r="K110" s="35"/>
      <c r="L110" s="198"/>
      <c r="M110" s="22"/>
    </row>
    <row r="111" spans="1:13" ht="15.75" x14ac:dyDescent="0.2">
      <c r="A111" s="10" t="s">
        <v>323</v>
      </c>
      <c r="B111" s="242"/>
      <c r="C111" s="116"/>
      <c r="D111" s="125"/>
      <c r="E111" s="8"/>
      <c r="F111" s="242"/>
      <c r="G111" s="116"/>
      <c r="H111" s="125"/>
      <c r="I111" s="8"/>
      <c r="J111" s="243"/>
      <c r="K111" s="180"/>
      <c r="L111" s="333"/>
      <c r="M111" s="8"/>
    </row>
    <row r="112" spans="1:13" x14ac:dyDescent="0.2">
      <c r="A112" s="17" t="s">
        <v>9</v>
      </c>
      <c r="B112" s="178"/>
      <c r="C112" s="108"/>
      <c r="D112" s="121"/>
      <c r="E112" s="22"/>
      <c r="F112" s="178"/>
      <c r="G112" s="108"/>
      <c r="H112" s="121"/>
      <c r="I112" s="22"/>
      <c r="J112" s="226"/>
      <c r="K112" s="35"/>
      <c r="L112" s="198"/>
      <c r="M112" s="22"/>
    </row>
    <row r="113" spans="1:13" x14ac:dyDescent="0.2">
      <c r="A113" s="17" t="s">
        <v>10</v>
      </c>
      <c r="B113" s="178"/>
      <c r="C113" s="108"/>
      <c r="D113" s="121"/>
      <c r="E113" s="22"/>
      <c r="F113" s="178"/>
      <c r="G113" s="108"/>
      <c r="H113" s="121"/>
      <c r="I113" s="22"/>
      <c r="J113" s="226"/>
      <c r="K113" s="35"/>
      <c r="L113" s="198"/>
      <c r="M113" s="22"/>
    </row>
    <row r="114" spans="1:13" x14ac:dyDescent="0.2">
      <c r="A114" s="17" t="s">
        <v>26</v>
      </c>
      <c r="B114" s="178"/>
      <c r="C114" s="108"/>
      <c r="D114" s="121"/>
      <c r="E114" s="22"/>
      <c r="F114" s="178"/>
      <c r="G114" s="108"/>
      <c r="H114" s="121"/>
      <c r="I114" s="22"/>
      <c r="J114" s="226"/>
      <c r="K114" s="35"/>
      <c r="L114" s="198"/>
      <c r="M114" s="22"/>
    </row>
    <row r="115" spans="1:13" x14ac:dyDescent="0.2">
      <c r="A115" s="232" t="s">
        <v>15</v>
      </c>
      <c r="B115" s="220"/>
      <c r="C115" s="220"/>
      <c r="D115" s="121"/>
      <c r="E115" s="325"/>
      <c r="F115" s="220"/>
      <c r="G115" s="220"/>
      <c r="H115" s="121"/>
      <c r="I115" s="325"/>
      <c r="J115" s="228"/>
      <c r="K115" s="228"/>
      <c r="L115" s="121"/>
      <c r="M115" s="19"/>
    </row>
    <row r="116" spans="1:13" ht="15.75" x14ac:dyDescent="0.2">
      <c r="A116" s="17" t="s">
        <v>343</v>
      </c>
      <c r="B116" s="178"/>
      <c r="C116" s="178"/>
      <c r="D116" s="121"/>
      <c r="E116" s="22"/>
      <c r="F116" s="178"/>
      <c r="G116" s="178"/>
      <c r="H116" s="121"/>
      <c r="I116" s="22"/>
      <c r="J116" s="226"/>
      <c r="K116" s="35"/>
      <c r="L116" s="198"/>
      <c r="M116" s="22"/>
    </row>
    <row r="117" spans="1:13" ht="15.75" x14ac:dyDescent="0.2">
      <c r="A117" s="17" t="s">
        <v>374</v>
      </c>
      <c r="B117" s="178"/>
      <c r="C117" s="178"/>
      <c r="D117" s="121"/>
      <c r="E117" s="22"/>
      <c r="F117" s="178"/>
      <c r="G117" s="178"/>
      <c r="H117" s="121"/>
      <c r="I117" s="22"/>
      <c r="J117" s="226"/>
      <c r="K117" s="35"/>
      <c r="L117" s="198"/>
      <c r="M117" s="22"/>
    </row>
    <row r="118" spans="1:13" ht="15.75" x14ac:dyDescent="0.2">
      <c r="A118" s="17" t="s">
        <v>342</v>
      </c>
      <c r="B118" s="178"/>
      <c r="C118" s="178"/>
      <c r="D118" s="121"/>
      <c r="E118" s="22"/>
      <c r="F118" s="178"/>
      <c r="G118" s="178"/>
      <c r="H118" s="121"/>
      <c r="I118" s="22"/>
      <c r="J118" s="226"/>
      <c r="K118" s="35"/>
      <c r="L118" s="198"/>
      <c r="M118" s="22"/>
    </row>
    <row r="119" spans="1:13" ht="15.75" x14ac:dyDescent="0.2">
      <c r="A119" s="10" t="s">
        <v>324</v>
      </c>
      <c r="B119" s="242"/>
      <c r="C119" s="116"/>
      <c r="D119" s="125"/>
      <c r="E119" s="8"/>
      <c r="F119" s="242"/>
      <c r="G119" s="116"/>
      <c r="H119" s="125"/>
      <c r="I119" s="8"/>
      <c r="J119" s="243"/>
      <c r="K119" s="180"/>
      <c r="L119" s="333"/>
      <c r="M119" s="8"/>
    </row>
    <row r="120" spans="1:13" x14ac:dyDescent="0.2">
      <c r="A120" s="17" t="s">
        <v>9</v>
      </c>
      <c r="B120" s="178"/>
      <c r="C120" s="108"/>
      <c r="D120" s="121"/>
      <c r="E120" s="22"/>
      <c r="F120" s="178"/>
      <c r="G120" s="108"/>
      <c r="H120" s="121"/>
      <c r="I120" s="22"/>
      <c r="J120" s="226"/>
      <c r="K120" s="35"/>
      <c r="L120" s="198"/>
      <c r="M120" s="22"/>
    </row>
    <row r="121" spans="1:13" x14ac:dyDescent="0.2">
      <c r="A121" s="17" t="s">
        <v>10</v>
      </c>
      <c r="B121" s="178"/>
      <c r="C121" s="108"/>
      <c r="D121" s="121"/>
      <c r="E121" s="22"/>
      <c r="F121" s="178"/>
      <c r="G121" s="108"/>
      <c r="H121" s="121"/>
      <c r="I121" s="22"/>
      <c r="J121" s="226"/>
      <c r="K121" s="35"/>
      <c r="L121" s="198"/>
      <c r="M121" s="22"/>
    </row>
    <row r="122" spans="1:13" x14ac:dyDescent="0.2">
      <c r="A122" s="17" t="s">
        <v>26</v>
      </c>
      <c r="B122" s="178"/>
      <c r="C122" s="108"/>
      <c r="D122" s="121"/>
      <c r="E122" s="22"/>
      <c r="F122" s="178"/>
      <c r="G122" s="108"/>
      <c r="H122" s="121"/>
      <c r="I122" s="22"/>
      <c r="J122" s="226"/>
      <c r="K122" s="35"/>
      <c r="L122" s="198"/>
      <c r="M122" s="22"/>
    </row>
    <row r="123" spans="1:13" x14ac:dyDescent="0.2">
      <c r="A123" s="232" t="s">
        <v>14</v>
      </c>
      <c r="B123" s="220"/>
      <c r="C123" s="220"/>
      <c r="D123" s="121"/>
      <c r="E123" s="325"/>
      <c r="F123" s="220"/>
      <c r="G123" s="220"/>
      <c r="H123" s="121"/>
      <c r="I123" s="325"/>
      <c r="J123" s="228"/>
      <c r="K123" s="228"/>
      <c r="L123" s="121"/>
      <c r="M123" s="19"/>
    </row>
    <row r="124" spans="1:13" ht="15.75" x14ac:dyDescent="0.2">
      <c r="A124" s="17" t="s">
        <v>348</v>
      </c>
      <c r="B124" s="178"/>
      <c r="C124" s="178"/>
      <c r="D124" s="121"/>
      <c r="E124" s="22"/>
      <c r="F124" s="178"/>
      <c r="G124" s="178"/>
      <c r="H124" s="121"/>
      <c r="I124" s="22"/>
      <c r="J124" s="226"/>
      <c r="K124" s="35"/>
      <c r="L124" s="198"/>
      <c r="M124" s="22"/>
    </row>
    <row r="125" spans="1:13" ht="15.75" x14ac:dyDescent="0.2">
      <c r="A125" s="17" t="s">
        <v>374</v>
      </c>
      <c r="B125" s="178"/>
      <c r="C125" s="178"/>
      <c r="D125" s="121"/>
      <c r="E125" s="22"/>
      <c r="F125" s="178"/>
      <c r="G125" s="178"/>
      <c r="H125" s="121"/>
      <c r="I125" s="22"/>
      <c r="J125" s="226"/>
      <c r="K125" s="35"/>
      <c r="L125" s="198"/>
      <c r="M125" s="22"/>
    </row>
    <row r="126" spans="1:13" ht="15.75" x14ac:dyDescent="0.2">
      <c r="A126" s="7" t="s">
        <v>342</v>
      </c>
      <c r="B126" s="36"/>
      <c r="C126" s="36"/>
      <c r="D126" s="122"/>
      <c r="E126" s="326"/>
      <c r="F126" s="36"/>
      <c r="G126" s="36"/>
      <c r="H126" s="122"/>
      <c r="I126" s="18"/>
      <c r="J126" s="227"/>
      <c r="K126" s="36"/>
      <c r="L126" s="199"/>
      <c r="M126" s="18"/>
    </row>
    <row r="127" spans="1:13" x14ac:dyDescent="0.2">
      <c r="A127" s="113"/>
    </row>
    <row r="129" spans="1:14" ht="15.75" x14ac:dyDescent="0.25">
      <c r="A129" s="109" t="s">
        <v>27</v>
      </c>
    </row>
    <row r="130" spans="1:14" ht="15.75" x14ac:dyDescent="0.25">
      <c r="B130" s="569"/>
      <c r="C130" s="569"/>
      <c r="D130" s="569"/>
      <c r="E130" s="234"/>
      <c r="F130" s="569"/>
      <c r="G130" s="569"/>
      <c r="H130" s="569"/>
      <c r="I130" s="234"/>
      <c r="J130" s="569"/>
      <c r="K130" s="569"/>
      <c r="L130" s="569"/>
      <c r="M130" s="234"/>
    </row>
    <row r="131" spans="1:14" x14ac:dyDescent="0.2">
      <c r="A131" s="107"/>
      <c r="B131" s="570" t="s">
        <v>0</v>
      </c>
      <c r="C131" s="571"/>
      <c r="D131" s="571"/>
      <c r="E131" s="236"/>
      <c r="F131" s="570" t="s">
        <v>1</v>
      </c>
      <c r="G131" s="571"/>
      <c r="H131" s="571"/>
      <c r="I131" s="238"/>
      <c r="J131" s="570" t="s">
        <v>2</v>
      </c>
      <c r="K131" s="571"/>
      <c r="L131" s="571"/>
      <c r="M131" s="238"/>
    </row>
    <row r="132" spans="1:14" x14ac:dyDescent="0.2">
      <c r="A132" s="104"/>
      <c r="B132" s="535">
        <v>45565</v>
      </c>
      <c r="C132" s="535">
        <v>45930</v>
      </c>
      <c r="D132" s="189" t="s">
        <v>3</v>
      </c>
      <c r="E132" s="239" t="s">
        <v>29</v>
      </c>
      <c r="F132" s="535">
        <v>45565</v>
      </c>
      <c r="G132" s="535">
        <v>45930</v>
      </c>
      <c r="H132" s="154" t="s">
        <v>3</v>
      </c>
      <c r="I132" s="119" t="s">
        <v>29</v>
      </c>
      <c r="J132" s="535">
        <v>45565</v>
      </c>
      <c r="K132" s="535">
        <v>45930</v>
      </c>
      <c r="L132" s="190" t="s">
        <v>3</v>
      </c>
      <c r="M132" s="119" t="s">
        <v>29</v>
      </c>
    </row>
    <row r="133" spans="1:14" x14ac:dyDescent="0.2">
      <c r="A133" s="538"/>
      <c r="B133" s="114"/>
      <c r="C133" s="114"/>
      <c r="D133" s="190" t="s">
        <v>4</v>
      </c>
      <c r="E133" s="114" t="s">
        <v>30</v>
      </c>
      <c r="F133" s="118"/>
      <c r="G133" s="118"/>
      <c r="H133" s="154" t="s">
        <v>4</v>
      </c>
      <c r="I133" s="114" t="s">
        <v>30</v>
      </c>
      <c r="J133" s="114"/>
      <c r="K133" s="114"/>
      <c r="L133" s="110" t="s">
        <v>4</v>
      </c>
      <c r="M133" s="114" t="s">
        <v>30</v>
      </c>
    </row>
    <row r="134" spans="1:14" ht="15.75" x14ac:dyDescent="0.2">
      <c r="A134" s="11" t="s">
        <v>344</v>
      </c>
      <c r="B134" s="180"/>
      <c r="C134" s="243"/>
      <c r="D134" s="277"/>
      <c r="E134" s="8"/>
      <c r="F134" s="250"/>
      <c r="G134" s="251"/>
      <c r="H134" s="336"/>
      <c r="I134" s="20"/>
      <c r="J134" s="252"/>
      <c r="K134" s="252"/>
      <c r="L134" s="332"/>
      <c r="M134" s="8"/>
    </row>
    <row r="135" spans="1:14" ht="15.75" x14ac:dyDescent="0.2">
      <c r="A135" s="10" t="s">
        <v>349</v>
      </c>
      <c r="B135" s="180"/>
      <c r="C135" s="243"/>
      <c r="D135" s="125"/>
      <c r="E135" s="8"/>
      <c r="F135" s="180"/>
      <c r="G135" s="243"/>
      <c r="H135" s="337"/>
      <c r="I135" s="20"/>
      <c r="J135" s="242"/>
      <c r="K135" s="242"/>
      <c r="L135" s="333"/>
      <c r="M135" s="8"/>
    </row>
    <row r="136" spans="1:14" ht="15.75" x14ac:dyDescent="0.2">
      <c r="A136" s="10" t="s">
        <v>346</v>
      </c>
      <c r="B136" s="180"/>
      <c r="C136" s="243"/>
      <c r="D136" s="125"/>
      <c r="E136" s="8"/>
      <c r="F136" s="180"/>
      <c r="G136" s="243"/>
      <c r="H136" s="337"/>
      <c r="I136" s="20"/>
      <c r="J136" s="242"/>
      <c r="K136" s="242"/>
      <c r="L136" s="333"/>
      <c r="M136" s="8"/>
    </row>
    <row r="137" spans="1:14" ht="15.75" x14ac:dyDescent="0.2">
      <c r="A137" s="32" t="s">
        <v>347</v>
      </c>
      <c r="B137" s="215"/>
      <c r="C137" s="249"/>
      <c r="D137" s="123"/>
      <c r="E137" s="6"/>
      <c r="F137" s="215"/>
      <c r="G137" s="249"/>
      <c r="H137" s="338"/>
      <c r="I137" s="29"/>
      <c r="J137" s="248"/>
      <c r="K137" s="248"/>
      <c r="L137" s="334"/>
      <c r="M137" s="29"/>
    </row>
    <row r="138" spans="1:14" x14ac:dyDescent="0.2">
      <c r="A138" s="106"/>
      <c r="B138" s="26"/>
      <c r="C138" s="26"/>
      <c r="D138" s="116"/>
      <c r="E138" s="116"/>
      <c r="F138" s="26"/>
      <c r="G138" s="26"/>
      <c r="H138" s="116"/>
      <c r="I138" s="116"/>
      <c r="J138" s="26"/>
      <c r="K138" s="26"/>
      <c r="L138" s="116"/>
      <c r="M138" s="116"/>
    </row>
    <row r="139" spans="1:14" x14ac:dyDescent="0.2">
      <c r="A139" s="106"/>
      <c r="B139" s="26"/>
      <c r="C139" s="26"/>
      <c r="D139" s="116"/>
      <c r="E139" s="116"/>
      <c r="F139" s="26"/>
      <c r="G139" s="26"/>
      <c r="H139" s="116"/>
      <c r="I139" s="116"/>
      <c r="J139" s="26"/>
      <c r="K139" s="26"/>
      <c r="L139" s="116"/>
      <c r="M139" s="116"/>
    </row>
    <row r="140" spans="1:14" x14ac:dyDescent="0.2">
      <c r="A140" s="106"/>
      <c r="B140" s="26"/>
      <c r="C140" s="26"/>
      <c r="D140" s="116"/>
      <c r="E140" s="116"/>
      <c r="F140" s="26"/>
      <c r="G140" s="26"/>
      <c r="H140" s="116"/>
      <c r="I140" s="116"/>
      <c r="J140" s="26"/>
      <c r="K140" s="26"/>
      <c r="L140" s="116"/>
      <c r="M140" s="116"/>
    </row>
    <row r="142" spans="1:14" ht="15.75" x14ac:dyDescent="0.25">
      <c r="B142" s="105"/>
      <c r="C142" s="105"/>
      <c r="D142" s="105"/>
      <c r="E142" s="105"/>
      <c r="F142" s="105"/>
      <c r="G142" s="105"/>
      <c r="H142" s="105"/>
      <c r="I142" s="105"/>
      <c r="J142" s="105"/>
      <c r="K142" s="105"/>
      <c r="L142" s="105"/>
      <c r="M142" s="105"/>
      <c r="N142" s="105"/>
    </row>
    <row r="143" spans="1:14" ht="15.75" x14ac:dyDescent="0.25">
      <c r="B143" s="105"/>
      <c r="C143" s="105"/>
      <c r="D143" s="105"/>
      <c r="E143" s="105"/>
      <c r="F143" s="105"/>
      <c r="G143" s="105"/>
      <c r="H143" s="105"/>
      <c r="I143" s="105"/>
      <c r="J143" s="105"/>
      <c r="K143" s="105"/>
      <c r="L143" s="105"/>
      <c r="M143" s="105"/>
      <c r="N143" s="105"/>
    </row>
    <row r="144" spans="1:14" ht="15.75" x14ac:dyDescent="0.25">
      <c r="B144" s="105"/>
      <c r="C144" s="105"/>
      <c r="D144" s="105"/>
      <c r="E144" s="105"/>
      <c r="F144" s="105"/>
      <c r="G144" s="105"/>
      <c r="H144" s="105"/>
      <c r="I144" s="105"/>
      <c r="J144" s="105"/>
      <c r="K144" s="105"/>
      <c r="L144" s="105"/>
      <c r="M144" s="105"/>
      <c r="N144" s="105"/>
    </row>
  </sheetData>
  <mergeCells count="31">
    <mergeCell ref="B131:D131"/>
    <mergeCell ref="F131:H131"/>
    <mergeCell ref="J131:L131"/>
    <mergeCell ref="B63:D63"/>
    <mergeCell ref="F63:H63"/>
    <mergeCell ref="J63:L63"/>
    <mergeCell ref="B130:D130"/>
    <mergeCell ref="F130:H130"/>
    <mergeCell ref="J130:L130"/>
    <mergeCell ref="B62:D62"/>
    <mergeCell ref="F62:H62"/>
    <mergeCell ref="J62:L62"/>
    <mergeCell ref="B42:D42"/>
    <mergeCell ref="F42:H42"/>
    <mergeCell ref="J42:L42"/>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s>
  <conditionalFormatting sqref="A50:A52">
    <cfRule type="expression" dxfId="429" priority="12">
      <formula>kvartal &lt; 4</formula>
    </cfRule>
  </conditionalFormatting>
  <conditionalFormatting sqref="A69:A74">
    <cfRule type="expression" dxfId="428" priority="10">
      <formula>kvartal &lt; 4</formula>
    </cfRule>
  </conditionalFormatting>
  <conditionalFormatting sqref="A80:A85">
    <cfRule type="expression" dxfId="427" priority="9">
      <formula>kvartal &lt; 4</formula>
    </cfRule>
  </conditionalFormatting>
  <conditionalFormatting sqref="A90:A95">
    <cfRule type="expression" dxfId="426" priority="6">
      <formula>kvartal &lt; 4</formula>
    </cfRule>
  </conditionalFormatting>
  <conditionalFormatting sqref="A101:A106">
    <cfRule type="expression" dxfId="425" priority="5">
      <formula>kvartal &lt; 4</formula>
    </cfRule>
  </conditionalFormatting>
  <conditionalFormatting sqref="A115:C115">
    <cfRule type="expression" dxfId="424" priority="4">
      <formula>kvartal &lt; 4</formula>
    </cfRule>
  </conditionalFormatting>
  <conditionalFormatting sqref="A123:C123">
    <cfRule type="expression" dxfId="423" priority="3">
      <formula>kvartal &lt; 4</formula>
    </cfRule>
  </conditionalFormatting>
  <conditionalFormatting sqref="F115:G115">
    <cfRule type="expression" dxfId="422" priority="57">
      <formula>kvartal &lt; 4</formula>
    </cfRule>
  </conditionalFormatting>
  <conditionalFormatting sqref="F123:G123">
    <cfRule type="expression" dxfId="421" priority="56">
      <formula>kvartal &lt; 4</formula>
    </cfRule>
  </conditionalFormatting>
  <conditionalFormatting sqref="J115:K115">
    <cfRule type="expression" dxfId="420" priority="32">
      <formula>kvartal &lt; 4</formula>
    </cfRule>
  </conditionalFormatting>
  <conditionalFormatting sqref="J123:K123">
    <cfRule type="expression" dxfId="419" priority="31">
      <formula>kvartal &lt; 4</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683EF44FAD7C47A850056520B2E969" ma:contentTypeVersion="19" ma:contentTypeDescription="Opprett et nytt dokument." ma:contentTypeScope="" ma:versionID="5f42970d7087c6020ceacec30366b352">
  <xsd:schema xmlns:xsd="http://www.w3.org/2001/XMLSchema" xmlns:xs="http://www.w3.org/2001/XMLSchema" xmlns:p="http://schemas.microsoft.com/office/2006/metadata/properties" xmlns:ns2="c0a106e9-1018-4606-bc95-f0056290cdbf" xmlns:ns3="d1f0685f-21c9-4365-9f92-50f85d18d402" targetNamespace="http://schemas.microsoft.com/office/2006/metadata/properties" ma:root="true" ma:fieldsID="74321ca84490b99aab01fd7d0b1e8b04" ns2:_="" ns3:_="">
    <xsd:import namespace="c0a106e9-1018-4606-bc95-f0056290cdbf"/>
    <xsd:import namespace="d1f0685f-21c9-4365-9f92-50f85d18d4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106e9-1018-4606-bc95-f0056290cdb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d0b69f77-55ff-434e-ae2e-5cb16f27438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f0685f-21c9-4365-9f92-50f85d18d4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e74b48-2924-426a-b68e-c8f27751ab6c}" ma:internalName="TaxCatchAll" ma:showField="CatchAllData" ma:web="d1f0685f-21c9-4365-9f92-50f85d18d4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f0685f-21c9-4365-9f92-50f85d18d402" xsi:nil="true"/>
    <lcf76f155ced4ddcb4097134ff3c332f xmlns="c0a106e9-1018-4606-bc95-f0056290cdbf">
      <Terms xmlns="http://schemas.microsoft.com/office/infopath/2007/PartnerControls"/>
    </lcf76f155ced4ddcb4097134ff3c332f>
  </documentManagement>
</p:properties>
</file>

<file path=customXml/item4.xml>��< ? x m l   v e r s i o n = " 1 . 0 "   e n c o d i n g = " u t f - 1 6 " ? > < D a t a M a s h u p   s q m i d = " 8 f 6 9 7 3 f 7 - 0 8 c 0 - 4 5 7 9 - b f 5 c - 6 c 7 f a d 0 9 0 d 4 1 "   x m l n s = " h t t p : / / s c h e m a s . m i c r o s o f t . c o m / D a t a M a s h u p " > A A A A A A c E A A B Q S w M E F A A C A A g A K H B 5 W x r b G A K l A A A A 9 w A A A B I A H A B D b 2 5 m a W c v U G F j a 2 F n Z S 5 4 b W w g o h g A K K A U A A A A A A A A A A A A A A A A A A A A A A A A A A A A h Y 8 x D o I w G I W v Q r r T l m q i k l I G V 1 E T E + N a a 4 V G + D G 0 W O 7 m 4 J G 8 g h h F 3 R z f 9 7 7 h v f v 1 x t O u K o O L b q y p I U E R p i j Q o O q D g T x B r T u G U 5 Q K v p b q J H M d 9 D L Y u L O H B B X O n W N C v P f Y j 3 D d 5 I R R G p F d t t i o Q l c S f W T z X w 4 N W C d B a S T 4 9 j V G M B y N J z i i b I Y p J w P l m Y G v w f r B z / Y H 8 n l b u r b R A v b h c s X J E D l 5 n x A P U E s D B B Q A A g A I A C h w e 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c H l b Q N U z k Q A B A A B i A Q A A E w A c A E Z v c m 1 1 b G F z L 1 N l Y 3 R p b 2 4 x L m 0 g o h g A K K A U A A A A A A A A A A A A A A A A A A A A A A A A A A A A f Y / P S s N A E M b P D f Q d h j 2 U B N L Q H n o q A S X N Q S J B T d D C u o R N M 2 D M n 6 2 T T a m U H n 0 U n 6 Q v 5 s Y W x Y t z m Y H 5 f f P N 1 + F G l 6 q F 5 N z n y 7 E 1 t r o X S V j A S m o J P t S o L T B 1 J 0 k 2 q J E e k Y r S L M L 9 B m s v 6 I m w 1 U + K q l y p y n Y O P D a c z 3 5 4 Z O L I A 9 V q g w k X v o 9 F Z V 2 g u Z G 8 1 d 7 g k 8 s O b Z Z G 0 2 S 9 W o T T 2 X z x f B O n 4 U N 8 f c t c Y H W 5 y x p p J n 7 f I 7 3 7 L F y H A f A i V 8 L j 2 w y H T 7 I t Y W c s Z P e q W m G N R l e n T z I W D C Y Q 9 0 2 O 5 K U q x b 2 2 / y b h p w 8 S h 9 n R g Q l z B 1 m 1 k 6 R l f Z H + r 4 3 O 7 E U P b M m E Y 5 X t b 8 b l F 1 B L A Q I t A B Q A A g A I A C h w e V s a 2 x g C p Q A A A P c A A A A S A A A A A A A A A A A A A A A A A A A A A A B D b 2 5 m a W c v U G F j a 2 F n Z S 5 4 b W x Q S w E C L Q A U A A I A C A A o c H l b D 8 r p q 6 Q A A A D p A A A A E w A A A A A A A A A A A A A A A A D x A A A A W 0 N v b n R l b n R f V H l w Z X N d L n h t b F B L A Q I t A B Q A A g A I A C h w e V t A 1 T O R A A E A A G I B A A A T A A A A A A A A A A A A A A A A A O I B A A B G b 3 J t d W x h c y 9 T Z W N 0 a W 9 u M S 5 t U E s F B g A A A A A D A A M A w g A A A C 8 D A A A A A E U 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V 2 9 y a 2 J v b 2 t H c m 9 1 c F R 5 c G U + T 3 J n Y W 5 p e m F 0 a W 9 u Y W w 8 L 1 d v c m t i b 2 9 r R 3 J v d X B U e X B l P j w v U G V y b W l z c 2 l v b k x p c 3 Q + o w w A A A A A A A C B D 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F 0 Y T w v S X R l b V B h d G g + P C 9 J d G V t T G 9 j Y X R p b 2 4 + P F N 0 Y W J s Z U V u d H J p Z X M + P E V u d H J 5 I F R 5 c G U 9 I k l z U H J p d m F 0 Z S I g V m F s d W U 9 I m w w I i A v P j x F b n R y e S B U e X B l P S J C d W Z m Z X J O Z X h 0 U m V m c m V z a C I g V m F s d W U 9 I m w x I i A v P j x F b n R y e S B U e X B l P S J G a W x s R W 5 h Y m x l Z C I g V m F s d W U 9 I m w w I i A v P j x F b n R y e S B U e X B l P S J G a W x s V G 9 E Y X R h T W 9 k Z W x F b m F i b G V k I i B W Y W x 1 Z T 0 i b D A i I C 8 + P E V u d H J 5 I F R 5 c G U 9 I l J l c 3 V s d F R 5 c G U i I F Z h b H V l P S J z V G F i b G U i I C 8 + P E V u d H J 5 I F R 5 c G U 9 I k 5 h b W V V c G R h d G V k Q W Z 0 Z X J G a W x s I i B W Y W x 1 Z T 0 i b D A i I C 8 + P E V u d H J 5 I F R 5 c G U 9 I k Z p b G x l Z E N v b X B s Z X R l U m V z d W x 0 V G 9 X b 3 J r c 2 h l Z X Q i I F Z h b H V l P S J s M S I g L z 4 8 R W 5 0 c n k g V H l w Z T 0 i U m V j b 3 Z l c n l U Y X J n Z X R T a G V l d C I g V m F s d W U 9 I n N B c m s y I i A v P j x F b n R y e S B U e X B l P S J S Z W N v d m V y e V R h c m d l d E N v b H V t b i I g V m F s d W U 9 I m w x I i A v P j x F b n R y e S B U e X B l P S J S Z W N v d m V y e V R h c m d l d F J v d y I g V m F s d W U 9 I m w x I i A v P j x F b n R y e S B U e X B l P S J R d W V y e U l E I i B W Y W x 1 Z T 0 i c z R l O D N h Z G Q 5 L W V j Y 2 I t N G V m N i 0 5 Y 2 Y 4 L T Z i M j k 4 Z G Y w N D R j O S I g L z 4 8 R W 5 0 c n k g V H l w Z T 0 i T m F 2 a W d h d G l v b l N 0 Z X B O Y W 1 l I i B W Y W x 1 Z T 0 i c 0 5 h d m l n Y X R p b 2 4 i I C 8 + P E V u d H J 5 I F R 5 c G U 9 I k Z p b G x M Y X N 0 V X B k Y X R l Z C I g V m F s d W U 9 I m Q y M D I 1 L T E x L T I 1 V D E z O j A x O j E 3 L j c x N j g x M j Z a I i A v P j x F b n R y e S B U e X B l P S J G a W x s R X J y b 3 J D b 3 V u d C I g V m F s d W U 9 I m w w I i A v P j x F b n R y e S B U e X B l P S J G a W x s Q 2 9 s d W 1 u V H l w Z X M i I F Z h b H V l P S J z Q m d J Q 0 F n S U N B Z 1 U 9 I i A v P j x F b n R y e S B U e X B l P S J G a W x s R X J y b 3 J D b 2 R l I i B W Y W x 1 Z T 0 i c 1 V u a 2 5 v d 2 4 i I C 8 + P E V u d H J 5 I F R 5 c G U 9 I k Z p b G x D b 2 x 1 b W 5 O Y W 1 l c y I g V m F s d W U 9 I n N b J n F 1 b 3 Q 7 c 8 O 4 a 2 V u w 7 h r a 2 V s J n F 1 b 3 Q 7 L C Z x d W 9 0 O 3 N l b H N r Y X B f a W Q m c X V v d D s s J n F 1 b 3 Q 7 w 6 V y J n F 1 b 3 Q 7 L C Z x d W 9 0 O 2 t 2 Y X J 0 Y W w m c X V v d D s s J n F 1 b 3 Q 7 d G F i Z W x s X 2 l k J n F 1 b 3 Q 7 L C Z x d W 9 0 O 3 J h Z F 9 p Z C Z x d W 9 0 O y w m c X V v d D t r Y X R l Z 2 9 y a V 9 p Z C Z x d W 9 0 O y w m c X V v d D t 2 Z X J k a S Z x d W 9 0 O 1 0 i I C 8 + P E V u d H J 5 I F R 5 c G U 9 I k Z p b G x D b 3 V u d C I g V m F s d W U 9 I m w 3 N z U 1 I i A v P j x F b n R y e S B U e X B l P S J G a W x s T 2 J q Z W N 0 V H l w Z S I g V m F s d W U 9 I n N D b 2 5 u Z W N 0 a W 9 u T 2 5 s e S 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E Y X R h L 0 F 1 d G 9 S Z W 1 v d m V k Q 2 9 s d W 1 u c z E u e 3 P D u G t l b s O 4 a 2 t l b C w w f S Z x d W 9 0 O y w m c X V v d D t T Z W N 0 a W 9 u M S 9 E Y X R h L 0 F 1 d G 9 S Z W 1 v d m V k Q 2 9 s d W 1 u c z E u e 3 N l b H N r Y X B f a W Q s M X 0 m c X V v d D s s J n F 1 b 3 Q 7 U 2 V j d G l v b j E v R G F 0 Y S 9 B d X R v U m V t b 3 Z l Z E N v b H V t b n M x L n v D p X I s M n 0 m c X V v d D s s J n F 1 b 3 Q 7 U 2 V j d G l v b j E v R G F 0 Y S 9 B d X R v U m V t b 3 Z l Z E N v b H V t b n M x L n t r d m F y d G F s L D N 9 J n F 1 b 3 Q 7 L C Z x d W 9 0 O 1 N l Y 3 R p b 2 4 x L 0 R h d G E v Q X V 0 b 1 J l b W 9 2 Z W R D b 2 x 1 b W 5 z M S 5 7 d G F i Z W x s X 2 l k L D R 9 J n F 1 b 3 Q 7 L C Z x d W 9 0 O 1 N l Y 3 R p b 2 4 x L 0 R h d G E v Q X V 0 b 1 J l b W 9 2 Z W R D b 2 x 1 b W 5 z M S 5 7 c m F k X 2 l k L D V 9 J n F 1 b 3 Q 7 L C Z x d W 9 0 O 1 N l Y 3 R p b 2 4 x L 0 R h d G E v Q X V 0 b 1 J l b W 9 2 Z W R D b 2 x 1 b W 5 z M S 5 7 a 2 F 0 Z W d v c m l f a W Q s N n 0 m c X V v d D s s J n F 1 b 3 Q 7 U 2 V j d G l v b j E v R G F 0 Y S 9 B d X R v U m V t b 3 Z l Z E N v b H V t b n M x L n t 2 Z X J k a S w 3 f S Z x d W 9 0 O 1 0 s J n F 1 b 3 Q 7 Q 2 9 s d W 1 u Q 2 9 1 b n Q m c X V v d D s 6 O C w m c X V v d D t L Z X l D b 2 x 1 b W 5 O Y W 1 l c y Z x d W 9 0 O z p b X S w m c X V v d D t D b 2 x 1 b W 5 J Z G V u d G l 0 a W V z J n F 1 b 3 Q 7 O l s m c X V v d D t T Z W N 0 a W 9 u M S 9 E Y X R h L 0 F 1 d G 9 S Z W 1 v d m V k Q 2 9 s d W 1 u c z E u e 3 P D u G t l b s O 4 a 2 t l b C w w f S Z x d W 9 0 O y w m c X V v d D t T Z W N 0 a W 9 u M S 9 E Y X R h L 0 F 1 d G 9 S Z W 1 v d m V k Q 2 9 s d W 1 u c z E u e 3 N l b H N r Y X B f a W Q s M X 0 m c X V v d D s s J n F 1 b 3 Q 7 U 2 V j d G l v b j E v R G F 0 Y S 9 B d X R v U m V t b 3 Z l Z E N v b H V t b n M x L n v D p X I s M n 0 m c X V v d D s s J n F 1 b 3 Q 7 U 2 V j d G l v b j E v R G F 0 Y S 9 B d X R v U m V t b 3 Z l Z E N v b H V t b n M x L n t r d m F y d G F s L D N 9 J n F 1 b 3 Q 7 L C Z x d W 9 0 O 1 N l Y 3 R p b 2 4 x L 0 R h d G E v Q X V 0 b 1 J l b W 9 2 Z W R D b 2 x 1 b W 5 z M S 5 7 d G F i Z W x s X 2 l k L D R 9 J n F 1 b 3 Q 7 L C Z x d W 9 0 O 1 N l Y 3 R p b 2 4 x L 0 R h d G E v Q X V 0 b 1 J l b W 9 2 Z W R D b 2 x 1 b W 5 z M S 5 7 c m F k X 2 l k L D V 9 J n F 1 b 3 Q 7 L C Z x d W 9 0 O 1 N l Y 3 R p b 2 4 x L 0 R h d G E v Q X V 0 b 1 J l b W 9 2 Z W R D b 2 x 1 b W 5 z M S 5 7 a 2 F 0 Z W d v c m l f a W Q s N n 0 m c X V v d D s s J n F 1 b 3 Q 7 U 2 V j d G l v b j E v R G F 0 Y S 9 B d X R v U m V t b 3 Z l Z E N v b H V t b n M x L n t 2 Z X J k a S w 3 f S Z x d W 9 0 O 1 0 s J n F 1 b 3 Q 7 U m V s Y X R p b 2 5 z a G l w S W 5 m b y Z x d W 9 0 O z p b X X 0 i I C 8 + P C 9 T d G F i b G V F b n R y a W V z P j w v S X R l b T 4 8 S X R l b T 4 8 S X R l b U x v Y 2 F 0 a W 9 u P j x J d G V t V H l w Z T 5 G b 3 J t d W x h P C 9 J d G V t V H l w Z T 4 8 S X R l b V B h d G g + U 2 V j d G l v b j E v R G F 0 Y S 9 L a W x k Z T w v S X R l b V B h d G g + P C 9 J d G V t T G 9 j Y X R p b 2 4 + P F N 0 Y W J s Z U V u d H J p Z X M g L z 4 8 L 0 l 0 Z W 0 + P E l 0 Z W 0 + P E l 0 Z W 1 M b 2 N h d G l v b j 4 8 S X R l b V R 5 c G U + R m 9 y b X V s Y T w v S X R l b V R 5 c G U + P E l 0 Z W 1 Q Y X R o P l N l Y 3 R p b 2 4 x L 0 R h d G E v U G F y Y W 1 l d G V y V m V y Z G k 8 L 0 l 0 Z W 1 Q Y X R o P j w v S X R l b U x v Y 2 F 0 a W 9 u P j x T d G F i b G V F b n R y a W V z I C 8 + P C 9 J d G V t P j w v S X R l b X M + P C 9 M b 2 N h b F B h Y 2 t h Z 2 V N Z X R h Z G F 0 Y U Z p b G U + F g A A A F B L B Q Y A A A A A A A A A A A A A A A A A A A A A A A A m A Q A A A Q A A A N C M n d 8 B F d E R j H o A w E / C l + s B A A A A l z 2 0 2 R Q R e U m j n L + 1 O T B l r Q A A A A A C A A A A A A A Q Z g A A A A E A A C A A A A A 8 k u p C j H e U L D a u t u w L I d + p d X k X / Q D x U u F P I Y 6 F q 8 l d v w A A A A A O g A A A A A I A A C A A A A C k 7 W p 2 8 I 2 D 7 G D 7 P + k w N o 7 r X F h R Y C 1 d s m s 4 c 5 T 1 z z B H k 1 A A A A A 9 T D R H U V D c X Q 6 5 3 d w z + D O u H e s p f g F Z s w 5 n 1 l m f s y M e f 0 5 s V 4 + N b Q y U 7 e v n p F Y k c S j a 3 e j D 5 A b W 6 Q p y T W F L 8 g 6 4 y g k C x u E I 8 u t a 4 Q N x P z 3 h 1 E A A A A B M s P 1 v n 0 V u n D W 7 D h b w G I j R h v e w i b 1 2 P f f w r Y U v + X n s a h V d d V J r R D f 7 W r 4 3 u D E n c l t v 9 f O r 7 T i B K w S d / k N Y Q g 5 k < / D a t a M a s h u p > 
</file>

<file path=customXml/itemProps1.xml><?xml version="1.0" encoding="utf-8"?>
<ds:datastoreItem xmlns:ds="http://schemas.openxmlformats.org/officeDocument/2006/customXml" ds:itemID="{D46B8040-4B9F-415C-8BA5-C96B86873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106e9-1018-4606-bc95-f0056290cdbf"/>
    <ds:schemaRef ds:uri="d1f0685f-21c9-4365-9f92-50f85d18d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FD769E-A1D2-4BA9-8D32-A1D80C158C31}">
  <ds:schemaRefs>
    <ds:schemaRef ds:uri="http://schemas.microsoft.com/sharepoint/v3/contenttype/forms"/>
  </ds:schemaRefs>
</ds:datastoreItem>
</file>

<file path=customXml/itemProps3.xml><?xml version="1.0" encoding="utf-8"?>
<ds:datastoreItem xmlns:ds="http://schemas.openxmlformats.org/officeDocument/2006/customXml" ds:itemID="{9F7F593D-5964-43BC-B3C9-C7E417A23672}">
  <ds:schemaRefs>
    <ds:schemaRef ds:uri="http://schemas.microsoft.com/office/2006/metadata/properties"/>
    <ds:schemaRef ds:uri="http://schemas.microsoft.com/office/infopath/2007/PartnerControls"/>
    <ds:schemaRef ds:uri="d1f0685f-21c9-4365-9f92-50f85d18d402"/>
    <ds:schemaRef ds:uri="c0a106e9-1018-4606-bc95-f0056290cdbf"/>
  </ds:schemaRefs>
</ds:datastoreItem>
</file>

<file path=customXml/itemProps4.xml><?xml version="1.0" encoding="utf-8"?>
<ds:datastoreItem xmlns:ds="http://schemas.openxmlformats.org/officeDocument/2006/customXml" ds:itemID="{90A5026E-7503-4E4B-BD83-E9801AFFB72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35</vt:i4>
      </vt:variant>
      <vt:variant>
        <vt:lpstr>Navngitte områder</vt:lpstr>
      </vt:variant>
      <vt:variant>
        <vt:i4>3</vt:i4>
      </vt:variant>
    </vt:vector>
  </HeadingPairs>
  <TitlesOfParts>
    <vt:vector size="38" baseType="lpstr">
      <vt:lpstr>Forside</vt:lpstr>
      <vt:lpstr>Innhold</vt:lpstr>
      <vt:lpstr>Figurer</vt:lpstr>
      <vt:lpstr>Tabel 1.1</vt:lpstr>
      <vt:lpstr>Tabell 1.2</vt:lpstr>
      <vt:lpstr>Tabell 1.3</vt:lpstr>
      <vt:lpstr>Skjema total MA</vt:lpstr>
      <vt:lpstr>DNB Livsforsikring</vt:lpstr>
      <vt:lpstr>Eika Forsikring AS</vt:lpstr>
      <vt:lpstr>Euro Accident</vt:lpstr>
      <vt:lpstr>Fremtind Livsforsikring</vt:lpstr>
      <vt:lpstr>Frende Livsforsikring</vt:lpstr>
      <vt:lpstr>Frende Skadeforsikring</vt:lpstr>
      <vt:lpstr>Gjensidige Forsikring</vt:lpstr>
      <vt:lpstr>Gjensidige Pensjon</vt:lpstr>
      <vt:lpstr>If Skadeforsikring NUF</vt:lpstr>
      <vt:lpstr>KLP</vt:lpstr>
      <vt:lpstr>KLP Skadeforsikring AS</vt:lpstr>
      <vt:lpstr>Knif Trygghet Forsikring</vt:lpstr>
      <vt:lpstr>Landkreditt Forsikring</vt:lpstr>
      <vt:lpstr>Ly Forsikring</vt:lpstr>
      <vt:lpstr>Nordea Liv </vt:lpstr>
      <vt:lpstr>Oslo Forsikring</vt:lpstr>
      <vt:lpstr>Oslo Pensjonsforsikring</vt:lpstr>
      <vt:lpstr>Protector Forsikring</vt:lpstr>
      <vt:lpstr>Sparebank 1 Fors.</vt:lpstr>
      <vt:lpstr>Storebrand Livsforsikring</vt:lpstr>
      <vt:lpstr>Telenor Forsikring</vt:lpstr>
      <vt:lpstr>Tryg Forsikring</vt:lpstr>
      <vt:lpstr>WaterCircles F</vt:lpstr>
      <vt:lpstr>Youplus Livsforsikring</vt:lpstr>
      <vt:lpstr>Tabell 4</vt:lpstr>
      <vt:lpstr>Tabell 6</vt:lpstr>
      <vt:lpstr>Tabell 8</vt:lpstr>
      <vt:lpstr>Noter og kommentarer</vt:lpstr>
      <vt:lpstr>'Fremtind Livsforsikring'!Utskriftsområde</vt:lpstr>
      <vt:lpstr>'Noter og kommentarer'!Utskriftsområde</vt:lpstr>
      <vt:lpstr>'Skjema total MA'!Utskriftsområde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Anne-Kathrine Johansen</dc:creator>
  <cp:lastModifiedBy>Randi Mørk</cp:lastModifiedBy>
  <cp:lastPrinted>2025-11-25T08:42:29Z</cp:lastPrinted>
  <dcterms:created xsi:type="dcterms:W3CDTF">2010-12-15T10:21:26Z</dcterms:created>
  <dcterms:modified xsi:type="dcterms:W3CDTF">2025-11-25T13:01:21Z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0x01010090683EF44FAD7C47A850056520B2E969</vt:lpwstr>
  </property>
  <property fmtid="{D5CDD505-2E9C-101B-9397-08002B2CF9AE}" pid="3" name="MediaServiceImageTags">
    <vt:lpwstr/>
  </property>
</Properties>
</file>