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3\Q3-2023\Publisert\"/>
    </mc:Choice>
  </mc:AlternateContent>
  <xr:revisionPtr revIDLastSave="0" documentId="13_ncr:1_{688ED398-443D-48E0-906E-8EE2FD4CF8C6}" xr6:coauthVersionLast="47" xr6:coauthVersionMax="47" xr10:uidLastSave="{00000000-0000-0000-0000-000000000000}"/>
  <bookViews>
    <workbookView xWindow="-120" yWindow="-120" windowWidth="29040" windowHeight="15720" tabRatio="835" activeTab="1" xr2:uid="{00000000-000D-0000-FFFF-FFFF00000000}"/>
  </bookViews>
  <sheets>
    <sheet name="Forside" sheetId="80" r:id="rId1"/>
    <sheet name="Innhold" sheetId="7" r:id="rId2"/>
    <sheet name="Figurer" sheetId="8" r:id="rId3"/>
    <sheet name="Tabel 1.1" sheetId="9" r:id="rId4"/>
    <sheet name="Tabell 1.2" sheetId="10" r:id="rId5"/>
    <sheet name="Tabell 1.3" sheetId="58" r:id="rId6"/>
    <sheet name="Skjema total MA" sheetId="4" r:id="rId7"/>
    <sheet name="Storebrand Danica Pensjon" sheetId="18" r:id="rId8"/>
    <sheet name="DNB Livsforsikring" sheetId="13" r:id="rId9"/>
    <sheet name="Eika Forsikring AS" sheetId="19" r:id="rId10"/>
    <sheet name="Euro Accident" sheetId="77" r:id="rId11"/>
    <sheet name="Fremtind Livsforsikring" sheetId="16" r:id="rId12"/>
    <sheet name="Frende Livsforsikring" sheetId="20" r:id="rId13"/>
    <sheet name="Frende Skadeforsikring" sheetId="21" r:id="rId14"/>
    <sheet name="Gjensidige Forsikring" sheetId="22" r:id="rId15"/>
    <sheet name="Gjensidige Pensjon" sheetId="23" r:id="rId16"/>
    <sheet name="Handelsbanken Liv" sheetId="24" r:id="rId17"/>
    <sheet name="If Skadeforsikring NUF" sheetId="25" r:id="rId18"/>
    <sheet name="KLP" sheetId="26" r:id="rId19"/>
    <sheet name="KLP Skadeforsikring AS" sheetId="51" r:id="rId20"/>
    <sheet name="Landkreditt Forsikring" sheetId="40" r:id="rId21"/>
    <sheet name="Ly Forsikring" sheetId="78" r:id="rId22"/>
    <sheet name="Nordea Liv " sheetId="29" r:id="rId23"/>
    <sheet name="Oslo Pensjonsforsikring" sheetId="34" r:id="rId24"/>
    <sheet name="Protector Forsikring" sheetId="72" r:id="rId25"/>
    <sheet name="SHB Liv" sheetId="35" r:id="rId26"/>
    <sheet name="Sparebank 1 Fors" sheetId="33" r:id="rId27"/>
    <sheet name="Storebrand Livsforsikring" sheetId="37" r:id="rId28"/>
    <sheet name="Telenor Forsikring" sheetId="38" r:id="rId29"/>
    <sheet name="Tryg Forsikring" sheetId="39" r:id="rId30"/>
    <sheet name="WaterCircles F" sheetId="74" r:id="rId31"/>
    <sheet name="Youplus Livsforsikring" sheetId="79" r:id="rId32"/>
    <sheet name="Tabell 4" sheetId="65" r:id="rId33"/>
    <sheet name="Tabell 6" sheetId="62" r:id="rId34"/>
    <sheet name="Tabell 8" sheetId="75" r:id="rId35"/>
    <sheet name="Noter og kommentarer" sheetId="3" r:id="rId36"/>
  </sheets>
  <externalReferences>
    <externalReference r:id="rId37"/>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1">'Fremtind Livsforsikring'!$A$1:$M$137</definedName>
    <definedName name="_xlnm.Print_Area" localSheetId="35">'Noter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1" i="9" l="1"/>
  <c r="J16" i="62"/>
  <c r="J19" i="62"/>
  <c r="G19" i="62"/>
  <c r="G18" i="62"/>
  <c r="G17" i="62"/>
  <c r="G16" i="62"/>
  <c r="G26" i="62"/>
  <c r="G38" i="62"/>
  <c r="G50" i="62"/>
  <c r="G49" i="62"/>
  <c r="G46" i="62"/>
  <c r="D58" i="62"/>
  <c r="AS76" i="62"/>
  <c r="AR76" i="62"/>
  <c r="AS84" i="62"/>
  <c r="AR84" i="62"/>
  <c r="F33" i="4" l="1"/>
  <c r="I33" i="37" l="1"/>
  <c r="I34" i="33"/>
  <c r="I33" i="33"/>
  <c r="I34" i="29"/>
  <c r="I33" i="29"/>
  <c r="C119" i="33" l="1"/>
  <c r="AE20" i="75" l="1"/>
  <c r="AE16" i="75"/>
  <c r="AB20" i="75"/>
  <c r="AB16" i="75"/>
  <c r="Y20" i="75"/>
  <c r="Y16" i="75"/>
  <c r="V20" i="75"/>
  <c r="V16" i="75"/>
  <c r="S20" i="75"/>
  <c r="S16" i="75"/>
  <c r="P20" i="75"/>
  <c r="P16" i="75"/>
  <c r="J20" i="75"/>
  <c r="J16" i="75"/>
  <c r="AK86" i="62"/>
  <c r="AK79" i="62"/>
  <c r="AK76" i="62"/>
  <c r="AK53" i="62"/>
  <c r="AK50" i="62"/>
  <c r="AK46" i="62"/>
  <c r="AH24" i="62"/>
  <c r="AH42" i="62"/>
  <c r="AH49" i="62"/>
  <c r="AH57" i="62"/>
  <c r="AH76" i="62"/>
  <c r="AH79" i="62"/>
  <c r="AB21" i="62"/>
  <c r="AB79" i="62"/>
  <c r="AB78" i="62"/>
  <c r="AB77" i="62"/>
  <c r="AB76" i="62"/>
  <c r="Y58" i="62"/>
  <c r="Y56" i="62"/>
  <c r="Y49" i="62"/>
  <c r="Y25" i="62"/>
  <c r="Y24" i="62"/>
  <c r="Y18" i="62"/>
  <c r="Y17" i="62"/>
  <c r="Y16" i="62"/>
  <c r="Y15" i="62"/>
  <c r="V86" i="62"/>
  <c r="V84" i="62"/>
  <c r="V83" i="62"/>
  <c r="V79" i="62"/>
  <c r="V78" i="62"/>
  <c r="V76" i="62"/>
  <c r="V52" i="62"/>
  <c r="S73" i="62"/>
  <c r="P79" i="62"/>
  <c r="P77" i="62"/>
  <c r="P61" i="62"/>
  <c r="P49" i="62"/>
  <c r="P46" i="62"/>
  <c r="P40" i="62"/>
  <c r="P34" i="62"/>
  <c r="P14" i="62"/>
  <c r="P16" i="62"/>
  <c r="P19" i="62"/>
  <c r="M90" i="62"/>
  <c r="M37" i="62"/>
  <c r="M36" i="62"/>
  <c r="M35" i="62"/>
  <c r="M18" i="62"/>
  <c r="M17" i="62"/>
  <c r="M16" i="62"/>
  <c r="J90" i="62"/>
  <c r="J89" i="62"/>
  <c r="J75" i="62"/>
  <c r="J71" i="62"/>
  <c r="J43" i="62"/>
  <c r="J42" i="62"/>
  <c r="J38" i="62"/>
  <c r="J37" i="62"/>
  <c r="J36" i="62"/>
  <c r="J35" i="62"/>
  <c r="J34" i="62"/>
  <c r="J23" i="62"/>
  <c r="T30" i="65" l="1"/>
  <c r="AM41" i="65" l="1"/>
  <c r="AM30" i="65"/>
  <c r="AM21" i="65"/>
  <c r="AL21" i="65"/>
  <c r="AM14" i="65"/>
  <c r="AL14" i="65"/>
  <c r="X14" i="75"/>
  <c r="W14" i="75"/>
  <c r="AA41" i="65"/>
  <c r="Z41" i="65"/>
  <c r="AA30" i="65"/>
  <c r="Z30" i="65"/>
  <c r="AA21" i="65"/>
  <c r="Z21" i="65"/>
  <c r="AA14" i="65"/>
  <c r="Z14" i="65"/>
  <c r="H88" i="33"/>
  <c r="Z35" i="65" l="1"/>
  <c r="AL35" i="65"/>
  <c r="AL42" i="65" s="1"/>
  <c r="AL44" i="65" s="1"/>
  <c r="AL46" i="65" s="1"/>
  <c r="AA35" i="65"/>
  <c r="AA42" i="65" s="1"/>
  <c r="AA44" i="65" s="1"/>
  <c r="AA46" i="65" s="1"/>
  <c r="AM35" i="65"/>
  <c r="AM42" i="65" s="1"/>
  <c r="AM44" i="65" s="1"/>
  <c r="AM46" i="65" s="1"/>
  <c r="Z42" i="65"/>
  <c r="Z44" i="65" s="1"/>
  <c r="Z46" i="65" s="1"/>
  <c r="L41" i="65"/>
  <c r="K41" i="65"/>
  <c r="L30" i="65"/>
  <c r="K30" i="65"/>
  <c r="L21" i="65"/>
  <c r="K21" i="65"/>
  <c r="L14" i="65"/>
  <c r="K14" i="65"/>
  <c r="AJ41" i="65"/>
  <c r="AI41" i="65"/>
  <c r="AJ30" i="65"/>
  <c r="AI30" i="65"/>
  <c r="AJ19" i="65"/>
  <c r="AJ21" i="65" s="1"/>
  <c r="AI19" i="65"/>
  <c r="AI21" i="65" s="1"/>
  <c r="AJ14" i="65"/>
  <c r="AI14" i="65"/>
  <c r="I41" i="65"/>
  <c r="H41" i="65"/>
  <c r="I30" i="65"/>
  <c r="H30" i="65"/>
  <c r="I21" i="65"/>
  <c r="H21" i="65"/>
  <c r="I14" i="65"/>
  <c r="H14" i="65"/>
  <c r="K35" i="65" l="1"/>
  <c r="K42" i="65" s="1"/>
  <c r="K44" i="65" s="1"/>
  <c r="K46" i="65" s="1"/>
  <c r="L35" i="65"/>
  <c r="L42" i="65" s="1"/>
  <c r="L44" i="65" s="1"/>
  <c r="L46" i="65" s="1"/>
  <c r="AI35" i="65"/>
  <c r="AI42" i="65" s="1"/>
  <c r="AI44" i="65" s="1"/>
  <c r="AI46" i="65" s="1"/>
  <c r="H35" i="65"/>
  <c r="H42" i="65" s="1"/>
  <c r="H44" i="65" s="1"/>
  <c r="H46" i="65" s="1"/>
  <c r="AJ35" i="65"/>
  <c r="AJ42" i="65" s="1"/>
  <c r="AJ44" i="65" s="1"/>
  <c r="AJ46" i="65" s="1"/>
  <c r="I35" i="65"/>
  <c r="I42" i="65" s="1"/>
  <c r="I44" i="65" s="1"/>
  <c r="I46" i="65" s="1"/>
  <c r="AC41" i="65" l="1"/>
  <c r="AC21" i="65"/>
  <c r="AC14" i="65"/>
  <c r="Q41" i="65"/>
  <c r="Q30" i="65"/>
  <c r="Q21" i="65"/>
  <c r="Q14" i="65"/>
  <c r="F41" i="65"/>
  <c r="E41" i="65"/>
  <c r="F30" i="65"/>
  <c r="E30" i="65"/>
  <c r="F21" i="65"/>
  <c r="E21" i="65"/>
  <c r="F14" i="65"/>
  <c r="E14" i="65"/>
  <c r="B41" i="65"/>
  <c r="B32" i="65"/>
  <c r="B31" i="65"/>
  <c r="B30" i="65"/>
  <c r="B21" i="65"/>
  <c r="B14" i="65"/>
  <c r="E35" i="65" l="1"/>
  <c r="E42" i="65" s="1"/>
  <c r="E44" i="65" s="1"/>
  <c r="E46" i="65" s="1"/>
  <c r="AC35" i="65"/>
  <c r="AC42" i="65" s="1"/>
  <c r="AC44" i="65" s="1"/>
  <c r="AC46" i="65" s="1"/>
  <c r="F35" i="65"/>
  <c r="F42" i="65" s="1"/>
  <c r="F44" i="65" s="1"/>
  <c r="F46" i="65" s="1"/>
  <c r="B35" i="65"/>
  <c r="B42" i="65" s="1"/>
  <c r="B44" i="65" s="1"/>
  <c r="B46" i="65" s="1"/>
  <c r="Q35" i="65"/>
  <c r="Q42" i="65" s="1"/>
  <c r="Q44" i="65" s="1"/>
  <c r="Q46" i="65" s="1"/>
  <c r="O41" i="65" l="1"/>
  <c r="N41" i="65"/>
  <c r="O30" i="65"/>
  <c r="N30" i="65"/>
  <c r="O21" i="65"/>
  <c r="N21" i="65"/>
  <c r="O14" i="65"/>
  <c r="N14" i="65"/>
  <c r="X41" i="65"/>
  <c r="W41" i="65"/>
  <c r="X30" i="65"/>
  <c r="W30" i="65"/>
  <c r="X21" i="65"/>
  <c r="W21" i="65"/>
  <c r="X14" i="65"/>
  <c r="W14" i="65"/>
  <c r="AG8" i="62"/>
  <c r="AF8" i="62"/>
  <c r="AA14" i="75"/>
  <c r="Z14" i="75"/>
  <c r="AG41" i="65"/>
  <c r="AF41" i="65"/>
  <c r="AG30" i="65"/>
  <c r="AF30" i="65"/>
  <c r="AG21" i="65"/>
  <c r="AF21" i="65"/>
  <c r="AG14" i="65"/>
  <c r="AF14" i="65"/>
  <c r="X35" i="65" l="1"/>
  <c r="X42" i="65" s="1"/>
  <c r="X44" i="65" s="1"/>
  <c r="X46" i="65" s="1"/>
  <c r="O35" i="65"/>
  <c r="O42" i="65" s="1"/>
  <c r="O44" i="65" s="1"/>
  <c r="O46" i="65" s="1"/>
  <c r="N35" i="65"/>
  <c r="N42" i="65" s="1"/>
  <c r="N44" i="65" s="1"/>
  <c r="N46" i="65" s="1"/>
  <c r="AF35" i="65"/>
  <c r="AF42" i="65" s="1"/>
  <c r="AF44" i="65" s="1"/>
  <c r="AF46" i="65" s="1"/>
  <c r="AG35" i="65"/>
  <c r="AG42" i="65" s="1"/>
  <c r="AG44" i="65" s="1"/>
  <c r="AG46" i="65" s="1"/>
  <c r="W35" i="65"/>
  <c r="W42" i="65" s="1"/>
  <c r="W44" i="65" s="1"/>
  <c r="W46" i="65" s="1"/>
  <c r="AS8" i="62"/>
  <c r="AR8" i="62"/>
  <c r="AP84" i="62"/>
  <c r="AO84" i="62"/>
  <c r="AP76" i="62"/>
  <c r="AO76" i="62"/>
  <c r="AG20" i="75"/>
  <c r="AF20" i="75"/>
  <c r="G20" i="75"/>
  <c r="AG18" i="75"/>
  <c r="AF18" i="75"/>
  <c r="AG16" i="75"/>
  <c r="AF16" i="75"/>
  <c r="AN93" i="62"/>
  <c r="AS91" i="62"/>
  <c r="AR91" i="62"/>
  <c r="AP91" i="62"/>
  <c r="AO91" i="62"/>
  <c r="AK91" i="62"/>
  <c r="AH91" i="62"/>
  <c r="Y91" i="62"/>
  <c r="V91" i="62"/>
  <c r="P91" i="62"/>
  <c r="M91" i="62"/>
  <c r="G91" i="62"/>
  <c r="D91" i="62"/>
  <c r="AS90" i="62"/>
  <c r="AP90" i="62"/>
  <c r="AN90" i="62"/>
  <c r="AK90" i="62"/>
  <c r="AH90" i="62"/>
  <c r="AE90" i="62"/>
  <c r="AO90" i="62"/>
  <c r="Y90" i="62"/>
  <c r="V90" i="62"/>
  <c r="S90" i="62"/>
  <c r="P90" i="62"/>
  <c r="G90" i="62"/>
  <c r="D90" i="62"/>
  <c r="AS89" i="62"/>
  <c r="AR89" i="62"/>
  <c r="AP89" i="62"/>
  <c r="AO89" i="62"/>
  <c r="AH89" i="62"/>
  <c r="AS88" i="62"/>
  <c r="AR88" i="62"/>
  <c r="AP88" i="62"/>
  <c r="AO88" i="62"/>
  <c r="AK88" i="62"/>
  <c r="AH88" i="62"/>
  <c r="AB88" i="62"/>
  <c r="Y88" i="62"/>
  <c r="V88" i="62"/>
  <c r="S88" i="62"/>
  <c r="P88" i="62"/>
  <c r="J88" i="62"/>
  <c r="G88" i="62"/>
  <c r="D88" i="62"/>
  <c r="G87" i="62"/>
  <c r="AS86" i="62"/>
  <c r="AR86" i="62"/>
  <c r="AP86" i="62"/>
  <c r="AO86" i="62"/>
  <c r="AS85" i="62"/>
  <c r="AR85" i="62"/>
  <c r="AP85" i="62"/>
  <c r="AO85" i="62"/>
  <c r="AK85" i="62"/>
  <c r="AH85" i="62"/>
  <c r="P85" i="62"/>
  <c r="G85" i="62"/>
  <c r="D85" i="62"/>
  <c r="AS83" i="62"/>
  <c r="AR83" i="62"/>
  <c r="AP83" i="62"/>
  <c r="AO83" i="62"/>
  <c r="AS82" i="62"/>
  <c r="AR82" i="62"/>
  <c r="AP82" i="62"/>
  <c r="AO82" i="62"/>
  <c r="AK82" i="62"/>
  <c r="AH82" i="62"/>
  <c r="AE82" i="62"/>
  <c r="Y82" i="62"/>
  <c r="V82" i="62"/>
  <c r="P82" i="62"/>
  <c r="G82" i="62"/>
  <c r="D82" i="62"/>
  <c r="AN80" i="62"/>
  <c r="V80" i="62"/>
  <c r="D80" i="62"/>
  <c r="AS79" i="62"/>
  <c r="AR79" i="62"/>
  <c r="AP79" i="62"/>
  <c r="AO79" i="62"/>
  <c r="AS78" i="62"/>
  <c r="AR78" i="62"/>
  <c r="AP78" i="62"/>
  <c r="AO78" i="62"/>
  <c r="AK78" i="62"/>
  <c r="M78" i="62"/>
  <c r="G78" i="62"/>
  <c r="D78" i="62"/>
  <c r="AS77" i="62"/>
  <c r="AR77" i="62"/>
  <c r="AP77" i="62"/>
  <c r="AO77" i="62"/>
  <c r="AK77" i="62"/>
  <c r="AH77" i="62"/>
  <c r="Y77" i="62"/>
  <c r="V77" i="62"/>
  <c r="G77" i="62"/>
  <c r="D77" i="62"/>
  <c r="AS75" i="62"/>
  <c r="AR75" i="62"/>
  <c r="AP75" i="62"/>
  <c r="AO75" i="62"/>
  <c r="AK75" i="62"/>
  <c r="AH75" i="62"/>
  <c r="Y75" i="62"/>
  <c r="V75" i="62"/>
  <c r="P75" i="62"/>
  <c r="G75" i="62"/>
  <c r="AS74" i="62"/>
  <c r="AR74" i="62"/>
  <c r="AP74" i="62"/>
  <c r="AO74" i="62"/>
  <c r="AK74" i="62"/>
  <c r="AH74" i="62"/>
  <c r="Y74" i="62"/>
  <c r="P74" i="62"/>
  <c r="M74" i="62"/>
  <c r="G74" i="62"/>
  <c r="D74" i="62"/>
  <c r="AS73" i="62"/>
  <c r="AR73" i="62"/>
  <c r="AP73" i="62"/>
  <c r="AO73" i="62"/>
  <c r="AN73" i="62"/>
  <c r="AK73" i="62"/>
  <c r="AH73" i="62"/>
  <c r="AB73" i="62"/>
  <c r="Y73" i="62"/>
  <c r="V73" i="62"/>
  <c r="P73" i="62"/>
  <c r="M73" i="62"/>
  <c r="J73" i="62"/>
  <c r="G73" i="62"/>
  <c r="D73" i="62"/>
  <c r="AS71" i="62"/>
  <c r="AR71" i="62"/>
  <c r="AP71" i="62"/>
  <c r="AO71" i="62"/>
  <c r="AK71" i="62"/>
  <c r="AB71" i="62"/>
  <c r="Y71" i="62"/>
  <c r="V71" i="62"/>
  <c r="G71" i="62"/>
  <c r="AS70" i="62"/>
  <c r="AR70" i="62"/>
  <c r="AP70" i="62"/>
  <c r="AO70" i="62"/>
  <c r="AK70" i="62"/>
  <c r="AH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4" i="62"/>
  <c r="AN62" i="62"/>
  <c r="AS61" i="62"/>
  <c r="AR61" i="62"/>
  <c r="AP61" i="62"/>
  <c r="AO61" i="62"/>
  <c r="AN60" i="62"/>
  <c r="AS59" i="62"/>
  <c r="AR59" i="62"/>
  <c r="AP59" i="62"/>
  <c r="AO59" i="62"/>
  <c r="AN59" i="62"/>
  <c r="AK59" i="62"/>
  <c r="AH59" i="62"/>
  <c r="Y59" i="62"/>
  <c r="V59" i="62"/>
  <c r="P59" i="62"/>
  <c r="D59" i="62"/>
  <c r="AS58" i="62"/>
  <c r="AR58" i="62"/>
  <c r="AP58" i="62"/>
  <c r="AO58" i="62"/>
  <c r="AK58" i="62"/>
  <c r="V58" i="62"/>
  <c r="AS57" i="62"/>
  <c r="AR57" i="62"/>
  <c r="AP57" i="62"/>
  <c r="AO57" i="62"/>
  <c r="AK57" i="62"/>
  <c r="V57" i="62"/>
  <c r="P57" i="62"/>
  <c r="G57" i="62"/>
  <c r="AS56" i="62"/>
  <c r="AR56" i="62"/>
  <c r="AP56" i="62"/>
  <c r="AO56" i="62"/>
  <c r="AK56" i="62"/>
  <c r="AH56" i="62"/>
  <c r="V56" i="62"/>
  <c r="P56" i="62"/>
  <c r="G56" i="62"/>
  <c r="D56" i="62"/>
  <c r="AS55" i="62"/>
  <c r="AR55" i="62"/>
  <c r="AP55" i="62"/>
  <c r="AO55" i="62"/>
  <c r="AK55" i="62"/>
  <c r="AH55" i="62"/>
  <c r="AE55" i="62"/>
  <c r="Y55" i="62"/>
  <c r="V55" i="62"/>
  <c r="P55" i="62"/>
  <c r="G55" i="62"/>
  <c r="D55" i="62"/>
  <c r="AN54" i="62"/>
  <c r="AS53" i="62"/>
  <c r="AP53" i="62"/>
  <c r="AR53" i="62"/>
  <c r="V53" i="62"/>
  <c r="AS52" i="62"/>
  <c r="AR52" i="62"/>
  <c r="AP52" i="62"/>
  <c r="AO52" i="62"/>
  <c r="AS51" i="62"/>
  <c r="AR51" i="62"/>
  <c r="AP51" i="62"/>
  <c r="AO51" i="62"/>
  <c r="V51" i="62"/>
  <c r="AS49" i="62"/>
  <c r="AR49" i="62"/>
  <c r="AP49" i="62"/>
  <c r="AO49" i="62"/>
  <c r="AK49" i="62"/>
  <c r="V49" i="62"/>
  <c r="AS48" i="62"/>
  <c r="AR48" i="62"/>
  <c r="AP48" i="62"/>
  <c r="AO48" i="62"/>
  <c r="AQ48" i="62" s="1"/>
  <c r="AS46" i="62"/>
  <c r="AR46" i="62"/>
  <c r="AP46" i="62"/>
  <c r="AO46" i="62"/>
  <c r="AH46" i="62"/>
  <c r="Y46" i="62"/>
  <c r="M46" i="62"/>
  <c r="J46" i="62"/>
  <c r="D46" i="62"/>
  <c r="AN45" i="62"/>
  <c r="AS44" i="62"/>
  <c r="AP44" i="62"/>
  <c r="AN44" i="62"/>
  <c r="AH44" i="62"/>
  <c r="AR44" i="62"/>
  <c r="Y44" i="62"/>
  <c r="V44" i="62"/>
  <c r="P44" i="62"/>
  <c r="M44" i="62"/>
  <c r="J44" i="62"/>
  <c r="G44" i="62"/>
  <c r="D44" i="62"/>
  <c r="AS43" i="62"/>
  <c r="AR43" i="62"/>
  <c r="AP43" i="62"/>
  <c r="AO43" i="62"/>
  <c r="AK43" i="62"/>
  <c r="AH43" i="62"/>
  <c r="AB43" i="62"/>
  <c r="Y43" i="62"/>
  <c r="V43" i="62"/>
  <c r="G43" i="62"/>
  <c r="AS42" i="62"/>
  <c r="AR42" i="62"/>
  <c r="AP42" i="62"/>
  <c r="AO42" i="62"/>
  <c r="AB42" i="62"/>
  <c r="V42" i="62"/>
  <c r="P42" i="62"/>
  <c r="G42" i="62"/>
  <c r="AS41" i="62"/>
  <c r="AR41" i="62"/>
  <c r="AP41" i="62"/>
  <c r="AO41" i="62"/>
  <c r="AK41" i="62"/>
  <c r="AH41" i="62"/>
  <c r="AB41" i="62"/>
  <c r="Y41" i="62"/>
  <c r="V41" i="62"/>
  <c r="P41" i="62"/>
  <c r="M41" i="62"/>
  <c r="J41" i="62"/>
  <c r="G41" i="62"/>
  <c r="D41" i="62"/>
  <c r="AS40" i="62"/>
  <c r="AR40" i="62"/>
  <c r="AP40" i="62"/>
  <c r="AO40" i="62"/>
  <c r="AK40" i="62"/>
  <c r="AH40" i="62"/>
  <c r="AB40" i="62"/>
  <c r="Y40" i="62"/>
  <c r="V40" i="62"/>
  <c r="M40" i="62"/>
  <c r="J40" i="62"/>
  <c r="G40" i="62"/>
  <c r="D40" i="62"/>
  <c r="AN39" i="62"/>
  <c r="AS38" i="62"/>
  <c r="AP38" i="62"/>
  <c r="AO38" i="62"/>
  <c r="AH38" i="62"/>
  <c r="AB38" i="62"/>
  <c r="Y38" i="62"/>
  <c r="V38" i="62"/>
  <c r="P38" i="62"/>
  <c r="AS37" i="62"/>
  <c r="AR37" i="62"/>
  <c r="AP37" i="62"/>
  <c r="AO37" i="62"/>
  <c r="AK37" i="62"/>
  <c r="AH37" i="62"/>
  <c r="AB37" i="62"/>
  <c r="Y37" i="62"/>
  <c r="V37" i="62"/>
  <c r="G37" i="62"/>
  <c r="AR36" i="62"/>
  <c r="AO36" i="62"/>
  <c r="AK36" i="62"/>
  <c r="AH36" i="62"/>
  <c r="AB36" i="62"/>
  <c r="Y36" i="62"/>
  <c r="V36" i="62"/>
  <c r="AS34" i="62"/>
  <c r="AP34" i="62"/>
  <c r="AK34" i="62"/>
  <c r="AH34" i="62"/>
  <c r="AO34" i="62"/>
  <c r="Y34" i="62"/>
  <c r="V34" i="62"/>
  <c r="G34" i="62"/>
  <c r="AS33" i="62"/>
  <c r="AR33" i="62"/>
  <c r="AP33" i="62"/>
  <c r="AO33" i="62"/>
  <c r="G33" i="62"/>
  <c r="AN29" i="62"/>
  <c r="AS28" i="62"/>
  <c r="AP28" i="62"/>
  <c r="AK28" i="62"/>
  <c r="AH28" i="62"/>
  <c r="AE28" i="62"/>
  <c r="AB28" i="62"/>
  <c r="Y28" i="62"/>
  <c r="V28" i="62"/>
  <c r="S28" i="62"/>
  <c r="P28" i="62"/>
  <c r="M28" i="62"/>
  <c r="J28" i="62"/>
  <c r="G28" i="62"/>
  <c r="D28" i="62"/>
  <c r="AN27" i="62"/>
  <c r="AS26" i="62"/>
  <c r="AR26" i="62"/>
  <c r="AT26" i="62" s="1"/>
  <c r="AP26" i="62"/>
  <c r="AO26" i="62"/>
  <c r="AQ26" i="62" s="1"/>
  <c r="AS25" i="62"/>
  <c r="AR25" i="62"/>
  <c r="AP25" i="62"/>
  <c r="AO25" i="62"/>
  <c r="AN25" i="62"/>
  <c r="AH25" i="62"/>
  <c r="V25" i="62"/>
  <c r="M25" i="62"/>
  <c r="J25" i="62"/>
  <c r="G25" i="62"/>
  <c r="AS24" i="62"/>
  <c r="AR24" i="62"/>
  <c r="AP24" i="62"/>
  <c r="AO24" i="62"/>
  <c r="AK24" i="62"/>
  <c r="AB24" i="62"/>
  <c r="V24" i="62"/>
  <c r="G24" i="62"/>
  <c r="AS23" i="62"/>
  <c r="AR23" i="62"/>
  <c r="AP23" i="62"/>
  <c r="AO23" i="62"/>
  <c r="AH23" i="62"/>
  <c r="Y23" i="62"/>
  <c r="V23" i="62"/>
  <c r="G23" i="62"/>
  <c r="AS22" i="62"/>
  <c r="AR22" i="62"/>
  <c r="AP22" i="62"/>
  <c r="AO22" i="62"/>
  <c r="AK22" i="62"/>
  <c r="AH22" i="62"/>
  <c r="AB22" i="62"/>
  <c r="Y22" i="62"/>
  <c r="V22" i="62"/>
  <c r="P22" i="62"/>
  <c r="M22" i="62"/>
  <c r="J22" i="62"/>
  <c r="G22" i="62"/>
  <c r="D22" i="62"/>
  <c r="AS21" i="62"/>
  <c r="AR21" i="62"/>
  <c r="AP21" i="62"/>
  <c r="AO21" i="62"/>
  <c r="AK21" i="62"/>
  <c r="AH21" i="62"/>
  <c r="Y21" i="62"/>
  <c r="V21" i="62"/>
  <c r="P21" i="62"/>
  <c r="M21" i="62"/>
  <c r="G21" i="62"/>
  <c r="D21" i="62"/>
  <c r="AN20" i="62"/>
  <c r="V20" i="62"/>
  <c r="J20" i="62"/>
  <c r="G20" i="62"/>
  <c r="AS19" i="62"/>
  <c r="AP19" i="62"/>
  <c r="AR19" i="62"/>
  <c r="AH19" i="62"/>
  <c r="AB19" i="62"/>
  <c r="V19" i="62"/>
  <c r="AS18" i="62"/>
  <c r="AR18" i="62"/>
  <c r="AP18" i="62"/>
  <c r="AO18" i="62"/>
  <c r="AH18" i="62"/>
  <c r="V18" i="62"/>
  <c r="AS17" i="62"/>
  <c r="AR17" i="62"/>
  <c r="AP17" i="62"/>
  <c r="AO17" i="62"/>
  <c r="AH17" i="62"/>
  <c r="AB17" i="62"/>
  <c r="V17" i="62"/>
  <c r="AS15" i="62"/>
  <c r="AP15" i="62"/>
  <c r="AK15" i="62"/>
  <c r="AH15" i="62"/>
  <c r="AO15" i="62"/>
  <c r="V15" i="62"/>
  <c r="G15" i="62"/>
  <c r="AS14" i="62"/>
  <c r="AR14" i="62"/>
  <c r="AP14" i="62"/>
  <c r="AO14" i="62"/>
  <c r="V14" i="62"/>
  <c r="AN46" i="65"/>
  <c r="AP45" i="65"/>
  <c r="AO45" i="65"/>
  <c r="AN45" i="65"/>
  <c r="AK45" i="65"/>
  <c r="AH45" i="65"/>
  <c r="Y45" i="65"/>
  <c r="V45" i="65"/>
  <c r="P45" i="65"/>
  <c r="G45" i="65"/>
  <c r="AN44" i="65"/>
  <c r="AP43" i="65"/>
  <c r="AO43" i="65"/>
  <c r="AN43" i="65"/>
  <c r="AK43" i="65"/>
  <c r="AH43" i="65"/>
  <c r="AB43" i="65"/>
  <c r="Y43" i="65"/>
  <c r="S43" i="65"/>
  <c r="P43" i="65"/>
  <c r="M43" i="65"/>
  <c r="J43" i="65"/>
  <c r="G43" i="65"/>
  <c r="D43" i="65"/>
  <c r="AN42" i="65"/>
  <c r="AN41" i="65"/>
  <c r="AH41" i="65"/>
  <c r="V41" i="65"/>
  <c r="AP40" i="65"/>
  <c r="AO40" i="65"/>
  <c r="AN40" i="65"/>
  <c r="AK40" i="65"/>
  <c r="AH40" i="65"/>
  <c r="AB40" i="65"/>
  <c r="Y40" i="65"/>
  <c r="V40" i="65"/>
  <c r="P40" i="65"/>
  <c r="M40" i="65"/>
  <c r="J40" i="65"/>
  <c r="G40" i="65"/>
  <c r="AP39" i="65"/>
  <c r="AO39" i="65"/>
  <c r="AN39" i="65"/>
  <c r="AK39" i="65"/>
  <c r="AH39" i="65"/>
  <c r="AB39" i="65"/>
  <c r="Y39" i="65"/>
  <c r="V39" i="65"/>
  <c r="P39" i="65"/>
  <c r="M39" i="65"/>
  <c r="J39" i="65"/>
  <c r="G39" i="65"/>
  <c r="AP38" i="65"/>
  <c r="AO38" i="65"/>
  <c r="AN38" i="65"/>
  <c r="AK38" i="65"/>
  <c r="AH38" i="65"/>
  <c r="AB38" i="65"/>
  <c r="Y38" i="65"/>
  <c r="V38" i="65"/>
  <c r="S38" i="65"/>
  <c r="P38" i="65"/>
  <c r="M38" i="65"/>
  <c r="J38" i="65"/>
  <c r="G38" i="65"/>
  <c r="D38" i="65"/>
  <c r="AN35" i="65"/>
  <c r="AP34" i="65"/>
  <c r="AO34" i="65"/>
  <c r="AN34" i="65"/>
  <c r="AK34" i="65"/>
  <c r="AH34" i="65"/>
  <c r="Y34" i="65"/>
  <c r="V34" i="65"/>
  <c r="G34" i="65"/>
  <c r="AP33" i="65"/>
  <c r="AO33" i="65"/>
  <c r="AN33" i="65"/>
  <c r="AK33" i="65"/>
  <c r="AH33" i="65"/>
  <c r="AE33" i="65"/>
  <c r="AB33" i="65"/>
  <c r="Y33" i="65"/>
  <c r="V33" i="65"/>
  <c r="S33" i="65"/>
  <c r="P33" i="65"/>
  <c r="M33" i="65"/>
  <c r="J33" i="65"/>
  <c r="G33" i="65"/>
  <c r="D33" i="65"/>
  <c r="AP32" i="65"/>
  <c r="AO32" i="65"/>
  <c r="AN32" i="65"/>
  <c r="AK32" i="65"/>
  <c r="AH32" i="65"/>
  <c r="AB32" i="65"/>
  <c r="Y32" i="65"/>
  <c r="V32" i="65"/>
  <c r="P32" i="65"/>
  <c r="G32" i="65"/>
  <c r="D32" i="65"/>
  <c r="AP31" i="65"/>
  <c r="AO31" i="65"/>
  <c r="AN31" i="65"/>
  <c r="AK31" i="65"/>
  <c r="AH31" i="65"/>
  <c r="AE31" i="65"/>
  <c r="Y31" i="65"/>
  <c r="V31" i="65"/>
  <c r="P31" i="65"/>
  <c r="G31" i="65"/>
  <c r="D31" i="65"/>
  <c r="AN30" i="65"/>
  <c r="AP29" i="65"/>
  <c r="AO29" i="65"/>
  <c r="AN29" i="65"/>
  <c r="AK29" i="65"/>
  <c r="AH29" i="65"/>
  <c r="Y29" i="65"/>
  <c r="V29" i="65"/>
  <c r="P29" i="65"/>
  <c r="G29" i="65"/>
  <c r="AP28" i="65"/>
  <c r="AO28" i="65"/>
  <c r="AN28" i="65"/>
  <c r="AK28" i="65"/>
  <c r="AH28" i="65"/>
  <c r="Y28" i="65"/>
  <c r="M28" i="65"/>
  <c r="J28" i="65"/>
  <c r="G28" i="65"/>
  <c r="D28" i="65"/>
  <c r="AP27" i="65"/>
  <c r="AO27" i="65"/>
  <c r="AN27" i="65"/>
  <c r="AK27" i="65"/>
  <c r="AH27" i="65"/>
  <c r="AB27" i="65"/>
  <c r="Y27" i="65"/>
  <c r="V27" i="65"/>
  <c r="G27" i="65"/>
  <c r="D27" i="65"/>
  <c r="AP26" i="65"/>
  <c r="AO26" i="65"/>
  <c r="AN26" i="65"/>
  <c r="AK26" i="65"/>
  <c r="AH26" i="65"/>
  <c r="AE26" i="65"/>
  <c r="AB26" i="65"/>
  <c r="Y26" i="65"/>
  <c r="V26" i="65"/>
  <c r="S26" i="65"/>
  <c r="P26" i="65"/>
  <c r="M26" i="65"/>
  <c r="J26" i="65"/>
  <c r="G26" i="65"/>
  <c r="D26" i="65"/>
  <c r="AP25" i="65"/>
  <c r="AO25" i="65"/>
  <c r="AN25" i="65"/>
  <c r="AK25" i="65"/>
  <c r="AH25" i="65"/>
  <c r="AB25" i="65"/>
  <c r="Y25" i="65"/>
  <c r="V25" i="65"/>
  <c r="P25" i="65"/>
  <c r="G25" i="65"/>
  <c r="D25" i="65"/>
  <c r="AP24" i="65"/>
  <c r="AO24" i="65"/>
  <c r="AN24" i="65"/>
  <c r="AK24" i="65"/>
  <c r="AH24" i="65"/>
  <c r="AB24" i="65"/>
  <c r="Y24" i="65"/>
  <c r="V24" i="65"/>
  <c r="P24" i="65"/>
  <c r="M24" i="65"/>
  <c r="J24" i="65"/>
  <c r="G24" i="65"/>
  <c r="AP23" i="65"/>
  <c r="AN23" i="65"/>
  <c r="AK23" i="65"/>
  <c r="AH23" i="65"/>
  <c r="AB23" i="65"/>
  <c r="Y23" i="65"/>
  <c r="V23" i="65"/>
  <c r="P23" i="65"/>
  <c r="M23" i="65"/>
  <c r="J23" i="65"/>
  <c r="G23" i="65"/>
  <c r="AP22" i="65"/>
  <c r="AO22" i="65"/>
  <c r="AN21" i="65"/>
  <c r="AS20" i="65"/>
  <c r="AR20" i="65"/>
  <c r="AP20" i="65"/>
  <c r="AO20" i="65"/>
  <c r="AN20" i="65"/>
  <c r="AK20" i="65"/>
  <c r="AH20" i="65"/>
  <c r="AE20" i="65"/>
  <c r="Y20" i="65"/>
  <c r="V20" i="65"/>
  <c r="P20" i="65"/>
  <c r="M20" i="65"/>
  <c r="J20" i="65"/>
  <c r="G20" i="65"/>
  <c r="D20" i="65"/>
  <c r="AS19" i="65"/>
  <c r="AP19" i="65"/>
  <c r="AN19" i="65"/>
  <c r="AH19" i="65"/>
  <c r="AE19" i="65"/>
  <c r="AB19" i="65"/>
  <c r="Y19" i="65"/>
  <c r="V19" i="65"/>
  <c r="S19" i="65"/>
  <c r="P19" i="65"/>
  <c r="M19" i="65"/>
  <c r="J19" i="65"/>
  <c r="G19" i="65"/>
  <c r="AS17" i="65"/>
  <c r="AR17" i="65"/>
  <c r="AP17" i="65"/>
  <c r="AO17" i="65"/>
  <c r="AN17" i="65"/>
  <c r="AK17" i="65"/>
  <c r="AH17" i="65"/>
  <c r="AB17" i="65"/>
  <c r="Y17" i="65"/>
  <c r="V17" i="65"/>
  <c r="M17" i="65"/>
  <c r="J17" i="65"/>
  <c r="G17" i="65"/>
  <c r="AS16" i="65"/>
  <c r="AR16" i="65"/>
  <c r="AP16" i="65"/>
  <c r="AO16" i="65"/>
  <c r="AN16" i="65"/>
  <c r="AK16" i="65"/>
  <c r="AH16" i="65"/>
  <c r="AE16" i="65"/>
  <c r="Y16" i="65"/>
  <c r="V16" i="65"/>
  <c r="P16" i="65"/>
  <c r="M16" i="65"/>
  <c r="J16" i="65"/>
  <c r="G16" i="65"/>
  <c r="D16" i="65"/>
  <c r="AS15" i="65"/>
  <c r="AR15" i="65"/>
  <c r="AP15" i="65"/>
  <c r="AO15" i="65"/>
  <c r="AN15" i="65"/>
  <c r="AK15" i="65"/>
  <c r="AH15" i="65"/>
  <c r="AB15" i="65"/>
  <c r="Y15" i="65"/>
  <c r="V15" i="65"/>
  <c r="P15" i="65"/>
  <c r="M15" i="65"/>
  <c r="J15" i="65"/>
  <c r="G15" i="65"/>
  <c r="D15" i="65"/>
  <c r="AN14" i="65"/>
  <c r="AS13" i="65"/>
  <c r="AR13" i="65"/>
  <c r="AP13" i="65"/>
  <c r="AO13" i="65"/>
  <c r="AN13" i="65"/>
  <c r="AK13" i="65"/>
  <c r="AH13" i="65"/>
  <c r="AE13" i="65"/>
  <c r="Y13" i="65"/>
  <c r="V13" i="65"/>
  <c r="P13" i="65"/>
  <c r="M13" i="65"/>
  <c r="J13" i="65"/>
  <c r="G13" i="65"/>
  <c r="D13" i="65"/>
  <c r="AS12" i="65"/>
  <c r="AR12" i="65"/>
  <c r="AP12" i="65"/>
  <c r="AO12" i="65"/>
  <c r="AN12" i="65"/>
  <c r="AK12" i="65"/>
  <c r="AH12" i="65"/>
  <c r="Y12" i="65"/>
  <c r="V12" i="65"/>
  <c r="P12" i="65"/>
  <c r="M12" i="65"/>
  <c r="J12" i="65"/>
  <c r="G12" i="65"/>
  <c r="D12" i="65"/>
  <c r="AS11" i="65"/>
  <c r="AP11" i="65"/>
  <c r="AN11" i="65"/>
  <c r="AK11" i="65"/>
  <c r="AH11" i="65"/>
  <c r="AE11" i="65"/>
  <c r="AB11" i="65"/>
  <c r="Y11" i="65"/>
  <c r="V11" i="65"/>
  <c r="S11" i="65"/>
  <c r="P11" i="65"/>
  <c r="M11" i="65"/>
  <c r="J11" i="65"/>
  <c r="G11" i="65"/>
  <c r="AR11" i="65"/>
  <c r="AQ84" i="62" l="1"/>
  <c r="AQ76" i="62"/>
  <c r="AH18" i="75"/>
  <c r="AQ26" i="65"/>
  <c r="C21" i="58"/>
  <c r="B28" i="58"/>
  <c r="C26" i="58"/>
  <c r="C25" i="58"/>
  <c r="B10" i="58"/>
  <c r="C13" i="58"/>
  <c r="B19" i="58"/>
  <c r="B17" i="58"/>
  <c r="C28" i="58"/>
  <c r="B25" i="58"/>
  <c r="C10" i="58"/>
  <c r="AH20" i="62"/>
  <c r="C19" i="58"/>
  <c r="B22" i="58"/>
  <c r="C17" i="58"/>
  <c r="C27" i="58"/>
  <c r="B29" i="58"/>
  <c r="C20" i="58"/>
  <c r="C11" i="58"/>
  <c r="C29" i="58"/>
  <c r="B26" i="58"/>
  <c r="B9" i="58"/>
  <c r="C12" i="58"/>
  <c r="B11" i="58"/>
  <c r="AB20" i="62"/>
  <c r="C9" i="58"/>
  <c r="AT82" i="62"/>
  <c r="C18" i="58"/>
  <c r="Y54" i="62"/>
  <c r="AQ59" i="62"/>
  <c r="C14" i="58"/>
  <c r="AT48" i="62"/>
  <c r="B27" i="58"/>
  <c r="B30" i="58"/>
  <c r="C30" i="58"/>
  <c r="B13" i="58"/>
  <c r="B18" i="58"/>
  <c r="AQ17" i="65"/>
  <c r="AQ52" i="62"/>
  <c r="G80" i="62"/>
  <c r="AQ82" i="62"/>
  <c r="AQ90" i="62"/>
  <c r="AB41" i="65"/>
  <c r="AQ45" i="65"/>
  <c r="AQ29" i="65"/>
  <c r="AQ21" i="62"/>
  <c r="Y20" i="62"/>
  <c r="AQ83" i="62"/>
  <c r="AQ38" i="65"/>
  <c r="AT23" i="62"/>
  <c r="AQ33" i="62"/>
  <c r="AT41" i="62"/>
  <c r="AT61" i="62"/>
  <c r="AQ78" i="62"/>
  <c r="AQ43" i="62"/>
  <c r="AH54" i="62"/>
  <c r="AQ23" i="62"/>
  <c r="AT43" i="62"/>
  <c r="AQ49" i="62"/>
  <c r="AT11" i="65"/>
  <c r="AQ57" i="62"/>
  <c r="AQ75" i="62"/>
  <c r="AH16" i="75"/>
  <c r="AT18" i="62"/>
  <c r="AR38" i="62"/>
  <c r="AQ40" i="62"/>
  <c r="G54" i="62"/>
  <c r="AQ55" i="62"/>
  <c r="AQ70" i="62"/>
  <c r="AT49" i="62"/>
  <c r="AT70" i="62"/>
  <c r="AQ77" i="62"/>
  <c r="AQ85" i="62"/>
  <c r="AT17" i="65"/>
  <c r="AQ31" i="65"/>
  <c r="Y41" i="65"/>
  <c r="AK41" i="65"/>
  <c r="AT53" i="62"/>
  <c r="AT59" i="62"/>
  <c r="AT74" i="62"/>
  <c r="AT77" i="62"/>
  <c r="AH20" i="75"/>
  <c r="AH14" i="65"/>
  <c r="G30" i="65"/>
  <c r="AT51" i="62"/>
  <c r="AT73" i="62"/>
  <c r="P21" i="65"/>
  <c r="AQ39" i="65"/>
  <c r="P20" i="62"/>
  <c r="AQ24" i="62"/>
  <c r="AQ46" i="62"/>
  <c r="AT55" i="62"/>
  <c r="AQ74" i="62"/>
  <c r="AT78" i="62"/>
  <c r="AO80" i="62"/>
  <c r="AK80" i="62"/>
  <c r="AT86" i="62"/>
  <c r="AQ89" i="62"/>
  <c r="AT91" i="62"/>
  <c r="AB16" i="62"/>
  <c r="AS20" i="62"/>
  <c r="D39" i="62"/>
  <c r="AT44" i="62"/>
  <c r="G14" i="65"/>
  <c r="AQ12" i="65"/>
  <c r="AQ15" i="65"/>
  <c r="AQ25" i="65"/>
  <c r="AQ33" i="65"/>
  <c r="J41" i="65"/>
  <c r="AE29" i="62"/>
  <c r="V35" i="62"/>
  <c r="AR54" i="62"/>
  <c r="AQ58" i="62"/>
  <c r="AQ68" i="62"/>
  <c r="AQ69" i="62"/>
  <c r="AT79" i="62"/>
  <c r="AQ88" i="62"/>
  <c r="AT13" i="65"/>
  <c r="Y14" i="65"/>
  <c r="AT16" i="65"/>
  <c r="AQ27" i="65"/>
  <c r="J30" i="65"/>
  <c r="AQ32" i="65"/>
  <c r="AQ40" i="65"/>
  <c r="M41" i="65"/>
  <c r="AQ25" i="62"/>
  <c r="AQ38" i="62"/>
  <c r="AT40" i="62"/>
  <c r="AT58" i="62"/>
  <c r="AT71" i="62"/>
  <c r="AT85" i="62"/>
  <c r="AT12" i="65"/>
  <c r="AQ20" i="65"/>
  <c r="Y21" i="65"/>
  <c r="AT25" i="62"/>
  <c r="AT37" i="62"/>
  <c r="AT42" i="62"/>
  <c r="AT56" i="62"/>
  <c r="AO11" i="65"/>
  <c r="AQ11" i="65" s="1"/>
  <c r="D14" i="65"/>
  <c r="M21" i="65"/>
  <c r="AQ28" i="65"/>
  <c r="D41" i="65"/>
  <c r="P41" i="65"/>
  <c r="AQ17" i="62"/>
  <c r="AT19" i="62"/>
  <c r="AT21" i="62"/>
  <c r="AR28" i="62"/>
  <c r="AT28" i="62" s="1"/>
  <c r="AT33" i="62"/>
  <c r="AR87" i="62"/>
  <c r="AQ91" i="62"/>
  <c r="AE21" i="65"/>
  <c r="AT14" i="62"/>
  <c r="AR20" i="62"/>
  <c r="AQ37" i="62"/>
  <c r="M39" i="62"/>
  <c r="AQ42" i="62"/>
  <c r="AT46" i="62"/>
  <c r="AP50" i="62"/>
  <c r="AQ51" i="62"/>
  <c r="AE54" i="62"/>
  <c r="AP54" i="62"/>
  <c r="AT57" i="62"/>
  <c r="G60" i="62"/>
  <c r="AQ61" i="62"/>
  <c r="Y87" i="62"/>
  <c r="AH87" i="62"/>
  <c r="AS16" i="62"/>
  <c r="V16" i="62"/>
  <c r="AH16" i="62"/>
  <c r="M80" i="62"/>
  <c r="AT89" i="62"/>
  <c r="V87" i="62"/>
  <c r="AT20" i="65"/>
  <c r="AQ24" i="65"/>
  <c r="AK38" i="62"/>
  <c r="AS39" i="62"/>
  <c r="AT83" i="62"/>
  <c r="AK87" i="62"/>
  <c r="D23" i="65"/>
  <c r="V30" i="65"/>
  <c r="AH21" i="65"/>
  <c r="AO41" i="65"/>
  <c r="AK14" i="65"/>
  <c r="AR19" i="65"/>
  <c r="AT19" i="65" s="1"/>
  <c r="AS21" i="65"/>
  <c r="AQ18" i="62"/>
  <c r="P35" i="62"/>
  <c r="G39" i="62"/>
  <c r="AO53" i="62"/>
  <c r="AQ53" i="62" s="1"/>
  <c r="AT75" i="62"/>
  <c r="P80" i="62"/>
  <c r="V21" i="65"/>
  <c r="D20" i="62"/>
  <c r="AQ16" i="65"/>
  <c r="AQ43" i="65"/>
  <c r="AQ15" i="62"/>
  <c r="D11" i="65"/>
  <c r="P14" i="65"/>
  <c r="AT15" i="65"/>
  <c r="D19" i="65"/>
  <c r="G21" i="65"/>
  <c r="AB21" i="65"/>
  <c r="AO23" i="65"/>
  <c r="AQ23" i="65" s="1"/>
  <c r="P30" i="65"/>
  <c r="AB30" i="65"/>
  <c r="AK30" i="65"/>
  <c r="AQ34" i="65"/>
  <c r="G41" i="65"/>
  <c r="AP41" i="65"/>
  <c r="AQ14" i="62"/>
  <c r="AT17" i="62"/>
  <c r="M20" i="62"/>
  <c r="AQ22" i="62"/>
  <c r="AT24" i="62"/>
  <c r="AO50" i="62"/>
  <c r="P87" i="62"/>
  <c r="AT22" i="62"/>
  <c r="AQ86" i="62"/>
  <c r="V35" i="65"/>
  <c r="J14" i="65"/>
  <c r="AH30" i="65"/>
  <c r="AP14" i="65"/>
  <c r="AQ13" i="65"/>
  <c r="S21" i="65"/>
  <c r="S41" i="65"/>
  <c r="AO20" i="62"/>
  <c r="AK20" i="62"/>
  <c r="AO28" i="62"/>
  <c r="AQ28" i="62" s="1"/>
  <c r="AQ34" i="62"/>
  <c r="AH39" i="62"/>
  <c r="AQ41" i="62"/>
  <c r="AK54" i="62"/>
  <c r="AT68" i="62"/>
  <c r="AQ71" i="62"/>
  <c r="AQ73" i="62"/>
  <c r="AQ79" i="62"/>
  <c r="J80" i="62"/>
  <c r="AH29" i="62"/>
  <c r="J27" i="62"/>
  <c r="Y27" i="62"/>
  <c r="M29" i="62"/>
  <c r="AB35" i="62"/>
  <c r="AO35" i="62"/>
  <c r="AP39" i="62"/>
  <c r="AB44" i="62"/>
  <c r="AS80" i="62"/>
  <c r="AP80" i="62"/>
  <c r="AB15" i="62"/>
  <c r="AK19" i="62"/>
  <c r="AB34" i="62"/>
  <c r="AH35" i="62"/>
  <c r="Y39" i="62"/>
  <c r="AH45" i="62"/>
  <c r="AT52" i="62"/>
  <c r="AO54" i="62"/>
  <c r="AQ56" i="62"/>
  <c r="AR15" i="62"/>
  <c r="AR34" i="62"/>
  <c r="Y35" i="62"/>
  <c r="AS54" i="62"/>
  <c r="D54" i="62"/>
  <c r="AR90" i="62"/>
  <c r="AT90" i="62" s="1"/>
  <c r="AP16" i="62"/>
  <c r="AO19" i="62"/>
  <c r="AQ19" i="62" s="1"/>
  <c r="AP20" i="62"/>
  <c r="P39" i="62"/>
  <c r="AK39" i="62"/>
  <c r="AO44" i="62"/>
  <c r="AQ44" i="62" s="1"/>
  <c r="P54" i="62"/>
  <c r="AT69" i="62"/>
  <c r="AH80" i="62"/>
  <c r="AE87" i="62"/>
  <c r="AT88" i="62"/>
  <c r="J39" i="62"/>
  <c r="V50" i="62"/>
  <c r="V54" i="62"/>
  <c r="AR16" i="62"/>
  <c r="AS50" i="62"/>
  <c r="V39" i="62"/>
  <c r="AR50" i="62"/>
  <c r="S80" i="62"/>
  <c r="AB80" i="62"/>
  <c r="AS87" i="62"/>
  <c r="AO87" i="62"/>
  <c r="Y80" i="62"/>
  <c r="AR80" i="62"/>
  <c r="AP87" i="62"/>
  <c r="D87" i="62"/>
  <c r="AO21" i="65"/>
  <c r="AK21" i="65"/>
  <c r="AO30" i="65"/>
  <c r="D30" i="65"/>
  <c r="S14" i="65"/>
  <c r="AB14" i="65"/>
  <c r="AS14" i="65"/>
  <c r="AK19" i="65"/>
  <c r="J21" i="65"/>
  <c r="AR21" i="65"/>
  <c r="M30" i="65"/>
  <c r="AP30" i="65"/>
  <c r="M14" i="65"/>
  <c r="V14" i="65"/>
  <c r="AO19" i="65"/>
  <c r="AQ19" i="65" s="1"/>
  <c r="Y30" i="65"/>
  <c r="AE14" i="65"/>
  <c r="D21" i="65"/>
  <c r="AP21" i="65"/>
  <c r="AT20" i="62" l="1"/>
  <c r="AR35" i="62"/>
  <c r="AK35" i="62"/>
  <c r="AQ20" i="62"/>
  <c r="J35" i="65"/>
  <c r="G93" i="62"/>
  <c r="AO39" i="62"/>
  <c r="AO45" i="62"/>
  <c r="AT34" i="62"/>
  <c r="B20" i="58"/>
  <c r="AT15" i="62"/>
  <c r="B12" i="58"/>
  <c r="AR39" i="62"/>
  <c r="AT16" i="62"/>
  <c r="AT38" i="62"/>
  <c r="B21" i="58"/>
  <c r="B14" i="58"/>
  <c r="AH27" i="62"/>
  <c r="AK35" i="65"/>
  <c r="D27" i="62"/>
  <c r="AK42" i="65"/>
  <c r="AQ80" i="62"/>
  <c r="P60" i="62"/>
  <c r="P27" i="62"/>
  <c r="AB39" i="62"/>
  <c r="M27" i="62"/>
  <c r="AR14" i="65"/>
  <c r="AT14" i="65" s="1"/>
  <c r="M35" i="65"/>
  <c r="V27" i="62"/>
  <c r="Y93" i="62"/>
  <c r="AP27" i="62"/>
  <c r="P93" i="62"/>
  <c r="D35" i="65"/>
  <c r="AO14" i="65"/>
  <c r="AB93" i="62"/>
  <c r="S93" i="62"/>
  <c r="AT54" i="62"/>
  <c r="AO60" i="62"/>
  <c r="AQ41" i="65"/>
  <c r="AE93" i="62"/>
  <c r="AK93" i="62"/>
  <c r="AO27" i="62"/>
  <c r="AK16" i="62"/>
  <c r="AR60" i="62"/>
  <c r="AQ50" i="62"/>
  <c r="AO16" i="62"/>
  <c r="AQ16" i="62" s="1"/>
  <c r="AQ54" i="62"/>
  <c r="Y29" i="62"/>
  <c r="AK60" i="62"/>
  <c r="AT80" i="62"/>
  <c r="V93" i="62"/>
  <c r="AK45" i="62"/>
  <c r="AB27" i="62"/>
  <c r="M45" i="62"/>
  <c r="D60" i="62"/>
  <c r="AP60" i="62"/>
  <c r="AS60" i="62"/>
  <c r="J29" i="62"/>
  <c r="D29" i="62"/>
  <c r="P45" i="62"/>
  <c r="G27" i="62"/>
  <c r="AP29" i="62"/>
  <c r="AT50" i="62"/>
  <c r="AR93" i="62"/>
  <c r="J93" i="62"/>
  <c r="AO93" i="62"/>
  <c r="AE62" i="62"/>
  <c r="Y45" i="62"/>
  <c r="V45" i="62"/>
  <c r="AQ87" i="62"/>
  <c r="V60" i="62"/>
  <c r="AE60" i="62"/>
  <c r="AS93" i="62"/>
  <c r="AP93" i="62"/>
  <c r="D93" i="62"/>
  <c r="J45" i="62"/>
  <c r="V29" i="62"/>
  <c r="M93" i="62"/>
  <c r="AT87" i="62"/>
  <c r="Y60" i="62"/>
  <c r="AH93" i="62"/>
  <c r="D45" i="62"/>
  <c r="AS27" i="62"/>
  <c r="AH60" i="62"/>
  <c r="P29" i="62"/>
  <c r="AE35" i="65"/>
  <c r="AB35" i="65"/>
  <c r="AO35" i="65"/>
  <c r="S35" i="65"/>
  <c r="AP35" i="65"/>
  <c r="AT21" i="65"/>
  <c r="M42" i="65"/>
  <c r="AQ21" i="65"/>
  <c r="G35" i="65"/>
  <c r="P35" i="65"/>
  <c r="AH35" i="65"/>
  <c r="Y35" i="65"/>
  <c r="AQ30" i="65"/>
  <c r="V42" i="65" l="1"/>
  <c r="AB45" i="62"/>
  <c r="AR45" i="62"/>
  <c r="F21" i="58" s="1"/>
  <c r="AQ39" i="62"/>
  <c r="G42" i="65"/>
  <c r="AH62" i="62"/>
  <c r="AQ14" i="65"/>
  <c r="G27" i="58"/>
  <c r="G28" i="58"/>
  <c r="G25" i="58"/>
  <c r="G26" i="58"/>
  <c r="G29" i="58"/>
  <c r="G30" i="58"/>
  <c r="F27" i="58"/>
  <c r="F26" i="58"/>
  <c r="F28" i="58"/>
  <c r="F29" i="58"/>
  <c r="F25" i="58"/>
  <c r="AT39" i="62"/>
  <c r="J42" i="65"/>
  <c r="AQ27" i="62"/>
  <c r="AR62" i="62"/>
  <c r="AE64" i="62"/>
  <c r="P62" i="62"/>
  <c r="J62" i="62"/>
  <c r="V62" i="62"/>
  <c r="D62" i="62"/>
  <c r="Y62" i="62"/>
  <c r="AQ93" i="62"/>
  <c r="AR27" i="62"/>
  <c r="AT27" i="62" s="1"/>
  <c r="AB62" i="62"/>
  <c r="G29" i="62"/>
  <c r="AS29" i="62"/>
  <c r="AB29" i="62"/>
  <c r="S29" i="62"/>
  <c r="AK62" i="62"/>
  <c r="AQ60" i="62"/>
  <c r="AR29" i="62"/>
  <c r="AK27" i="62"/>
  <c r="M62" i="62"/>
  <c r="Y64" i="62"/>
  <c r="AT93" i="62"/>
  <c r="AO62" i="62"/>
  <c r="J64" i="62"/>
  <c r="AT60" i="62"/>
  <c r="Y42" i="65"/>
  <c r="P42" i="65"/>
  <c r="AP42" i="65"/>
  <c r="S42" i="65"/>
  <c r="G44" i="65"/>
  <c r="M44" i="65"/>
  <c r="AQ35" i="65"/>
  <c r="AH42" i="65"/>
  <c r="D42" i="65"/>
  <c r="AO42" i="65"/>
  <c r="AB42" i="65"/>
  <c r="V44" i="65"/>
  <c r="J44" i="65"/>
  <c r="AE42" i="65"/>
  <c r="F17" i="58" l="1"/>
  <c r="F19" i="58"/>
  <c r="F22" i="58"/>
  <c r="F20" i="58"/>
  <c r="F18" i="58"/>
  <c r="AQ42" i="65"/>
  <c r="AK44" i="65"/>
  <c r="F9" i="58"/>
  <c r="F10" i="58"/>
  <c r="F11" i="58"/>
  <c r="F13" i="58"/>
  <c r="F12" i="58"/>
  <c r="F14" i="58"/>
  <c r="G10" i="58"/>
  <c r="G9" i="58"/>
  <c r="G11" i="58"/>
  <c r="G12" i="58"/>
  <c r="G13" i="58"/>
  <c r="G14" i="58"/>
  <c r="AH64" i="62"/>
  <c r="AT29" i="62"/>
  <c r="S64" i="62"/>
  <c r="V64" i="62"/>
  <c r="P64" i="62"/>
  <c r="D64" i="62"/>
  <c r="M64" i="62"/>
  <c r="AR64" i="62"/>
  <c r="AK29" i="62"/>
  <c r="AO29" i="62"/>
  <c r="AQ29" i="62" s="1"/>
  <c r="AB64" i="62"/>
  <c r="S44" i="65"/>
  <c r="AB44" i="65"/>
  <c r="AH44" i="65"/>
  <c r="AP44" i="65"/>
  <c r="AE44" i="65"/>
  <c r="AO44" i="65"/>
  <c r="D44" i="65"/>
  <c r="J46" i="65"/>
  <c r="M46" i="65"/>
  <c r="P44" i="65"/>
  <c r="V46" i="65"/>
  <c r="Y44" i="65"/>
  <c r="AK46" i="65"/>
  <c r="G46" i="65"/>
  <c r="AK64" i="62" l="1"/>
  <c r="AO64" i="62"/>
  <c r="AP46" i="65"/>
  <c r="Y46" i="65"/>
  <c r="AH46" i="65"/>
  <c r="D46" i="65"/>
  <c r="AO46" i="65"/>
  <c r="AQ44" i="65"/>
  <c r="AB46" i="65"/>
  <c r="P46" i="65"/>
  <c r="AE46" i="65"/>
  <c r="S46" i="65"/>
  <c r="AQ46" i="65" l="1"/>
  <c r="J9" i="79" l="1"/>
  <c r="K8" i="79"/>
  <c r="K67" i="79" l="1"/>
  <c r="D7" i="79"/>
  <c r="L23" i="79"/>
  <c r="K114" i="79"/>
  <c r="D48" i="79"/>
  <c r="D10" i="79"/>
  <c r="K99" i="79"/>
  <c r="J114" i="79"/>
  <c r="L114" i="79" s="1"/>
  <c r="J29" i="79"/>
  <c r="J28" i="79"/>
  <c r="J88" i="79"/>
  <c r="L88" i="79" s="1"/>
  <c r="D77" i="79"/>
  <c r="D9" i="79"/>
  <c r="K7" i="79"/>
  <c r="J22" i="79"/>
  <c r="J30" i="79"/>
  <c r="L30" i="79" s="1"/>
  <c r="K10" i="79"/>
  <c r="L67" i="79"/>
  <c r="D8" i="79"/>
  <c r="J8" i="79"/>
  <c r="L8" i="79" s="1"/>
  <c r="K22" i="79"/>
  <c r="K23" i="79"/>
  <c r="K28" i="79"/>
  <c r="K29" i="79"/>
  <c r="K30" i="79"/>
  <c r="J10" i="79"/>
  <c r="K78" i="79"/>
  <c r="K9" i="79"/>
  <c r="L9" i="79" s="1"/>
  <c r="J7" i="79"/>
  <c r="D22" i="79"/>
  <c r="D23" i="79"/>
  <c r="D28" i="79"/>
  <c r="D29" i="79"/>
  <c r="D30" i="79"/>
  <c r="J78" i="79"/>
  <c r="L78" i="79" s="1"/>
  <c r="K88" i="79"/>
  <c r="D99" i="79"/>
  <c r="D67" i="79"/>
  <c r="D88" i="79"/>
  <c r="D78" i="79"/>
  <c r="J99" i="79"/>
  <c r="L99" i="79" s="1"/>
  <c r="D114" i="79"/>
  <c r="L10" i="79" l="1"/>
  <c r="L22" i="79"/>
  <c r="L29" i="79"/>
  <c r="L28" i="79"/>
  <c r="L7" i="79"/>
  <c r="H32" i="9"/>
  <c r="H72" i="9" s="1"/>
  <c r="K111" i="79"/>
  <c r="D87" i="79"/>
  <c r="G32" i="9"/>
  <c r="G72" i="9" s="1"/>
  <c r="D66" i="79"/>
  <c r="C32" i="9"/>
  <c r="C72" i="9" s="1"/>
  <c r="D111" i="79"/>
  <c r="J111" i="79"/>
  <c r="L111" i="79" s="1"/>
  <c r="D98" i="79"/>
  <c r="K87" i="79" l="1"/>
  <c r="D47" i="79"/>
  <c r="B32" i="9"/>
  <c r="B72" i="9" s="1"/>
  <c r="J77" i="79" l="1"/>
  <c r="L77" i="79" s="1"/>
  <c r="J87" i="79"/>
  <c r="L87" i="79" s="1"/>
  <c r="J98" i="79"/>
  <c r="L98" i="79" s="1"/>
  <c r="L66" i="79"/>
  <c r="K77" i="79"/>
  <c r="K98" i="79"/>
  <c r="K66" i="79"/>
  <c r="H23" i="9" l="1"/>
  <c r="D48" i="78"/>
  <c r="AP8" i="62"/>
  <c r="AO8" i="62"/>
  <c r="AJ8" i="62"/>
  <c r="AI8" i="62"/>
  <c r="AD8" i="62"/>
  <c r="AC8" i="62"/>
  <c r="AA8" i="62"/>
  <c r="Z8" i="62"/>
  <c r="X8" i="62"/>
  <c r="W8" i="62"/>
  <c r="U8" i="62"/>
  <c r="T8" i="62"/>
  <c r="R8" i="62"/>
  <c r="Q8" i="62"/>
  <c r="O8" i="62"/>
  <c r="N8" i="62"/>
  <c r="L8" i="62"/>
  <c r="K8" i="62"/>
  <c r="I8" i="62"/>
  <c r="H8" i="62"/>
  <c r="F8" i="62"/>
  <c r="E8" i="62"/>
  <c r="AM8" i="62"/>
  <c r="AL8" i="62"/>
  <c r="AG8" i="75"/>
  <c r="AF8" i="75"/>
  <c r="AD8" i="75"/>
  <c r="AC8" i="75"/>
  <c r="AA8" i="75"/>
  <c r="Z8" i="75"/>
  <c r="X8" i="75"/>
  <c r="W8" i="75"/>
  <c r="U8" i="75"/>
  <c r="T8" i="75"/>
  <c r="R8" i="75"/>
  <c r="Q8" i="75"/>
  <c r="O8" i="75"/>
  <c r="N8" i="75"/>
  <c r="L8" i="75"/>
  <c r="K8" i="75"/>
  <c r="I8" i="75"/>
  <c r="H8" i="75"/>
  <c r="F8" i="75"/>
  <c r="E8" i="75"/>
  <c r="G23" i="9" l="1"/>
  <c r="M68" i="8" s="1"/>
  <c r="C23" i="9"/>
  <c r="N22" i="8" s="1"/>
  <c r="D47" i="78"/>
  <c r="H62" i="9"/>
  <c r="N68" i="8"/>
  <c r="G62" i="9" l="1"/>
  <c r="C62" i="9"/>
  <c r="B23" i="9"/>
  <c r="M22" i="8" l="1"/>
  <c r="D23" i="9"/>
  <c r="B62" i="9"/>
  <c r="D62" i="9" s="1"/>
  <c r="D54" i="77" l="1"/>
  <c r="D55" i="77"/>
  <c r="H12" i="9"/>
  <c r="D48" i="77"/>
  <c r="G12" i="9"/>
  <c r="D53" i="77" l="1"/>
  <c r="M58" i="8"/>
  <c r="G51" i="9"/>
  <c r="H51" i="9"/>
  <c r="N58" i="8"/>
  <c r="D49" i="77"/>
  <c r="C12" i="9"/>
  <c r="C51" i="9" l="1"/>
  <c r="N11" i="8"/>
  <c r="B12" i="9"/>
  <c r="M11" i="8" s="1"/>
  <c r="D47" i="77"/>
  <c r="D12" i="9" l="1"/>
  <c r="B51" i="9"/>
  <c r="D51" i="9" s="1"/>
  <c r="N127" i="8" l="1"/>
  <c r="M127" i="8"/>
  <c r="N104" i="8"/>
  <c r="M104" i="8"/>
  <c r="N80" i="8"/>
  <c r="M80" i="8"/>
  <c r="N74" i="8"/>
  <c r="M74" i="8"/>
  <c r="N54" i="8"/>
  <c r="M54" i="8"/>
  <c r="N35" i="8"/>
  <c r="M35" i="8"/>
  <c r="G70" i="9" l="1"/>
  <c r="H70" i="9"/>
  <c r="O71" i="9"/>
  <c r="L71" i="9"/>
  <c r="M71" i="9"/>
  <c r="N71" i="9"/>
  <c r="K8" i="74" l="1"/>
  <c r="H31" i="9"/>
  <c r="G31" i="9"/>
  <c r="M75" i="8" s="1"/>
  <c r="D8" i="74"/>
  <c r="J8" i="74"/>
  <c r="K7" i="74"/>
  <c r="J7" i="74"/>
  <c r="D48" i="74"/>
  <c r="D7" i="74"/>
  <c r="L8" i="74" l="1"/>
  <c r="C31" i="9"/>
  <c r="L7" i="74"/>
  <c r="D47" i="74"/>
  <c r="H71" i="9"/>
  <c r="N75" i="8"/>
  <c r="B31" i="9"/>
  <c r="M30" i="8" s="1"/>
  <c r="G71" i="9"/>
  <c r="B71" i="9" l="1"/>
  <c r="B22" i="4" l="1"/>
  <c r="C29" i="4"/>
  <c r="F29" i="4"/>
  <c r="B29" i="4"/>
  <c r="E22" i="4"/>
  <c r="C22" i="4"/>
  <c r="F22" i="4"/>
  <c r="E29" i="4"/>
  <c r="E22" i="79" l="1"/>
  <c r="E29" i="79"/>
  <c r="E32" i="4" l="1"/>
  <c r="F31" i="4" l="1"/>
  <c r="F25" i="4"/>
  <c r="F30" i="4"/>
  <c r="B24" i="4"/>
  <c r="E33" i="4"/>
  <c r="C25" i="4"/>
  <c r="C24" i="4"/>
  <c r="E31" i="4"/>
  <c r="B25" i="4"/>
  <c r="E24" i="4"/>
  <c r="F32" i="4"/>
  <c r="F24" i="4"/>
  <c r="K32" i="13"/>
  <c r="E30" i="4"/>
  <c r="E25" i="4"/>
  <c r="B30" i="4"/>
  <c r="C31" i="4"/>
  <c r="F26" i="4"/>
  <c r="C32" i="4"/>
  <c r="C33" i="4"/>
  <c r="C30" i="4"/>
  <c r="B32" i="4"/>
  <c r="B23" i="4"/>
  <c r="B31" i="4"/>
  <c r="C23" i="4"/>
  <c r="E26" i="4"/>
  <c r="E23" i="4"/>
  <c r="B33" i="4"/>
  <c r="F23" i="4"/>
  <c r="D23" i="23"/>
  <c r="H23" i="33"/>
  <c r="D23" i="29"/>
  <c r="D30" i="33"/>
  <c r="H25" i="23"/>
  <c r="H24" i="23"/>
  <c r="D30" i="16"/>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7"/>
  <c r="H24" i="33"/>
  <c r="H31" i="33"/>
  <c r="H31" i="35"/>
  <c r="H25" i="18"/>
  <c r="H25" i="37"/>
  <c r="H25" i="33"/>
  <c r="H25" i="29"/>
  <c r="H32" i="13"/>
  <c r="D24" i="37"/>
  <c r="D24" i="33"/>
  <c r="D24" i="29"/>
  <c r="D24" i="24"/>
  <c r="D24" i="13"/>
  <c r="H26" i="18"/>
  <c r="H26" i="37"/>
  <c r="H26" i="33"/>
  <c r="H26" i="35"/>
  <c r="H26" i="29"/>
  <c r="H26" i="23"/>
  <c r="J30" i="29"/>
  <c r="D30" i="29"/>
  <c r="J30" i="23"/>
  <c r="D30" i="23"/>
  <c r="D23" i="33"/>
  <c r="H23" i="18"/>
  <c r="H23" i="29"/>
  <c r="H23" i="23"/>
  <c r="D23" i="13"/>
  <c r="J30" i="18"/>
  <c r="J33" i="35"/>
  <c r="J33" i="23"/>
  <c r="J33" i="33"/>
  <c r="J33" i="29"/>
  <c r="J25" i="29"/>
  <c r="J25" i="23"/>
  <c r="J25" i="13"/>
  <c r="J32" i="18"/>
  <c r="J32" i="33"/>
  <c r="J32" i="29"/>
  <c r="J32" i="23"/>
  <c r="J26" i="18"/>
  <c r="J26" i="37"/>
  <c r="J26" i="33"/>
  <c r="J26" i="35"/>
  <c r="J26" i="29"/>
  <c r="J26" i="23"/>
  <c r="K23" i="33"/>
  <c r="J33" i="18"/>
  <c r="J33" i="37"/>
  <c r="K31" i="23"/>
  <c r="K30" i="16"/>
  <c r="K25" i="18"/>
  <c r="K25" i="37"/>
  <c r="K25" i="33"/>
  <c r="K25" i="29"/>
  <c r="K25" i="23"/>
  <c r="K25" i="13"/>
  <c r="K23" i="37"/>
  <c r="K23" i="20"/>
  <c r="K32" i="18"/>
  <c r="K32" i="33"/>
  <c r="K32" i="29"/>
  <c r="K32" i="23"/>
  <c r="J30" i="16"/>
  <c r="K33" i="23"/>
  <c r="K26" i="18"/>
  <c r="K26" i="33"/>
  <c r="K26" i="29"/>
  <c r="K23" i="13"/>
  <c r="K33" i="18"/>
  <c r="K33" i="33"/>
  <c r="K33" i="29"/>
  <c r="J23" i="20"/>
  <c r="J23" i="37"/>
  <c r="K26" i="37"/>
  <c r="K26" i="23"/>
  <c r="K31" i="13"/>
  <c r="J23" i="18"/>
  <c r="J23" i="29"/>
  <c r="J23" i="23"/>
  <c r="J25" i="18"/>
  <c r="J25" i="37"/>
  <c r="J25" i="33"/>
  <c r="K24" i="24"/>
  <c r="K24" i="23"/>
  <c r="K24" i="13"/>
  <c r="K31" i="18"/>
  <c r="K31" i="33"/>
  <c r="K31" i="29"/>
  <c r="J23" i="35"/>
  <c r="J23" i="13"/>
  <c r="K30" i="20"/>
  <c r="K30" i="13"/>
  <c r="K24" i="33"/>
  <c r="K24" i="29"/>
  <c r="J31" i="37"/>
  <c r="J31" i="24"/>
  <c r="J31" i="35"/>
  <c r="J31" i="13"/>
  <c r="J24" i="37"/>
  <c r="J24" i="33"/>
  <c r="J24" i="29"/>
  <c r="J24" i="24"/>
  <c r="J24" i="23"/>
  <c r="J24" i="13"/>
  <c r="K23" i="18"/>
  <c r="K23" i="29"/>
  <c r="K23" i="23"/>
  <c r="J31" i="18"/>
  <c r="J31" i="33"/>
  <c r="J31" i="29"/>
  <c r="J31" i="23"/>
  <c r="K24" i="37"/>
  <c r="K30" i="37"/>
  <c r="J30" i="13"/>
  <c r="J23" i="33"/>
  <c r="J30" i="33"/>
  <c r="J30" i="35"/>
  <c r="J32" i="13"/>
  <c r="L32" i="13" s="1"/>
  <c r="J30" i="37"/>
  <c r="J30" i="20"/>
  <c r="J32" i="37"/>
  <c r="K30" i="18"/>
  <c r="K30" i="33"/>
  <c r="K30" i="29"/>
  <c r="K30" i="23"/>
  <c r="K32" i="37"/>
  <c r="K31" i="37"/>
  <c r="K33" i="37"/>
  <c r="K31" i="24"/>
  <c r="L31" i="23" l="1"/>
  <c r="E23" i="79"/>
  <c r="E30" i="79"/>
  <c r="L23" i="33"/>
  <c r="L30" i="37"/>
  <c r="L24" i="23"/>
  <c r="L24" i="29"/>
  <c r="L23" i="35"/>
  <c r="L23" i="20"/>
  <c r="L25" i="18"/>
  <c r="L31" i="29"/>
  <c r="L25" i="23"/>
  <c r="L25" i="29"/>
  <c r="L24" i="33"/>
  <c r="L26" i="33"/>
  <c r="L33" i="23"/>
  <c r="L30" i="35"/>
  <c r="L31" i="18"/>
  <c r="L33" i="18"/>
  <c r="L30" i="20"/>
  <c r="L31" i="13"/>
  <c r="L24" i="13"/>
  <c r="L26" i="35"/>
  <c r="L24" i="37"/>
  <c r="L31" i="37"/>
  <c r="L23" i="23"/>
  <c r="L26" i="37"/>
  <c r="L26" i="29"/>
  <c r="L30" i="29"/>
  <c r="L32" i="37"/>
  <c r="L31" i="33"/>
  <c r="L23" i="13"/>
  <c r="L23" i="29"/>
  <c r="L33" i="37"/>
  <c r="L32" i="23"/>
  <c r="L25" i="13"/>
  <c r="L30" i="18"/>
  <c r="L31" i="35"/>
  <c r="L23" i="18"/>
  <c r="L33" i="29"/>
  <c r="L25" i="33"/>
  <c r="L30" i="16"/>
  <c r="L26" i="23"/>
  <c r="L26" i="18"/>
  <c r="L32" i="29"/>
  <c r="L33" i="33"/>
  <c r="L30" i="13"/>
  <c r="L30" i="33"/>
  <c r="L24" i="24"/>
  <c r="L25" i="37"/>
  <c r="L23" i="37"/>
  <c r="L32" i="33"/>
  <c r="L31" i="24"/>
  <c r="L32" i="18"/>
  <c r="L33" i="35"/>
  <c r="L30" i="23"/>
  <c r="J9" i="72"/>
  <c r="E31" i="13" l="1"/>
  <c r="E31" i="37"/>
  <c r="E31" i="33"/>
  <c r="E31" i="24"/>
  <c r="E31" i="29"/>
  <c r="E23" i="23"/>
  <c r="E23" i="13"/>
  <c r="E23" i="20"/>
  <c r="E23" i="37"/>
  <c r="E23" i="33"/>
  <c r="E23" i="29"/>
  <c r="E25" i="13"/>
  <c r="E30" i="13"/>
  <c r="E30" i="20"/>
  <c r="E30" i="37"/>
  <c r="E30" i="23"/>
  <c r="E30" i="29"/>
  <c r="E30" i="16"/>
  <c r="E30" i="33"/>
  <c r="E32" i="13"/>
  <c r="E32" i="29"/>
  <c r="E24" i="24"/>
  <c r="E24" i="13"/>
  <c r="E24" i="29"/>
  <c r="E24" i="33"/>
  <c r="E24" i="37"/>
  <c r="K7" i="72"/>
  <c r="K9" i="72"/>
  <c r="L9" i="72" s="1"/>
  <c r="J7" i="72"/>
  <c r="D48" i="72"/>
  <c r="D7" i="72"/>
  <c r="D9" i="72"/>
  <c r="L7" i="72" l="1"/>
  <c r="H26" i="9"/>
  <c r="D47" i="72"/>
  <c r="G26" i="9"/>
  <c r="G65" i="9" s="1"/>
  <c r="B26" i="9"/>
  <c r="M25" i="8" s="1"/>
  <c r="C26" i="9" l="1"/>
  <c r="B65" i="9"/>
  <c r="C65" i="9" l="1"/>
  <c r="D65" i="9" s="1"/>
  <c r="N25" i="8"/>
  <c r="G33" i="4"/>
  <c r="D33" i="4"/>
  <c r="I33" i="4" l="1"/>
  <c r="H33" i="4"/>
  <c r="M33" i="37" l="1"/>
  <c r="M33" i="29"/>
  <c r="M33" i="33"/>
  <c r="J33" i="4"/>
  <c r="G9" i="9" l="1"/>
  <c r="D22" i="18"/>
  <c r="H9" i="9"/>
  <c r="D29" i="18"/>
  <c r="H10" i="18"/>
  <c r="D7" i="18"/>
  <c r="D10" i="18"/>
  <c r="H117" i="18"/>
  <c r="H121" i="18"/>
  <c r="J88" i="18"/>
  <c r="H109" i="18"/>
  <c r="H113" i="18"/>
  <c r="H125" i="18"/>
  <c r="K113" i="18"/>
  <c r="K99" i="18"/>
  <c r="H7" i="18"/>
  <c r="J67" i="18"/>
  <c r="D99" i="18"/>
  <c r="J109" i="18"/>
  <c r="J121" i="18"/>
  <c r="D28" i="18"/>
  <c r="H34" i="18"/>
  <c r="H35" i="18"/>
  <c r="K78" i="18"/>
  <c r="K108" i="18"/>
  <c r="J113" i="18"/>
  <c r="K120" i="18"/>
  <c r="H108" i="18"/>
  <c r="J35" i="18"/>
  <c r="H11" i="18"/>
  <c r="K109" i="18"/>
  <c r="J117" i="18"/>
  <c r="K117" i="18"/>
  <c r="H12" i="18"/>
  <c r="K35" i="18"/>
  <c r="J34" i="18"/>
  <c r="D67" i="18"/>
  <c r="D88" i="18"/>
  <c r="J99" i="18"/>
  <c r="J120" i="18"/>
  <c r="K121"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C97" i="4" l="1"/>
  <c r="B76" i="4"/>
  <c r="B97" i="4"/>
  <c r="C76" i="4"/>
  <c r="M55" i="8"/>
  <c r="N55" i="8"/>
  <c r="K98" i="18"/>
  <c r="I9"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9"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J116" i="37"/>
  <c r="K109" i="37"/>
  <c r="D35" i="37"/>
  <c r="J12" i="37"/>
  <c r="J7" i="37"/>
  <c r="H75" i="37"/>
  <c r="D48" i="37"/>
  <c r="J137" i="37"/>
  <c r="K121" i="37"/>
  <c r="J67" i="37"/>
  <c r="H125" i="37"/>
  <c r="D124" i="37"/>
  <c r="D109" i="37"/>
  <c r="H96" i="37"/>
  <c r="K88"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L122" i="37" l="1"/>
  <c r="M8" i="8"/>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F30" i="58" l="1"/>
  <c r="C8" i="58" l="1"/>
  <c r="G31" i="4" l="1"/>
  <c r="G23" i="4" l="1"/>
  <c r="G24" i="4"/>
  <c r="G30" i="4"/>
  <c r="G25" i="4"/>
  <c r="G32" i="4"/>
  <c r="D32" i="4"/>
  <c r="D24" i="4"/>
  <c r="I23" i="37"/>
  <c r="I25" i="37"/>
  <c r="I25" i="18"/>
  <c r="I30" i="37"/>
  <c r="I30" i="18"/>
  <c r="I31" i="37"/>
  <c r="I31" i="18"/>
  <c r="G26" i="4"/>
  <c r="D25" i="4"/>
  <c r="I24" i="37"/>
  <c r="I32" i="37"/>
  <c r="I32" i="18"/>
  <c r="D30" i="4"/>
  <c r="D31" i="4"/>
  <c r="E29" i="18" l="1"/>
  <c r="E29" i="23"/>
  <c r="E29" i="29"/>
  <c r="E29" i="33"/>
  <c r="E29" i="16"/>
  <c r="E29" i="20"/>
  <c r="E29" i="24"/>
  <c r="E29" i="51"/>
  <c r="E29" i="37"/>
  <c r="E29" i="13"/>
  <c r="I23" i="18"/>
  <c r="D23" i="4"/>
  <c r="I26" i="4"/>
  <c r="H26" i="4"/>
  <c r="F26" i="10"/>
  <c r="F16" i="10"/>
  <c r="F34" i="10"/>
  <c r="I26" i="29"/>
  <c r="I26" i="23"/>
  <c r="I26" i="33"/>
  <c r="I26" i="37"/>
  <c r="I26" i="35"/>
  <c r="I26" i="18"/>
  <c r="G16" i="10"/>
  <c r="G26" i="10"/>
  <c r="G34" i="10"/>
  <c r="M26" i="29" l="1"/>
  <c r="J26" i="4"/>
  <c r="M26" i="23"/>
  <c r="M26" i="35"/>
  <c r="M26" i="37"/>
  <c r="M26" i="33"/>
  <c r="M26" i="18"/>
  <c r="H30" i="58"/>
  <c r="H29" i="58"/>
  <c r="D29" i="58"/>
  <c r="H28" i="58"/>
  <c r="D28" i="58"/>
  <c r="H27" i="58"/>
  <c r="D27" i="58"/>
  <c r="H25" i="58"/>
  <c r="C24" i="58"/>
  <c r="D25" i="58"/>
  <c r="D20" i="58"/>
  <c r="D18" i="58"/>
  <c r="F16" i="58"/>
  <c r="H13" i="58"/>
  <c r="H12" i="58"/>
  <c r="H11" i="58"/>
  <c r="H10" i="58"/>
  <c r="H9" i="58"/>
  <c r="C35" i="58"/>
  <c r="C34" i="58"/>
  <c r="B36" i="58"/>
  <c r="D11" i="58"/>
  <c r="D9" i="58"/>
  <c r="D30" i="58"/>
  <c r="D26" i="58"/>
  <c r="H14" i="58"/>
  <c r="D13" i="58"/>
  <c r="G8" i="58"/>
  <c r="B24" i="58" l="1"/>
  <c r="D24" i="58" s="1"/>
  <c r="B37" i="58"/>
  <c r="B34" i="58"/>
  <c r="D34" i="58" s="1"/>
  <c r="B38" i="58"/>
  <c r="C37" i="58"/>
  <c r="B35" i="58"/>
  <c r="D35" i="58" s="1"/>
  <c r="C36" i="58"/>
  <c r="D36" i="58" s="1"/>
  <c r="H26" i="58"/>
  <c r="C33" i="58"/>
  <c r="G24" i="58"/>
  <c r="B8" i="58"/>
  <c r="D8" i="58" s="1"/>
  <c r="B33" i="58"/>
  <c r="D10" i="58"/>
  <c r="D12" i="58"/>
  <c r="D14" i="58"/>
  <c r="B16" i="58"/>
  <c r="D17" i="58"/>
  <c r="D19" i="58"/>
  <c r="D21" i="58"/>
  <c r="F8" i="58"/>
  <c r="H8" i="58" s="1"/>
  <c r="F24" i="58"/>
  <c r="D37" i="58" l="1"/>
  <c r="D33" i="58"/>
  <c r="H24" i="58"/>
  <c r="B32" i="58"/>
  <c r="F36" i="58" l="1"/>
  <c r="F35" i="58"/>
  <c r="F33" i="58"/>
  <c r="F37" i="58"/>
  <c r="F38" i="58"/>
  <c r="F34" i="58"/>
  <c r="F32" i="58" l="1"/>
  <c r="L51" i="10" l="1"/>
  <c r="L36" i="10"/>
  <c r="H11" i="10"/>
  <c r="H16" i="10"/>
  <c r="H26" i="10"/>
  <c r="H34" i="10"/>
  <c r="H36" i="10"/>
  <c r="H38" i="10"/>
  <c r="H45" i="10"/>
  <c r="H49" i="10"/>
  <c r="H51" i="10"/>
  <c r="G56" i="10"/>
  <c r="G60" i="10"/>
  <c r="F60" i="10" l="1"/>
  <c r="F56" i="10"/>
  <c r="H56" i="10" s="1"/>
  <c r="K28" i="10" l="1"/>
  <c r="J28" i="10"/>
  <c r="K9" i="33" l="1"/>
  <c r="K9" i="29"/>
  <c r="K8" i="51"/>
  <c r="K8" i="29"/>
  <c r="K8" i="33"/>
  <c r="K9" i="51"/>
  <c r="K8" i="25"/>
  <c r="K8" i="24"/>
  <c r="K9" i="25"/>
  <c r="K9" i="24"/>
  <c r="K8" i="22"/>
  <c r="K9" i="22"/>
  <c r="K9" i="20"/>
  <c r="K8" i="20"/>
  <c r="K8" i="19"/>
  <c r="J36" i="13"/>
  <c r="K9" i="19"/>
  <c r="K39" i="13"/>
  <c r="K37" i="13"/>
  <c r="J39" i="13"/>
  <c r="J37" i="13"/>
  <c r="K36" i="13"/>
  <c r="K8" i="13"/>
  <c r="K9" i="13"/>
  <c r="D22" i="16"/>
  <c r="C125" i="4" l="1"/>
  <c r="B57" i="4"/>
  <c r="E114" i="4"/>
  <c r="E116" i="4"/>
  <c r="F124" i="4"/>
  <c r="B135" i="4"/>
  <c r="B25" i="10" s="1"/>
  <c r="C86" i="4"/>
  <c r="C108" i="4"/>
  <c r="C88" i="4"/>
  <c r="B55" i="4"/>
  <c r="C10" i="4"/>
  <c r="E7" i="4"/>
  <c r="F9" i="10" s="1"/>
  <c r="F135" i="4"/>
  <c r="E79" i="4"/>
  <c r="F68" i="4"/>
  <c r="B7" i="4"/>
  <c r="B9" i="10" s="1"/>
  <c r="B12" i="4"/>
  <c r="B41" i="10" s="1"/>
  <c r="F10" i="4"/>
  <c r="B48" i="4"/>
  <c r="C67" i="4"/>
  <c r="F86" i="4"/>
  <c r="C126" i="4"/>
  <c r="B10" i="4"/>
  <c r="B20" i="10" s="1"/>
  <c r="C34" i="4"/>
  <c r="E121" i="4"/>
  <c r="F137" i="4"/>
  <c r="B54" i="4"/>
  <c r="E86" i="4"/>
  <c r="C49" i="4"/>
  <c r="B89" i="4"/>
  <c r="B23" i="10" s="1"/>
  <c r="B110" i="4"/>
  <c r="F109" i="4"/>
  <c r="B126" i="4"/>
  <c r="F116" i="4"/>
  <c r="C28" i="4"/>
  <c r="C99" i="4"/>
  <c r="B86" i="4"/>
  <c r="E34" i="4"/>
  <c r="F31" i="10" s="1"/>
  <c r="C96" i="4"/>
  <c r="C68" i="4"/>
  <c r="C110" i="4"/>
  <c r="C39" i="4"/>
  <c r="C75" i="4"/>
  <c r="E75" i="4"/>
  <c r="F96" i="4"/>
  <c r="C57" i="4"/>
  <c r="B34" i="4"/>
  <c r="C114" i="4"/>
  <c r="E137" i="4"/>
  <c r="B8" i="4"/>
  <c r="F107" i="4"/>
  <c r="F12" i="4"/>
  <c r="C11" i="4"/>
  <c r="E96" i="4"/>
  <c r="C79" i="4"/>
  <c r="B49" i="4"/>
  <c r="E100" i="4"/>
  <c r="B108" i="4"/>
  <c r="C124" i="4"/>
  <c r="F117" i="4"/>
  <c r="C116" i="4"/>
  <c r="E134" i="4"/>
  <c r="F15" i="10" s="1"/>
  <c r="C89" i="4"/>
  <c r="B116" i="4"/>
  <c r="B114" i="4"/>
  <c r="B39" i="4"/>
  <c r="F112" i="4"/>
  <c r="B68" i="4"/>
  <c r="B13" i="10" s="1"/>
  <c r="F125" i="4"/>
  <c r="C12" i="4"/>
  <c r="C112" i="4"/>
  <c r="C8" i="4"/>
  <c r="E117" i="4"/>
  <c r="F113" i="4"/>
  <c r="I88" i="33"/>
  <c r="C48" i="4"/>
  <c r="B107" i="4"/>
  <c r="B37" i="4"/>
  <c r="B26" i="10" s="1"/>
  <c r="E35" i="4"/>
  <c r="F42" i="10" s="1"/>
  <c r="C54" i="4"/>
  <c r="C100" i="4"/>
  <c r="B79" i="4"/>
  <c r="B109" i="4"/>
  <c r="B117" i="4"/>
  <c r="F108" i="4"/>
  <c r="B36" i="4"/>
  <c r="B16" i="10" s="1"/>
  <c r="C107" i="4"/>
  <c r="E12" i="4"/>
  <c r="F41" i="10" s="1"/>
  <c r="F7" i="4"/>
  <c r="F79" i="4"/>
  <c r="C121" i="4"/>
  <c r="C35" i="4"/>
  <c r="F89" i="4"/>
  <c r="E109" i="4"/>
  <c r="G109" i="4" s="1"/>
  <c r="E113" i="4"/>
  <c r="C9" i="4"/>
  <c r="C113" i="4"/>
  <c r="C37" i="4"/>
  <c r="E37" i="37" s="1"/>
  <c r="B96" i="4"/>
  <c r="C55" i="4"/>
  <c r="B112" i="4"/>
  <c r="C122" i="4"/>
  <c r="C135" i="4"/>
  <c r="E112" i="4"/>
  <c r="B122" i="4"/>
  <c r="E89" i="4"/>
  <c r="B124" i="4"/>
  <c r="B28" i="4"/>
  <c r="F34" i="4"/>
  <c r="E10" i="4"/>
  <c r="F20" i="10" s="1"/>
  <c r="E11" i="4"/>
  <c r="F30" i="10" s="1"/>
  <c r="E107" i="4"/>
  <c r="G107" i="4" s="1"/>
  <c r="B75" i="4"/>
  <c r="C120" i="4"/>
  <c r="B35" i="4"/>
  <c r="B11" i="4"/>
  <c r="B30" i="10" s="1"/>
  <c r="B113" i="4"/>
  <c r="F100" i="4"/>
  <c r="E108" i="4"/>
  <c r="B134" i="4"/>
  <c r="B15" i="10" s="1"/>
  <c r="F11" i="4"/>
  <c r="C134" i="4"/>
  <c r="F114" i="4"/>
  <c r="B120" i="4"/>
  <c r="F136" i="4"/>
  <c r="B137" i="4"/>
  <c r="B44" i="10" s="1"/>
  <c r="B99" i="4"/>
  <c r="B78" i="4"/>
  <c r="F121" i="4"/>
  <c r="F35" i="4"/>
  <c r="B67" i="4"/>
  <c r="B125" i="4"/>
  <c r="C117" i="4"/>
  <c r="E136" i="4"/>
  <c r="C7" i="4"/>
  <c r="B9" i="4"/>
  <c r="C36" i="4"/>
  <c r="E36" i="37" s="1"/>
  <c r="B121" i="4"/>
  <c r="C136" i="4"/>
  <c r="F75" i="4"/>
  <c r="C137" i="4"/>
  <c r="B88" i="4"/>
  <c r="C78" i="4"/>
  <c r="F134" i="4"/>
  <c r="E135" i="4"/>
  <c r="F25" i="10" s="1"/>
  <c r="B136" i="4"/>
  <c r="B33" i="10" s="1"/>
  <c r="E68" i="4"/>
  <c r="G68" i="4" s="1"/>
  <c r="B100" i="4"/>
  <c r="E125" i="4"/>
  <c r="C109" i="4"/>
  <c r="E124" i="4"/>
  <c r="G16" i="9"/>
  <c r="G55" i="9" s="1"/>
  <c r="H40" i="9"/>
  <c r="C38" i="9"/>
  <c r="H39" i="9"/>
  <c r="G38" i="9"/>
  <c r="H19" i="9"/>
  <c r="N64" i="8" s="1"/>
  <c r="G17" i="9"/>
  <c r="M62" i="8" s="1"/>
  <c r="G14" i="9"/>
  <c r="G15" i="9"/>
  <c r="C37" i="9"/>
  <c r="G18" i="9"/>
  <c r="M63" i="8" s="1"/>
  <c r="B41" i="9"/>
  <c r="B42" i="9"/>
  <c r="C42" i="9"/>
  <c r="G21" i="9"/>
  <c r="M66" i="8" s="1"/>
  <c r="C40" i="9"/>
  <c r="H41" i="9"/>
  <c r="H14" i="9"/>
  <c r="G11" i="9"/>
  <c r="G20" i="9"/>
  <c r="M65" i="8" s="1"/>
  <c r="H20" i="9"/>
  <c r="G24" i="9"/>
  <c r="M69" i="8" s="1"/>
  <c r="H37" i="9"/>
  <c r="H10" i="9"/>
  <c r="H38" i="9"/>
  <c r="C41" i="9"/>
  <c r="G10" i="9"/>
  <c r="H11" i="9"/>
  <c r="N57" i="8" s="1"/>
  <c r="C39" i="9"/>
  <c r="G22" i="9"/>
  <c r="G19" i="9"/>
  <c r="G25" i="9"/>
  <c r="H42" i="9"/>
  <c r="G27" i="9"/>
  <c r="M71" i="8" s="1"/>
  <c r="G29" i="9"/>
  <c r="M73" i="8" s="1"/>
  <c r="G37" i="9"/>
  <c r="H22" i="9"/>
  <c r="N67" i="8" s="1"/>
  <c r="B37" i="9"/>
  <c r="B40" i="9"/>
  <c r="K135" i="26"/>
  <c r="H29" i="29"/>
  <c r="K121" i="13"/>
  <c r="H121" i="33"/>
  <c r="H125" i="33"/>
  <c r="H68" i="29"/>
  <c r="K113" i="33"/>
  <c r="H68" i="35"/>
  <c r="H29" i="13"/>
  <c r="K12" i="29"/>
  <c r="J86" i="29"/>
  <c r="K108" i="33"/>
  <c r="H22" i="33"/>
  <c r="K68" i="33"/>
  <c r="H35" i="29"/>
  <c r="H34" i="13"/>
  <c r="H121" i="35"/>
  <c r="K22" i="51"/>
  <c r="K135" i="34"/>
  <c r="K134" i="26"/>
  <c r="K113" i="29"/>
  <c r="H100" i="29"/>
  <c r="K137" i="26"/>
  <c r="K116" i="29"/>
  <c r="J79" i="29"/>
  <c r="K28" i="51"/>
  <c r="H89" i="29"/>
  <c r="K12" i="33"/>
  <c r="K116" i="33"/>
  <c r="K29" i="51"/>
  <c r="H34" i="33"/>
  <c r="H12" i="33"/>
  <c r="H125" i="29"/>
  <c r="K108" i="23"/>
  <c r="K22" i="23"/>
  <c r="H107" i="23"/>
  <c r="K107" i="33"/>
  <c r="K100" i="33"/>
  <c r="K75" i="33"/>
  <c r="K122" i="33"/>
  <c r="H86" i="35"/>
  <c r="K114" i="33"/>
  <c r="H29" i="33"/>
  <c r="H75" i="33"/>
  <c r="D49" i="19"/>
  <c r="D37" i="13"/>
  <c r="K89" i="23"/>
  <c r="K68" i="23"/>
  <c r="K28" i="24"/>
  <c r="H135" i="26"/>
  <c r="H22" i="29"/>
  <c r="K113" i="35"/>
  <c r="K109" i="35"/>
  <c r="H12" i="35"/>
  <c r="H96" i="33"/>
  <c r="H117" i="33"/>
  <c r="K28" i="25"/>
  <c r="K96" i="33"/>
  <c r="H35" i="33"/>
  <c r="K117" i="33"/>
  <c r="H109" i="35"/>
  <c r="K28" i="23"/>
  <c r="K89" i="33"/>
  <c r="H113" i="35"/>
  <c r="D57" i="16"/>
  <c r="D28" i="16"/>
  <c r="D29" i="16"/>
  <c r="D9" i="16"/>
  <c r="D10" i="16"/>
  <c r="D54" i="16"/>
  <c r="D8" i="16"/>
  <c r="D49" i="16"/>
  <c r="D7" i="16"/>
  <c r="D48" i="16"/>
  <c r="H100" i="23"/>
  <c r="B21" i="10"/>
  <c r="K109" i="23"/>
  <c r="K34" i="13"/>
  <c r="K107" i="13"/>
  <c r="K121" i="23"/>
  <c r="H109" i="23"/>
  <c r="H22" i="23"/>
  <c r="H89" i="35"/>
  <c r="H100" i="33"/>
  <c r="H68" i="33"/>
  <c r="K125" i="33"/>
  <c r="D49" i="39"/>
  <c r="K7" i="13"/>
  <c r="K7" i="19"/>
  <c r="K10" i="29"/>
  <c r="H7" i="23"/>
  <c r="H7" i="29"/>
  <c r="H7" i="33"/>
  <c r="K10" i="33"/>
  <c r="H10" i="13"/>
  <c r="K7" i="23"/>
  <c r="K11" i="33"/>
  <c r="K7" i="29"/>
  <c r="H10" i="35"/>
  <c r="H11" i="13"/>
  <c r="K22" i="13"/>
  <c r="K29" i="13"/>
  <c r="H79" i="13"/>
  <c r="K100" i="13"/>
  <c r="K116" i="13"/>
  <c r="K10" i="13"/>
  <c r="H121" i="13"/>
  <c r="K7" i="20"/>
  <c r="K10" i="20"/>
  <c r="K22" i="24"/>
  <c r="D49" i="26"/>
  <c r="K11" i="29"/>
  <c r="H22" i="35"/>
  <c r="H113" i="29"/>
  <c r="H7" i="35"/>
  <c r="H11" i="35"/>
  <c r="K7" i="33"/>
  <c r="H89" i="33"/>
  <c r="H107" i="33"/>
  <c r="K121" i="33"/>
  <c r="K126" i="33"/>
  <c r="H89" i="13"/>
  <c r="K109" i="13"/>
  <c r="K67" i="13"/>
  <c r="K11" i="13"/>
  <c r="H113" i="33"/>
  <c r="H107" i="35"/>
  <c r="H12" i="23"/>
  <c r="H86" i="23"/>
  <c r="H136" i="26"/>
  <c r="K28" i="29"/>
  <c r="K34" i="29"/>
  <c r="H134" i="26"/>
  <c r="H137" i="26"/>
  <c r="K117" i="29"/>
  <c r="H35" i="35"/>
  <c r="H79" i="23"/>
  <c r="H89" i="23"/>
  <c r="H117" i="23"/>
  <c r="K35" i="29"/>
  <c r="H117" i="29"/>
  <c r="H43" i="9"/>
  <c r="D39" i="13"/>
  <c r="H22" i="13"/>
  <c r="H7" i="13"/>
  <c r="K35" i="13"/>
  <c r="K108" i="13"/>
  <c r="K12" i="13"/>
  <c r="H107" i="13"/>
  <c r="C43" i="9"/>
  <c r="D48" i="13"/>
  <c r="J10" i="13"/>
  <c r="D10" i="13"/>
  <c r="K28" i="13"/>
  <c r="K68" i="13"/>
  <c r="K112" i="13"/>
  <c r="K117" i="13"/>
  <c r="H35" i="13"/>
  <c r="H109" i="13"/>
  <c r="J89" i="13"/>
  <c r="D89" i="13"/>
  <c r="D11" i="13"/>
  <c r="J11" i="13"/>
  <c r="J9" i="19"/>
  <c r="L9" i="19" s="1"/>
  <c r="D9" i="19"/>
  <c r="B36" i="9"/>
  <c r="K113" i="13"/>
  <c r="J9" i="13"/>
  <c r="L9" i="13" s="1"/>
  <c r="D9" i="13"/>
  <c r="H68" i="13"/>
  <c r="J88" i="13"/>
  <c r="D88" i="13"/>
  <c r="H100" i="13"/>
  <c r="H12" i="13"/>
  <c r="C36" i="9"/>
  <c r="H36" i="9"/>
  <c r="H48" i="9" s="1"/>
  <c r="G36" i="9"/>
  <c r="G48" i="9" s="1"/>
  <c r="D78" i="13"/>
  <c r="J78" i="13"/>
  <c r="J12" i="13"/>
  <c r="D12" i="13"/>
  <c r="K120" i="13"/>
  <c r="K88" i="13"/>
  <c r="H117" i="13"/>
  <c r="D48"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D54" i="22"/>
  <c r="D22" i="23"/>
  <c r="J22" i="23"/>
  <c r="D28" i="24"/>
  <c r="J28" i="24"/>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D67" i="29"/>
  <c r="K67" i="29"/>
  <c r="J75" i="33"/>
  <c r="D75" i="33"/>
  <c r="D48" i="51"/>
  <c r="D54" i="40"/>
  <c r="J28" i="29"/>
  <c r="D28" i="29"/>
  <c r="D136" i="26"/>
  <c r="J136" i="26"/>
  <c r="D7" i="29"/>
  <c r="J7" i="29"/>
  <c r="J10" i="35"/>
  <c r="J12" i="29"/>
  <c r="H12" i="29"/>
  <c r="J109" i="29"/>
  <c r="D109" i="29"/>
  <c r="K120" i="29"/>
  <c r="D68" i="29"/>
  <c r="J68" i="29"/>
  <c r="D86" i="29"/>
  <c r="K86" i="29"/>
  <c r="K89" i="29"/>
  <c r="K107" i="29"/>
  <c r="J112" i="29"/>
  <c r="D112" i="29"/>
  <c r="D116" i="29"/>
  <c r="J116" i="29"/>
  <c r="H121" i="29"/>
  <c r="J7" i="35"/>
  <c r="J10" i="33"/>
  <c r="D10" i="33"/>
  <c r="J68" i="33"/>
  <c r="D68" i="33"/>
  <c r="J125" i="35"/>
  <c r="D126" i="33"/>
  <c r="J126" i="33"/>
  <c r="J86" i="35"/>
  <c r="J89" i="35"/>
  <c r="J107" i="35"/>
  <c r="K78" i="33"/>
  <c r="K77" i="33"/>
  <c r="K112" i="33"/>
  <c r="K121" i="35"/>
  <c r="J8" i="33"/>
  <c r="L8" i="33" s="1"/>
  <c r="D8" i="33"/>
  <c r="H11" i="33"/>
  <c r="K35" i="33"/>
  <c r="D96" i="33"/>
  <c r="J96" i="33"/>
  <c r="J108" i="33"/>
  <c r="D108" i="33"/>
  <c r="K110" i="33"/>
  <c r="D116" i="33"/>
  <c r="J116" i="33"/>
  <c r="D7" i="38"/>
  <c r="J7" i="38"/>
  <c r="L7" i="38" s="1"/>
  <c r="K7" i="38"/>
  <c r="D54" i="39"/>
  <c r="J8" i="13"/>
  <c r="L8" i="13" s="1"/>
  <c r="D8" i="13"/>
  <c r="J28" i="13"/>
  <c r="D28" i="13"/>
  <c r="J34" i="13"/>
  <c r="D34" i="13"/>
  <c r="D67" i="13"/>
  <c r="J67" i="13"/>
  <c r="K79" i="13"/>
  <c r="D100" i="13"/>
  <c r="J100" i="13"/>
  <c r="J116" i="13"/>
  <c r="D116" i="13"/>
  <c r="J121" i="13"/>
  <c r="K125" i="13"/>
  <c r="J8" i="19"/>
  <c r="L8" i="19" s="1"/>
  <c r="D8" i="19"/>
  <c r="D57" i="22"/>
  <c r="J9" i="20"/>
  <c r="L9" i="20" s="1"/>
  <c r="D9" i="20"/>
  <c r="K22" i="20"/>
  <c r="K29" i="20"/>
  <c r="J113" i="23"/>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34" i="26"/>
  <c r="J134" i="26"/>
  <c r="D137" i="26"/>
  <c r="J137" i="26"/>
  <c r="K7" i="51"/>
  <c r="K10" i="51"/>
  <c r="J78" i="29"/>
  <c r="D78" i="29"/>
  <c r="J22" i="29"/>
  <c r="D22" i="29"/>
  <c r="K68" i="29"/>
  <c r="J88" i="29"/>
  <c r="D88" i="29"/>
  <c r="J11" i="33"/>
  <c r="J121" i="29"/>
  <c r="J134" i="34"/>
  <c r="D134" i="34"/>
  <c r="H29" i="35"/>
  <c r="K108" i="29"/>
  <c r="D48" i="34"/>
  <c r="J22" i="35"/>
  <c r="J29" i="35"/>
  <c r="H77" i="29"/>
  <c r="H107" i="29"/>
  <c r="K112" i="29"/>
  <c r="J117" i="29"/>
  <c r="D117" i="29"/>
  <c r="J135" i="34"/>
  <c r="D135" i="34"/>
  <c r="J117" i="35"/>
  <c r="J9" i="33"/>
  <c r="L9" i="33" s="1"/>
  <c r="D9" i="33"/>
  <c r="J78" i="33"/>
  <c r="D78" i="33"/>
  <c r="J22" i="33"/>
  <c r="D22" i="33"/>
  <c r="J29" i="33"/>
  <c r="D29" i="33"/>
  <c r="J67" i="33"/>
  <c r="K79" i="33"/>
  <c r="K86" i="35"/>
  <c r="K89" i="35"/>
  <c r="K107" i="35"/>
  <c r="H117" i="35"/>
  <c r="J99" i="33"/>
  <c r="D99" i="33"/>
  <c r="D109" i="33"/>
  <c r="J109" i="33"/>
  <c r="D48" i="38"/>
  <c r="G43" i="9"/>
  <c r="J112" i="33"/>
  <c r="D112" i="33"/>
  <c r="J117" i="33"/>
  <c r="D48" i="39"/>
  <c r="K28"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J7" i="51"/>
  <c r="D7" i="51"/>
  <c r="D10" i="51"/>
  <c r="J10" i="51"/>
  <c r="J34" i="29"/>
  <c r="D34" i="29"/>
  <c r="D10" i="29"/>
  <c r="J10" i="29"/>
  <c r="J89" i="29"/>
  <c r="D89" i="29"/>
  <c r="J11" i="35"/>
  <c r="H10" i="29"/>
  <c r="K22" i="29"/>
  <c r="K29" i="29"/>
  <c r="J120" i="29"/>
  <c r="D120" i="29"/>
  <c r="J107" i="29"/>
  <c r="D107" i="29"/>
  <c r="H34" i="35"/>
  <c r="K78" i="29"/>
  <c r="K99" i="29"/>
  <c r="K109" i="29"/>
  <c r="J125" i="29"/>
  <c r="K134" i="34"/>
  <c r="J34" i="35"/>
  <c r="J68" i="35"/>
  <c r="H28" i="9"/>
  <c r="N72" i="8" s="1"/>
  <c r="H79" i="29"/>
  <c r="D113" i="29"/>
  <c r="J113" i="29"/>
  <c r="K125" i="29"/>
  <c r="K68" i="35"/>
  <c r="K117" i="35"/>
  <c r="D67" i="33"/>
  <c r="K67" i="33"/>
  <c r="J79" i="33"/>
  <c r="D79" i="33"/>
  <c r="K125" i="35"/>
  <c r="J34" i="33"/>
  <c r="K86" i="33"/>
  <c r="D122" i="33"/>
  <c r="J122" i="33"/>
  <c r="J113" i="35"/>
  <c r="K22" i="33"/>
  <c r="K29" i="33"/>
  <c r="H79" i="33"/>
  <c r="J88" i="33"/>
  <c r="D88" i="33"/>
  <c r="J100" i="33"/>
  <c r="D100" i="33"/>
  <c r="K120" i="33"/>
  <c r="J113" i="33"/>
  <c r="D57" i="39"/>
  <c r="D54" i="21"/>
  <c r="J22" i="20"/>
  <c r="D22" i="20"/>
  <c r="J29" i="20"/>
  <c r="D29" i="20"/>
  <c r="D48" i="20"/>
  <c r="J7" i="23"/>
  <c r="K88" i="23"/>
  <c r="J35" i="29"/>
  <c r="D7" i="22"/>
  <c r="J7"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28" i="9"/>
  <c r="M72" i="8" s="1"/>
  <c r="B10" i="10"/>
  <c r="F21" i="10"/>
  <c r="F10" i="10"/>
  <c r="K9" i="16"/>
  <c r="K8" i="16"/>
  <c r="K22" i="16"/>
  <c r="K7" i="16"/>
  <c r="J8" i="16"/>
  <c r="J9" i="16"/>
  <c r="J22" i="16"/>
  <c r="J28" i="16"/>
  <c r="J29" i="16"/>
  <c r="K10" i="16"/>
  <c r="K29" i="16"/>
  <c r="J10" i="16"/>
  <c r="J7" i="16"/>
  <c r="K28" i="16"/>
  <c r="E37" i="13" l="1"/>
  <c r="E36" i="13"/>
  <c r="E57" i="16"/>
  <c r="E54" i="16"/>
  <c r="L126" i="33"/>
  <c r="D126" i="4"/>
  <c r="G114" i="4"/>
  <c r="G124" i="4"/>
  <c r="G79" i="4"/>
  <c r="G108" i="4"/>
  <c r="G125" i="4"/>
  <c r="G116" i="4"/>
  <c r="D47" i="19"/>
  <c r="G113" i="4"/>
  <c r="G96" i="4"/>
  <c r="G89" i="4"/>
  <c r="F13" i="10"/>
  <c r="G117" i="4"/>
  <c r="G112" i="4"/>
  <c r="G86" i="4"/>
  <c r="G100" i="4"/>
  <c r="G121" i="4"/>
  <c r="F87" i="4"/>
  <c r="G75" i="4"/>
  <c r="B119" i="4"/>
  <c r="B43" i="10" s="1"/>
  <c r="F98" i="4"/>
  <c r="E66" i="4"/>
  <c r="N60" i="8"/>
  <c r="H53" i="9"/>
  <c r="B47" i="4"/>
  <c r="B11" i="10" s="1"/>
  <c r="E98" i="4"/>
  <c r="C87" i="4"/>
  <c r="F23" i="10"/>
  <c r="F119" i="4"/>
  <c r="C47" i="4"/>
  <c r="B77" i="4"/>
  <c r="B98" i="4"/>
  <c r="F66" i="4"/>
  <c r="E77" i="4"/>
  <c r="C53" i="4"/>
  <c r="C111" i="4"/>
  <c r="C56" i="4"/>
  <c r="E119" i="4"/>
  <c r="C98" i="4"/>
  <c r="B66" i="4"/>
  <c r="F77" i="4"/>
  <c r="B87" i="4"/>
  <c r="B22" i="10" s="1"/>
  <c r="C77" i="4"/>
  <c r="B56" i="4"/>
  <c r="B49" i="10" s="1"/>
  <c r="B111" i="4"/>
  <c r="B32" i="10" s="1"/>
  <c r="E111" i="4"/>
  <c r="F32" i="10" s="1"/>
  <c r="F111" i="4"/>
  <c r="C66" i="4"/>
  <c r="C119" i="4"/>
  <c r="B53" i="4"/>
  <c r="B38" i="10" s="1"/>
  <c r="E87" i="4"/>
  <c r="M60" i="8"/>
  <c r="G53" i="9"/>
  <c r="D28" i="4"/>
  <c r="N56" i="8"/>
  <c r="M56" i="8"/>
  <c r="M76" i="8"/>
  <c r="L86" i="23"/>
  <c r="E9" i="79"/>
  <c r="E114" i="79"/>
  <c r="E67" i="79"/>
  <c r="E88" i="79"/>
  <c r="E7" i="79"/>
  <c r="E78" i="79"/>
  <c r="E99" i="79"/>
  <c r="E48" i="78"/>
  <c r="E48" i="79"/>
  <c r="E8" i="79"/>
  <c r="E10" i="79"/>
  <c r="E28" i="79"/>
  <c r="H13" i="9"/>
  <c r="N59" i="8" s="1"/>
  <c r="G13" i="9"/>
  <c r="M59" i="8" s="1"/>
  <c r="N76" i="8"/>
  <c r="D34" i="4"/>
  <c r="E48" i="77"/>
  <c r="E55" i="77"/>
  <c r="E49" i="77"/>
  <c r="E54" i="77"/>
  <c r="L7" i="35"/>
  <c r="L107" i="23"/>
  <c r="B13" i="9"/>
  <c r="M12" i="8" s="1"/>
  <c r="H77" i="33"/>
  <c r="L29" i="51"/>
  <c r="N131" i="8"/>
  <c r="E28" i="16"/>
  <c r="H59" i="9"/>
  <c r="N65" i="8"/>
  <c r="E28" i="51"/>
  <c r="G64" i="9"/>
  <c r="M70" i="8"/>
  <c r="G58" i="9"/>
  <c r="M64" i="8"/>
  <c r="E28" i="29"/>
  <c r="E28" i="24"/>
  <c r="G61" i="9"/>
  <c r="M67" i="8"/>
  <c r="E28" i="23"/>
  <c r="E28" i="20"/>
  <c r="G50" i="9"/>
  <c r="M57" i="8"/>
  <c r="E28" i="25"/>
  <c r="G54" i="9"/>
  <c r="M61" i="8"/>
  <c r="M131" i="8"/>
  <c r="G68" i="9"/>
  <c r="I10" i="9"/>
  <c r="G49" i="9"/>
  <c r="G56" i="9"/>
  <c r="G69" i="9"/>
  <c r="G60" i="9"/>
  <c r="G57" i="9"/>
  <c r="K98" i="33"/>
  <c r="C13" i="9"/>
  <c r="L22" i="51"/>
  <c r="D47" i="39"/>
  <c r="L7" i="51"/>
  <c r="E34" i="37"/>
  <c r="E34" i="13"/>
  <c r="E34" i="29"/>
  <c r="L110" i="33"/>
  <c r="E8" i="74"/>
  <c r="E28" i="18"/>
  <c r="E7" i="72"/>
  <c r="E7" i="74"/>
  <c r="E48" i="72"/>
  <c r="E48" i="74"/>
  <c r="E28" i="37"/>
  <c r="E28" i="13"/>
  <c r="D35" i="4"/>
  <c r="C30" i="9"/>
  <c r="N29" i="8" s="1"/>
  <c r="D53" i="40"/>
  <c r="D53" i="21"/>
  <c r="L28" i="51"/>
  <c r="L125" i="35"/>
  <c r="L10" i="51"/>
  <c r="E35" i="13"/>
  <c r="E35" i="37"/>
  <c r="E35" i="33"/>
  <c r="B34" i="10"/>
  <c r="H77" i="13"/>
  <c r="B42" i="10"/>
  <c r="E99" i="18"/>
  <c r="D29" i="4"/>
  <c r="E88" i="18"/>
  <c r="E9" i="18"/>
  <c r="E9" i="72"/>
  <c r="E67" i="18"/>
  <c r="E8" i="18"/>
  <c r="E112" i="18"/>
  <c r="E108" i="18"/>
  <c r="E120" i="18"/>
  <c r="E78" i="18"/>
  <c r="D37" i="4"/>
  <c r="D36" i="4"/>
  <c r="D39" i="4"/>
  <c r="I33" i="18"/>
  <c r="I33" i="35"/>
  <c r="I33" i="23"/>
  <c r="B31" i="1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13" i="37"/>
  <c r="I113" i="18"/>
  <c r="I68" i="37"/>
  <c r="I68" i="18"/>
  <c r="E137" i="37"/>
  <c r="I114" i="37"/>
  <c r="I96" i="37"/>
  <c r="E75" i="37"/>
  <c r="E49" i="37"/>
  <c r="I100" i="37"/>
  <c r="I100" i="18"/>
  <c r="E89" i="37"/>
  <c r="D114" i="4"/>
  <c r="I12" i="37"/>
  <c r="I12" i="18"/>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136" i="34"/>
  <c r="L68" i="33"/>
  <c r="L68" i="23"/>
  <c r="L28" i="24"/>
  <c r="H98" i="29"/>
  <c r="K98" i="29"/>
  <c r="L22" i="23"/>
  <c r="L120" i="33"/>
  <c r="K87" i="29"/>
  <c r="L137" i="26"/>
  <c r="D47" i="40"/>
  <c r="L28" i="23"/>
  <c r="L12" i="29"/>
  <c r="D53" i="13"/>
  <c r="K87" i="33"/>
  <c r="K87" i="23"/>
  <c r="L89" i="33"/>
  <c r="H87" i="29"/>
  <c r="L135" i="34"/>
  <c r="L10" i="29"/>
  <c r="L7" i="33"/>
  <c r="H66" i="23"/>
  <c r="L35" i="29"/>
  <c r="D56" i="39"/>
  <c r="L11" i="35"/>
  <c r="H87" i="35"/>
  <c r="L116" i="29"/>
  <c r="L11" i="29"/>
  <c r="H111" i="13"/>
  <c r="L35" i="23"/>
  <c r="N130" i="8"/>
  <c r="C11" i="9"/>
  <c r="N10" i="8" s="1"/>
  <c r="N108" i="8"/>
  <c r="C24" i="9"/>
  <c r="N23" i="8" s="1"/>
  <c r="C14" i="9"/>
  <c r="C22" i="9"/>
  <c r="N21" i="8" s="1"/>
  <c r="C27" i="9"/>
  <c r="N26" i="8" s="1"/>
  <c r="K111" i="13"/>
  <c r="L107" i="33"/>
  <c r="L100" i="33"/>
  <c r="N133" i="8"/>
  <c r="M108" i="8"/>
  <c r="L108" i="13"/>
  <c r="D56" i="40"/>
  <c r="N134" i="8"/>
  <c r="L109" i="35"/>
  <c r="H119" i="23"/>
  <c r="L116" i="33"/>
  <c r="C20" i="9"/>
  <c r="N19" i="8" s="1"/>
  <c r="D53" i="22"/>
  <c r="L35" i="33"/>
  <c r="L8" i="16"/>
  <c r="L67" i="29"/>
  <c r="L29" i="20"/>
  <c r="L116" i="23"/>
  <c r="L12" i="35"/>
  <c r="L108" i="23"/>
  <c r="L28" i="25"/>
  <c r="L9" i="16"/>
  <c r="H98" i="13"/>
  <c r="K111" i="29"/>
  <c r="L7" i="16"/>
  <c r="D53" i="16"/>
  <c r="D56" i="25"/>
  <c r="L117" i="33"/>
  <c r="L10" i="35"/>
  <c r="L12" i="13"/>
  <c r="K66" i="35"/>
  <c r="D56" i="16"/>
  <c r="N129" i="8"/>
  <c r="L99" i="23"/>
  <c r="L7" i="20"/>
  <c r="K119" i="13"/>
  <c r="M109" i="8"/>
  <c r="K66" i="23"/>
  <c r="K87" i="35"/>
  <c r="M105" i="8"/>
  <c r="L11" i="33"/>
  <c r="H119" i="13"/>
  <c r="L22" i="16"/>
  <c r="L29" i="16"/>
  <c r="C15" i="9"/>
  <c r="N14" i="8" s="1"/>
  <c r="L10" i="16"/>
  <c r="D47" i="16"/>
  <c r="L28" i="16"/>
  <c r="N132" i="8"/>
  <c r="L7" i="13"/>
  <c r="N128" i="8"/>
  <c r="B28" i="9"/>
  <c r="M27" i="8" s="1"/>
  <c r="M110" i="8"/>
  <c r="M132" i="8"/>
  <c r="N107" i="8"/>
  <c r="N135" i="8"/>
  <c r="C28" i="9"/>
  <c r="N27" i="8" s="1"/>
  <c r="C21" i="9"/>
  <c r="N20" i="8" s="1"/>
  <c r="C18" i="9"/>
  <c r="N17" i="8" s="1"/>
  <c r="M107" i="8"/>
  <c r="B10" i="9"/>
  <c r="B16" i="9"/>
  <c r="M15" i="8" s="1"/>
  <c r="M111" i="8"/>
  <c r="H119" i="33"/>
  <c r="L125" i="33"/>
  <c r="L121" i="23"/>
  <c r="M130" i="8"/>
  <c r="L116" i="13"/>
  <c r="N110" i="8"/>
  <c r="L10" i="33"/>
  <c r="C19" i="9"/>
  <c r="N18" i="8" s="1"/>
  <c r="B19" i="9"/>
  <c r="M18" i="8" s="1"/>
  <c r="L22" i="13"/>
  <c r="L107" i="13"/>
  <c r="L10" i="13"/>
  <c r="L121" i="33"/>
  <c r="C25" i="9"/>
  <c r="N24" i="8" s="1"/>
  <c r="H87" i="23"/>
  <c r="L29" i="24"/>
  <c r="L7" i="23"/>
  <c r="H87" i="33"/>
  <c r="L120" i="29"/>
  <c r="D47" i="22"/>
  <c r="L11" i="23"/>
  <c r="L117" i="29"/>
  <c r="K119" i="23"/>
  <c r="L34" i="13"/>
  <c r="M134" i="8"/>
  <c r="B21" i="9"/>
  <c r="M20" i="8" s="1"/>
  <c r="B20" i="9"/>
  <c r="M19" i="8" s="1"/>
  <c r="L22" i="24"/>
  <c r="L7" i="19"/>
  <c r="N105" i="8"/>
  <c r="M106" i="8"/>
  <c r="C9" i="9"/>
  <c r="L11" i="13"/>
  <c r="C10" i="9"/>
  <c r="N9" i="8" s="1"/>
  <c r="M128" i="8"/>
  <c r="C29" i="9"/>
  <c r="N28" i="8" s="1"/>
  <c r="F14" i="10"/>
  <c r="E48" i="39"/>
  <c r="E48" i="16"/>
  <c r="I89" i="13"/>
  <c r="I89" i="29"/>
  <c r="I89" i="35"/>
  <c r="I89" i="33"/>
  <c r="I89" i="23"/>
  <c r="G23" i="10"/>
  <c r="I35" i="23"/>
  <c r="I35" i="29"/>
  <c r="I35" i="35"/>
  <c r="I35" i="33"/>
  <c r="I35" i="13"/>
  <c r="G42" i="10"/>
  <c r="I134" i="26"/>
  <c r="G15" i="10"/>
  <c r="I10" i="23"/>
  <c r="I10" i="35"/>
  <c r="I10" i="29"/>
  <c r="I10" i="33"/>
  <c r="I10" i="13"/>
  <c r="G20" i="10"/>
  <c r="E49" i="39"/>
  <c r="E49" i="16"/>
  <c r="I23" i="33"/>
  <c r="I23" i="13"/>
  <c r="I23" i="23"/>
  <c r="I23" i="29"/>
  <c r="I23" i="35"/>
  <c r="E54" i="39"/>
  <c r="C25" i="10"/>
  <c r="C31" i="10"/>
  <c r="C9" i="10"/>
  <c r="C23" i="10"/>
  <c r="I137" i="26"/>
  <c r="G44" i="10"/>
  <c r="C41" i="10"/>
  <c r="I86" i="23"/>
  <c r="I86" i="29"/>
  <c r="I86" i="33"/>
  <c r="I86" i="35"/>
  <c r="C21" i="10"/>
  <c r="C33" i="10"/>
  <c r="C16" i="10"/>
  <c r="H17" i="9"/>
  <c r="N62" i="8" s="1"/>
  <c r="B15" i="9"/>
  <c r="M14" i="8" s="1"/>
  <c r="M135" i="8"/>
  <c r="B11" i="9"/>
  <c r="M10" i="8" s="1"/>
  <c r="H65" i="9"/>
  <c r="H18" i="9"/>
  <c r="N63" i="8" s="1"/>
  <c r="N106" i="8"/>
  <c r="I29" i="33"/>
  <c r="I29" i="23"/>
  <c r="I29" i="29"/>
  <c r="I29" i="13"/>
  <c r="I29" i="35"/>
  <c r="G21" i="10"/>
  <c r="I25" i="23"/>
  <c r="I25" i="29"/>
  <c r="I25" i="33"/>
  <c r="I25" i="13"/>
  <c r="I30" i="23"/>
  <c r="I30" i="29"/>
  <c r="I30" i="35"/>
  <c r="I30" i="33"/>
  <c r="I30" i="13"/>
  <c r="C30" i="10"/>
  <c r="I107" i="13"/>
  <c r="I107" i="2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3" i="8"/>
  <c r="N109" i="8"/>
  <c r="B39" i="9"/>
  <c r="B14" i="9"/>
  <c r="B30" i="9"/>
  <c r="M29" i="8" s="1"/>
  <c r="G42" i="9"/>
  <c r="G67" i="9" s="1"/>
  <c r="H21" i="9"/>
  <c r="N66" i="8" s="1"/>
  <c r="C16" i="9"/>
  <c r="N15" i="8" s="1"/>
  <c r="B29" i="9"/>
  <c r="M28" i="8" s="1"/>
  <c r="H27" i="9"/>
  <c r="N71" i="8" s="1"/>
  <c r="B38" i="9"/>
  <c r="B18" i="9"/>
  <c r="M17" i="8" s="1"/>
  <c r="I136" i="26"/>
  <c r="G33" i="10"/>
  <c r="I7" i="29"/>
  <c r="I7" i="33"/>
  <c r="I7" i="23"/>
  <c r="I7" i="35"/>
  <c r="I7" i="13"/>
  <c r="G9" i="10"/>
  <c r="B45" i="10"/>
  <c r="I31" i="35"/>
  <c r="I31" i="13"/>
  <c r="I31" i="33"/>
  <c r="I31" i="23"/>
  <c r="I31" i="29"/>
  <c r="C45" i="10"/>
  <c r="C42" i="10"/>
  <c r="I24" i="13"/>
  <c r="I24" i="33"/>
  <c r="I24" i="23"/>
  <c r="C15" i="10"/>
  <c r="B27" i="9"/>
  <c r="M26" i="8" s="1"/>
  <c r="H16" i="9"/>
  <c r="M129" i="8"/>
  <c r="B43" i="9"/>
  <c r="G41" i="9"/>
  <c r="G66" i="9" s="1"/>
  <c r="N111" i="8"/>
  <c r="C17" i="9"/>
  <c r="N16" i="8" s="1"/>
  <c r="H29" i="9"/>
  <c r="N73" i="8" s="1"/>
  <c r="C13" i="10"/>
  <c r="G137" i="4"/>
  <c r="F44" i="10"/>
  <c r="I135" i="26"/>
  <c r="G25" i="10"/>
  <c r="I96" i="33"/>
  <c r="G24" i="10"/>
  <c r="C14" i="10"/>
  <c r="I68" i="23"/>
  <c r="I68" i="29"/>
  <c r="I68" i="35"/>
  <c r="I68" i="33"/>
  <c r="I68" i="13"/>
  <c r="G13" i="10"/>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3"/>
  <c r="G31" i="10"/>
  <c r="D96" i="4"/>
  <c r="B24" i="10"/>
  <c r="C24" i="10"/>
  <c r="I117" i="13"/>
  <c r="I117" i="23"/>
  <c r="I117" i="35"/>
  <c r="I117" i="29"/>
  <c r="I117" i="33"/>
  <c r="C10" i="10"/>
  <c r="C20" i="10"/>
  <c r="D75" i="4"/>
  <c r="B14" i="10"/>
  <c r="E57" i="39"/>
  <c r="L120" i="23"/>
  <c r="L67" i="23"/>
  <c r="H98" i="33"/>
  <c r="L22" i="35"/>
  <c r="L100" i="13"/>
  <c r="D53" i="39"/>
  <c r="L109" i="29"/>
  <c r="L7" i="29"/>
  <c r="L28" i="29"/>
  <c r="L117" i="23"/>
  <c r="H98" i="23"/>
  <c r="L10" i="20"/>
  <c r="K98" i="13"/>
  <c r="L29" i="13"/>
  <c r="G39" i="9"/>
  <c r="G59" i="9" s="1"/>
  <c r="B17" i="9"/>
  <c r="M16" i="8" s="1"/>
  <c r="G40" i="9"/>
  <c r="G63" i="9" s="1"/>
  <c r="B22" i="9"/>
  <c r="M21" i="8" s="1"/>
  <c r="H15" i="9"/>
  <c r="N61" i="8" s="1"/>
  <c r="B25" i="9"/>
  <c r="M24" i="8" s="1"/>
  <c r="N31" i="8"/>
  <c r="H25" i="9"/>
  <c r="N70" i="8" s="1"/>
  <c r="B24" i="9"/>
  <c r="M23" i="8" s="1"/>
  <c r="H24" i="9"/>
  <c r="N69" i="8" s="1"/>
  <c r="L22" i="20"/>
  <c r="L109" i="33"/>
  <c r="L99" i="33"/>
  <c r="H111" i="29"/>
  <c r="L10" i="23"/>
  <c r="L28" i="13"/>
  <c r="L89" i="35"/>
  <c r="D56" i="13"/>
  <c r="L35" i="35"/>
  <c r="L99" i="29"/>
  <c r="K119" i="33"/>
  <c r="L88" i="33"/>
  <c r="L79" i="33"/>
  <c r="L34" i="29"/>
  <c r="H66" i="33"/>
  <c r="L78" i="33"/>
  <c r="L67" i="13"/>
  <c r="H66" i="35"/>
  <c r="L109" i="13"/>
  <c r="L112" i="13"/>
  <c r="L35" i="13"/>
  <c r="L79" i="29"/>
  <c r="L86" i="29"/>
  <c r="L7" i="22"/>
  <c r="K66" i="33"/>
  <c r="L89" i="29"/>
  <c r="L12" i="23"/>
  <c r="H87" i="13"/>
  <c r="L120" i="13"/>
  <c r="L68" i="13"/>
  <c r="L7" i="25"/>
  <c r="L134" i="34"/>
  <c r="L108" i="29"/>
  <c r="L34" i="35"/>
  <c r="D53" i="25"/>
  <c r="L112" i="33"/>
  <c r="L29" i="33"/>
  <c r="L121" i="29"/>
  <c r="L29" i="29"/>
  <c r="H111" i="23"/>
  <c r="L86" i="35"/>
  <c r="L112" i="29"/>
  <c r="L68" i="29"/>
  <c r="L136" i="26"/>
  <c r="D47" i="25"/>
  <c r="L112" i="23"/>
  <c r="L113" i="13"/>
  <c r="L117" i="13"/>
  <c r="L68" i="35"/>
  <c r="L86" i="33"/>
  <c r="H119" i="29"/>
  <c r="L100" i="29"/>
  <c r="L34" i="33"/>
  <c r="L125" i="29"/>
  <c r="L29" i="35"/>
  <c r="L88" i="29"/>
  <c r="L78" i="29"/>
  <c r="L88" i="23"/>
  <c r="L125" i="23"/>
  <c r="L113" i="23"/>
  <c r="H111" i="33"/>
  <c r="L107" i="35"/>
  <c r="D47" i="51"/>
  <c r="D47" i="26"/>
  <c r="L7" i="24"/>
  <c r="L29" i="23"/>
  <c r="L28" i="20"/>
  <c r="K119" i="35"/>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K111" i="35"/>
  <c r="J111" i="29"/>
  <c r="D111" i="29"/>
  <c r="J111" i="23"/>
  <c r="D111" i="23"/>
  <c r="J87" i="13"/>
  <c r="D87" i="13"/>
  <c r="J119" i="33"/>
  <c r="D119" i="33"/>
  <c r="D77" i="29"/>
  <c r="K77" i="29"/>
  <c r="J66" i="35"/>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L77" i="33" s="1"/>
  <c r="J77" i="23"/>
  <c r="D77" i="23"/>
  <c r="D66" i="29"/>
  <c r="K66" i="29"/>
  <c r="E48" i="38"/>
  <c r="E7" i="38"/>
  <c r="E88" i="33"/>
  <c r="E108" i="33"/>
  <c r="E22" i="33"/>
  <c r="E99" i="33"/>
  <c r="E9" i="33"/>
  <c r="E110" i="33"/>
  <c r="E122" i="33"/>
  <c r="E75" i="33"/>
  <c r="E126" i="33"/>
  <c r="E116" i="33"/>
  <c r="E10" i="33"/>
  <c r="E79" i="33"/>
  <c r="E7" i="33"/>
  <c r="E89" i="33"/>
  <c r="E100" i="33"/>
  <c r="E125" i="33"/>
  <c r="E68" i="33"/>
  <c r="E96" i="33"/>
  <c r="E8" i="33"/>
  <c r="E78" i="33"/>
  <c r="E67" i="33"/>
  <c r="E112" i="33"/>
  <c r="E109" i="33"/>
  <c r="E114" i="33"/>
  <c r="E121" i="33"/>
  <c r="E120" i="33"/>
  <c r="E99" i="29"/>
  <c r="E9" i="29"/>
  <c r="E48" i="34"/>
  <c r="E86" i="29"/>
  <c r="E117" i="29"/>
  <c r="E134" i="34"/>
  <c r="E68" i="29"/>
  <c r="E88" i="29"/>
  <c r="E108" i="29"/>
  <c r="E116" i="29"/>
  <c r="E22" i="29"/>
  <c r="E10" i="29"/>
  <c r="E79" i="29"/>
  <c r="E135" i="34"/>
  <c r="E7" i="29"/>
  <c r="E89" i="29"/>
  <c r="E100" i="29"/>
  <c r="E107" i="29"/>
  <c r="E136" i="34"/>
  <c r="E8" i="29"/>
  <c r="E78" i="29"/>
  <c r="E67" i="29"/>
  <c r="E112" i="29"/>
  <c r="E109" i="29"/>
  <c r="E120" i="29"/>
  <c r="E113" i="29"/>
  <c r="E48" i="40"/>
  <c r="E57" i="40"/>
  <c r="E54" i="40"/>
  <c r="E9" i="51"/>
  <c r="E48" i="51"/>
  <c r="E22" i="51"/>
  <c r="E10" i="51"/>
  <c r="E7" i="51"/>
  <c r="E8" i="51"/>
  <c r="E9" i="25"/>
  <c r="E57" i="25"/>
  <c r="E48" i="25"/>
  <c r="E137" i="26"/>
  <c r="E49"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57" i="22"/>
  <c r="E49" i="22"/>
  <c r="E54" i="21"/>
  <c r="E54" i="22"/>
  <c r="E7" i="22"/>
  <c r="E8" i="22"/>
  <c r="E22" i="20"/>
  <c r="E10" i="20"/>
  <c r="E49" i="19"/>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17"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G77" i="4" l="1"/>
  <c r="G87" i="4"/>
  <c r="G111" i="4"/>
  <c r="G119" i="4"/>
  <c r="G98" i="4"/>
  <c r="F43" i="10"/>
  <c r="M13" i="8"/>
  <c r="B53" i="9"/>
  <c r="N13" i="8"/>
  <c r="C53" i="9"/>
  <c r="C33" i="9"/>
  <c r="E23" i="9" s="1"/>
  <c r="H33" i="9"/>
  <c r="M9" i="8"/>
  <c r="B33" i="9"/>
  <c r="G33" i="9"/>
  <c r="M31" i="8"/>
  <c r="G52" i="9"/>
  <c r="G73" i="9" s="1"/>
  <c r="E66" i="79"/>
  <c r="E111" i="79"/>
  <c r="E98" i="79"/>
  <c r="E77" i="79"/>
  <c r="E47" i="78"/>
  <c r="E47" i="79"/>
  <c r="E87" i="79"/>
  <c r="I13" i="9"/>
  <c r="H52" i="9"/>
  <c r="N8" i="8"/>
  <c r="E47" i="77"/>
  <c r="E53" i="77"/>
  <c r="B52" i="9"/>
  <c r="L98" i="33"/>
  <c r="C52" i="9"/>
  <c r="N12" i="8"/>
  <c r="D13"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L66" i="35"/>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5"/>
  <c r="I66" i="33"/>
  <c r="G12" i="10"/>
  <c r="I66" i="23"/>
  <c r="G66" i="4"/>
  <c r="F12" i="10"/>
  <c r="E53" i="39"/>
  <c r="C38" i="10"/>
  <c r="E53" i="16"/>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77" i="29"/>
  <c r="E111" i="29"/>
  <c r="E53" i="40"/>
  <c r="E56" i="40"/>
  <c r="E47" i="40"/>
  <c r="E47" i="51"/>
  <c r="E53" i="25"/>
  <c r="E47" i="25"/>
  <c r="E47" i="26"/>
  <c r="E56" i="25"/>
  <c r="E119" i="23"/>
  <c r="E77" i="23"/>
  <c r="E111" i="23"/>
  <c r="E56" i="22"/>
  <c r="E47" i="21"/>
  <c r="E47" i="22"/>
  <c r="E53" i="21"/>
  <c r="E53" i="22"/>
  <c r="E47" i="19"/>
  <c r="E47" i="20"/>
  <c r="E53" i="13"/>
  <c r="E77" i="13"/>
  <c r="E56" i="13"/>
  <c r="E111" i="13"/>
  <c r="E47" i="13"/>
  <c r="E119" i="13"/>
  <c r="D111" i="4"/>
  <c r="D77" i="4"/>
  <c r="D119" i="4"/>
  <c r="D53" i="4"/>
  <c r="D56" i="4"/>
  <c r="D47" i="4"/>
  <c r="J29" i="9" l="1"/>
  <c r="J16" i="9"/>
  <c r="J28" i="9"/>
  <c r="J12" i="9"/>
  <c r="J26" i="9"/>
  <c r="J18" i="9"/>
  <c r="J10" i="9"/>
  <c r="J32" i="9"/>
  <c r="J24" i="9"/>
  <c r="J25" i="9"/>
  <c r="J17" i="9"/>
  <c r="J9" i="9"/>
  <c r="J31" i="9"/>
  <c r="J23" i="9"/>
  <c r="J15" i="9"/>
  <c r="J13" i="9"/>
  <c r="J20" i="9"/>
  <c r="J27" i="9"/>
  <c r="J11" i="9"/>
  <c r="J30" i="9"/>
  <c r="J22" i="9"/>
  <c r="J14" i="9"/>
  <c r="J21" i="9"/>
  <c r="J19" i="9"/>
  <c r="I52" i="9"/>
  <c r="D52" i="9"/>
  <c r="C60" i="10"/>
  <c r="H107" i="4"/>
  <c r="H114" i="4"/>
  <c r="H116" i="4"/>
  <c r="H28" i="4"/>
  <c r="J33" i="9" l="1"/>
  <c r="H98" i="4"/>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I126" i="4"/>
  <c r="I77" i="4"/>
  <c r="I88" i="4"/>
  <c r="I117" i="4"/>
  <c r="H67" i="4"/>
  <c r="H12" i="10"/>
  <c r="I116" i="4"/>
  <c r="H120" i="4"/>
  <c r="I110" i="4"/>
  <c r="I113" i="4"/>
  <c r="I78" i="4"/>
  <c r="K26" i="10"/>
  <c r="I98" i="4"/>
  <c r="I99" i="4"/>
  <c r="K9" i="10"/>
  <c r="H77" i="4"/>
  <c r="H24" i="10"/>
  <c r="I31" i="4"/>
  <c r="I24" i="4"/>
  <c r="H126" i="4"/>
  <c r="K16" i="10"/>
  <c r="I30" i="4"/>
  <c r="H36" i="4"/>
  <c r="K45" i="10"/>
  <c r="H39" i="4"/>
  <c r="I107" i="4"/>
  <c r="I8" i="4"/>
  <c r="I114" i="4"/>
  <c r="I86" i="4"/>
  <c r="H10" i="10"/>
  <c r="I124" i="4"/>
  <c r="H100" i="4"/>
  <c r="H7" i="4"/>
  <c r="H23" i="4"/>
  <c r="H15" i="10"/>
  <c r="I125" i="4"/>
  <c r="J126" i="4" l="1"/>
  <c r="M28" i="79"/>
  <c r="M99" i="79"/>
  <c r="M98" i="79"/>
  <c r="M114" i="79"/>
  <c r="M88" i="79"/>
  <c r="M23" i="79"/>
  <c r="M77" i="79"/>
  <c r="M67" i="79"/>
  <c r="M8" i="79"/>
  <c r="M78" i="79"/>
  <c r="M30" i="79"/>
  <c r="M9" i="79"/>
  <c r="M9" i="72"/>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88" i="13"/>
  <c r="M88" i="29"/>
  <c r="M88" i="23"/>
  <c r="M88" i="33"/>
  <c r="J28" i="4"/>
  <c r="M28" i="20"/>
  <c r="M28" i="25"/>
  <c r="M28" i="23"/>
  <c r="M28" i="24"/>
  <c r="M28" i="51"/>
  <c r="M28" i="29"/>
  <c r="M28" i="16"/>
  <c r="M28" i="13"/>
  <c r="M121" i="23"/>
  <c r="M121" i="13"/>
  <c r="M121" i="29"/>
  <c r="M121" i="33"/>
  <c r="M121" i="35"/>
  <c r="M125" i="23"/>
  <c r="M125" i="13"/>
  <c r="M125" i="29"/>
  <c r="M125" i="33"/>
  <c r="M125" i="35"/>
  <c r="M124" i="13"/>
  <c r="M114" i="33"/>
  <c r="M31" i="23"/>
  <c r="M31" i="13"/>
  <c r="M31" i="24"/>
  <c r="M31" i="35"/>
  <c r="M31" i="29"/>
  <c r="M31" i="33"/>
  <c r="M78" i="23"/>
  <c r="M78" i="13"/>
  <c r="M78" i="29"/>
  <c r="M78" i="33"/>
  <c r="M113" i="23"/>
  <c r="M113" i="13"/>
  <c r="M113" i="29"/>
  <c r="M113" i="33"/>
  <c r="M113" i="35"/>
  <c r="J116" i="4"/>
  <c r="M116" i="13"/>
  <c r="M116" i="23"/>
  <c r="M116" i="29"/>
  <c r="M116" i="33"/>
  <c r="M117" i="23"/>
  <c r="M117" i="13"/>
  <c r="M117" i="29"/>
  <c r="M117" i="33"/>
  <c r="M117" i="35"/>
  <c r="M23" i="20"/>
  <c r="M23" i="23"/>
  <c r="M23" i="13"/>
  <c r="M23" i="35"/>
  <c r="M23" i="29"/>
  <c r="M23" i="33"/>
  <c r="M32" i="13"/>
  <c r="M32" i="33"/>
  <c r="M32" i="23"/>
  <c r="M32" i="29"/>
  <c r="M79" i="13"/>
  <c r="M79" i="23"/>
  <c r="M79" i="33"/>
  <c r="M79" i="29"/>
  <c r="M8" i="20"/>
  <c r="M8" i="13"/>
  <c r="M8" i="22"/>
  <c r="M8" i="24"/>
  <c r="M8" i="51"/>
  <c r="M8" i="25"/>
  <c r="M8" i="29"/>
  <c r="M8" i="33"/>
  <c r="M8" i="19"/>
  <c r="M8" i="16"/>
  <c r="M30" i="20"/>
  <c r="M30" i="13"/>
  <c r="M30" i="23"/>
  <c r="M30" i="33"/>
  <c r="M30" i="29"/>
  <c r="M30" i="35"/>
  <c r="M30" i="16"/>
  <c r="M99" i="23"/>
  <c r="M99" i="29"/>
  <c r="M99" i="13"/>
  <c r="M99" i="33"/>
  <c r="M110" i="33"/>
  <c r="M120" i="13"/>
  <c r="M120" i="23"/>
  <c r="M120" i="29"/>
  <c r="M120" i="33"/>
  <c r="M100" i="13"/>
  <c r="M100" i="29"/>
  <c r="M100" i="33"/>
  <c r="M100" i="23"/>
  <c r="M122" i="33"/>
  <c r="M108" i="13"/>
  <c r="M108" i="23"/>
  <c r="M108" i="33"/>
  <c r="M108" i="29"/>
  <c r="M9" i="19"/>
  <c r="M9" i="25"/>
  <c r="M9" i="20"/>
  <c r="M9" i="22"/>
  <c r="M9" i="51"/>
  <c r="M9" i="13"/>
  <c r="M9" i="16"/>
  <c r="M9" i="29"/>
  <c r="M9" i="24"/>
  <c r="M9" i="33"/>
  <c r="M86" i="23"/>
  <c r="M86" i="35"/>
  <c r="M86" i="29"/>
  <c r="M86" i="13"/>
  <c r="M86" i="33"/>
  <c r="J107" i="4"/>
  <c r="M107" i="23"/>
  <c r="M107" i="13"/>
  <c r="M107" i="35"/>
  <c r="M107" i="29"/>
  <c r="M107" i="33"/>
  <c r="M98" i="13"/>
  <c r="M98" i="23"/>
  <c r="M98" i="29"/>
  <c r="M98" i="33"/>
  <c r="M77" i="13"/>
  <c r="M77" i="23"/>
  <c r="M77" i="29"/>
  <c r="M77" i="33"/>
  <c r="M126" i="33"/>
  <c r="M67" i="13"/>
  <c r="M67" i="23"/>
  <c r="M67" i="29"/>
  <c r="M67" i="33"/>
  <c r="M109" i="13"/>
  <c r="M109" i="23"/>
  <c r="M109" i="29"/>
  <c r="M109" i="35"/>
  <c r="M109" i="33"/>
  <c r="M112" i="13"/>
  <c r="M112" i="23"/>
  <c r="M112" i="33"/>
  <c r="M112" i="29"/>
  <c r="J108" i="4"/>
  <c r="M40" i="8"/>
  <c r="D40" i="9"/>
  <c r="H64" i="9"/>
  <c r="B66" i="9"/>
  <c r="M41" i="8"/>
  <c r="D41" i="9"/>
  <c r="H50" i="9"/>
  <c r="N43" i="8"/>
  <c r="B70" i="9"/>
  <c r="D30" i="9"/>
  <c r="D15" i="9"/>
  <c r="B54" i="9"/>
  <c r="D22" i="9"/>
  <c r="B61" i="9"/>
  <c r="M36" i="8"/>
  <c r="B44" i="9"/>
  <c r="D36" i="9"/>
  <c r="I24" i="9"/>
  <c r="H54" i="9"/>
  <c r="C48" i="9"/>
  <c r="B69" i="9"/>
  <c r="D29" i="9"/>
  <c r="I20" i="9"/>
  <c r="N40" i="8"/>
  <c r="C50" i="9"/>
  <c r="C61" i="9"/>
  <c r="B59" i="9"/>
  <c r="D20" i="9"/>
  <c r="H55" i="9"/>
  <c r="N39" i="8"/>
  <c r="N38" i="8"/>
  <c r="C68" i="9"/>
  <c r="N42" i="8"/>
  <c r="M43" i="8"/>
  <c r="D43" i="9"/>
  <c r="B68" i="9"/>
  <c r="I32" i="9"/>
  <c r="C49" i="9"/>
  <c r="M82" i="8"/>
  <c r="I37" i="9"/>
  <c r="H58" i="9"/>
  <c r="D42" i="9"/>
  <c r="M42" i="8"/>
  <c r="H61" i="9"/>
  <c r="I21" i="9"/>
  <c r="D14" i="9"/>
  <c r="B64" i="9"/>
  <c r="D25" i="9"/>
  <c r="C59" i="9"/>
  <c r="D32" i="9"/>
  <c r="D10" i="9"/>
  <c r="B49" i="9"/>
  <c r="M83" i="8"/>
  <c r="I38" i="9"/>
  <c r="H57" i="9"/>
  <c r="I27" i="9"/>
  <c r="H67" i="9"/>
  <c r="H68" i="9"/>
  <c r="N88" i="8"/>
  <c r="B48" i="9"/>
  <c r="D9" i="9"/>
  <c r="N41" i="8"/>
  <c r="C66" i="9"/>
  <c r="H63" i="9"/>
  <c r="N83" i="8"/>
  <c r="H49" i="9"/>
  <c r="C55" i="9"/>
  <c r="I40" i="9"/>
  <c r="M85" i="8"/>
  <c r="B57" i="9"/>
  <c r="D18" i="9"/>
  <c r="N85" i="8"/>
  <c r="C70" i="9"/>
  <c r="I41" i="9"/>
  <c r="M86" i="8"/>
  <c r="C67" i="9"/>
  <c r="D21" i="9"/>
  <c r="B60" i="9"/>
  <c r="C56" i="9"/>
  <c r="N87" i="8"/>
  <c r="C44" i="9"/>
  <c r="N36" i="8"/>
  <c r="M39" i="8"/>
  <c r="D39" i="9"/>
  <c r="I25" i="9"/>
  <c r="B63" i="9"/>
  <c r="D24" i="9"/>
  <c r="D37" i="9"/>
  <c r="M37" i="8"/>
  <c r="N84" i="8"/>
  <c r="D28" i="9"/>
  <c r="H44" i="9"/>
  <c r="N81" i="8"/>
  <c r="C64" i="9"/>
  <c r="N37" i="8"/>
  <c r="B56" i="9"/>
  <c r="D17" i="9"/>
  <c r="C60" i="9"/>
  <c r="N82" i="8"/>
  <c r="C69" i="9"/>
  <c r="I39" i="9"/>
  <c r="M84" i="8"/>
  <c r="D11" i="9"/>
  <c r="B50" i="9"/>
  <c r="C54" i="9"/>
  <c r="I36" i="9"/>
  <c r="G44" i="9"/>
  <c r="F27" i="10" s="1"/>
  <c r="M81" i="8"/>
  <c r="C57" i="9"/>
  <c r="H66" i="9"/>
  <c r="N86" i="8"/>
  <c r="D27" i="9"/>
  <c r="B67" i="9"/>
  <c r="H56" i="9"/>
  <c r="M87" i="8"/>
  <c r="I42" i="9"/>
  <c r="H60" i="9"/>
  <c r="D19" i="9"/>
  <c r="B58" i="9"/>
  <c r="H69" i="9"/>
  <c r="C58" i="9"/>
  <c r="M88" i="8"/>
  <c r="I43" i="9"/>
  <c r="M38" i="8"/>
  <c r="D38" i="9"/>
  <c r="D26" i="9"/>
  <c r="B55" i="9"/>
  <c r="D16" i="9"/>
  <c r="I14" i="9"/>
  <c r="I28" i="9"/>
  <c r="I17" i="9"/>
  <c r="C63" i="9"/>
  <c r="I18"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44" i="10"/>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39" i="9"/>
  <c r="B73" i="9" l="1"/>
  <c r="H73" i="9"/>
  <c r="J62" i="9" s="1"/>
  <c r="M111" i="79"/>
  <c r="M22" i="79"/>
  <c r="M29" i="79"/>
  <c r="M10" i="79"/>
  <c r="M66" i="79"/>
  <c r="M7" i="79"/>
  <c r="M87" i="79"/>
  <c r="B17" i="10"/>
  <c r="N18" i="9"/>
  <c r="N36" i="9"/>
  <c r="L16" i="9"/>
  <c r="M28" i="9"/>
  <c r="J51" i="9" l="1"/>
  <c r="M7" i="72"/>
  <c r="M7" i="74"/>
  <c r="J39" i="9"/>
  <c r="E36" i="9"/>
  <c r="M13" i="9"/>
  <c r="M38" i="9"/>
  <c r="L9" i="9"/>
  <c r="O42" i="9"/>
  <c r="L15" i="9"/>
  <c r="O29" i="9"/>
  <c r="O9" i="9"/>
  <c r="N19" i="9"/>
  <c r="O32" i="9"/>
  <c r="O31" i="9"/>
  <c r="N42" i="9"/>
  <c r="M11" i="9"/>
  <c r="N10" i="9"/>
  <c r="O15" i="9"/>
  <c r="L30" i="9"/>
  <c r="N27" i="9"/>
  <c r="N28" i="9"/>
  <c r="O30" i="9"/>
  <c r="M37" i="9"/>
  <c r="N15" i="9"/>
  <c r="O43" i="9"/>
  <c r="N26" i="9"/>
  <c r="O41" i="9"/>
  <c r="O21" i="9"/>
  <c r="L42" i="9"/>
  <c r="N20" i="9"/>
  <c r="M22" i="9"/>
  <c r="M39" i="9"/>
  <c r="N37" i="9"/>
  <c r="M10" i="9"/>
  <c r="L26" i="9"/>
  <c r="N38" i="9"/>
  <c r="M29" i="9"/>
  <c r="L29" i="9"/>
  <c r="M32" i="9"/>
  <c r="L37" i="9"/>
  <c r="N29" i="9"/>
  <c r="N21" i="9"/>
  <c r="M20" i="9"/>
  <c r="O18" i="9"/>
  <c r="L13" i="9"/>
  <c r="O38" i="9"/>
  <c r="L41" i="9"/>
  <c r="O25" i="9"/>
  <c r="M25" i="9"/>
  <c r="L19" i="9"/>
  <c r="N39" i="9"/>
  <c r="M17" i="9"/>
  <c r="O26" i="9"/>
  <c r="M26" i="9"/>
  <c r="L43" i="9"/>
  <c r="N16" i="9"/>
  <c r="O24" i="9"/>
  <c r="N40" i="9"/>
  <c r="O10" i="9"/>
  <c r="L21" i="9"/>
  <c r="O28" i="9"/>
  <c r="L11" i="9"/>
  <c r="O36" i="9"/>
  <c r="O27" i="9"/>
  <c r="O17" i="9"/>
  <c r="O40" i="9"/>
  <c r="M41" i="9"/>
  <c r="L38" i="9"/>
  <c r="N31" i="9"/>
  <c r="L27" i="9"/>
  <c r="O22" i="9"/>
  <c r="N32" i="9"/>
  <c r="L22" i="9"/>
  <c r="M24" i="9"/>
  <c r="O37" i="9"/>
  <c r="O20" i="9"/>
  <c r="L10" i="9"/>
  <c r="M9" i="9"/>
  <c r="N13" i="9"/>
  <c r="M31" i="9"/>
  <c r="L20" i="9"/>
  <c r="N9" i="9"/>
  <c r="L28" i="9"/>
  <c r="O39" i="9"/>
  <c r="N25" i="9"/>
  <c r="M27" i="9"/>
  <c r="M16" i="9"/>
  <c r="M30" i="9"/>
  <c r="L17" i="9"/>
  <c r="N22" i="9"/>
  <c r="M43" i="9"/>
  <c r="M18" i="9"/>
  <c r="L25" i="9"/>
  <c r="O11" i="9"/>
  <c r="N17" i="9"/>
  <c r="L24" i="9"/>
  <c r="O19" i="9"/>
  <c r="N24" i="9"/>
  <c r="N41" i="9"/>
  <c r="L32" i="9"/>
  <c r="N43" i="9"/>
  <c r="M21" i="9"/>
  <c r="L40" i="9"/>
  <c r="M42" i="9"/>
  <c r="M19" i="9"/>
  <c r="M36" i="9"/>
  <c r="L36" i="9"/>
  <c r="M40" i="9"/>
  <c r="N30" i="9"/>
  <c r="N11" i="9"/>
  <c r="O16" i="9"/>
  <c r="M15" i="9"/>
  <c r="O13" i="9"/>
  <c r="J25" i="4" l="1"/>
  <c r="M33" i="18"/>
  <c r="M33" i="35"/>
  <c r="M33" i="23"/>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49" i="9"/>
  <c r="M44" i="9"/>
  <c r="M68" i="9"/>
  <c r="O67" i="9"/>
  <c r="L54" i="9"/>
  <c r="M49" i="9"/>
  <c r="M56" i="9"/>
  <c r="O56" i="9"/>
  <c r="N60" i="9"/>
  <c r="O70" i="9"/>
  <c r="O55" i="9"/>
  <c r="M60" i="9"/>
  <c r="N56" i="9"/>
  <c r="N53" i="9"/>
  <c r="O69" i="9"/>
  <c r="M67" i="9"/>
  <c r="L64" i="9"/>
  <c r="L58" i="9"/>
  <c r="L63" i="9"/>
  <c r="M72" i="9"/>
  <c r="L69" i="9"/>
  <c r="M33" i="9"/>
  <c r="O54" i="9"/>
  <c r="L44" i="9"/>
  <c r="L53" i="9"/>
  <c r="O66" i="9"/>
  <c r="L48" i="9"/>
  <c r="M70" i="9"/>
  <c r="N33" i="9"/>
  <c r="M61" i="9"/>
  <c r="O44" i="9"/>
  <c r="N55" i="9"/>
  <c r="O49" i="9"/>
  <c r="O48" i="9"/>
  <c r="L60" i="9"/>
  <c r="N66" i="9"/>
  <c r="N70" i="9"/>
  <c r="M63" i="9"/>
  <c r="O63" i="9"/>
  <c r="N68" i="9"/>
  <c r="O59" i="9"/>
  <c r="L61" i="9"/>
  <c r="L68" i="9"/>
  <c r="L57" i="9"/>
  <c r="N64" i="9"/>
  <c r="N54" i="9"/>
  <c r="L66" i="9"/>
  <c r="O60" i="9"/>
  <c r="O72" i="9"/>
  <c r="O68" i="9"/>
  <c r="L59" i="9"/>
  <c r="O64" i="9"/>
  <c r="N49" i="9"/>
  <c r="L72" i="9"/>
  <c r="N48" i="9"/>
  <c r="M69" i="9"/>
  <c r="N63" i="9"/>
  <c r="M54" i="9"/>
  <c r="M66" i="9"/>
  <c r="O33" i="9"/>
  <c r="M58" i="9"/>
  <c r="M59" i="9"/>
  <c r="M48" i="9"/>
  <c r="N69" i="9"/>
  <c r="N50" i="9"/>
  <c r="O57" i="9"/>
  <c r="M57" i="9"/>
  <c r="L67" i="9"/>
  <c r="M53" i="9"/>
  <c r="M55" i="9"/>
  <c r="N44" i="9"/>
  <c r="N61" i="9"/>
  <c r="N57" i="9"/>
  <c r="M50" i="9"/>
  <c r="N72" i="9"/>
  <c r="N59" i="9"/>
  <c r="L33" i="9"/>
  <c r="M64" i="9"/>
  <c r="L55" i="9"/>
  <c r="O58" i="9"/>
  <c r="O53" i="9"/>
  <c r="O50" i="9"/>
  <c r="N67" i="9"/>
  <c r="O61" i="9"/>
  <c r="L50" i="9"/>
  <c r="L42" i="10"/>
  <c r="J11" i="4"/>
  <c r="M11" i="13"/>
  <c r="M11" i="33"/>
  <c r="M11" i="23"/>
  <c r="M11" i="29"/>
  <c r="M11" i="35"/>
  <c r="J10" i="4"/>
  <c r="M10" i="20"/>
  <c r="M10" i="23"/>
  <c r="M10" i="13"/>
  <c r="M10" i="24"/>
  <c r="M10" i="35"/>
  <c r="M10" i="51"/>
  <c r="M10" i="16"/>
  <c r="M10" i="29"/>
  <c r="M10" i="33"/>
  <c r="M68" i="13"/>
  <c r="M68" i="23"/>
  <c r="M68" i="29"/>
  <c r="M68" i="35"/>
  <c r="M68" i="33"/>
  <c r="M136" i="26"/>
  <c r="M136" i="34"/>
  <c r="M119" i="23"/>
  <c r="M119" i="13"/>
  <c r="M119" i="35"/>
  <c r="M119" i="29"/>
  <c r="M119" i="33"/>
  <c r="M111" i="23"/>
  <c r="M111" i="35"/>
  <c r="M111" i="29"/>
  <c r="M111" i="13"/>
  <c r="M111" i="33"/>
  <c r="J7" i="4"/>
  <c r="M7" i="19"/>
  <c r="M7" i="13"/>
  <c r="M7" i="23"/>
  <c r="M7" i="22"/>
  <c r="M7" i="25"/>
  <c r="M7" i="20"/>
  <c r="M7" i="24"/>
  <c r="M7" i="29"/>
  <c r="M7" i="16"/>
  <c r="M7" i="51"/>
  <c r="M7" i="35"/>
  <c r="M7" i="38"/>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M35" i="13"/>
  <c r="M35" i="23"/>
  <c r="M35" i="29"/>
  <c r="M35" i="35"/>
  <c r="M35" i="33"/>
  <c r="M39" i="13"/>
  <c r="M34" i="13"/>
  <c r="M34" i="23"/>
  <c r="M34" i="29"/>
  <c r="M34" i="35"/>
  <c r="M34" i="33"/>
  <c r="M66" i="13"/>
  <c r="M66" i="35"/>
  <c r="M66" i="33"/>
  <c r="M66" i="23"/>
  <c r="M66" i="29"/>
  <c r="M89" i="13"/>
  <c r="M89" i="23"/>
  <c r="M89" i="29"/>
  <c r="M89" i="35"/>
  <c r="M89" i="33"/>
  <c r="M96" i="33"/>
  <c r="M75" i="33"/>
  <c r="J37" i="4"/>
  <c r="M37" i="13"/>
  <c r="I68" i="9"/>
  <c r="M134" i="26"/>
  <c r="M134" i="34"/>
  <c r="M12" i="13"/>
  <c r="M12" i="23"/>
  <c r="M12" i="29"/>
  <c r="M12" i="35"/>
  <c r="M12" i="33"/>
  <c r="J36" i="4"/>
  <c r="M36" i="13"/>
  <c r="L21" i="10"/>
  <c r="H53" i="10"/>
  <c r="M135" i="26"/>
  <c r="M135" i="34"/>
  <c r="M25" i="23"/>
  <c r="M25" i="13"/>
  <c r="M25" i="29"/>
  <c r="M25" i="33"/>
  <c r="L31" i="10"/>
  <c r="L22" i="10"/>
  <c r="L12" i="10"/>
  <c r="L10" i="10"/>
  <c r="I66" i="9"/>
  <c r="I63" i="9"/>
  <c r="I72" i="9"/>
  <c r="I56" i="9"/>
  <c r="I53" i="9"/>
  <c r="I33" i="9"/>
  <c r="I48" i="9"/>
  <c r="D66" i="9"/>
  <c r="D44" i="9"/>
  <c r="D48" i="9"/>
  <c r="G17" i="10"/>
  <c r="E38" i="9"/>
  <c r="E41" i="9"/>
  <c r="E37" i="9"/>
  <c r="E43" i="9"/>
  <c r="E42" i="9"/>
  <c r="E40" i="9"/>
  <c r="F17" i="10"/>
  <c r="J17" i="10" s="1"/>
  <c r="E39" i="9"/>
  <c r="B27" i="10"/>
  <c r="J27" i="10" s="1"/>
  <c r="J36" i="9"/>
  <c r="J40" i="9"/>
  <c r="G27" i="10"/>
  <c r="H27" i="10" s="1"/>
  <c r="J52" i="9"/>
  <c r="C27" i="10"/>
  <c r="J41" i="9"/>
  <c r="J42" i="9"/>
  <c r="J37" i="9"/>
  <c r="I44" i="9"/>
  <c r="J38" i="9"/>
  <c r="J43"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31" i="9"/>
  <c r="L18" i="9"/>
  <c r="N58" i="9" l="1"/>
  <c r="L56" i="9"/>
  <c r="L73" i="9" s="1"/>
  <c r="L70" i="9"/>
  <c r="J70" i="9"/>
  <c r="J65" i="9"/>
  <c r="L55" i="10"/>
  <c r="M73" i="9"/>
  <c r="O73" i="9"/>
  <c r="N73" i="9"/>
  <c r="L53" i="10"/>
  <c r="J44" i="9"/>
  <c r="I73" i="9"/>
  <c r="E44" i="9"/>
  <c r="H17" i="10"/>
  <c r="J56" i="9"/>
  <c r="J55" i="9"/>
  <c r="D27" i="10"/>
  <c r="K27" i="10"/>
  <c r="L27" i="10" s="1"/>
  <c r="J66" i="9"/>
  <c r="J50" i="9"/>
  <c r="J59" i="9"/>
  <c r="I59" i="9" s="1"/>
  <c r="J61" i="9"/>
  <c r="J49" i="9"/>
  <c r="I49" i="9" s="1"/>
  <c r="J57" i="9"/>
  <c r="I57" i="9" s="1"/>
  <c r="J63" i="9"/>
  <c r="J58" i="9"/>
  <c r="J64" i="9"/>
  <c r="I64" i="9" s="1"/>
  <c r="J53" i="9"/>
  <c r="J72" i="9"/>
  <c r="J69" i="9"/>
  <c r="J48" i="9"/>
  <c r="J60" i="9"/>
  <c r="I60" i="9" s="1"/>
  <c r="J54" i="9"/>
  <c r="J67" i="9"/>
  <c r="I67" i="9" s="1"/>
  <c r="J68" i="9"/>
  <c r="K57" i="10"/>
  <c r="H57" i="10"/>
  <c r="L46" i="10"/>
  <c r="L35" i="10"/>
  <c r="L54" i="10"/>
  <c r="J57" i="10"/>
  <c r="D57" i="10"/>
  <c r="L52" i="10"/>
  <c r="J73" i="9" l="1"/>
  <c r="L57" i="10"/>
  <c r="D31" i="9" l="1"/>
  <c r="N30" i="8" l="1"/>
  <c r="C71" i="9"/>
  <c r="D71" i="9" l="1"/>
  <c r="C73" i="9"/>
  <c r="E12" i="9"/>
  <c r="E26" i="9"/>
  <c r="D33" i="9"/>
  <c r="E24" i="9"/>
  <c r="E18" i="9"/>
  <c r="E14" i="9"/>
  <c r="E32" i="9"/>
  <c r="E21" i="9"/>
  <c r="E29" i="9"/>
  <c r="E15" i="9"/>
  <c r="E10" i="9"/>
  <c r="E9" i="9"/>
  <c r="E25" i="9"/>
  <c r="E13" i="9"/>
  <c r="C17" i="10"/>
  <c r="K17" i="10" s="1"/>
  <c r="L17" i="10" s="1"/>
  <c r="E27" i="9"/>
  <c r="E31" i="9"/>
  <c r="E19" i="9"/>
  <c r="E22" i="9"/>
  <c r="E17" i="9"/>
  <c r="E11" i="9"/>
  <c r="E28" i="9"/>
  <c r="E30" i="9"/>
  <c r="E16" i="9"/>
  <c r="E20" i="9"/>
  <c r="E71" i="9"/>
  <c r="E33" i="9" l="1"/>
  <c r="E51" i="9"/>
  <c r="E62" i="9"/>
  <c r="D73" i="9"/>
  <c r="D17" i="10"/>
  <c r="E52" i="9"/>
  <c r="E61" i="9"/>
  <c r="D61" i="9" s="1"/>
  <c r="E72" i="9"/>
  <c r="D72" i="9" s="1"/>
  <c r="E57" i="9"/>
  <c r="D57" i="9" s="1"/>
  <c r="E64" i="9"/>
  <c r="D64" i="9" s="1"/>
  <c r="E67" i="9"/>
  <c r="D67" i="9" s="1"/>
  <c r="E55" i="9"/>
  <c r="D55" i="9" s="1"/>
  <c r="E59" i="9"/>
  <c r="D59" i="9" s="1"/>
  <c r="E50" i="9"/>
  <c r="D50" i="9" s="1"/>
  <c r="E60" i="9"/>
  <c r="D60" i="9" s="1"/>
  <c r="E49" i="9"/>
  <c r="D49" i="9" s="1"/>
  <c r="E56" i="9"/>
  <c r="D56" i="9" s="1"/>
  <c r="E48" i="9"/>
  <c r="E68" i="9"/>
  <c r="D68" i="9" s="1"/>
  <c r="E65" i="9"/>
  <c r="E53" i="9"/>
  <c r="D53" i="9" s="1"/>
  <c r="E70" i="9"/>
  <c r="D70" i="9" s="1"/>
  <c r="E58" i="9"/>
  <c r="D58" i="9" s="1"/>
  <c r="E69" i="9"/>
  <c r="D69" i="9" s="1"/>
  <c r="E54" i="9"/>
  <c r="D54" i="9" s="1"/>
  <c r="E63" i="9"/>
  <c r="D63" i="9" s="1"/>
  <c r="E66" i="9"/>
  <c r="E73" i="9" l="1"/>
  <c r="AS36" i="62" l="1"/>
  <c r="C22" i="58" s="1"/>
  <c r="AP36" i="62"/>
  <c r="AQ36" i="62" s="1"/>
  <c r="G35" i="62"/>
  <c r="AT36" i="62" l="1"/>
  <c r="D22" i="58"/>
  <c r="C16" i="58"/>
  <c r="D16" i="58" s="1"/>
  <c r="C38" i="58"/>
  <c r="AS35" i="62"/>
  <c r="AP45" i="62"/>
  <c r="G36" i="62"/>
  <c r="AP35" i="62"/>
  <c r="G45" i="62"/>
  <c r="AS45" i="62"/>
  <c r="G22" i="58" s="1"/>
  <c r="H22" i="58" s="1"/>
  <c r="AS62" i="62" l="1"/>
  <c r="G62" i="62"/>
  <c r="AP62" i="62"/>
  <c r="AQ45" i="62"/>
  <c r="AT35" i="62"/>
  <c r="G18" i="58"/>
  <c r="H18" i="58" s="1"/>
  <c r="AT45" i="62"/>
  <c r="G20" i="58"/>
  <c r="H20" i="58" s="1"/>
  <c r="G17" i="58"/>
  <c r="G19" i="58"/>
  <c r="H19" i="58" s="1"/>
  <c r="G21" i="58"/>
  <c r="H21" i="58" s="1"/>
  <c r="C32" i="58"/>
  <c r="G38" i="58" s="1"/>
  <c r="H38" i="58" s="1"/>
  <c r="D38" i="58"/>
  <c r="AQ35" i="62"/>
  <c r="H17" i="58" l="1"/>
  <c r="G16" i="58"/>
  <c r="H16" i="58" s="1"/>
  <c r="AQ62" i="62"/>
  <c r="AP64" i="62"/>
  <c r="G64" i="62"/>
  <c r="AS64" i="62"/>
  <c r="AT62" i="62"/>
  <c r="D32" i="58"/>
  <c r="G34" i="58"/>
  <c r="H34" i="58" s="1"/>
  <c r="G35" i="58"/>
  <c r="H35" i="58" s="1"/>
  <c r="G37" i="58"/>
  <c r="H37" i="58" s="1"/>
  <c r="G33" i="58"/>
  <c r="G36" i="58"/>
  <c r="H36" i="58" s="1"/>
  <c r="H33" i="58" l="1"/>
  <c r="G32" i="58"/>
  <c r="H32" i="58" s="1"/>
  <c r="AQ64" i="62"/>
  <c r="AT64" i="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8"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<sst xmlns="http://schemas.openxmlformats.org/spreadsheetml/2006/main" count="5885" uniqueCount="436">
  <si>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</si>
  <si>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</si>
  <si>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</si>
  <si>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</si>
  <si>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</si>
  <si>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</si>
  <si>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</si>
  <si>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</si>
  <si>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</si>
  <si>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</si>
  <si>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</si>
  <si>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</si>
  <si>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</si>
  <si>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</si>
  <si>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</si>
  <si>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</si>
  <si>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</si>
  <si>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</si>
  <si>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</si>
  <si>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</si>
  <si>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</si>
  <si>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</si>
  <si>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</si>
  <si>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</si>
  <si>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</si>
  <si>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</si>
  <si>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</si>
  <si>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</si>
  <si>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</si>
  <si>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</si>
  <si>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</si>
  <si>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</si>
  <si>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</si>
  <si>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</si>
  <si>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</si>
  <si>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</si>
  <si>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</si>
  <si>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</si>
  <si>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</si>
  <si>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</si>
  <si>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</si>
  <si>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</si>
  <si>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</si>
  <si>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</si>
  <si>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</si>
  <si>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</si>
  <si>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</si>
  <si>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</si>
  <si>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</si>
  <si>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</si>
  <si>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</si>
  <si>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</si>
  <si>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</si>
  <si>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</si>
  <si>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DNB Liv</t>
  </si>
  <si>
    <t>Eika Forsikring</t>
  </si>
  <si>
    <t>Frende Livsfors</t>
  </si>
  <si>
    <t>Frende Skade</t>
  </si>
  <si>
    <t>Gjensidige Fors</t>
  </si>
  <si>
    <t>Gjensidige Pensj</t>
  </si>
  <si>
    <t>Handelsb Liv</t>
  </si>
  <si>
    <t>If Skadefors</t>
  </si>
  <si>
    <t>KLP</t>
  </si>
  <si>
    <t>KLP Skadef</t>
  </si>
  <si>
    <t>Nordea Liv</t>
  </si>
  <si>
    <t>OPF</t>
  </si>
  <si>
    <t>SpareBank 1</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</si>
  <si>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</si>
  <si>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</si>
  <si>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</si>
  <si>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</si>
  <si>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</si>
  <si>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</si>
  <si>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</si>
  <si>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</si>
  <si>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</si>
  <si>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</si>
  <si>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</si>
  <si>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</si>
  <si>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</si>
  <si>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</si>
  <si>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</si>
  <si>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</si>
  <si>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</si>
  <si>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</si>
  <si>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</si>
  <si>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</si>
  <si>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</si>
  <si>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</si>
  <si>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</si>
  <si>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</si>
  <si>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</si>
  <si>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</si>
  <si>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</si>
  <si>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</si>
  <si>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</si>
  <si>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</si>
  <si>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</si>
  <si>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</si>
  <si>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</si>
  <si>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</si>
  <si>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</si>
  <si>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</si>
  <si>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</si>
  <si>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</si>
  <si>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</si>
  <si>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</si>
  <si>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</si>
  <si>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</si>
  <si>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</si>
  <si>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</si>
  <si>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</si>
  <si>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</si>
  <si>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</si>
  <si>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</si>
  <si>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</si>
  <si>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</si>
  <si>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</si>
  <si>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</si>
  <si>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</si>
  <si>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</si>
  <si>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</si>
  <si>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</si>
  <si>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</si>
  <si>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</si>
  <si>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</si>
  <si>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</si>
  <si>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</si>
  <si>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</si>
  <si>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</si>
  <si>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</si>
  <si>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</si>
  <si>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</si>
  <si>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</si>
  <si>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</si>
  <si>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</si>
  <si>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</si>
  <si>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</si>
  <si>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</si>
  <si>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Q16</t>
  </si>
  <si>
    <t>Q7</t>
  </si>
  <si>
    <t>R7</t>
  </si>
  <si>
    <t>R8</t>
  </si>
  <si>
    <t>R9</t>
  </si>
  <si>
    <t>R10</t>
  </si>
  <si>
    <t>R14</t>
  </si>
  <si>
    <t>R15</t>
  </si>
  <si>
    <t>Q11</t>
  </si>
  <si>
    <t>Q17</t>
  </si>
  <si>
    <t>Q18</t>
  </si>
  <si>
    <t>R17</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</si>
  <si>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</si>
  <si>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</si>
  <si>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</si>
  <si>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</si>
  <si>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</si>
  <si>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</si>
  <si>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</si>
  <si>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</si>
  <si>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</si>
  <si>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</si>
  <si>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</si>
  <si>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</si>
  <si>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</si>
  <si>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</si>
  <si>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</si>
  <si>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</si>
  <si>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</si>
  <si>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</si>
  <si>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</si>
  <si>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</si>
  <si>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</si>
  <si>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</si>
  <si>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</si>
  <si>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</si>
  <si>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</si>
  <si>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</si>
  <si>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</si>
  <si>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</si>
  <si>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</si>
  <si>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</si>
  <si>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</si>
  <si>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</si>
  <si>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</si>
  <si>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</si>
  <si>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</si>
  <si>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</si>
  <si>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</si>
  <si>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</si>
  <si>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</si>
  <si>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</si>
  <si>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</si>
  <si>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</si>
  <si>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</si>
  <si>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</si>
  <si>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</si>
  <si>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</si>
  <si>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</si>
  <si>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</si>
  <si>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</si>
  <si>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</si>
  <si>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</si>
  <si>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</si>
  <si>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</si>
  <si>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</si>
  <si>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</si>
  <si>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</si>
  <si>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</si>
  <si>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</si>
  <si>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</si>
  <si>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</si>
  <si>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</si>
  <si>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</si>
  <si>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</si>
  <si>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</si>
  <si>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</si>
  <si>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</si>
  <si>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</si>
  <si>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</si>
  <si>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</si>
  <si>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</si>
  <si>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</si>
  <si>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</si>
  <si>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</si>
  <si>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</si>
  <si>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</si>
  <si>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</si>
  <si>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</si>
  <si>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</si>
  <si>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</si>
  <si>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</si>
  <si>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</si>
  <si>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</si>
  <si>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</si>
  <si>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</si>
  <si>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</si>
  <si>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</si>
  <si>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</si>
  <si>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</si>
  <si>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</si>
  <si>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</si>
  <si>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</si>
  <si>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</si>
  <si>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</si>
  <si>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</si>
  <si>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</si>
  <si>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</si>
  <si>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</si>
  <si>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</si>
  <si>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</si>
  <si>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</si>
  <si>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</si>
  <si>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</si>
  <si>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</si>
  <si>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</si>
  <si>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</si>
  <si>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</si>
  <si>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</si>
  <si>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</si>
  <si>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</si>
  <si>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</si>
  <si>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</si>
  <si>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</si>
  <si>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</si>
  <si>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</si>
  <si>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</si>
  <si>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</si>
  <si>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</si>
  <si>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</si>
  <si>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</si>
  <si>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</si>
  <si>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</si>
  <si>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</si>
  <si>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</si>
  <si>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</si>
  <si>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</si>
  <si>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</si>
  <si>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</si>
  <si>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</si>
  <si>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</si>
  <si>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</si>
  <si>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</si>
  <si>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</si>
  <si>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</si>
  <si>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</si>
  <si>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</si>
  <si>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</si>
  <si>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</si>
  <si>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</si>
  <si>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</si>
  <si>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</si>
  <si>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</si>
  <si>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</si>
  <si>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</si>
  <si>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</si>
  <si>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</si>
  <si>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</si>
  <si>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</si>
  <si>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</si>
  <si>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</si>
  <si>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</si>
  <si>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</si>
  <si>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</si>
  <si>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</si>
  <si>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</si>
  <si>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</si>
  <si>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</si>
  <si>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</si>
  <si>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</si>
  <si>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</si>
  <si>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</si>
  <si>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</si>
  <si>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</si>
  <si>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</si>
  <si>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</si>
  <si>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</si>
  <si>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</si>
  <si>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</si>
  <si>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</si>
  <si>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</si>
  <si>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</si>
  <si>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</si>
  <si>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</si>
  <si>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</si>
  <si>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</si>
  <si>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</si>
  <si>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</si>
  <si>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</si>
  <si>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</si>
  <si>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</si>
  <si>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</si>
  <si>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</si>
  <si>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</si>
  <si>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</si>
  <si>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</si>
  <si>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</si>
  <si>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</si>
  <si>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</si>
  <si>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</si>
  <si>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</si>
  <si>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</si>
  <si>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</si>
  <si>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</si>
  <si>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</si>
  <si>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</si>
  <si>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</si>
  <si>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</si>
  <si>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</si>
  <si>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</si>
  <si>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</si>
  <si>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</si>
  <si>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</si>
  <si>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</si>
  <si>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</si>
  <si>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</si>
  <si>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</si>
  <si>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</si>
  <si>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</si>
  <si>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</si>
  <si>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</si>
  <si>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</si>
  <si>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</si>
  <si>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</si>
  <si>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</si>
  <si>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</si>
  <si>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</si>
  <si>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</si>
  <si>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</si>
  <si>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</si>
  <si>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</si>
  <si>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</si>
  <si>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</si>
  <si>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</si>
  <si>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</si>
  <si>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</si>
  <si>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</si>
  <si>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</si>
  <si>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</si>
  <si>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</si>
  <si>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</si>
  <si>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</si>
  <si>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Fremtind</t>
  </si>
  <si>
    <t>Fremtind Livsfors</t>
  </si>
  <si>
    <t>Landkreditt Fors.</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</si>
  <si>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</si>
  <si>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</si>
  <si>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</si>
  <si>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</si>
  <si>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</si>
  <si>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</si>
  <si>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</si>
  <si>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</si>
  <si>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</si>
  <si>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WaterCircles Forsikring</t>
  </si>
  <si>
    <t>Landkreditt Fors</t>
  </si>
  <si>
    <t>Euro Accident</t>
  </si>
  <si>
    <t xml:space="preserve">   Innskuddsbasert (inkl. EPK)</t>
  </si>
  <si>
    <t>Forsikring</t>
  </si>
  <si>
    <t>SpareBank 1 Forsikring</t>
  </si>
  <si>
    <t>Ly Forsikring</t>
  </si>
  <si>
    <t>Youplus Livsforsikring</t>
  </si>
  <si>
    <t>Youplus</t>
  </si>
  <si>
    <t>Youplus Livsf</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</si>
  <si>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</si>
  <si>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</si>
  <si>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</si>
  <si>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</si>
  <si>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</si>
  <si>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</si>
  <si>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</si>
  <si>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</si>
  <si>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</si>
  <si>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</si>
  <si>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</si>
  <si>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</si>
  <si>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</si>
  <si>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</si>
  <si>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</si>
  <si>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</si>
  <si>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</si>
  <si>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t>1. Premieinntekter</t>
  </si>
  <si>
    <t>Storebrand Danica Pensjonsforsikring</t>
  </si>
  <si>
    <t>Storebrand Danica P</t>
  </si>
  <si>
    <t>Storebrand Liv</t>
  </si>
  <si>
    <t>Storebrand Danica</t>
  </si>
  <si>
    <t>30.09.</t>
  </si>
  <si>
    <t/>
  </si>
  <si>
    <t>Figur 1  Brutto forfalt premie livprodukter  -  produkter uten investeringsvalg pr. 30.09.</t>
  </si>
  <si>
    <t>Figur 2  Brutto forfalt premie livprodukter  -  produkter med investeringsvalg pr. 30.09.</t>
  </si>
  <si>
    <t>Figur 3  Forsikringsforpliktelser i livsforsikring  -  produkter uten investeringsvalg pr. 30.09.</t>
  </si>
  <si>
    <t>Figur 4  Forsikringsforpliktelser i livsforsikring -  produkter med investeringsvalg pr. 30.09.</t>
  </si>
  <si>
    <t>Figur 5  Netto tilflytting livprodukter  -  produkter uten investeringsvalg pr. 30.09.</t>
  </si>
  <si>
    <t>Figur 6  Netto tilflytting livprodukter  -  produkter med investeringsvalg pr. 30.09.</t>
  </si>
  <si>
    <t>30.9.</t>
  </si>
  <si>
    <t>30.9.2022</t>
  </si>
  <si>
    <t>30.9.2023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</si>
</sst>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sz val="10"/>
      <color theme="0"/>
      <name val="Times New Roman"/>
      <family val="1"/>
    </font>
    <font>
      <b/>
      <sz val="14"/>
      <color theme="1"/>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2">
    <xf numFmtId="0" fontId="0" fillId="0" borderId="0"/>
    <xf numFmtId="0" fontId="20" fillId="0" borderId="0"/>
    <xf numFmtId="164" fontId="26" fillId="0" borderId="0" applyFont="0" applyFill="0" applyBorder="0" applyAlignment="0" applyProtection="0"/>
    <xf numFmtId="0" fontId="43"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0" fontId="20" fillId="0" borderId="0"/>
  </cellStyleXfs>
  <cellXfs count="774">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8" fillId="0" borderId="0" xfId="3" applyFont="1" applyFill="1" applyAlignment="1" applyProtection="1"/>
    <xf numFmtId="0" fontId="31" fillId="0" borderId="0" xfId="0" applyFont="1"/>
    <xf numFmtId="0" fontId="45" fillId="0" borderId="0" xfId="0" applyFont="1"/>
    <xf numFmtId="0" fontId="46"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1"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8"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5"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0" fontId="20" fillId="0" borderId="0" xfId="0" applyFont="1"/>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6" fillId="0" borderId="0" xfId="0" applyFont="1"/>
    <xf numFmtId="0" fontId="31"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1" fillId="0" borderId="0" xfId="0" applyFont="1" applyAlignment="1">
      <alignment horizontal="left"/>
    </xf>
    <xf numFmtId="0" fontId="45" fillId="0" borderId="0" xfId="0" applyFont="1" applyAlignment="1">
      <alignment horizontal="left"/>
    </xf>
    <xf numFmtId="0" fontId="31" fillId="0" borderId="14" xfId="0" applyFont="1" applyBorder="1"/>
    <xf numFmtId="0" fontId="31"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6" fillId="0" borderId="2" xfId="0" applyFont="1" applyBorder="1" applyAlignment="1">
      <alignment horizontal="center"/>
    </xf>
    <xf numFmtId="167" fontId="50" fillId="0" borderId="6" xfId="0" applyNumberFormat="1" applyFont="1" applyBorder="1" applyAlignment="1">
      <alignment horizontal="left"/>
    </xf>
    <xf numFmtId="0" fontId="14" fillId="0" borderId="6" xfId="0" applyFont="1" applyBorder="1" applyAlignment="1">
      <alignment horizontal="center"/>
    </xf>
    <xf numFmtId="3" fontId="31" fillId="0" borderId="1" xfId="0" applyNumberFormat="1" applyFont="1" applyBorder="1"/>
    <xf numFmtId="3" fontId="31"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5" fillId="0" borderId="3" xfId="0" applyNumberFormat="1" applyFont="1" applyBorder="1"/>
    <xf numFmtId="3" fontId="45" fillId="0" borderId="0" xfId="0" applyNumberFormat="1" applyFont="1" applyBorder="1"/>
    <xf numFmtId="3" fontId="45" fillId="0" borderId="6" xfId="0" applyNumberFormat="1" applyFont="1" applyBorder="1"/>
    <xf numFmtId="3" fontId="31" fillId="0" borderId="0" xfId="0" applyNumberFormat="1" applyFont="1" applyBorder="1" applyAlignment="1">
      <alignment horizontal="right"/>
    </xf>
    <xf numFmtId="3" fontId="51" fillId="0" borderId="0" xfId="0" applyNumberFormat="1" applyFont="1" applyFill="1" applyBorder="1" applyAlignment="1">
      <alignment horizontal="right"/>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1" fillId="0" borderId="4" xfId="0" applyFont="1" applyBorder="1"/>
    <xf numFmtId="0" fontId="51" fillId="0" borderId="4" xfId="0" applyFont="1" applyFill="1" applyBorder="1"/>
    <xf numFmtId="0" fontId="45" fillId="0" borderId="11" xfId="0" applyFont="1" applyBorder="1"/>
    <xf numFmtId="3" fontId="31"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6"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6"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8" fillId="0" borderId="0" xfId="1" applyFont="1" applyFill="1" applyBorder="1" applyAlignment="1">
      <alignment horizontal="left"/>
    </xf>
    <xf numFmtId="0" fontId="70" fillId="0" borderId="0" xfId="1" applyFont="1" applyFill="1" applyAlignment="1">
      <alignment horizontal="left"/>
    </xf>
    <xf numFmtId="0" fontId="19"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6" fillId="3" borderId="7" xfId="1" applyNumberFormat="1" applyFont="1" applyFill="1" applyBorder="1" applyAlignment="1">
      <alignment horizontal="right"/>
    </xf>
    <xf numFmtId="0" fontId="71"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7"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5" fillId="0" borderId="3" xfId="0" applyNumberFormat="1" applyFont="1" applyBorder="1"/>
    <xf numFmtId="165" fontId="31" fillId="0" borderId="3" xfId="0" applyNumberFormat="1" applyFont="1" applyFill="1" applyBorder="1"/>
    <xf numFmtId="165" fontId="45"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0"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protection locked="0"/>
    </xf>
    <xf numFmtId="3" fontId="45" fillId="4" borderId="3" xfId="845"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3" fontId="45" fillId="4" borderId="4"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0" fontId="61" fillId="0" borderId="0" xfId="0" applyFont="1" applyProtection="1">
      <protection locked="0"/>
    </xf>
    <xf numFmtId="0" fontId="41" fillId="0" borderId="0" xfId="0" applyFont="1" applyProtection="1">
      <protection locked="0"/>
    </xf>
    <xf numFmtId="0" fontId="18" fillId="0" borderId="0" xfId="3" applyFont="1" applyFill="1" applyAlignment="1" applyProtection="1">
      <protection locked="0"/>
    </xf>
    <xf numFmtId="0" fontId="57" fillId="0" borderId="0" xfId="0" applyFon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5" fillId="0" borderId="1" xfId="0" applyNumberFormat="1" applyFont="1" applyFill="1"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49" fillId="0" borderId="0" xfId="0" applyFont="1" applyProtection="1">
      <protection locked="0"/>
    </xf>
    <xf numFmtId="0" fontId="15"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20" fillId="0" borderId="0" xfId="1" applyProtection="1">
      <protection locked="0"/>
    </xf>
    <xf numFmtId="0" fontId="20" fillId="0" borderId="0" xfId="1" applyFont="1" applyProtection="1">
      <protection locked="0"/>
    </xf>
    <xf numFmtId="3" fontId="45"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5" fillId="0" borderId="1" xfId="1" applyNumberFormat="1" applyFont="1" applyFill="1" applyBorder="1" applyProtection="1">
      <protection locked="0"/>
    </xf>
    <xf numFmtId="3" fontId="31" fillId="4" borderId="1" xfId="15"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3" fontId="45" fillId="4" borderId="4" xfId="15" applyNumberFormat="1" applyFont="1" applyFill="1" applyBorder="1" applyAlignment="1" applyProtection="1">
      <alignment horizontal="right"/>
      <protection locked="0"/>
    </xf>
    <xf numFmtId="3" fontId="45" fillId="4" borderId="11" xfId="15" applyNumberFormat="1" applyFont="1" applyFill="1" applyBorder="1" applyAlignment="1" applyProtection="1">
      <alignment horizontal="right"/>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5" fillId="2" borderId="3" xfId="0" applyFont="1" applyFill="1" applyBorder="1" applyProtection="1">
      <protection locked="0"/>
    </xf>
    <xf numFmtId="0" fontId="45"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0" fontId="41" fillId="0" borderId="0" xfId="7" applyFont="1" applyProtection="1">
      <protection locked="0"/>
    </xf>
    <xf numFmtId="0" fontId="18" fillId="0" borderId="0" xfId="3" applyFont="1" applyAlignment="1">
      <protection locked="0"/>
    </xf>
    <xf numFmtId="0" fontId="20" fillId="0" borderId="0" xfId="7" applyProtection="1">
      <protection locked="0"/>
    </xf>
    <xf numFmtId="3" fontId="58"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69" fillId="0" borderId="8" xfId="7" applyFont="1" applyBorder="1" applyAlignment="1" applyProtection="1">
      <alignment horizontal="center"/>
      <protection locked="0"/>
    </xf>
    <xf numFmtId="0" fontId="18" fillId="4" borderId="0" xfId="7" applyFont="1" applyFill="1" applyProtection="1">
      <protection locked="0"/>
    </xf>
    <xf numFmtId="3" fontId="45" fillId="0" borderId="1" xfId="7" applyNumberFormat="1" applyFont="1" applyBorder="1" applyProtection="1">
      <protection locked="0"/>
    </xf>
    <xf numFmtId="0" fontId="45" fillId="4" borderId="0" xfId="7" applyFont="1" applyFill="1" applyAlignment="1" applyProtection="1">
      <alignment horizontal="center"/>
      <protection locked="0"/>
    </xf>
    <xf numFmtId="3" fontId="45"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0"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5" fillId="0" borderId="7" xfId="7" applyFont="1" applyBorder="1" applyProtection="1">
      <protection locked="0"/>
    </xf>
    <xf numFmtId="4" fontId="31" fillId="4" borderId="7" xfId="7" applyNumberFormat="1" applyFont="1" applyFill="1" applyBorder="1" applyAlignment="1" applyProtection="1">
      <alignment horizontal="right"/>
      <protection locked="0"/>
    </xf>
    <xf numFmtId="0" fontId="31" fillId="0" borderId="3" xfId="7" applyFont="1" applyBorder="1" applyProtection="1">
      <protection locked="0"/>
    </xf>
    <xf numFmtId="0" fontId="31" fillId="0" borderId="6" xfId="7" applyFont="1" applyBorder="1" applyProtection="1">
      <protection locked="0"/>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0" fontId="56" fillId="0" borderId="0" xfId="0" applyFont="1" applyFill="1"/>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5" fillId="4" borderId="0" xfId="7" applyFont="1" applyFill="1" applyAlignment="1" applyProtection="1">
      <alignment horizontal="center"/>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15" fillId="0" borderId="0" xfId="7" applyFont="1" applyAlignment="1">
      <alignment horizontal="right" vertical="top"/>
    </xf>
    <xf numFmtId="0" fontId="15" fillId="0" borderId="0" xfId="7" applyFont="1" applyAlignment="1">
      <alignment horizontal="right"/>
    </xf>
    <xf numFmtId="0" fontId="31" fillId="0" borderId="4" xfId="0" applyFont="1" applyBorder="1" applyProtection="1">
      <protection locked="0"/>
    </xf>
    <xf numFmtId="3" fontId="45" fillId="0" borderId="1" xfId="0" applyNumberFormat="1" applyFont="1" applyBorder="1" applyProtection="1">
      <protection locked="0"/>
    </xf>
    <xf numFmtId="3" fontId="45" fillId="0" borderId="4" xfId="0" applyNumberFormat="1" applyFont="1" applyBorder="1" applyProtection="1">
      <protection locked="0"/>
    </xf>
    <xf numFmtId="0" fontId="16" fillId="0" borderId="7" xfId="0" applyFont="1" applyBorder="1" applyAlignment="1" applyProtection="1">
      <alignment horizontal="center"/>
      <protection locked="0"/>
    </xf>
    <xf numFmtId="3" fontId="50" fillId="4" borderId="6" xfId="0" applyNumberFormat="1" applyFont="1" applyFill="1" applyBorder="1" applyProtection="1">
      <protection locked="0"/>
    </xf>
    <xf numFmtId="169" fontId="16" fillId="0" borderId="6" xfId="0" applyNumberFormat="1" applyFont="1" applyBorder="1" applyAlignment="1" applyProtection="1">
      <alignment horizontal="center"/>
      <protection locked="0"/>
    </xf>
    <xf numFmtId="3" fontId="31" fillId="4" borderId="1" xfId="0" applyNumberFormat="1" applyFont="1" applyFill="1" applyBorder="1" applyAlignment="1">
      <alignment horizontal="right"/>
    </xf>
    <xf numFmtId="3" fontId="31" fillId="4" borderId="1" xfId="15" applyNumberFormat="1" applyFont="1" applyFill="1" applyBorder="1" applyAlignment="1" applyProtection="1">
      <alignment horizontal="right"/>
    </xf>
    <xf numFmtId="3" fontId="31" fillId="4" borderId="7" xfId="0" applyNumberFormat="1" applyFont="1" applyFill="1" applyBorder="1" applyAlignment="1">
      <alignment horizontal="right"/>
    </xf>
    <xf numFmtId="0" fontId="31" fillId="4" borderId="7" xfId="0" applyFont="1" applyFill="1" applyBorder="1" applyAlignment="1" applyProtection="1">
      <alignment horizontal="right"/>
      <protection locked="0"/>
    </xf>
    <xf numFmtId="3" fontId="31" fillId="4" borderId="4" xfId="0" applyNumberFormat="1" applyFont="1" applyFill="1" applyBorder="1" applyAlignment="1">
      <alignment horizontal="right"/>
    </xf>
    <xf numFmtId="3" fontId="31" fillId="4" borderId="4" xfId="15" applyNumberFormat="1" applyFont="1" applyFill="1" applyBorder="1" applyAlignment="1" applyProtection="1">
      <alignment horizontal="right"/>
    </xf>
    <xf numFmtId="3" fontId="31" fillId="4" borderId="3" xfId="0" applyNumberFormat="1" applyFont="1" applyFill="1" applyBorder="1" applyAlignment="1">
      <alignment horizontal="right"/>
    </xf>
    <xf numFmtId="0" fontId="31" fillId="4" borderId="3" xfId="0" applyFont="1" applyFill="1" applyBorder="1" applyAlignment="1" applyProtection="1">
      <alignment horizontal="right"/>
      <protection locked="0"/>
    </xf>
    <xf numFmtId="1" fontId="31" fillId="0" borderId="3" xfId="0" applyNumberFormat="1" applyFont="1" applyBorder="1" applyAlignment="1">
      <alignment horizontal="right"/>
    </xf>
    <xf numFmtId="0" fontId="31" fillId="0" borderId="3" xfId="0" applyFont="1" applyBorder="1" applyAlignment="1">
      <alignment horizontal="right"/>
    </xf>
    <xf numFmtId="166" fontId="31" fillId="0" borderId="3" xfId="847" applyNumberFormat="1" applyFont="1" applyBorder="1" applyAlignment="1" applyProtection="1">
      <alignment horizontal="right"/>
    </xf>
    <xf numFmtId="3" fontId="31" fillId="10" borderId="3" xfId="0"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0" fontId="45" fillId="0" borderId="11" xfId="0" applyFont="1" applyBorder="1" applyProtection="1">
      <protection locked="0"/>
    </xf>
    <xf numFmtId="0" fontId="45" fillId="0" borderId="4" xfId="0" applyFont="1" applyBorder="1" applyProtection="1">
      <protection locked="0"/>
    </xf>
    <xf numFmtId="3" fontId="45" fillId="4" borderId="4" xfId="15" applyNumberFormat="1" applyFont="1" applyFill="1" applyBorder="1" applyAlignment="1" applyProtection="1">
      <alignment horizontal="right"/>
    </xf>
    <xf numFmtId="3" fontId="45" fillId="4" borderId="7" xfId="0" applyNumberFormat="1" applyFont="1" applyFill="1" applyBorder="1" applyAlignment="1" applyProtection="1">
      <alignment horizontal="right"/>
      <protection locked="0"/>
    </xf>
    <xf numFmtId="0" fontId="45" fillId="4" borderId="7" xfId="0" applyFont="1" applyFill="1" applyBorder="1" applyAlignment="1" applyProtection="1">
      <alignment horizontal="right"/>
      <protection locked="0"/>
    </xf>
    <xf numFmtId="0" fontId="45" fillId="4" borderId="15" xfId="0" applyFont="1" applyFill="1" applyBorder="1" applyAlignment="1" applyProtection="1">
      <alignment horizontal="right"/>
      <protection locked="0"/>
    </xf>
    <xf numFmtId="0" fontId="49" fillId="0" borderId="7" xfId="0" applyFont="1" applyBorder="1" applyAlignment="1" applyProtection="1">
      <alignment horizontal="right"/>
      <protection locked="0"/>
    </xf>
    <xf numFmtId="0" fontId="45" fillId="4" borderId="3" xfId="0" applyFont="1" applyFill="1" applyBorder="1" applyAlignment="1" applyProtection="1">
      <alignment horizontal="right"/>
      <protection locked="0"/>
    </xf>
    <xf numFmtId="0" fontId="45" fillId="4" borderId="2" xfId="0" applyFont="1" applyFill="1" applyBorder="1" applyAlignment="1" applyProtection="1">
      <alignment horizontal="right"/>
      <protection locked="0"/>
    </xf>
    <xf numFmtId="0" fontId="49"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3" fontId="31" fillId="4" borderId="2" xfId="0" applyNumberFormat="1" applyFont="1" applyFill="1" applyBorder="1" applyAlignment="1" applyProtection="1">
      <alignment horizontal="right"/>
      <protection locked="0"/>
    </xf>
    <xf numFmtId="3" fontId="45" fillId="4" borderId="2" xfId="0" applyNumberFormat="1" applyFont="1" applyFill="1" applyBorder="1" applyAlignment="1" applyProtection="1">
      <alignment horizontal="right"/>
      <protection locked="0"/>
    </xf>
    <xf numFmtId="0" fontId="45" fillId="0" borderId="0" xfId="0" applyFont="1" applyProtection="1">
      <protection locked="0"/>
    </xf>
    <xf numFmtId="3" fontId="45" fillId="4" borderId="11" xfId="15" applyNumberFormat="1" applyFont="1" applyFill="1" applyBorder="1" applyAlignment="1" applyProtection="1">
      <alignment horizontal="right"/>
    </xf>
    <xf numFmtId="0" fontId="45" fillId="4" borderId="6" xfId="0" applyFont="1" applyFill="1" applyBorder="1" applyAlignment="1" applyProtection="1">
      <alignment horizontal="right"/>
      <protection locked="0"/>
    </xf>
    <xf numFmtId="0" fontId="45" fillId="4" borderId="5" xfId="0" applyFont="1" applyFill="1" applyBorder="1" applyAlignment="1" applyProtection="1">
      <alignment horizontal="right"/>
      <protection locked="0"/>
    </xf>
    <xf numFmtId="0" fontId="45" fillId="0" borderId="6" xfId="0" applyFont="1" applyBorder="1" applyAlignment="1" applyProtection="1">
      <alignment horizontal="right"/>
      <protection locked="0"/>
    </xf>
    <xf numFmtId="0" fontId="45" fillId="0" borderId="7" xfId="0" applyFont="1" applyBorder="1" applyProtection="1">
      <protection locked="0"/>
    </xf>
    <xf numFmtId="3" fontId="45" fillId="4" borderId="1" xfId="15" applyNumberFormat="1" applyFont="1" applyFill="1" applyBorder="1" applyAlignment="1" applyProtection="1">
      <alignment horizontal="right"/>
      <protection locked="0"/>
    </xf>
    <xf numFmtId="3" fontId="45" fillId="4" borderId="1" xfId="0" applyNumberFormat="1" applyFont="1" applyFill="1" applyBorder="1" applyAlignment="1" applyProtection="1">
      <alignment horizontal="right"/>
      <protection locked="0"/>
    </xf>
    <xf numFmtId="0" fontId="45" fillId="4" borderId="1" xfId="0" applyFont="1" applyFill="1" applyBorder="1" applyAlignment="1" applyProtection="1">
      <alignment horizontal="right"/>
      <protection locked="0"/>
    </xf>
    <xf numFmtId="0" fontId="45" fillId="0" borderId="7" xfId="0" applyFont="1" applyBorder="1" applyAlignment="1" applyProtection="1">
      <alignment horizontal="right"/>
      <protection locked="0"/>
    </xf>
    <xf numFmtId="0" fontId="31" fillId="2" borderId="3" xfId="0" applyFont="1" applyFill="1" applyBorder="1" applyProtection="1">
      <protection locked="0"/>
    </xf>
    <xf numFmtId="0" fontId="31" fillId="2" borderId="6" xfId="0" applyFont="1" applyFill="1" applyBorder="1" applyProtection="1">
      <protection locked="0"/>
    </xf>
    <xf numFmtId="3" fontId="60" fillId="4" borderId="3" xfId="0" applyNumberFormat="1" applyFont="1" applyFill="1" applyBorder="1" applyAlignment="1">
      <alignment horizontal="right"/>
    </xf>
    <xf numFmtId="3" fontId="31" fillId="4" borderId="4" xfId="847" applyNumberFormat="1" applyFont="1" applyFill="1" applyBorder="1" applyAlignment="1" applyProtection="1">
      <alignment horizontal="right"/>
    </xf>
    <xf numFmtId="3" fontId="45" fillId="4" borderId="3" xfId="0" applyNumberFormat="1" applyFont="1" applyFill="1" applyBorder="1" applyAlignment="1">
      <alignment horizontal="right"/>
    </xf>
    <xf numFmtId="3" fontId="31" fillId="0" borderId="4" xfId="847" applyNumberFormat="1" applyFont="1" applyFill="1" applyBorder="1" applyAlignment="1" applyProtection="1">
      <alignment horizontal="right"/>
    </xf>
    <xf numFmtId="0" fontId="31" fillId="0" borderId="3" xfId="0" applyFont="1" applyBorder="1" applyProtection="1">
      <protection locked="0"/>
    </xf>
    <xf numFmtId="3" fontId="31" fillId="0" borderId="3" xfId="845" applyNumberFormat="1" applyFont="1" applyBorder="1" applyAlignment="1" applyProtection="1">
      <alignment horizontal="right"/>
      <protection locked="0"/>
    </xf>
    <xf numFmtId="0" fontId="20" fillId="0" borderId="3" xfId="0" applyFont="1" applyBorder="1" applyProtection="1">
      <protection locked="0"/>
    </xf>
    <xf numFmtId="3" fontId="31" fillId="0" borderId="0" xfId="0" applyNumberFormat="1" applyFont="1" applyProtection="1">
      <protection locked="0"/>
    </xf>
    <xf numFmtId="3" fontId="62" fillId="0" borderId="0" xfId="0" applyNumberFormat="1" applyFont="1" applyProtection="1">
      <protection locked="0"/>
    </xf>
    <xf numFmtId="0" fontId="18" fillId="0" borderId="0" xfId="0" applyFont="1" applyFill="1" applyBorder="1" applyProtection="1">
      <protection locked="0"/>
    </xf>
    <xf numFmtId="0" fontId="45" fillId="0" borderId="0" xfId="0" applyNumberFormat="1" applyFont="1" applyFill="1" applyBorder="1" applyAlignment="1" applyProtection="1">
      <protection locked="0"/>
    </xf>
    <xf numFmtId="0" fontId="45" fillId="0" borderId="0" xfId="0" applyNumberFormat="1" applyFont="1" applyFill="1" applyBorder="1" applyAlignment="1" applyProtection="1">
      <alignment horizontal="center"/>
      <protection locked="0"/>
    </xf>
    <xf numFmtId="0" fontId="18" fillId="0" borderId="10" xfId="0" applyFont="1" applyFill="1" applyBorder="1" applyProtection="1">
      <protection locked="0"/>
    </xf>
    <xf numFmtId="0" fontId="18" fillId="0" borderId="8" xfId="0" applyFont="1" applyFill="1" applyBorder="1" applyProtection="1">
      <protection locked="0"/>
    </xf>
    <xf numFmtId="0" fontId="18" fillId="0" borderId="9" xfId="0" applyFont="1" applyFill="1" applyBorder="1" applyProtection="1">
      <protection locked="0"/>
    </xf>
    <xf numFmtId="0" fontId="20" fillId="0" borderId="0" xfId="851"/>
    <xf numFmtId="0" fontId="27" fillId="0" borderId="0" xfId="851" applyFont="1"/>
    <xf numFmtId="0" fontId="0" fillId="0" borderId="0" xfId="851" applyFont="1"/>
    <xf numFmtId="0" fontId="28" fillId="0" borderId="0" xfId="851" applyFont="1" applyAlignment="1">
      <alignment horizontal="right"/>
    </xf>
    <xf numFmtId="0" fontId="20" fillId="0" borderId="0" xfId="20"/>
    <xf numFmtId="0" fontId="29" fillId="0" borderId="0" xfId="851" applyFont="1" applyAlignment="1">
      <alignment horizontal="left"/>
    </xf>
    <xf numFmtId="0" fontId="30" fillId="0" borderId="0" xfId="851" applyFont="1" applyAlignment="1">
      <alignment horizontal="left"/>
    </xf>
    <xf numFmtId="0" fontId="31" fillId="0" borderId="0" xfId="20" applyFont="1" applyAlignment="1">
      <alignment horizontal="left"/>
    </xf>
    <xf numFmtId="0" fontId="32" fillId="0" borderId="0" xfId="851" applyFont="1" applyAlignment="1">
      <alignment horizontal="right"/>
    </xf>
    <xf numFmtId="0" fontId="20" fillId="0" borderId="0" xfId="851" applyAlignment="1">
      <alignment horizontal="right"/>
    </xf>
    <xf numFmtId="0" fontId="33" fillId="0" borderId="0" xfId="851" applyFont="1" applyAlignment="1">
      <alignment horizontal="left"/>
    </xf>
    <xf numFmtId="14" fontId="34" fillId="0" borderId="0" xfId="851" applyNumberFormat="1" applyFont="1" applyAlignment="1">
      <alignment horizontal="left"/>
    </xf>
    <xf numFmtId="0" fontId="34" fillId="0" borderId="0" xfId="851" applyFont="1" applyAlignment="1">
      <alignment horizontal="left"/>
    </xf>
    <xf numFmtId="0" fontId="35" fillId="0" borderId="0" xfId="20" applyFont="1" applyAlignment="1">
      <alignment vertical="center"/>
    </xf>
    <xf numFmtId="0" fontId="36" fillId="0" borderId="0" xfId="20" applyFont="1" applyAlignment="1">
      <alignment vertical="center"/>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0" applyFont="1" applyFill="1" applyBorder="1" applyAlignment="1" applyProtection="1">
      <alignment horizontal="center"/>
      <protection locked="0"/>
    </xf>
    <xf numFmtId="0" fontId="45" fillId="0" borderId="14" xfId="0" applyFont="1" applyFill="1" applyBorder="1" applyAlignment="1" applyProtection="1">
      <alignment horizontal="center"/>
      <protection locked="0"/>
    </xf>
    <xf numFmtId="0" fontId="45" fillId="0" borderId="15" xfId="0" applyFont="1" applyFill="1" applyBorder="1" applyAlignment="1" applyProtection="1">
      <alignment horizontal="center"/>
      <protection locked="0"/>
    </xf>
    <xf numFmtId="0" fontId="45" fillId="0" borderId="1" xfId="7"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0" fontId="45" fillId="0" borderId="1" xfId="0" applyFont="1" applyFill="1" applyBorder="1" applyAlignment="1" applyProtection="1">
      <alignment horizontal="center"/>
      <protection locked="0"/>
    </xf>
    <xf numFmtId="0" fontId="45" fillId="0" borderId="14" xfId="0" applyFont="1" applyFill="1" applyBorder="1" applyAlignment="1" applyProtection="1">
      <alignment horizontal="center"/>
      <protection locked="0"/>
    </xf>
    <xf numFmtId="0" fontId="45" fillId="0" borderId="15" xfId="0"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3" fontId="31" fillId="4" borderId="0" xfId="0" applyNumberFormat="1" applyFont="1" applyFill="1" applyAlignment="1">
      <alignment horizontal="right"/>
    </xf>
    <xf numFmtId="3" fontId="16" fillId="0" borderId="0" xfId="1" applyNumberFormat="1" applyFont="1" applyFill="1" applyProtection="1">
      <protection locked="0"/>
    </xf>
    <xf numFmtId="0" fontId="18" fillId="0" borderId="10" xfId="1" applyFont="1" applyFill="1" applyBorder="1" applyProtection="1">
      <protection locked="0"/>
    </xf>
    <xf numFmtId="0" fontId="18" fillId="0" borderId="8" xfId="1" applyFont="1" applyFill="1" applyBorder="1" applyProtection="1">
      <protection locked="0"/>
    </xf>
    <xf numFmtId="0" fontId="18" fillId="0" borderId="9" xfId="1" applyFont="1" applyFill="1" applyBorder="1" applyProtection="1">
      <protection locked="0"/>
    </xf>
    <xf numFmtId="3" fontId="31" fillId="0" borderId="4" xfId="15" applyNumberFormat="1" applyFont="1" applyFill="1" applyBorder="1" applyAlignment="1" applyProtection="1">
      <alignment horizontal="right"/>
    </xf>
    <xf numFmtId="3" fontId="45" fillId="0" borderId="4" xfId="15" applyNumberFormat="1" applyFont="1" applyFill="1" applyBorder="1" applyAlignment="1" applyProtection="1">
      <alignment horizontal="right"/>
    </xf>
    <xf numFmtId="3" fontId="45" fillId="0" borderId="11" xfId="15" applyNumberFormat="1" applyFont="1" applyFill="1" applyBorder="1" applyAlignment="1" applyProtection="1">
      <alignment horizontal="right"/>
    </xf>
    <xf numFmtId="3" fontId="31" fillId="11" borderId="3" xfId="0" applyNumberFormat="1" applyFont="1" applyFill="1" applyBorder="1" applyAlignment="1" applyProtection="1">
      <alignment horizontal="right"/>
      <protection locked="0"/>
    </xf>
    <xf numFmtId="3" fontId="31" fillId="11" borderId="4" xfId="0" applyNumberFormat="1" applyFont="1" applyFill="1" applyBorder="1" applyAlignment="1" applyProtection="1">
      <alignment horizontal="right"/>
      <protection locked="0"/>
    </xf>
    <xf numFmtId="3" fontId="45" fillId="11" borderId="6" xfId="0" applyNumberFormat="1" applyFont="1" applyFill="1" applyBorder="1" applyAlignment="1" applyProtection="1">
      <alignment horizontal="right"/>
      <protection locked="0"/>
    </xf>
    <xf numFmtId="3" fontId="45" fillId="0" borderId="4" xfId="15" applyNumberFormat="1" applyFont="1" applyFill="1" applyBorder="1" applyAlignment="1" applyProtection="1">
      <alignment horizontal="right"/>
      <protection locked="0"/>
    </xf>
    <xf numFmtId="3" fontId="31" fillId="0" borderId="4" xfId="15" applyNumberFormat="1" applyFont="1" applyFill="1" applyBorder="1" applyAlignment="1" applyProtection="1">
      <alignment horizontal="right"/>
      <protection locked="0"/>
    </xf>
    <xf numFmtId="3" fontId="45" fillId="0" borderId="11" xfId="15" applyNumberFormat="1" applyFont="1" applyFill="1" applyBorder="1" applyAlignment="1" applyProtection="1">
      <alignment horizontal="right"/>
      <protection locked="0"/>
    </xf>
    <xf numFmtId="3" fontId="60" fillId="0" borderId="3" xfId="0" applyNumberFormat="1" applyFont="1" applyBorder="1" applyAlignment="1">
      <alignment horizontal="right"/>
    </xf>
    <xf numFmtId="172" fontId="23" fillId="3" borderId="2" xfId="846" applyNumberFormat="1" applyFont="1" applyFill="1" applyBorder="1" applyAlignment="1">
      <alignment horizontal="right"/>
    </xf>
    <xf numFmtId="4" fontId="31" fillId="4" borderId="4" xfId="7" quotePrefix="1" applyNumberFormat="1" applyFont="1" applyFill="1" applyBorder="1" applyAlignment="1" applyProtection="1">
      <alignment horizontal="right"/>
      <protection locked="0"/>
    </xf>
    <xf numFmtId="3" fontId="31" fillId="4" borderId="6" xfId="0" applyNumberFormat="1" applyFont="1" applyFill="1" applyBorder="1" applyAlignment="1" applyProtection="1">
      <alignment horizontal="right"/>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7"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0" fontId="14" fillId="0" borderId="6" xfId="0" applyFont="1" applyFill="1" applyBorder="1" applyAlignment="1">
      <alignment horizontal="center"/>
    </xf>
    <xf numFmtId="0" fontId="14" fillId="0" borderId="3" xfId="0" applyFont="1" applyFill="1" applyBorder="1" applyAlignment="1">
      <alignment horizontal="center"/>
    </xf>
    <xf numFmtId="0" fontId="16" fillId="0" borderId="6" xfId="0" applyFont="1" applyFill="1" applyBorder="1" applyAlignment="1">
      <alignment horizontal="center"/>
    </xf>
    <xf numFmtId="0" fontId="16" fillId="0" borderId="0" xfId="0" applyFont="1" applyFill="1" applyBorder="1" applyAlignment="1">
      <alignment horizontal="center"/>
    </xf>
    <xf numFmtId="0" fontId="14" fillId="0" borderId="11" xfId="0" applyFont="1" applyFill="1" applyBorder="1" applyAlignment="1">
      <alignment horizontal="center"/>
    </xf>
    <xf numFmtId="0" fontId="16" fillId="0" borderId="12" xfId="0" applyFont="1" applyFill="1" applyBorder="1" applyAlignment="1">
      <alignment horizontal="center"/>
    </xf>
    <xf numFmtId="0" fontId="14" fillId="0" borderId="4" xfId="0" applyFont="1" applyFill="1" applyBorder="1" applyAlignment="1">
      <alignment horizontal="center"/>
    </xf>
    <xf numFmtId="3" fontId="18" fillId="0" borderId="8" xfId="1" applyNumberFormat="1" applyFont="1" applyFill="1" applyBorder="1"/>
    <xf numFmtId="0" fontId="18" fillId="0" borderId="3" xfId="0" applyFont="1" applyBorder="1"/>
    <xf numFmtId="3" fontId="16" fillId="0" borderId="6" xfId="1" applyNumberFormat="1" applyFont="1" applyFill="1" applyBorder="1"/>
    <xf numFmtId="3" fontId="16" fillId="0" borderId="11" xfId="1" applyNumberFormat="1" applyFont="1" applyFill="1" applyBorder="1"/>
    <xf numFmtId="171" fontId="16" fillId="2" borderId="3" xfId="846" applyFont="1" applyFill="1" applyBorder="1" applyAlignment="1">
      <alignment horizontal="right"/>
    </xf>
    <xf numFmtId="3" fontId="16" fillId="0" borderId="0" xfId="1" applyNumberFormat="1" applyFont="1" applyAlignment="1">
      <alignment horizontal="right"/>
    </xf>
    <xf numFmtId="3" fontId="18" fillId="0" borderId="0" xfId="1" applyNumberFormat="1" applyFont="1" applyAlignment="1">
      <alignment horizontal="right"/>
    </xf>
    <xf numFmtId="3" fontId="45" fillId="0" borderId="4" xfId="0" applyNumberFormat="1" applyFont="1" applyFill="1" applyBorder="1" applyAlignment="1" applyProtection="1">
      <alignment horizontal="right"/>
      <protection locked="0"/>
    </xf>
    <xf numFmtId="3" fontId="45" fillId="0" borderId="3" xfId="0" applyNumberFormat="1" applyFont="1" applyFill="1" applyBorder="1" applyAlignment="1" applyProtection="1">
      <alignment horizontal="right"/>
      <protection locked="0"/>
    </xf>
    <xf numFmtId="3" fontId="45" fillId="0" borderId="1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3" fontId="45" fillId="0" borderId="6" xfId="845"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0" fontId="16" fillId="8" borderId="0" xfId="0" applyFont="1" applyFill="1" applyBorder="1" applyAlignment="1">
      <alignment horizontal="center"/>
    </xf>
    <xf numFmtId="0" fontId="16"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6"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5" fillId="0" borderId="11" xfId="0" applyFont="1" applyFill="1" applyBorder="1" applyAlignment="1" applyProtection="1">
      <alignment horizontal="center"/>
      <protection locked="0"/>
    </xf>
    <xf numFmtId="0" fontId="45" fillId="0" borderId="12" xfId="0" applyFont="1" applyFill="1" applyBorder="1" applyAlignment="1" applyProtection="1">
      <alignment horizontal="center"/>
      <protection locked="0"/>
    </xf>
    <xf numFmtId="0" fontId="45" fillId="0" borderId="5" xfId="0" applyFont="1" applyFill="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0" borderId="1" xfId="0" applyFont="1" applyFill="1" applyBorder="1" applyAlignment="1" applyProtection="1">
      <alignment horizontal="center"/>
      <protection locked="0"/>
    </xf>
    <xf numFmtId="0" fontId="45" fillId="0" borderId="14" xfId="0" applyFont="1" applyFill="1" applyBorder="1" applyAlignment="1" applyProtection="1">
      <alignment horizontal="center"/>
      <protection locked="0"/>
    </xf>
    <xf numFmtId="0" fontId="45" fillId="0" borderId="15" xfId="0"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72" fillId="0" borderId="1" xfId="0" applyNumberFormat="1" applyFont="1" applyFill="1" applyBorder="1" applyAlignment="1" applyProtection="1">
      <alignment horizontal="center"/>
      <protection locked="0"/>
    </xf>
    <xf numFmtId="0" fontId="72" fillId="0" borderId="14" xfId="0" applyNumberFormat="1" applyFont="1" applyFill="1" applyBorder="1" applyAlignment="1" applyProtection="1">
      <alignment horizontal="center"/>
      <protection locked="0"/>
    </xf>
    <xf numFmtId="0" fontId="72" fillId="0" borderId="15" xfId="0" applyNumberFormat="1" applyFont="1" applyFill="1" applyBorder="1" applyAlignment="1" applyProtection="1">
      <alignment horizontal="center"/>
      <protection locked="0"/>
    </xf>
    <xf numFmtId="0" fontId="72" fillId="0" borderId="11" xfId="0" applyNumberFormat="1" applyFont="1" applyFill="1" applyBorder="1" applyAlignment="1" applyProtection="1">
      <alignment horizontal="center"/>
      <protection locked="0"/>
    </xf>
    <xf numFmtId="0" fontId="72" fillId="0" borderId="12" xfId="0" applyNumberFormat="1" applyFont="1" applyFill="1" applyBorder="1" applyAlignment="1" applyProtection="1">
      <alignment horizontal="center"/>
      <protection locked="0"/>
    </xf>
    <xf numFmtId="0" fontId="72" fillId="0" borderId="5" xfId="0" applyNumberFormat="1" applyFont="1" applyFill="1" applyBorder="1" applyAlignment="1" applyProtection="1">
      <alignment horizontal="center"/>
      <protection locked="0"/>
    </xf>
    <xf numFmtId="0" fontId="45" fillId="0" borderId="1" xfId="7" applyFont="1" applyBorder="1" applyAlignment="1" applyProtection="1">
      <alignment horizontal="center"/>
      <protection locked="0"/>
    </xf>
    <xf numFmtId="0" fontId="45" fillId="0" borderId="14" xfId="7" applyFont="1" applyBorder="1" applyAlignment="1" applyProtection="1">
      <alignment horizontal="center"/>
      <protection locked="0"/>
    </xf>
    <xf numFmtId="0" fontId="45" fillId="0" borderId="15" xfId="7" applyFont="1" applyBorder="1" applyAlignment="1" applyProtection="1">
      <alignment horizontal="center"/>
      <protection locked="0"/>
    </xf>
    <xf numFmtId="0" fontId="45" fillId="0" borderId="1" xfId="7" applyFont="1" applyFill="1" applyBorder="1" applyAlignment="1" applyProtection="1">
      <alignment horizontal="center"/>
      <protection locked="0"/>
    </xf>
    <xf numFmtId="0" fontId="45" fillId="0" borderId="14" xfId="7" applyFont="1" applyFill="1" applyBorder="1" applyAlignment="1" applyProtection="1">
      <alignment horizontal="center"/>
      <protection locked="0"/>
    </xf>
    <xf numFmtId="0" fontId="45" fillId="0" borderId="15" xfId="7" applyFont="1" applyFill="1" applyBorder="1" applyAlignment="1" applyProtection="1">
      <alignment horizontal="center"/>
      <protection locked="0"/>
    </xf>
    <xf numFmtId="0" fontId="45" fillId="0" borderId="11" xfId="7" applyFont="1" applyBorder="1" applyAlignment="1" applyProtection="1">
      <alignment horizontal="center"/>
      <protection locked="0"/>
    </xf>
    <xf numFmtId="0" fontId="45" fillId="0" borderId="12" xfId="7" applyFont="1" applyBorder="1" applyAlignment="1" applyProtection="1">
      <alignment horizontal="center"/>
      <protection locked="0"/>
    </xf>
    <xf numFmtId="0" fontId="45" fillId="0" borderId="5" xfId="7" applyFont="1" applyBorder="1" applyAlignment="1" applyProtection="1">
      <alignment horizontal="center"/>
      <protection locked="0"/>
    </xf>
    <xf numFmtId="0" fontId="45" fillId="0" borderId="11" xfId="7" applyFont="1" applyFill="1" applyBorder="1" applyAlignment="1" applyProtection="1">
      <alignment horizontal="center"/>
      <protection locked="0"/>
    </xf>
    <xf numFmtId="0" fontId="45" fillId="0" borderId="12" xfId="7" applyFont="1" applyFill="1" applyBorder="1" applyAlignment="1" applyProtection="1">
      <alignment horizontal="center"/>
      <protection locked="0"/>
    </xf>
    <xf numFmtId="0" fontId="45" fillId="0" borderId="5" xfId="7" applyFont="1" applyFill="1" applyBorder="1" applyAlignment="1" applyProtection="1">
      <alignment horizontal="center"/>
      <protection locked="0"/>
    </xf>
    <xf numFmtId="0" fontId="45" fillId="4" borderId="0" xfId="7" applyFont="1" applyFill="1" applyAlignment="1" applyProtection="1">
      <alignment horizontal="center"/>
      <protection locked="0"/>
    </xf>
    <xf numFmtId="0" fontId="68" fillId="0" borderId="0" xfId="0" applyFont="1" applyAlignment="1">
      <alignment horizontal="left" vertical="top" wrapText="1" readingOrder="1"/>
    </xf>
  </cellXfs>
  <cellStyles count="852">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2 2" xfId="851" xr:uid="{1C7488BD-D0A7-4BD6-89BE-682016A3202E}"/>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4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2022</c:v>
                </c:pt>
              </c:strCache>
            </c:strRef>
          </c:tx>
          <c:invertIfNegative val="0"/>
          <c:cat>
            <c:strRef>
              <c:f>Figurer!$L$8:$L$31</c:f>
              <c:strCache>
                <c:ptCount val="24"/>
                <c:pt idx="0">
                  <c:v>Storebrand Danica P</c:v>
                </c:pt>
                <c:pt idx="1">
                  <c:v>DNB Liv</c:v>
                </c:pt>
                <c:pt idx="2">
                  <c:v>Eika Forsikring</c:v>
                </c:pt>
                <c:pt idx="3">
                  <c:v>Euro Accident</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Protector Fors</c:v>
                </c:pt>
                <c:pt idx="18">
                  <c:v>SpareBank 1 Forsikring</c:v>
                </c:pt>
                <c:pt idx="19">
                  <c:v>Storebrand Liv</c:v>
                </c:pt>
                <c:pt idx="20">
                  <c:v>Telenor Fors</c:v>
                </c:pt>
                <c:pt idx="21">
                  <c:v>Tryg Fors</c:v>
                </c:pt>
                <c:pt idx="22">
                  <c:v>WaterCircles Fors.</c:v>
                </c:pt>
                <c:pt idx="23">
                  <c:v>Youplus Livsf</c:v>
                </c:pt>
              </c:strCache>
            </c:strRef>
          </c:cat>
          <c:val>
            <c:numRef>
              <c:f>Figurer!$M$8:$M$31</c:f>
              <c:numCache>
                <c:formatCode>#,##0</c:formatCode>
                <c:ptCount val="24"/>
                <c:pt idx="0">
                  <c:v>337291.24852000002</c:v>
                </c:pt>
                <c:pt idx="1">
                  <c:v>2702411</c:v>
                </c:pt>
                <c:pt idx="2">
                  <c:v>335934</c:v>
                </c:pt>
                <c:pt idx="3">
                  <c:v>26920</c:v>
                </c:pt>
                <c:pt idx="4">
                  <c:v>2472117.6320799999</c:v>
                </c:pt>
                <c:pt idx="5">
                  <c:v>507793</c:v>
                </c:pt>
                <c:pt idx="6">
                  <c:v>6370.085</c:v>
                </c:pt>
                <c:pt idx="7">
                  <c:v>1802206.75</c:v>
                </c:pt>
                <c:pt idx="8">
                  <c:v>625492</c:v>
                </c:pt>
                <c:pt idx="9">
                  <c:v>37716.661089999994</c:v>
                </c:pt>
                <c:pt idx="10">
                  <c:v>461957.49523765099</c:v>
                </c:pt>
                <c:pt idx="11">
                  <c:v>40116042.616570003</c:v>
                </c:pt>
                <c:pt idx="12">
                  <c:v>293311.63199999998</c:v>
                </c:pt>
                <c:pt idx="13">
                  <c:v>28431</c:v>
                </c:pt>
                <c:pt idx="14">
                  <c:v>16353.946</c:v>
                </c:pt>
                <c:pt idx="15">
                  <c:v>1272563.1350929129</c:v>
                </c:pt>
                <c:pt idx="16">
                  <c:v>7048000</c:v>
                </c:pt>
                <c:pt idx="17">
                  <c:v>338102.51378736005</c:v>
                </c:pt>
                <c:pt idx="18">
                  <c:v>621880.97281000006</c:v>
                </c:pt>
                <c:pt idx="19">
                  <c:v>5192979.767</c:v>
                </c:pt>
                <c:pt idx="20">
                  <c:v>0</c:v>
                </c:pt>
                <c:pt idx="21">
                  <c:v>636479</c:v>
                </c:pt>
                <c:pt idx="22">
                  <c:v>2123</c:v>
                </c:pt>
                <c:pt idx="23">
                  <c:v>3579</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2023</c:v>
                </c:pt>
              </c:strCache>
            </c:strRef>
          </c:tx>
          <c:invertIfNegative val="0"/>
          <c:cat>
            <c:strRef>
              <c:f>Figurer!$L$8:$L$31</c:f>
              <c:strCache>
                <c:ptCount val="24"/>
                <c:pt idx="0">
                  <c:v>Storebrand Danica P</c:v>
                </c:pt>
                <c:pt idx="1">
                  <c:v>DNB Liv</c:v>
                </c:pt>
                <c:pt idx="2">
                  <c:v>Eika Forsikring</c:v>
                </c:pt>
                <c:pt idx="3">
                  <c:v>Euro Accident</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Protector Fors</c:v>
                </c:pt>
                <c:pt idx="18">
                  <c:v>SpareBank 1 Forsikring</c:v>
                </c:pt>
                <c:pt idx="19">
                  <c:v>Storebrand Liv</c:v>
                </c:pt>
                <c:pt idx="20">
                  <c:v>Telenor Fors</c:v>
                </c:pt>
                <c:pt idx="21">
                  <c:v>Tryg Fors</c:v>
                </c:pt>
                <c:pt idx="22">
                  <c:v>WaterCircles Fors.</c:v>
                </c:pt>
                <c:pt idx="23">
                  <c:v>Youplus Livsf</c:v>
                </c:pt>
              </c:strCache>
            </c:strRef>
          </c:cat>
          <c:val>
            <c:numRef>
              <c:f>Figurer!$N$8:$N$31</c:f>
              <c:numCache>
                <c:formatCode>#,##0</c:formatCode>
                <c:ptCount val="24"/>
                <c:pt idx="0">
                  <c:v>0</c:v>
                </c:pt>
                <c:pt idx="1">
                  <c:v>2668490</c:v>
                </c:pt>
                <c:pt idx="2">
                  <c:v>419288</c:v>
                </c:pt>
                <c:pt idx="3">
                  <c:v>42908</c:v>
                </c:pt>
                <c:pt idx="4">
                  <c:v>2646203.67337</c:v>
                </c:pt>
                <c:pt idx="5">
                  <c:v>558666</c:v>
                </c:pt>
                <c:pt idx="6">
                  <c:v>6433.6</c:v>
                </c:pt>
                <c:pt idx="7">
                  <c:v>1932975.6639999999</c:v>
                </c:pt>
                <c:pt idx="8">
                  <c:v>709364</c:v>
                </c:pt>
                <c:pt idx="9">
                  <c:v>0</c:v>
                </c:pt>
                <c:pt idx="10">
                  <c:v>512230.04208588699</c:v>
                </c:pt>
                <c:pt idx="11">
                  <c:v>59728575.081890002</c:v>
                </c:pt>
                <c:pt idx="12">
                  <c:v>312830.96100000001</c:v>
                </c:pt>
                <c:pt idx="13">
                  <c:v>29620</c:v>
                </c:pt>
                <c:pt idx="14">
                  <c:v>21105.620999999999</c:v>
                </c:pt>
                <c:pt idx="15">
                  <c:v>1396771.9333553389</c:v>
                </c:pt>
                <c:pt idx="16">
                  <c:v>9303000</c:v>
                </c:pt>
                <c:pt idx="17">
                  <c:v>364919.81156887702</c:v>
                </c:pt>
                <c:pt idx="18">
                  <c:v>672776.47189000004</c:v>
                </c:pt>
                <c:pt idx="19">
                  <c:v>6718868.0755500002</c:v>
                </c:pt>
                <c:pt idx="20">
                  <c:v>10042</c:v>
                </c:pt>
                <c:pt idx="21">
                  <c:v>773050</c:v>
                </c:pt>
                <c:pt idx="22">
                  <c:v>1778.3699000000001</c:v>
                </c:pt>
                <c:pt idx="23">
                  <c:v>16904</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2022</c:v>
                </c:pt>
              </c:strCache>
            </c:strRef>
          </c:tx>
          <c:invertIfNegative val="0"/>
          <c:cat>
            <c:strRef>
              <c:f>Figurer!$L$36:$L$43</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Figurer!$M$36:$M$43</c:f>
              <c:numCache>
                <c:formatCode>#,##0</c:formatCode>
                <c:ptCount val="8"/>
                <c:pt idx="0">
                  <c:v>1811787.2900899998</c:v>
                </c:pt>
                <c:pt idx="1">
                  <c:v>9504232</c:v>
                </c:pt>
                <c:pt idx="2">
                  <c:v>3199959</c:v>
                </c:pt>
                <c:pt idx="3">
                  <c:v>131709.47200000001</c:v>
                </c:pt>
                <c:pt idx="4">
                  <c:v>10389567.608209999</c:v>
                </c:pt>
                <c:pt idx="5">
                  <c:v>82933.019990000015</c:v>
                </c:pt>
                <c:pt idx="6">
                  <c:v>4592774.7892099991</c:v>
                </c:pt>
                <c:pt idx="7">
                  <c:v>9839028.0860000011</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2023</c:v>
                </c:pt>
              </c:strCache>
            </c:strRef>
          </c:tx>
          <c:invertIfNegative val="0"/>
          <c:cat>
            <c:strRef>
              <c:f>Figurer!$L$36:$L$43</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Figurer!$N$36:$N$43</c:f>
              <c:numCache>
                <c:formatCode>#,##0</c:formatCode>
                <c:ptCount val="8"/>
                <c:pt idx="0">
                  <c:v>0</c:v>
                </c:pt>
                <c:pt idx="1">
                  <c:v>10894333</c:v>
                </c:pt>
                <c:pt idx="2">
                  <c:v>3973127</c:v>
                </c:pt>
                <c:pt idx="3">
                  <c:v>212341.89300000001</c:v>
                </c:pt>
                <c:pt idx="4">
                  <c:v>11926469.427130001</c:v>
                </c:pt>
                <c:pt idx="5">
                  <c:v>0</c:v>
                </c:pt>
                <c:pt idx="6">
                  <c:v>5140181.3108099997</c:v>
                </c:pt>
                <c:pt idx="7">
                  <c:v>12946913.08986</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Figurer!$M$54</c:f>
              <c:strCache>
                <c:ptCount val="1"/>
                <c:pt idx="0">
                  <c:v>2022</c:v>
                </c:pt>
              </c:strCache>
            </c:strRef>
          </c:tx>
          <c:invertIfNegative val="0"/>
          <c:cat>
            <c:strRef>
              <c:f>Figurer!$L$55:$L$76</c:f>
              <c:strCache>
                <c:ptCount val="22"/>
                <c:pt idx="0">
                  <c:v>Storebrand Danica P</c:v>
                </c:pt>
                <c:pt idx="1">
                  <c:v>DNB Liv</c:v>
                </c:pt>
                <c:pt idx="2">
                  <c:v>Eika Forsikring</c:v>
                </c:pt>
                <c:pt idx="3">
                  <c:v>Euro Accident</c:v>
                </c:pt>
                <c:pt idx="4">
                  <c:v>Fremtind Livsfors</c:v>
                </c:pt>
                <c:pt idx="5">
                  <c:v>Frende Livsfors</c:v>
                </c:pt>
                <c:pt idx="6">
                  <c:v>Gjensidige Fors</c:v>
                </c:pt>
                <c:pt idx="7">
                  <c:v>Gjensidige Pensj</c:v>
                </c:pt>
                <c:pt idx="8">
                  <c:v>Handelsb Liv</c:v>
                </c:pt>
                <c:pt idx="9">
                  <c:v>If Skadefors</c:v>
                </c:pt>
                <c:pt idx="10">
                  <c:v>KLP</c:v>
                </c:pt>
                <c:pt idx="11">
                  <c:v>KLP Skadef</c:v>
                </c:pt>
                <c:pt idx="12">
                  <c:v>Landkreditt Fors</c:v>
                </c:pt>
                <c:pt idx="13">
                  <c:v>Ly Forsikring</c:v>
                </c:pt>
                <c:pt idx="14">
                  <c:v>Nordea Liv</c:v>
                </c:pt>
                <c:pt idx="15">
                  <c:v>OPF</c:v>
                </c:pt>
                <c:pt idx="16">
                  <c:v>SpareBank 1 Forsikring</c:v>
                </c:pt>
                <c:pt idx="17">
                  <c:v>Storebrand Liv</c:v>
                </c:pt>
                <c:pt idx="18">
                  <c:v>Telenor Forsikring</c:v>
                </c:pt>
                <c:pt idx="19">
                  <c:v>Tryg Forsikring</c:v>
                </c:pt>
                <c:pt idx="20">
                  <c:v>WaterCicles Fors.</c:v>
                </c:pt>
                <c:pt idx="21">
                  <c:v>Youplus Livsf</c:v>
                </c:pt>
              </c:strCache>
            </c:strRef>
          </c:cat>
          <c:val>
            <c:numRef>
              <c:f>Figurer!$M$55:$M$76</c:f>
              <c:numCache>
                <c:formatCode>#,##0</c:formatCode>
                <c:ptCount val="22"/>
                <c:pt idx="0">
                  <c:v>1511060.2339999999</c:v>
                </c:pt>
                <c:pt idx="1">
                  <c:v>189898877.81169999</c:v>
                </c:pt>
                <c:pt idx="2">
                  <c:v>0</c:v>
                </c:pt>
                <c:pt idx="3">
                  <c:v>0</c:v>
                </c:pt>
                <c:pt idx="4">
                  <c:v>4663711.9526500003</c:v>
                </c:pt>
                <c:pt idx="5">
                  <c:v>1264435</c:v>
                </c:pt>
                <c:pt idx="6">
                  <c:v>0</c:v>
                </c:pt>
                <c:pt idx="7">
                  <c:v>8716977</c:v>
                </c:pt>
                <c:pt idx="8">
                  <c:v>1519.5954100000001</c:v>
                </c:pt>
                <c:pt idx="9">
                  <c:v>0</c:v>
                </c:pt>
                <c:pt idx="10">
                  <c:v>639219292.35275996</c:v>
                </c:pt>
                <c:pt idx="11">
                  <c:v>99044.30799999999</c:v>
                </c:pt>
                <c:pt idx="12">
                  <c:v>0</c:v>
                </c:pt>
                <c:pt idx="13">
                  <c:v>0</c:v>
                </c:pt>
                <c:pt idx="14">
                  <c:v>54880190.000008784</c:v>
                </c:pt>
                <c:pt idx="15">
                  <c:v>85289000</c:v>
                </c:pt>
                <c:pt idx="16">
                  <c:v>20801168.00575</c:v>
                </c:pt>
                <c:pt idx="17">
                  <c:v>200165633.33700004</c:v>
                </c:pt>
                <c:pt idx="18">
                  <c:v>0</c:v>
                </c:pt>
                <c:pt idx="19">
                  <c:v>0</c:v>
                </c:pt>
                <c:pt idx="20">
                  <c:v>0</c:v>
                </c:pt>
                <c:pt idx="21">
                  <c:v>3017</c:v>
                </c:pt>
              </c:numCache>
            </c:numRef>
          </c:val>
          <c:extLst>
            <c:ext xmlns:c16="http://schemas.microsoft.com/office/drawing/2014/chart" uri="{C3380CC4-5D6E-409C-BE32-E72D297353CC}">
              <c16:uniqueId val="{00000000-F5D7-4882-A9B6-45C2F0317A05}"/>
            </c:ext>
          </c:extLst>
        </c:ser>
        <c:ser>
          <c:idx val="1"/>
          <c:order val="1"/>
          <c:tx>
            <c:strRef>
              <c:f>Figurer!$N$54</c:f>
              <c:strCache>
                <c:ptCount val="1"/>
                <c:pt idx="0">
                  <c:v>2023</c:v>
                </c:pt>
              </c:strCache>
            </c:strRef>
          </c:tx>
          <c:invertIfNegative val="0"/>
          <c:cat>
            <c:strRef>
              <c:f>Figurer!$L$55:$L$76</c:f>
              <c:strCache>
                <c:ptCount val="22"/>
                <c:pt idx="0">
                  <c:v>Storebrand Danica P</c:v>
                </c:pt>
                <c:pt idx="1">
                  <c:v>DNB Liv</c:v>
                </c:pt>
                <c:pt idx="2">
                  <c:v>Eika Forsikring</c:v>
                </c:pt>
                <c:pt idx="3">
                  <c:v>Euro Accident</c:v>
                </c:pt>
                <c:pt idx="4">
                  <c:v>Fremtind Livsfors</c:v>
                </c:pt>
                <c:pt idx="5">
                  <c:v>Frende Livsfors</c:v>
                </c:pt>
                <c:pt idx="6">
                  <c:v>Gjensidige Fors</c:v>
                </c:pt>
                <c:pt idx="7">
                  <c:v>Gjensidige Pensj</c:v>
                </c:pt>
                <c:pt idx="8">
                  <c:v>Handelsb Liv</c:v>
                </c:pt>
                <c:pt idx="9">
                  <c:v>If Skadefors</c:v>
                </c:pt>
                <c:pt idx="10">
                  <c:v>KLP</c:v>
                </c:pt>
                <c:pt idx="11">
                  <c:v>KLP Skadef</c:v>
                </c:pt>
                <c:pt idx="12">
                  <c:v>Landkreditt Fors</c:v>
                </c:pt>
                <c:pt idx="13">
                  <c:v>Ly Forsikring</c:v>
                </c:pt>
                <c:pt idx="14">
                  <c:v>Nordea Liv</c:v>
                </c:pt>
                <c:pt idx="15">
                  <c:v>OPF</c:v>
                </c:pt>
                <c:pt idx="16">
                  <c:v>SpareBank 1 Forsikring</c:v>
                </c:pt>
                <c:pt idx="17">
                  <c:v>Storebrand Liv</c:v>
                </c:pt>
                <c:pt idx="18">
                  <c:v>Telenor Forsikring</c:v>
                </c:pt>
                <c:pt idx="19">
                  <c:v>Tryg Forsikring</c:v>
                </c:pt>
                <c:pt idx="20">
                  <c:v>WaterCicles Fors.</c:v>
                </c:pt>
                <c:pt idx="21">
                  <c:v>Youplus Livsf</c:v>
                </c:pt>
              </c:strCache>
            </c:strRef>
          </c:cat>
          <c:val>
            <c:numRef>
              <c:f>Figurer!$N$55:$N$76</c:f>
              <c:numCache>
                <c:formatCode>#,##0</c:formatCode>
                <c:ptCount val="22"/>
                <c:pt idx="0">
                  <c:v>0</c:v>
                </c:pt>
                <c:pt idx="1">
                  <c:v>183219364</c:v>
                </c:pt>
                <c:pt idx="2">
                  <c:v>0</c:v>
                </c:pt>
                <c:pt idx="3">
                  <c:v>0</c:v>
                </c:pt>
                <c:pt idx="4">
                  <c:v>5178287.9737800006</c:v>
                </c:pt>
                <c:pt idx="5">
                  <c:v>1615536</c:v>
                </c:pt>
                <c:pt idx="6">
                  <c:v>0</c:v>
                </c:pt>
                <c:pt idx="7">
                  <c:v>11976354</c:v>
                </c:pt>
                <c:pt idx="8">
                  <c:v>0</c:v>
                </c:pt>
                <c:pt idx="9">
                  <c:v>0</c:v>
                </c:pt>
                <c:pt idx="10">
                  <c:v>701899868.41477001</c:v>
                </c:pt>
                <c:pt idx="11">
                  <c:v>127284.87</c:v>
                </c:pt>
                <c:pt idx="12">
                  <c:v>0</c:v>
                </c:pt>
                <c:pt idx="13">
                  <c:v>0</c:v>
                </c:pt>
                <c:pt idx="14">
                  <c:v>54295670.000003412</c:v>
                </c:pt>
                <c:pt idx="15">
                  <c:v>91739000</c:v>
                </c:pt>
                <c:pt idx="16">
                  <c:v>19517824.671259999</c:v>
                </c:pt>
                <c:pt idx="17">
                  <c:v>204439320.96447003</c:v>
                </c:pt>
                <c:pt idx="18">
                  <c:v>0</c:v>
                </c:pt>
                <c:pt idx="19">
                  <c:v>0</c:v>
                </c:pt>
                <c:pt idx="20">
                  <c:v>0</c:v>
                </c:pt>
                <c:pt idx="21">
                  <c:v>13865</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Figurer!$M$80</c:f>
              <c:strCache>
                <c:ptCount val="1"/>
                <c:pt idx="0">
                  <c:v>2022</c:v>
                </c:pt>
              </c:strCache>
            </c:strRef>
          </c:tx>
          <c:invertIfNegative val="0"/>
          <c:cat>
            <c:strRef>
              <c:f>Figurer!$L$81:$L$88</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Figurer!$M$81:$M$88</c:f>
              <c:numCache>
                <c:formatCode>#,##0</c:formatCode>
                <c:ptCount val="8"/>
                <c:pt idx="0">
                  <c:v>26046630.689800002</c:v>
                </c:pt>
                <c:pt idx="1">
                  <c:v>128365139</c:v>
                </c:pt>
                <c:pt idx="2">
                  <c:v>40928356</c:v>
                </c:pt>
                <c:pt idx="3">
                  <c:v>2548669.2979299999</c:v>
                </c:pt>
                <c:pt idx="4">
                  <c:v>112327400</c:v>
                </c:pt>
                <c:pt idx="5">
                  <c:v>2698313.8461000002</c:v>
                </c:pt>
                <c:pt idx="6">
                  <c:v>51982267.810209997</c:v>
                </c:pt>
                <c:pt idx="7">
                  <c:v>143649383.581</c:v>
                </c:pt>
              </c:numCache>
            </c:numRef>
          </c:val>
          <c:extLst>
            <c:ext xmlns:c16="http://schemas.microsoft.com/office/drawing/2014/chart" uri="{C3380CC4-5D6E-409C-BE32-E72D297353CC}">
              <c16:uniqueId val="{00000000-62B1-4395-80F9-424B1553CC96}"/>
            </c:ext>
          </c:extLst>
        </c:ser>
        <c:ser>
          <c:idx val="1"/>
          <c:order val="1"/>
          <c:tx>
            <c:strRef>
              <c:f>Figurer!$N$80</c:f>
              <c:strCache>
                <c:ptCount val="1"/>
                <c:pt idx="0">
                  <c:v>2023</c:v>
                </c:pt>
              </c:strCache>
            </c:strRef>
          </c:tx>
          <c:invertIfNegative val="0"/>
          <c:cat>
            <c:strRef>
              <c:f>Figurer!$L$81:$L$88</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Figurer!$N$81:$N$88</c:f>
              <c:numCache>
                <c:formatCode>#,##0</c:formatCode>
                <c:ptCount val="8"/>
                <c:pt idx="0">
                  <c:v>0</c:v>
                </c:pt>
                <c:pt idx="1">
                  <c:v>155131325</c:v>
                </c:pt>
                <c:pt idx="2">
                  <c:v>55439027</c:v>
                </c:pt>
                <c:pt idx="3">
                  <c:v>2854115.91493</c:v>
                </c:pt>
                <c:pt idx="4">
                  <c:v>135812760</c:v>
                </c:pt>
                <c:pt idx="5">
                  <c:v>0</c:v>
                </c:pt>
                <c:pt idx="6">
                  <c:v>64667976.779430002</c:v>
                </c:pt>
                <c:pt idx="7">
                  <c:v>196673849.63398999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Figurer!$M$104</c:f>
              <c:strCache>
                <c:ptCount val="1"/>
                <c:pt idx="0">
                  <c:v>2022</c:v>
                </c:pt>
              </c:strCache>
            </c:strRef>
          </c:tx>
          <c:invertIfNegative val="0"/>
          <c:cat>
            <c:strRef>
              <c:f>Figurer!$L$105:$L$111</c:f>
              <c:strCache>
                <c:ptCount val="7"/>
                <c:pt idx="0">
                  <c:v>Storebrand Danica P</c:v>
                </c:pt>
                <c:pt idx="1">
                  <c:v>DNB Liv</c:v>
                </c:pt>
                <c:pt idx="2">
                  <c:v>Gjensidige Pensj</c:v>
                </c:pt>
                <c:pt idx="3">
                  <c:v>KLP</c:v>
                </c:pt>
                <c:pt idx="4">
                  <c:v>Nordea Liv</c:v>
                </c:pt>
                <c:pt idx="5">
                  <c:v>SpareBank 1 Forsikring</c:v>
                </c:pt>
                <c:pt idx="6">
                  <c:v>Storebrand Liv</c:v>
                </c:pt>
              </c:strCache>
            </c:strRef>
          </c:cat>
          <c:val>
            <c:numRef>
              <c:f>Figurer!$M$105:$M$111</c:f>
              <c:numCache>
                <c:formatCode>#,##0</c:formatCode>
                <c:ptCount val="7"/>
                <c:pt idx="0">
                  <c:v>4710.6449899999971</c:v>
                </c:pt>
                <c:pt idx="1">
                  <c:v>130297</c:v>
                </c:pt>
                <c:pt idx="2">
                  <c:v>64683</c:v>
                </c:pt>
                <c:pt idx="3">
                  <c:v>-4649242.2290000003</c:v>
                </c:pt>
                <c:pt idx="4">
                  <c:v>-2551.8921399998189</c:v>
                </c:pt>
                <c:pt idx="5">
                  <c:v>-194276.14304</c:v>
                </c:pt>
                <c:pt idx="6">
                  <c:v>3516428.9570000004</c:v>
                </c:pt>
              </c:numCache>
            </c:numRef>
          </c:val>
          <c:extLst>
            <c:ext xmlns:c16="http://schemas.microsoft.com/office/drawing/2014/chart" uri="{C3380CC4-5D6E-409C-BE32-E72D297353CC}">
              <c16:uniqueId val="{00000000-2BF8-4278-857F-91A0E7196849}"/>
            </c:ext>
          </c:extLst>
        </c:ser>
        <c:ser>
          <c:idx val="1"/>
          <c:order val="1"/>
          <c:tx>
            <c:strRef>
              <c:f>Figurer!$N$104</c:f>
              <c:strCache>
                <c:ptCount val="1"/>
                <c:pt idx="0">
                  <c:v>2023</c:v>
                </c:pt>
              </c:strCache>
            </c:strRef>
          </c:tx>
          <c:invertIfNegative val="0"/>
          <c:cat>
            <c:strRef>
              <c:f>Figurer!$L$105:$L$111</c:f>
              <c:strCache>
                <c:ptCount val="7"/>
                <c:pt idx="0">
                  <c:v>Storebrand Danica P</c:v>
                </c:pt>
                <c:pt idx="1">
                  <c:v>DNB Liv</c:v>
                </c:pt>
                <c:pt idx="2">
                  <c:v>Gjensidige Pensj</c:v>
                </c:pt>
                <c:pt idx="3">
                  <c:v>KLP</c:v>
                </c:pt>
                <c:pt idx="4">
                  <c:v>Nordea Liv</c:v>
                </c:pt>
                <c:pt idx="5">
                  <c:v>SpareBank 1 Forsikring</c:v>
                </c:pt>
                <c:pt idx="6">
                  <c:v>Storebrand Liv</c:v>
                </c:pt>
              </c:strCache>
            </c:strRef>
          </c:cat>
          <c:val>
            <c:numRef>
              <c:f>Figurer!$N$105:$N$111</c:f>
              <c:numCache>
                <c:formatCode>#,##0</c:formatCode>
                <c:ptCount val="7"/>
                <c:pt idx="0">
                  <c:v>0</c:v>
                </c:pt>
                <c:pt idx="1">
                  <c:v>150113</c:v>
                </c:pt>
                <c:pt idx="2">
                  <c:v>50691</c:v>
                </c:pt>
                <c:pt idx="3">
                  <c:v>-2033658.524</c:v>
                </c:pt>
                <c:pt idx="4">
                  <c:v>-77105.449699999765</c:v>
                </c:pt>
                <c:pt idx="5">
                  <c:v>-21187.245729999999</c:v>
                </c:pt>
                <c:pt idx="6">
                  <c:v>841479.93484000012</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Figurer!$M$127</c:f>
              <c:strCache>
                <c:ptCount val="1"/>
                <c:pt idx="0">
                  <c:v>2022</c:v>
                </c:pt>
              </c:strCache>
            </c:strRef>
          </c:tx>
          <c:invertIfNegative val="0"/>
          <c:cat>
            <c:strRef>
              <c:f>Figurer!$L$128:$L$135</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Figurer!$M$128:$M$135</c:f>
              <c:numCache>
                <c:formatCode>#,##0</c:formatCode>
                <c:ptCount val="8"/>
                <c:pt idx="0">
                  <c:v>-414494.57355999993</c:v>
                </c:pt>
                <c:pt idx="1">
                  <c:v>-440667.45500000007</c:v>
                </c:pt>
                <c:pt idx="2">
                  <c:v>1855585</c:v>
                </c:pt>
                <c:pt idx="3">
                  <c:v>376440.52899999998</c:v>
                </c:pt>
                <c:pt idx="4">
                  <c:v>616541.34781999979</c:v>
                </c:pt>
                <c:pt idx="5">
                  <c:v>-20941.514959999997</c:v>
                </c:pt>
                <c:pt idx="6">
                  <c:v>-87746.892959999852</c:v>
                </c:pt>
                <c:pt idx="7">
                  <c:v>-3951398.4240000001</c:v>
                </c:pt>
              </c:numCache>
            </c:numRef>
          </c:val>
          <c:extLst>
            <c:ext xmlns:c16="http://schemas.microsoft.com/office/drawing/2014/chart" uri="{C3380CC4-5D6E-409C-BE32-E72D297353CC}">
              <c16:uniqueId val="{00000000-B400-4C26-965B-0553A4A37873}"/>
            </c:ext>
          </c:extLst>
        </c:ser>
        <c:ser>
          <c:idx val="1"/>
          <c:order val="1"/>
          <c:tx>
            <c:strRef>
              <c:f>Figurer!$N$127</c:f>
              <c:strCache>
                <c:ptCount val="1"/>
                <c:pt idx="0">
                  <c:v>2023</c:v>
                </c:pt>
              </c:strCache>
            </c:strRef>
          </c:tx>
          <c:invertIfNegative val="0"/>
          <c:cat>
            <c:strRef>
              <c:f>Figurer!$L$128:$L$135</c:f>
              <c:strCache>
                <c:ptCount val="8"/>
                <c:pt idx="0">
                  <c:v>Storebrand Danica P</c:v>
                </c:pt>
                <c:pt idx="1">
                  <c:v>DNB Liv</c:v>
                </c:pt>
                <c:pt idx="2">
                  <c:v>Gjensidige Pensj</c:v>
                </c:pt>
                <c:pt idx="3">
                  <c:v>KLP</c:v>
                </c:pt>
                <c:pt idx="4">
                  <c:v>Nordea Liv</c:v>
                </c:pt>
                <c:pt idx="5">
                  <c:v>SHB Liv</c:v>
                </c:pt>
                <c:pt idx="6">
                  <c:v>SpareBank 1 Forsikring</c:v>
                </c:pt>
                <c:pt idx="7">
                  <c:v>Storebrand Liv</c:v>
                </c:pt>
              </c:strCache>
            </c:strRef>
          </c:cat>
          <c:val>
            <c:numRef>
              <c:f>Figurer!$N$128:$N$135</c:f>
              <c:numCache>
                <c:formatCode>#,##0</c:formatCode>
                <c:ptCount val="8"/>
                <c:pt idx="0">
                  <c:v>0</c:v>
                </c:pt>
                <c:pt idx="1">
                  <c:v>-1469788</c:v>
                </c:pt>
                <c:pt idx="2">
                  <c:v>2542151</c:v>
                </c:pt>
                <c:pt idx="3">
                  <c:v>0</c:v>
                </c:pt>
                <c:pt idx="4">
                  <c:v>1816566.3781899996</c:v>
                </c:pt>
                <c:pt idx="5">
                  <c:v>0</c:v>
                </c:pt>
                <c:pt idx="6">
                  <c:v>-284342.11751000024</c:v>
                </c:pt>
                <c:pt idx="7">
                  <c:v>-4822592.5187099995</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389792</xdr:colOff>
      <xdr:row>15</xdr:row>
      <xdr:rowOff>381000</xdr:rowOff>
    </xdr:from>
    <xdr:to>
      <xdr:col>4</xdr:col>
      <xdr:colOff>598714</xdr:colOff>
      <xdr:row>17</xdr:row>
      <xdr:rowOff>137745</xdr:rowOff>
    </xdr:to>
    <xdr:sp macro="" textlink="">
      <xdr:nvSpPr>
        <xdr:cNvPr id="2" name="Text Box 6">
          <a:extLst>
            <a:ext uri="{FF2B5EF4-FFF2-40B4-BE49-F238E27FC236}">
              <a16:creationId xmlns:a16="http://schemas.microsoft.com/office/drawing/2014/main" id="{499D6C09-8686-4BF0-B91B-3858981A64B8}"/>
            </a:ext>
          </a:extLst>
        </xdr:cNvPr>
        <xdr:cNvSpPr txBox="1"/>
      </xdr:nvSpPr>
      <xdr:spPr>
        <a:xfrm>
          <a:off x="389792" y="3343275"/>
          <a:ext cx="3256922" cy="61399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2023 </a:t>
          </a:r>
          <a:r>
            <a:rPr lang="nb-NO" sz="1200">
              <a:effectLst/>
              <a:latin typeface="Arial"/>
              <a:ea typeface="ＭＳ 明朝"/>
              <a:cs typeface="Times New Roman"/>
            </a:rPr>
            <a:t>(20</a:t>
          </a:r>
          <a:r>
            <a:rPr lang="nb-NO" sz="1200">
              <a:solidFill>
                <a:schemeClr val="dk1"/>
              </a:solidFill>
              <a:effectLst/>
              <a:latin typeface="Arial"/>
              <a:ea typeface="ＭＳ 明朝"/>
              <a:cs typeface="Times New Roman"/>
            </a:rPr>
            <a:t>.11.2023</a:t>
          </a:r>
          <a:r>
            <a:rPr lang="nb-NO" sz="12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306161</xdr:colOff>
      <xdr:row>11</xdr:row>
      <xdr:rowOff>31750</xdr:rowOff>
    </xdr:from>
    <xdr:to>
      <xdr:col>12</xdr:col>
      <xdr:colOff>677636</xdr:colOff>
      <xdr:row>15</xdr:row>
      <xdr:rowOff>391583</xdr:rowOff>
    </xdr:to>
    <xdr:sp macro="" textlink="">
      <xdr:nvSpPr>
        <xdr:cNvPr id="3" name="Text Box 4">
          <a:extLst>
            <a:ext uri="{FF2B5EF4-FFF2-40B4-BE49-F238E27FC236}">
              <a16:creationId xmlns:a16="http://schemas.microsoft.com/office/drawing/2014/main" id="{4B1AAB3F-EC6D-47A5-BFC8-57614BB19A63}"/>
            </a:ext>
          </a:extLst>
        </xdr:cNvPr>
        <xdr:cNvSpPr txBox="1"/>
      </xdr:nvSpPr>
      <xdr:spPr>
        <a:xfrm>
          <a:off x="306161" y="2053167"/>
          <a:ext cx="9515475" cy="126999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Markedsandeler</a:t>
          </a:r>
        </a:p>
        <a:p>
          <a:pPr>
            <a:spcAft>
              <a:spcPts val="0"/>
            </a:spcAft>
          </a:pPr>
          <a:r>
            <a:rPr lang="nb-NO" sz="2200" b="0" baseline="0">
              <a:solidFill>
                <a:srgbClr val="005670"/>
              </a:solidFill>
              <a:effectLst/>
              <a:latin typeface="Arial"/>
              <a:ea typeface="ＭＳ 明朝"/>
              <a:cs typeface="Times New Roman"/>
            </a:rPr>
            <a:t> </a:t>
          </a:r>
          <a:r>
            <a:rPr lang="nb-NO" sz="2600" b="0" baseline="0">
              <a:solidFill>
                <a:srgbClr val="005670"/>
              </a:solidFill>
              <a:effectLst/>
              <a:latin typeface="Arial"/>
              <a:ea typeface="ＭＳ 明朝"/>
              <a:cs typeface="Times New Roman"/>
            </a:rPr>
            <a:t>- endelige tall og regnskapsstatistikk</a:t>
          </a:r>
          <a:r>
            <a:rPr lang="nb-NO" sz="2800" b="0">
              <a:solidFill>
                <a:srgbClr val="005670"/>
              </a:solidFill>
              <a:effectLst/>
              <a:latin typeface="Arial"/>
              <a:ea typeface="ＭＳ 明朝"/>
              <a:cs typeface="Times New Roman"/>
            </a:rPr>
            <a:t>	</a:t>
          </a:r>
          <a:endParaRPr lang="nb-NO" sz="1200" b="0">
            <a:solidFill>
              <a:srgbClr val="005670"/>
            </a:solidFill>
            <a:effectLst/>
            <a:ea typeface="ＭＳ 明朝"/>
            <a:cs typeface="Times New Roman"/>
          </a:endParaRPr>
        </a:p>
      </xdr:txBody>
    </xdr:sp>
    <xdr:clientData/>
  </xdr:twoCellAnchor>
  <xdr:twoCellAnchor editAs="oneCell">
    <xdr:from>
      <xdr:col>0</xdr:col>
      <xdr:colOff>419099</xdr:colOff>
      <xdr:row>1</xdr:row>
      <xdr:rowOff>79523</xdr:rowOff>
    </xdr:from>
    <xdr:to>
      <xdr:col>7</xdr:col>
      <xdr:colOff>21167</xdr:colOff>
      <xdr:row>8</xdr:row>
      <xdr:rowOff>127000</xdr:rowOff>
    </xdr:to>
    <xdr:pic>
      <xdr:nvPicPr>
        <xdr:cNvPr id="4" name="Bilde 7">
          <a:extLst>
            <a:ext uri="{FF2B5EF4-FFF2-40B4-BE49-F238E27FC236}">
              <a16:creationId xmlns:a16="http://schemas.microsoft.com/office/drawing/2014/main" id="{1A0320DA-F81B-48DC-A876-A2AA50D0DB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099" y="238273"/>
          <a:ext cx="4936068" cy="1296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Storebrand Danica Pensjonsforsikring</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 (skadeselskap)</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 (skadeselskap)</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Storebrand 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 Forsikring</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baseline="0">
              <a:solidFill>
                <a:schemeClr val="dk1"/>
              </a:solidFill>
              <a:effectLst/>
              <a:latin typeface="+mn-lt"/>
              <a:ea typeface="+mn-ea"/>
              <a:cs typeface="+mn-cs"/>
            </a:rPr>
            <a:t>Storebrand Danica Pensjonsforsikring</a:t>
          </a:r>
          <a:br>
            <a:rPr lang="nb-NO" sz="1100" baseline="0">
              <a:solidFill>
                <a:schemeClr val="dk1"/>
              </a:solidFill>
              <a:effectLst/>
              <a:latin typeface="+mn-lt"/>
              <a:ea typeface="+mn-ea"/>
              <a:cs typeface="+mn-cs"/>
            </a:rPr>
          </a:br>
          <a:r>
            <a:rPr lang="nb-NO" sz="1100" baseline="0">
              <a:solidFill>
                <a:schemeClr val="dk1"/>
              </a:solidFill>
              <a:effectLst/>
              <a:latin typeface="+mn-lt"/>
              <a:ea typeface="+mn-ea"/>
              <a:cs typeface="+mn-cs"/>
            </a:rPr>
            <a:t>I statistikken inngår selskapet i Storebrand Livsforsikring fra 1.kvartal 2023.</a:t>
          </a:r>
          <a:br>
            <a:rPr lang="nb-NO" sz="1100" baseline="0">
              <a:solidFill>
                <a:schemeClr val="dk1"/>
              </a:solidFill>
              <a:effectLst/>
              <a:latin typeface="+mn-lt"/>
              <a:ea typeface="+mn-ea"/>
              <a:cs typeface="+mn-cs"/>
            </a:rPr>
          </a:br>
          <a:endParaRPr lang="nb-NO">
            <a:effectLst/>
          </a:endParaRPr>
        </a:p>
        <a:p>
          <a:r>
            <a:rPr lang="nb-NO" sz="1100" u="sng">
              <a:solidFill>
                <a:schemeClr val="dk1"/>
              </a:solidFill>
              <a:effectLst/>
              <a:latin typeface="+mn-lt"/>
              <a:ea typeface="+mn-ea"/>
              <a:cs typeface="+mn-cs"/>
            </a:rPr>
            <a:t>Handelsbanken Liv</a:t>
          </a:r>
          <a:endParaRPr lang="nb-NO">
            <a:effectLst/>
          </a:endParaRPr>
        </a:p>
        <a:p>
          <a:r>
            <a:rPr lang="nb-NO" sz="1100">
              <a:solidFill>
                <a:schemeClr val="dk1"/>
              </a:solidFill>
              <a:effectLst/>
              <a:latin typeface="+mn-lt"/>
              <a:ea typeface="+mn-ea"/>
              <a:cs typeface="+mn-cs"/>
            </a:rPr>
            <a:t>Selskapet er</a:t>
          </a:r>
          <a:r>
            <a:rPr lang="nb-NO" sz="1100" baseline="0">
              <a:solidFill>
                <a:schemeClr val="dk1"/>
              </a:solidFill>
              <a:effectLst/>
              <a:latin typeface="+mn-lt"/>
              <a:ea typeface="+mn-ea"/>
              <a:cs typeface="+mn-cs"/>
            </a:rPr>
            <a:t> i prosess med å avvikle sin portefølje i det norske markedet og det alt vesentligste av denne ble solgt i 2022. Selskapet har fra 1.kvartal 2023 ikke rapportert tall til livstatistikken.</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SHB Liv</a:t>
          </a:r>
          <a:endParaRPr lang="nb-NO">
            <a:effectLst/>
          </a:endParaRPr>
        </a:p>
        <a:p>
          <a:r>
            <a:rPr lang="nb-NO" sz="1100">
              <a:solidFill>
                <a:schemeClr val="dk1"/>
              </a:solidFill>
              <a:effectLst/>
              <a:latin typeface="+mn-lt"/>
              <a:ea typeface="+mn-ea"/>
              <a:cs typeface="+mn-cs"/>
            </a:rPr>
            <a:t>Selskapet er</a:t>
          </a:r>
          <a:r>
            <a:rPr lang="nb-NO" sz="1100" baseline="0">
              <a:solidFill>
                <a:schemeClr val="dk1"/>
              </a:solidFill>
              <a:effectLst/>
              <a:latin typeface="+mn-lt"/>
              <a:ea typeface="+mn-ea"/>
              <a:cs typeface="+mn-cs"/>
            </a:rPr>
            <a:t> i prosess med å avvikle sin portefølje i det norske markedet og det alt vesentligste av denne ble solgt i 2022. Selskapet har fra 1.kvartal 2023 ikke rapportert tall til livstatistikken.</a:t>
          </a:r>
          <a:endParaRPr lang="nb-NO">
            <a:effectLst/>
          </a:endParaRPr>
        </a:p>
        <a:p>
          <a:pPr marL="0" indent="0"/>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2/Q3-22/Mottatte/SpareBank%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3/Q3-2023/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sheetData sheetId="1"/>
      <sheetData sheetId="2"/>
      <sheetData sheetId="3"/>
      <sheetData sheetId="4"/>
      <sheetData sheetId="5">
        <row r="68">
          <cell r="AF68">
            <v>4257.0320000000002</v>
          </cell>
        </row>
        <row r="71">
          <cell r="AF71">
            <v>1000</v>
          </cell>
        </row>
        <row r="74">
          <cell r="AF74">
            <v>1157.4960000000001</v>
          </cell>
        </row>
        <row r="75">
          <cell r="AF75">
            <v>2861.8960000000002</v>
          </cell>
        </row>
        <row r="78">
          <cell r="AF78"/>
        </row>
        <row r="80">
          <cell r="AF80">
            <v>22988.318654949999</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4972.6959999999999</v>
          </cell>
        </row>
        <row r="74">
          <cell r="AG74">
            <v>1022.149</v>
          </cell>
        </row>
        <row r="75">
          <cell r="AG75">
            <v>2245.5540000000001</v>
          </cell>
        </row>
        <row r="80">
          <cell r="AG80">
            <v>22890.641186910001</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F6A5-CA05-4275-B867-34D92981BF97}">
  <dimension ref="A1:M38"/>
  <sheetViews>
    <sheetView showGridLines="0" zoomScale="90" zoomScaleNormal="90" workbookViewId="0">
      <selection activeCell="E28" sqref="E28"/>
    </sheetView>
  </sheetViews>
  <sheetFormatPr baseColWidth="10" defaultRowHeight="12.75" x14ac:dyDescent="0.2"/>
  <cols>
    <col min="1" max="16384" width="11.42578125" style="125"/>
  </cols>
  <sheetData>
    <row r="1" spans="1:13" x14ac:dyDescent="0.2">
      <c r="A1" s="625"/>
      <c r="B1" s="625"/>
      <c r="C1" s="625"/>
      <c r="D1" s="625"/>
      <c r="E1" s="625"/>
      <c r="F1" s="625"/>
      <c r="G1" s="625"/>
      <c r="H1" s="625"/>
      <c r="I1" s="625"/>
      <c r="J1" s="625"/>
      <c r="K1" s="625"/>
      <c r="L1" s="625"/>
      <c r="M1" s="625"/>
    </row>
    <row r="2" spans="1:13" x14ac:dyDescent="0.2">
      <c r="A2" s="625"/>
      <c r="B2" s="625"/>
      <c r="C2" s="625"/>
      <c r="D2" s="625"/>
      <c r="E2" s="625"/>
      <c r="F2" s="625"/>
      <c r="G2" s="625"/>
      <c r="H2" s="625"/>
      <c r="I2" s="625"/>
      <c r="J2" s="625"/>
      <c r="K2" s="625"/>
      <c r="L2" s="625"/>
      <c r="M2" s="625"/>
    </row>
    <row r="3" spans="1:13" x14ac:dyDescent="0.2">
      <c r="A3" s="625"/>
      <c r="B3" s="625"/>
      <c r="C3" s="625"/>
      <c r="D3" s="625"/>
      <c r="E3" s="625"/>
      <c r="F3" s="625"/>
      <c r="G3" s="625"/>
      <c r="H3" s="625"/>
      <c r="I3" s="625"/>
      <c r="J3" s="625"/>
      <c r="K3" s="625"/>
      <c r="L3" s="625"/>
      <c r="M3" s="625"/>
    </row>
    <row r="4" spans="1:13" x14ac:dyDescent="0.2">
      <c r="A4" s="625"/>
      <c r="B4" s="625"/>
      <c r="C4" s="625"/>
      <c r="D4" s="625"/>
      <c r="E4" s="625"/>
      <c r="F4" s="625"/>
      <c r="G4" s="625"/>
      <c r="H4" s="625"/>
      <c r="I4" s="625"/>
      <c r="J4" s="625"/>
      <c r="K4" s="625"/>
      <c r="L4" s="625"/>
      <c r="M4" s="625"/>
    </row>
    <row r="5" spans="1:13" x14ac:dyDescent="0.2">
      <c r="A5" s="625"/>
      <c r="B5" s="626"/>
      <c r="C5" s="626"/>
      <c r="D5" s="626"/>
      <c r="E5" s="626"/>
      <c r="F5" s="626"/>
      <c r="G5" s="626"/>
      <c r="H5" s="626"/>
      <c r="I5" s="625"/>
      <c r="J5" s="625"/>
      <c r="K5" s="625"/>
      <c r="L5" s="625"/>
      <c r="M5" s="625"/>
    </row>
    <row r="6" spans="1:13" ht="23.25" x14ac:dyDescent="0.35">
      <c r="A6" s="625"/>
      <c r="B6" s="627"/>
      <c r="C6" s="626"/>
      <c r="D6" s="626"/>
      <c r="E6" s="626"/>
      <c r="F6" s="626"/>
      <c r="G6" s="626"/>
      <c r="H6" s="626"/>
      <c r="I6" s="628"/>
      <c r="J6" s="625"/>
      <c r="K6" s="625"/>
      <c r="L6" s="625"/>
      <c r="M6" s="625"/>
    </row>
    <row r="7" spans="1:13" x14ac:dyDescent="0.2">
      <c r="A7" s="625"/>
      <c r="B7" s="626"/>
      <c r="C7" s="626"/>
      <c r="D7" s="626"/>
      <c r="E7" s="626"/>
      <c r="F7" s="626"/>
      <c r="G7" s="626"/>
      <c r="H7" s="626"/>
      <c r="I7" s="626"/>
      <c r="J7" s="625"/>
      <c r="K7" s="625"/>
      <c r="L7" s="625"/>
      <c r="M7" s="625"/>
    </row>
    <row r="8" spans="1:13" x14ac:dyDescent="0.2">
      <c r="A8" s="625"/>
      <c r="B8" s="626"/>
      <c r="C8" s="626"/>
      <c r="D8" s="626"/>
      <c r="E8" s="625"/>
      <c r="F8" s="626"/>
      <c r="G8" s="626"/>
      <c r="H8" s="626"/>
      <c r="I8" s="625"/>
      <c r="J8" s="625"/>
      <c r="K8" s="625"/>
      <c r="L8" s="625"/>
      <c r="M8" s="625"/>
    </row>
    <row r="9" spans="1:13" x14ac:dyDescent="0.2">
      <c r="A9" s="625"/>
      <c r="B9" s="626"/>
      <c r="C9" s="626"/>
      <c r="D9" s="626"/>
      <c r="E9" s="626"/>
      <c r="F9" s="626"/>
      <c r="G9" s="626"/>
      <c r="H9" s="626"/>
      <c r="I9" s="625"/>
      <c r="J9" s="625"/>
      <c r="K9" s="625"/>
      <c r="L9" s="625"/>
      <c r="M9" s="625"/>
    </row>
    <row r="10" spans="1:13" ht="23.25" x14ac:dyDescent="0.35">
      <c r="A10" s="625"/>
      <c r="B10" s="626"/>
      <c r="C10" s="626"/>
      <c r="D10" s="626"/>
      <c r="E10" s="625"/>
      <c r="F10" s="625"/>
      <c r="G10" s="625"/>
      <c r="H10" s="625"/>
      <c r="I10" s="628"/>
      <c r="J10" s="625"/>
      <c r="K10" s="625"/>
      <c r="L10" s="625"/>
      <c r="M10" s="625"/>
    </row>
    <row r="11" spans="1:13" x14ac:dyDescent="0.2">
      <c r="A11" s="625"/>
      <c r="B11" s="626"/>
      <c r="C11" s="626"/>
      <c r="D11" s="626"/>
      <c r="E11" s="625"/>
      <c r="F11" s="625"/>
      <c r="G11" s="625"/>
      <c r="H11" s="625"/>
      <c r="I11" s="625"/>
      <c r="J11" s="625"/>
      <c r="K11" s="625"/>
      <c r="L11" s="625"/>
      <c r="M11" s="625"/>
    </row>
    <row r="12" spans="1:13" ht="23.25" x14ac:dyDescent="0.35">
      <c r="A12" s="625"/>
      <c r="B12" s="626"/>
      <c r="C12" s="626"/>
      <c r="D12" s="626"/>
      <c r="E12" s="626"/>
      <c r="F12" s="626"/>
      <c r="G12" s="626"/>
      <c r="H12" s="626"/>
      <c r="I12" s="628"/>
      <c r="J12" s="625"/>
      <c r="K12" s="625"/>
      <c r="L12" s="625"/>
      <c r="M12" s="625"/>
    </row>
    <row r="13" spans="1:13" ht="23.25" x14ac:dyDescent="0.35">
      <c r="A13" s="625"/>
      <c r="B13" s="626"/>
      <c r="C13" s="629"/>
      <c r="D13" s="629"/>
      <c r="E13" s="629"/>
      <c r="F13" s="629"/>
      <c r="G13" s="629"/>
      <c r="H13" s="629"/>
      <c r="I13" s="628"/>
      <c r="J13" s="625"/>
      <c r="K13" s="625"/>
      <c r="L13" s="625"/>
      <c r="M13" s="625"/>
    </row>
    <row r="14" spans="1:13" x14ac:dyDescent="0.2">
      <c r="A14" s="625"/>
      <c r="B14" s="626"/>
      <c r="C14" s="626"/>
      <c r="D14" s="626"/>
      <c r="E14" s="625"/>
      <c r="F14" s="626"/>
      <c r="G14" s="626"/>
      <c r="H14" s="626"/>
      <c r="I14" s="625"/>
      <c r="J14" s="625"/>
      <c r="K14" s="625"/>
      <c r="L14" s="625"/>
      <c r="M14" s="625"/>
    </row>
    <row r="15" spans="1:13" x14ac:dyDescent="0.2">
      <c r="A15" s="625"/>
      <c r="B15" s="626"/>
      <c r="C15" s="626"/>
      <c r="D15" s="626"/>
      <c r="E15" s="625"/>
      <c r="F15" s="626"/>
      <c r="G15" s="626"/>
      <c r="H15" s="626"/>
      <c r="I15" s="626"/>
      <c r="J15" s="625"/>
      <c r="K15" s="625"/>
      <c r="L15" s="625"/>
      <c r="M15" s="625"/>
    </row>
    <row r="16" spans="1:13" ht="34.5" x14ac:dyDescent="0.45">
      <c r="A16" s="625"/>
      <c r="B16" s="626"/>
      <c r="C16" s="626"/>
      <c r="D16" s="626"/>
      <c r="E16" s="630"/>
      <c r="F16" s="626"/>
      <c r="G16" s="626"/>
      <c r="H16" s="626"/>
      <c r="I16" s="626"/>
      <c r="J16" s="625"/>
      <c r="K16" s="625"/>
      <c r="L16" s="625"/>
      <c r="M16" s="625"/>
    </row>
    <row r="17" spans="1:13" ht="33" x14ac:dyDescent="0.45">
      <c r="A17" s="625"/>
      <c r="B17" s="626"/>
      <c r="C17" s="626"/>
      <c r="D17" s="626"/>
      <c r="E17" s="631"/>
      <c r="F17" s="626"/>
      <c r="G17" s="626"/>
      <c r="H17" s="626"/>
      <c r="I17" s="626"/>
      <c r="J17" s="625"/>
      <c r="K17" s="625"/>
      <c r="L17" s="625"/>
      <c r="M17" s="625"/>
    </row>
    <row r="18" spans="1:13" ht="33" x14ac:dyDescent="0.45">
      <c r="A18" s="625"/>
      <c r="B18" s="625"/>
      <c r="C18" s="625"/>
      <c r="D18" s="631"/>
      <c r="E18" s="625"/>
      <c r="F18" s="625"/>
      <c r="G18" s="625"/>
      <c r="H18" s="625"/>
      <c r="I18" s="625"/>
      <c r="J18" s="625"/>
      <c r="K18" s="625"/>
      <c r="L18" s="625"/>
      <c r="M18" s="625"/>
    </row>
    <row r="19" spans="1:13" ht="18.75" x14ac:dyDescent="0.3">
      <c r="A19" s="625"/>
      <c r="B19" s="625"/>
      <c r="C19" s="625"/>
      <c r="D19" s="625"/>
      <c r="E19" s="632"/>
      <c r="F19" s="625"/>
      <c r="G19" s="625"/>
      <c r="H19" s="625"/>
      <c r="I19" s="633"/>
      <c r="J19" s="625"/>
      <c r="K19" s="625"/>
      <c r="L19" s="625"/>
      <c r="M19" s="625"/>
    </row>
    <row r="20" spans="1:13" x14ac:dyDescent="0.2">
      <c r="A20" s="625"/>
      <c r="B20" s="625"/>
      <c r="C20" s="625"/>
      <c r="D20" s="625"/>
      <c r="E20" s="625"/>
      <c r="F20" s="625"/>
      <c r="G20" s="625"/>
      <c r="H20" s="625"/>
      <c r="I20" s="625"/>
      <c r="J20" s="625"/>
      <c r="K20" s="625"/>
      <c r="L20" s="625"/>
      <c r="M20" s="625"/>
    </row>
    <row r="21" spans="1:13" x14ac:dyDescent="0.2">
      <c r="A21" s="625"/>
      <c r="B21" s="625"/>
      <c r="C21" s="625"/>
      <c r="D21" s="625"/>
      <c r="E21" s="634"/>
      <c r="F21" s="625"/>
      <c r="G21" s="625"/>
      <c r="H21" s="625"/>
      <c r="I21" s="625"/>
      <c r="J21" s="625"/>
      <c r="K21" s="625"/>
      <c r="L21" s="625"/>
      <c r="M21" s="625"/>
    </row>
    <row r="22" spans="1:13" ht="26.25" x14ac:dyDescent="0.4">
      <c r="A22" s="625"/>
      <c r="B22" s="625"/>
      <c r="C22" s="625"/>
      <c r="D22" s="625"/>
      <c r="E22" s="635"/>
      <c r="F22" s="625"/>
      <c r="G22" s="625"/>
      <c r="H22" s="625"/>
      <c r="I22" s="625"/>
      <c r="J22" s="625"/>
      <c r="K22" s="625"/>
      <c r="L22" s="625"/>
      <c r="M22" s="625"/>
    </row>
    <row r="23" spans="1:13" x14ac:dyDescent="0.2">
      <c r="A23" s="625"/>
      <c r="B23" s="625"/>
      <c r="C23" s="625"/>
      <c r="D23" s="625"/>
      <c r="E23" s="625"/>
      <c r="F23" s="625"/>
      <c r="G23" s="625"/>
      <c r="H23" s="625"/>
      <c r="I23" s="625"/>
      <c r="J23" s="625"/>
      <c r="K23" s="625"/>
      <c r="L23" s="625"/>
      <c r="M23" s="625"/>
    </row>
    <row r="24" spans="1:13" x14ac:dyDescent="0.2">
      <c r="A24" s="625"/>
      <c r="B24" s="625"/>
      <c r="C24" s="625"/>
      <c r="D24" s="625"/>
      <c r="E24" s="625"/>
      <c r="F24" s="625"/>
      <c r="G24" s="625"/>
      <c r="H24" s="625"/>
      <c r="I24" s="625"/>
      <c r="J24" s="625"/>
      <c r="K24" s="625"/>
      <c r="L24" s="625"/>
      <c r="M24" s="625"/>
    </row>
    <row r="25" spans="1:13" ht="18.75" x14ac:dyDescent="0.3">
      <c r="A25" s="625"/>
      <c r="B25" s="625"/>
      <c r="C25" s="625"/>
      <c r="D25" s="625"/>
      <c r="E25" s="636"/>
      <c r="F25" s="625"/>
      <c r="G25" s="625"/>
      <c r="H25" s="625"/>
      <c r="I25" s="625"/>
      <c r="J25" s="625"/>
      <c r="K25" s="625"/>
      <c r="L25" s="625"/>
      <c r="M25" s="625"/>
    </row>
    <row r="26" spans="1:13" ht="18.75" x14ac:dyDescent="0.3">
      <c r="A26" s="625"/>
      <c r="B26" s="625"/>
      <c r="C26" s="625"/>
      <c r="D26" s="625"/>
      <c r="E26" s="637"/>
      <c r="F26" s="625"/>
      <c r="G26" s="625"/>
      <c r="H26" s="625"/>
      <c r="I26" s="625"/>
      <c r="J26" s="625"/>
      <c r="K26" s="625"/>
      <c r="L26" s="625"/>
      <c r="M26" s="625"/>
    </row>
    <row r="27" spans="1:13" x14ac:dyDescent="0.2">
      <c r="A27" s="625"/>
      <c r="B27" s="625"/>
      <c r="C27" s="625"/>
      <c r="D27" s="625"/>
      <c r="E27" s="625"/>
      <c r="F27" s="625"/>
      <c r="G27" s="625"/>
      <c r="H27" s="625"/>
      <c r="I27" s="625"/>
      <c r="J27" s="625"/>
      <c r="K27" s="625"/>
      <c r="L27" s="625"/>
      <c r="M27" s="625"/>
    </row>
    <row r="28" spans="1:13" x14ac:dyDescent="0.2">
      <c r="A28" s="625"/>
      <c r="B28" s="625"/>
      <c r="C28" s="625"/>
      <c r="D28" s="629"/>
      <c r="E28" s="629"/>
      <c r="F28" s="629"/>
      <c r="G28" s="629"/>
      <c r="H28" s="629"/>
      <c r="I28" s="625"/>
      <c r="J28" s="625"/>
      <c r="K28" s="625"/>
      <c r="L28" s="625"/>
      <c r="M28" s="625"/>
    </row>
    <row r="29" spans="1:13" x14ac:dyDescent="0.2">
      <c r="A29" s="625"/>
      <c r="B29" s="625"/>
      <c r="C29" s="625"/>
      <c r="D29" s="625"/>
      <c r="E29" s="625"/>
      <c r="F29" s="625"/>
      <c r="G29" s="625"/>
      <c r="H29" s="625"/>
      <c r="I29" s="625"/>
      <c r="J29" s="625"/>
      <c r="K29" s="625"/>
      <c r="L29" s="625"/>
      <c r="M29" s="625"/>
    </row>
    <row r="30" spans="1:13" x14ac:dyDescent="0.2">
      <c r="A30" s="625"/>
      <c r="B30" s="625"/>
      <c r="C30" s="625"/>
      <c r="D30" s="625"/>
      <c r="E30" s="625"/>
      <c r="F30" s="625"/>
      <c r="G30" s="625"/>
      <c r="H30" s="625"/>
      <c r="I30" s="625"/>
      <c r="J30" s="625"/>
      <c r="K30" s="625"/>
      <c r="L30" s="625"/>
      <c r="M30" s="625"/>
    </row>
    <row r="31" spans="1:13" x14ac:dyDescent="0.2">
      <c r="A31" s="625"/>
      <c r="B31" s="625"/>
      <c r="C31" s="625"/>
      <c r="D31" s="625"/>
      <c r="E31" s="625"/>
      <c r="F31" s="625"/>
      <c r="G31" s="625"/>
      <c r="H31" s="625"/>
      <c r="I31" s="625"/>
      <c r="J31" s="625"/>
      <c r="K31" s="625"/>
      <c r="L31" s="625"/>
      <c r="M31" s="625"/>
    </row>
    <row r="32" spans="1:13" x14ac:dyDescent="0.2">
      <c r="A32" s="625"/>
      <c r="B32" s="625"/>
      <c r="C32" s="625"/>
      <c r="D32" s="625"/>
      <c r="E32" s="625"/>
      <c r="F32" s="625"/>
      <c r="G32" s="625"/>
      <c r="H32" s="625"/>
      <c r="I32" s="625"/>
      <c r="J32" s="625"/>
      <c r="K32" s="625"/>
      <c r="L32" s="625"/>
      <c r="M32" s="625"/>
    </row>
    <row r="33" spans="1:13" ht="35.25" x14ac:dyDescent="0.2">
      <c r="A33" s="638"/>
      <c r="B33" s="625"/>
      <c r="C33" s="625"/>
      <c r="D33" s="625"/>
      <c r="E33" s="625"/>
      <c r="F33" s="625"/>
      <c r="G33" s="625"/>
      <c r="H33" s="625"/>
      <c r="I33" s="625"/>
      <c r="J33" s="625"/>
      <c r="K33" s="625"/>
      <c r="L33" s="625"/>
      <c r="M33" s="625"/>
    </row>
    <row r="34" spans="1:13" x14ac:dyDescent="0.2">
      <c r="A34" s="625"/>
      <c r="B34" s="625"/>
      <c r="C34" s="625"/>
      <c r="D34" s="625"/>
      <c r="E34" s="625"/>
      <c r="F34" s="625"/>
      <c r="G34" s="625"/>
      <c r="H34" s="625"/>
      <c r="I34" s="625"/>
      <c r="J34" s="625"/>
      <c r="K34" s="625"/>
      <c r="L34" s="625"/>
      <c r="M34" s="625"/>
    </row>
    <row r="35" spans="1:13" x14ac:dyDescent="0.2">
      <c r="A35" s="625"/>
      <c r="B35" s="625"/>
      <c r="C35" s="625"/>
      <c r="D35" s="625"/>
      <c r="E35" s="625"/>
      <c r="F35" s="625"/>
      <c r="G35" s="625"/>
      <c r="H35" s="625"/>
      <c r="I35" s="625"/>
      <c r="J35" s="625"/>
      <c r="K35" s="625"/>
      <c r="L35" s="625"/>
      <c r="M35" s="625"/>
    </row>
    <row r="36" spans="1:13" ht="33" x14ac:dyDescent="0.2">
      <c r="A36" s="625"/>
      <c r="B36" s="639"/>
      <c r="C36" s="625"/>
      <c r="D36" s="625"/>
      <c r="E36" s="625"/>
      <c r="F36" s="625"/>
      <c r="G36" s="625"/>
      <c r="H36" s="625"/>
      <c r="I36" s="625"/>
      <c r="J36" s="625"/>
      <c r="K36" s="625"/>
      <c r="L36" s="625"/>
      <c r="M36" s="625"/>
    </row>
    <row r="37" spans="1:13" x14ac:dyDescent="0.2">
      <c r="A37" s="625"/>
      <c r="B37" s="625"/>
      <c r="C37" s="625"/>
      <c r="D37" s="625"/>
      <c r="E37" s="625"/>
      <c r="F37" s="625"/>
      <c r="G37" s="625"/>
      <c r="H37" s="625"/>
      <c r="I37" s="625"/>
      <c r="J37" s="625"/>
      <c r="K37" s="625"/>
      <c r="L37" s="625"/>
      <c r="M37" s="625"/>
    </row>
    <row r="38" spans="1:13" x14ac:dyDescent="0.2">
      <c r="A38" s="625"/>
      <c r="B38" s="625"/>
      <c r="C38" s="625"/>
      <c r="D38" s="625"/>
      <c r="E38" s="625"/>
      <c r="F38" s="625"/>
      <c r="G38" s="625"/>
      <c r="H38" s="625"/>
      <c r="I38" s="625"/>
      <c r="J38" s="625"/>
      <c r="K38" s="625"/>
      <c r="L38" s="625"/>
      <c r="M38" s="62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121</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302801</v>
      </c>
      <c r="C7" s="290">
        <v>318250</v>
      </c>
      <c r="D7" s="332">
        <f>IF(B7=0, "    ---- ", IF(ABS(ROUND(100/B7*C7-100,1))&lt;999,ROUND(100/B7*C7-100,1),IF(ROUND(100/B7*C7-100,1)&gt;999,999,-999)))</f>
        <v>5.0999999999999996</v>
      </c>
      <c r="E7" s="11">
        <f>IFERROR(100/'Skjema total MA'!C7*C7,0)</f>
        <v>7.499513551658449</v>
      </c>
      <c r="F7" s="289"/>
      <c r="G7" s="290"/>
      <c r="H7" s="332"/>
      <c r="I7" s="144"/>
      <c r="J7" s="291">
        <f t="shared" ref="J7:K9" si="0">SUM(B7,F7)</f>
        <v>302801</v>
      </c>
      <c r="K7" s="292">
        <f t="shared" si="0"/>
        <v>318250</v>
      </c>
      <c r="L7" s="405">
        <f>IF(J7=0, "    ---- ", IF(ABS(ROUND(100/J7*K7-100,1))&lt;999,ROUND(100/J7*K7-100,1),IF(ROUND(100/J7*K7-100,1)&gt;999,999,-999)))</f>
        <v>5.0999999999999996</v>
      </c>
      <c r="M7" s="11">
        <f>IFERROR(100/'Skjema total MA'!I7*K7,0)</f>
        <v>2.6649389334579987</v>
      </c>
    </row>
    <row r="8" spans="1:14" ht="15.75" x14ac:dyDescent="0.2">
      <c r="A8" s="21" t="s">
        <v>25</v>
      </c>
      <c r="B8" s="267">
        <v>152300</v>
      </c>
      <c r="C8" s="268">
        <v>159935</v>
      </c>
      <c r="D8" s="150">
        <f t="shared" ref="D8:D9" si="1">IF(B8=0, "    ---- ", IF(ABS(ROUND(100/B8*C8-100,1))&lt;999,ROUND(100/B8*C8-100,1),IF(ROUND(100/B8*C8-100,1)&gt;999,999,-999)))</f>
        <v>5</v>
      </c>
      <c r="E8" s="27">
        <f>IFERROR(100/'Skjema total MA'!C8*C8,0)</f>
        <v>5.9319846066986868</v>
      </c>
      <c r="F8" s="271"/>
      <c r="G8" s="272"/>
      <c r="H8" s="150"/>
      <c r="I8" s="160"/>
      <c r="J8" s="215">
        <f t="shared" si="0"/>
        <v>152300</v>
      </c>
      <c r="K8" s="273">
        <f t="shared" si="0"/>
        <v>159935</v>
      </c>
      <c r="L8" s="150">
        <f t="shared" ref="L8:L9" si="2">IF(J8=0, "    ---- ", IF(ABS(ROUND(100/J8*K8-100,1))&lt;999,ROUND(100/J8*K8-100,1),IF(ROUND(100/J8*K8-100,1)&gt;999,999,-999)))</f>
        <v>5</v>
      </c>
      <c r="M8" s="27">
        <f>IFERROR(100/'Skjema total MA'!I8*K8,0)</f>
        <v>5.9319846066986868</v>
      </c>
    </row>
    <row r="9" spans="1:14" ht="15.75" x14ac:dyDescent="0.2">
      <c r="A9" s="21" t="s">
        <v>24</v>
      </c>
      <c r="B9" s="267">
        <v>150501</v>
      </c>
      <c r="C9" s="268">
        <v>158315</v>
      </c>
      <c r="D9" s="150">
        <f t="shared" si="1"/>
        <v>5.2</v>
      </c>
      <c r="E9" s="27">
        <f>IFERROR(100/'Skjema total MA'!C9*C9,0)</f>
        <v>17.88247089972889</v>
      </c>
      <c r="F9" s="271"/>
      <c r="G9" s="272"/>
      <c r="H9" s="150"/>
      <c r="I9" s="160"/>
      <c r="J9" s="215">
        <f t="shared" si="0"/>
        <v>150501</v>
      </c>
      <c r="K9" s="273">
        <f t="shared" si="0"/>
        <v>158315</v>
      </c>
      <c r="L9" s="150">
        <f t="shared" si="2"/>
        <v>5.2</v>
      </c>
      <c r="M9" s="27">
        <f>IFERROR(100/'Skjema total MA'!I9*K9,0)</f>
        <v>17.88247089972889</v>
      </c>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33133</v>
      </c>
      <c r="C47" s="294">
        <v>101038</v>
      </c>
      <c r="D47" s="405">
        <f t="shared" ref="D47:D48" si="3">IF(B47=0, "    ---- ", IF(ABS(ROUND(100/B47*C47-100,1))&lt;999,ROUND(100/B47*C47-100,1),IF(ROUND(100/B47*C47-100,1)&gt;999,999,-999)))</f>
        <v>204.9</v>
      </c>
      <c r="E47" s="11">
        <f>IFERROR(100/'Skjema total MA'!C47*C47,0)</f>
        <v>1.8947155732095786</v>
      </c>
      <c r="F47" s="129"/>
      <c r="G47" s="33"/>
      <c r="H47" s="143"/>
      <c r="I47" s="143"/>
      <c r="J47" s="37"/>
      <c r="K47" s="37"/>
      <c r="L47" s="143"/>
      <c r="M47" s="143"/>
      <c r="N47" s="132"/>
    </row>
    <row r="48" spans="1:14" s="3" customFormat="1" ht="15.75" x14ac:dyDescent="0.2">
      <c r="A48" s="38" t="s">
        <v>358</v>
      </c>
      <c r="B48" s="267">
        <v>33133</v>
      </c>
      <c r="C48" s="268">
        <v>36677</v>
      </c>
      <c r="D48" s="240">
        <f t="shared" si="3"/>
        <v>10.7</v>
      </c>
      <c r="E48" s="27">
        <f>IFERROR(100/'Skjema total MA'!C48*C48,0)</f>
        <v>1.2211035330715225</v>
      </c>
      <c r="F48" s="129"/>
      <c r="G48" s="33"/>
      <c r="H48" s="129"/>
      <c r="I48" s="129"/>
      <c r="J48" s="33"/>
      <c r="K48" s="33"/>
      <c r="L48" s="143"/>
      <c r="M48" s="143"/>
      <c r="N48" s="132"/>
    </row>
    <row r="49" spans="1:14" s="3" customFormat="1" ht="15.75" x14ac:dyDescent="0.2">
      <c r="A49" s="38" t="s">
        <v>359</v>
      </c>
      <c r="B49" s="44"/>
      <c r="C49" s="273">
        <v>64361</v>
      </c>
      <c r="D49" s="240" t="str">
        <f>IF(B49=0, "    ---- ", IF(ABS(ROUND(100/B49*C49-100,1))&lt;999,ROUND(100/B49*C49-100,1),IF(ROUND(100/B49*C49-100,1)&gt;999,999,-999)))</f>
        <v xml:space="preserve">    ---- </v>
      </c>
      <c r="E49" s="27">
        <f>IFERROR(100/'Skjema total MA'!C49*C49,0)</f>
        <v>2.7634294440200891</v>
      </c>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99" priority="12">
      <formula>kvartal &lt; 4</formula>
    </cfRule>
  </conditionalFormatting>
  <conditionalFormatting sqref="A69:A74">
    <cfRule type="expression" dxfId="398" priority="10">
      <formula>kvartal &lt; 4</formula>
    </cfRule>
  </conditionalFormatting>
  <conditionalFormatting sqref="A80:A85">
    <cfRule type="expression" dxfId="397" priority="9">
      <formula>kvartal &lt; 4</formula>
    </cfRule>
  </conditionalFormatting>
  <conditionalFormatting sqref="A90:A95">
    <cfRule type="expression" dxfId="396" priority="6">
      <formula>kvartal &lt; 4</formula>
    </cfRule>
  </conditionalFormatting>
  <conditionalFormatting sqref="A101:A106">
    <cfRule type="expression" dxfId="395" priority="5">
      <formula>kvartal &lt; 4</formula>
    </cfRule>
  </conditionalFormatting>
  <conditionalFormatting sqref="A115">
    <cfRule type="expression" dxfId="394" priority="4">
      <formula>kvartal &lt; 4</formula>
    </cfRule>
  </conditionalFormatting>
  <conditionalFormatting sqref="A123">
    <cfRule type="expression" dxfId="393"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395</v>
      </c>
      <c r="D1" s="26"/>
      <c r="E1" s="26"/>
      <c r="F1" s="26"/>
      <c r="G1" s="26"/>
      <c r="H1" s="26"/>
      <c r="I1" s="26"/>
      <c r="J1" s="26"/>
      <c r="K1" s="26"/>
      <c r="L1" s="26"/>
      <c r="M1" s="26"/>
    </row>
    <row r="2" spans="1:14" ht="15.75" x14ac:dyDescent="0.25">
      <c r="A2" s="149" t="s">
        <v>28</v>
      </c>
      <c r="B2" s="727"/>
      <c r="C2" s="727"/>
      <c r="D2" s="727"/>
      <c r="E2" s="547"/>
      <c r="F2" s="727"/>
      <c r="G2" s="727"/>
      <c r="H2" s="727"/>
      <c r="I2" s="547"/>
      <c r="J2" s="727"/>
      <c r="K2" s="727"/>
      <c r="L2" s="727"/>
      <c r="M2" s="547"/>
    </row>
    <row r="3" spans="1:14" ht="15.75" x14ac:dyDescent="0.25">
      <c r="A3" s="147"/>
      <c r="B3" s="547"/>
      <c r="C3" s="547"/>
      <c r="D3" s="547"/>
      <c r="E3" s="547"/>
      <c r="F3" s="547"/>
      <c r="G3" s="547"/>
      <c r="H3" s="547"/>
      <c r="I3" s="547"/>
      <c r="J3" s="547"/>
      <c r="K3" s="547"/>
      <c r="L3" s="547"/>
      <c r="M3" s="547"/>
    </row>
    <row r="4" spans="1:14" x14ac:dyDescent="0.2">
      <c r="A4" s="128"/>
      <c r="B4" s="723" t="s">
        <v>0</v>
      </c>
      <c r="C4" s="724"/>
      <c r="D4" s="724"/>
      <c r="E4" s="545"/>
      <c r="F4" s="723" t="s">
        <v>1</v>
      </c>
      <c r="G4" s="724"/>
      <c r="H4" s="724"/>
      <c r="I4" s="546"/>
      <c r="J4" s="723" t="s">
        <v>2</v>
      </c>
      <c r="K4" s="724"/>
      <c r="L4" s="724"/>
      <c r="M4" s="546"/>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547"/>
      <c r="F18" s="722"/>
      <c r="G18" s="722"/>
      <c r="H18" s="722"/>
      <c r="I18" s="547"/>
      <c r="J18" s="722"/>
      <c r="K18" s="722"/>
      <c r="L18" s="722"/>
      <c r="M18" s="547"/>
    </row>
    <row r="19" spans="1:14" x14ac:dyDescent="0.2">
      <c r="A19" s="128"/>
      <c r="B19" s="723" t="s">
        <v>0</v>
      </c>
      <c r="C19" s="724"/>
      <c r="D19" s="724"/>
      <c r="E19" s="545"/>
      <c r="F19" s="723" t="s">
        <v>1</v>
      </c>
      <c r="G19" s="724"/>
      <c r="H19" s="724"/>
      <c r="I19" s="546"/>
      <c r="J19" s="723" t="s">
        <v>2</v>
      </c>
      <c r="K19" s="724"/>
      <c r="L19" s="724"/>
      <c r="M19" s="546"/>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394"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44"/>
      <c r="J22" s="299"/>
      <c r="K22" s="299"/>
      <c r="L22" s="405"/>
      <c r="M22" s="24"/>
    </row>
    <row r="23" spans="1:14" ht="15.75" x14ac:dyDescent="0.2">
      <c r="A23" s="487" t="s">
        <v>350</v>
      </c>
      <c r="B23" s="267"/>
      <c r="C23" s="267"/>
      <c r="D23" s="150"/>
      <c r="E23" s="11"/>
      <c r="F23" s="276"/>
      <c r="G23" s="276"/>
      <c r="H23" s="150"/>
      <c r="I23" s="221"/>
      <c r="J23" s="276"/>
      <c r="K23" s="276"/>
      <c r="L23" s="150"/>
      <c r="M23" s="23"/>
    </row>
    <row r="24" spans="1:14" ht="15.75" x14ac:dyDescent="0.2">
      <c r="A24" s="487" t="s">
        <v>351</v>
      </c>
      <c r="B24" s="267"/>
      <c r="C24" s="267"/>
      <c r="D24" s="150"/>
      <c r="E24" s="11"/>
      <c r="F24" s="276"/>
      <c r="G24" s="276"/>
      <c r="H24" s="150"/>
      <c r="I24" s="221"/>
      <c r="J24" s="276"/>
      <c r="K24" s="276"/>
      <c r="L24" s="150"/>
      <c r="M24" s="23"/>
    </row>
    <row r="25" spans="1:14" ht="15.75" x14ac:dyDescent="0.2">
      <c r="A25" s="487" t="s">
        <v>352</v>
      </c>
      <c r="B25" s="267"/>
      <c r="C25" s="267"/>
      <c r="D25" s="150"/>
      <c r="E25" s="11"/>
      <c r="F25" s="276"/>
      <c r="G25" s="276"/>
      <c r="H25" s="150"/>
      <c r="I25" s="221"/>
      <c r="J25" s="276"/>
      <c r="K25" s="276"/>
      <c r="L25" s="150"/>
      <c r="M25" s="23"/>
    </row>
    <row r="26" spans="1:14" ht="15.75" x14ac:dyDescent="0.2">
      <c r="A26" s="487" t="s">
        <v>353</v>
      </c>
      <c r="B26" s="267"/>
      <c r="C26" s="267"/>
      <c r="D26" s="150"/>
      <c r="E26" s="11"/>
      <c r="F26" s="276"/>
      <c r="G26" s="276"/>
      <c r="H26" s="150"/>
      <c r="I26" s="221"/>
      <c r="J26" s="276"/>
      <c r="K26" s="276"/>
      <c r="L26" s="150"/>
      <c r="M26" s="23"/>
    </row>
    <row r="27" spans="1:14" x14ac:dyDescent="0.2">
      <c r="A27" s="487" t="s">
        <v>11</v>
      </c>
      <c r="B27" s="267"/>
      <c r="C27" s="267"/>
      <c r="D27" s="150"/>
      <c r="E27" s="11"/>
      <c r="F27" s="276"/>
      <c r="G27" s="276"/>
      <c r="H27" s="150"/>
      <c r="I27" s="221"/>
      <c r="J27" s="276"/>
      <c r="K27" s="276"/>
      <c r="L27" s="150"/>
      <c r="M27" s="23"/>
    </row>
    <row r="28" spans="1:14" ht="15.75" x14ac:dyDescent="0.2">
      <c r="A28" s="49" t="s">
        <v>268</v>
      </c>
      <c r="B28" s="44"/>
      <c r="C28" s="273"/>
      <c r="D28" s="150"/>
      <c r="E28" s="11"/>
      <c r="F28" s="215"/>
      <c r="G28" s="273"/>
      <c r="H28" s="150"/>
      <c r="I28" s="160"/>
      <c r="J28" s="44"/>
      <c r="K28" s="44"/>
      <c r="L28" s="240"/>
      <c r="M28" s="23"/>
    </row>
    <row r="29" spans="1:14" s="3" customFormat="1" ht="15.75" x14ac:dyDescent="0.2">
      <c r="A29" s="13" t="s">
        <v>347</v>
      </c>
      <c r="B29" s="217"/>
      <c r="C29" s="217"/>
      <c r="D29" s="155"/>
      <c r="E29" s="11"/>
      <c r="F29" s="291"/>
      <c r="G29" s="291"/>
      <c r="H29" s="155"/>
      <c r="I29" s="144"/>
      <c r="J29" s="217"/>
      <c r="K29" s="217"/>
      <c r="L29" s="406"/>
      <c r="M29" s="24"/>
      <c r="N29" s="132"/>
    </row>
    <row r="30" spans="1:14" s="3" customFormat="1" ht="15.75" x14ac:dyDescent="0.2">
      <c r="A30" s="487" t="s">
        <v>350</v>
      </c>
      <c r="B30" s="267"/>
      <c r="C30" s="267"/>
      <c r="D30" s="150"/>
      <c r="E30" s="11"/>
      <c r="F30" s="276"/>
      <c r="G30" s="276"/>
      <c r="H30" s="150"/>
      <c r="I30" s="221"/>
      <c r="J30" s="276"/>
      <c r="K30" s="276"/>
      <c r="L30" s="150"/>
      <c r="M30" s="23"/>
      <c r="N30" s="132"/>
    </row>
    <row r="31" spans="1:14" s="3" customFormat="1" ht="15.75" x14ac:dyDescent="0.2">
      <c r="A31" s="487" t="s">
        <v>351</v>
      </c>
      <c r="B31" s="267"/>
      <c r="C31" s="267"/>
      <c r="D31" s="150"/>
      <c r="E31" s="11"/>
      <c r="F31" s="276"/>
      <c r="G31" s="276"/>
      <c r="H31" s="150"/>
      <c r="I31" s="221"/>
      <c r="J31" s="276"/>
      <c r="K31" s="276"/>
      <c r="L31" s="150"/>
      <c r="M31" s="23"/>
      <c r="N31" s="132"/>
    </row>
    <row r="32" spans="1:14" ht="15.75" x14ac:dyDescent="0.2">
      <c r="A32" s="487" t="s">
        <v>352</v>
      </c>
      <c r="B32" s="267"/>
      <c r="C32" s="267"/>
      <c r="D32" s="150"/>
      <c r="E32" s="11"/>
      <c r="F32" s="276"/>
      <c r="G32" s="276"/>
      <c r="H32" s="150"/>
      <c r="I32" s="221"/>
      <c r="J32" s="276"/>
      <c r="K32" s="276"/>
      <c r="L32" s="150"/>
      <c r="M32" s="23"/>
    </row>
    <row r="33" spans="1:14" ht="15.75" x14ac:dyDescent="0.2">
      <c r="A33" s="487" t="s">
        <v>353</v>
      </c>
      <c r="B33" s="267"/>
      <c r="C33" s="267"/>
      <c r="D33" s="150"/>
      <c r="E33" s="11"/>
      <c r="F33" s="276"/>
      <c r="G33" s="276"/>
      <c r="H33" s="150"/>
      <c r="I33" s="221"/>
      <c r="J33" s="276"/>
      <c r="K33" s="276"/>
      <c r="L33" s="150"/>
      <c r="M33" s="23"/>
    </row>
    <row r="34" spans="1:14" ht="15.75" x14ac:dyDescent="0.2">
      <c r="A34" s="13" t="s">
        <v>348</v>
      </c>
      <c r="B34" s="217"/>
      <c r="C34" s="292"/>
      <c r="D34" s="155"/>
      <c r="E34" s="11"/>
      <c r="F34" s="291"/>
      <c r="G34" s="292"/>
      <c r="H34" s="155"/>
      <c r="I34" s="144"/>
      <c r="J34" s="217"/>
      <c r="K34" s="217"/>
      <c r="L34" s="406"/>
      <c r="M34" s="24"/>
    </row>
    <row r="35" spans="1:14" ht="15.75" x14ac:dyDescent="0.2">
      <c r="A35" s="13" t="s">
        <v>349</v>
      </c>
      <c r="B35" s="217"/>
      <c r="C35" s="292"/>
      <c r="D35" s="155"/>
      <c r="E35" s="11"/>
      <c r="F35" s="291"/>
      <c r="G35" s="292"/>
      <c r="H35" s="155"/>
      <c r="I35" s="144"/>
      <c r="J35" s="217"/>
      <c r="K35" s="217"/>
      <c r="L35" s="406"/>
      <c r="M35" s="24"/>
    </row>
    <row r="36" spans="1:14" ht="15.75" x14ac:dyDescent="0.2">
      <c r="A36" s="12" t="s">
        <v>276</v>
      </c>
      <c r="B36" s="217"/>
      <c r="C36" s="292"/>
      <c r="D36" s="155"/>
      <c r="E36" s="11"/>
      <c r="F36" s="302"/>
      <c r="G36" s="303"/>
      <c r="H36" s="155"/>
      <c r="I36" s="408"/>
      <c r="J36" s="217"/>
      <c r="K36" s="217"/>
      <c r="L36" s="406"/>
      <c r="M36" s="24"/>
    </row>
    <row r="37" spans="1:14" ht="15.75" x14ac:dyDescent="0.2">
      <c r="A37" s="12" t="s">
        <v>355</v>
      </c>
      <c r="B37" s="217"/>
      <c r="C37" s="292"/>
      <c r="D37" s="155"/>
      <c r="E37" s="11"/>
      <c r="F37" s="302"/>
      <c r="G37" s="304"/>
      <c r="H37" s="155"/>
      <c r="I37" s="408"/>
      <c r="J37" s="217"/>
      <c r="K37" s="217"/>
      <c r="L37" s="406"/>
      <c r="M37" s="24"/>
    </row>
    <row r="38" spans="1:14" ht="15.75" x14ac:dyDescent="0.2">
      <c r="A38" s="12" t="s">
        <v>356</v>
      </c>
      <c r="B38" s="217"/>
      <c r="C38" s="292"/>
      <c r="D38" s="155"/>
      <c r="E38" s="24"/>
      <c r="F38" s="302"/>
      <c r="G38" s="303"/>
      <c r="H38" s="155"/>
      <c r="I38" s="408"/>
      <c r="J38" s="217"/>
      <c r="K38" s="217"/>
      <c r="L38" s="406"/>
      <c r="M38" s="24"/>
    </row>
    <row r="39" spans="1:14" ht="15.75" x14ac:dyDescent="0.2">
      <c r="A39" s="18" t="s">
        <v>357</v>
      </c>
      <c r="B39" s="262"/>
      <c r="C39" s="298"/>
      <c r="D39" s="153"/>
      <c r="E39" s="36"/>
      <c r="F39" s="305"/>
      <c r="G39" s="306"/>
      <c r="H39" s="153"/>
      <c r="I39" s="153"/>
      <c r="J39" s="217"/>
      <c r="K39" s="217"/>
      <c r="L39" s="407"/>
      <c r="M39" s="36"/>
    </row>
    <row r="40" spans="1:14" ht="15.75" x14ac:dyDescent="0.25">
      <c r="A40" s="47"/>
      <c r="B40" s="239"/>
      <c r="C40" s="239"/>
      <c r="D40" s="726"/>
      <c r="E40" s="726"/>
      <c r="F40" s="726"/>
      <c r="G40" s="726"/>
      <c r="H40" s="726"/>
      <c r="I40" s="726"/>
      <c r="J40" s="726"/>
      <c r="K40" s="726"/>
      <c r="L40" s="726"/>
      <c r="M40" s="548"/>
    </row>
    <row r="41" spans="1:14" x14ac:dyDescent="0.2">
      <c r="A41" s="139"/>
    </row>
    <row r="42" spans="1:14" ht="15.75" x14ac:dyDescent="0.25">
      <c r="A42" s="131" t="s">
        <v>265</v>
      </c>
      <c r="B42" s="727"/>
      <c r="C42" s="727"/>
      <c r="D42" s="727"/>
      <c r="E42" s="547"/>
      <c r="F42" s="728"/>
      <c r="G42" s="728"/>
      <c r="H42" s="728"/>
      <c r="I42" s="548"/>
      <c r="J42" s="728"/>
      <c r="K42" s="728"/>
      <c r="L42" s="728"/>
      <c r="M42" s="548"/>
    </row>
    <row r="43" spans="1:14" ht="15.75" x14ac:dyDescent="0.25">
      <c r="A43" s="147"/>
      <c r="B43" s="543"/>
      <c r="C43" s="543"/>
      <c r="D43" s="543"/>
      <c r="E43" s="543"/>
      <c r="F43" s="548"/>
      <c r="G43" s="548"/>
      <c r="H43" s="548"/>
      <c r="I43" s="548"/>
      <c r="J43" s="548"/>
      <c r="K43" s="548"/>
      <c r="L43" s="548"/>
      <c r="M43" s="548"/>
    </row>
    <row r="44" spans="1:14" ht="15.75" x14ac:dyDescent="0.25">
      <c r="A44" s="230"/>
      <c r="B44" s="723" t="s">
        <v>0</v>
      </c>
      <c r="C44" s="724"/>
      <c r="D44" s="724"/>
      <c r="E44" s="225"/>
      <c r="F44" s="548"/>
      <c r="G44" s="548"/>
      <c r="H44" s="548"/>
      <c r="I44" s="548"/>
      <c r="J44" s="548"/>
      <c r="K44" s="548"/>
      <c r="L44" s="548"/>
      <c r="M44" s="548"/>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26920</v>
      </c>
      <c r="C47" s="294">
        <v>42908</v>
      </c>
      <c r="D47" s="405">
        <f t="shared" ref="D47:D55" si="0">IF(B47=0, "    ---- ", IF(ABS(ROUND(100/B47*C47-100,1))&lt;999,ROUND(100/B47*C47-100,1),IF(ROUND(100/B47*C47-100,1)&gt;999,999,-999)))</f>
        <v>59.4</v>
      </c>
      <c r="E47" s="11">
        <f>IFERROR(100/'Skjema total MA'!C47*C47,0)</f>
        <v>0.80463247308217301</v>
      </c>
      <c r="F47" s="129"/>
      <c r="G47" s="33"/>
      <c r="H47" s="143"/>
      <c r="I47" s="143"/>
      <c r="J47" s="37"/>
      <c r="K47" s="37"/>
      <c r="L47" s="143"/>
      <c r="M47" s="143"/>
      <c r="N47" s="132"/>
    </row>
    <row r="48" spans="1:14" s="3" customFormat="1" ht="15.75" x14ac:dyDescent="0.2">
      <c r="A48" s="38" t="s">
        <v>358</v>
      </c>
      <c r="B48" s="267">
        <v>25971</v>
      </c>
      <c r="C48" s="268">
        <v>41962</v>
      </c>
      <c r="D48" s="240">
        <f t="shared" si="0"/>
        <v>61.6</v>
      </c>
      <c r="E48" s="27">
        <f>IFERROR(100/'Skjema total MA'!C48*C48,0)</f>
        <v>1.3970593683983756</v>
      </c>
      <c r="F48" s="129"/>
      <c r="G48" s="33"/>
      <c r="H48" s="129"/>
      <c r="I48" s="129"/>
      <c r="J48" s="33"/>
      <c r="K48" s="33"/>
      <c r="L48" s="143"/>
      <c r="M48" s="143"/>
      <c r="N48" s="132"/>
    </row>
    <row r="49" spans="1:14" s="3" customFormat="1" ht="15.75" x14ac:dyDescent="0.2">
      <c r="A49" s="38" t="s">
        <v>359</v>
      </c>
      <c r="B49" s="44">
        <v>949</v>
      </c>
      <c r="C49" s="273">
        <v>946</v>
      </c>
      <c r="D49" s="240">
        <f>IF(B49=0, "    ---- ", IF(ABS(ROUND(100/B49*C49-100,1))&lt;999,ROUND(100/B49*C49-100,1),IF(ROUND(100/B49*C49-100,1)&gt;999,999,-999)))</f>
        <v>-0.3</v>
      </c>
      <c r="E49" s="27">
        <f>IFERROR(100/'Skjema total MA'!C49*C49,0)</f>
        <v>4.0617831513540877E-2</v>
      </c>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26920</v>
      </c>
      <c r="C53" s="294">
        <v>42908</v>
      </c>
      <c r="D53" s="406">
        <f t="shared" si="0"/>
        <v>59.4</v>
      </c>
      <c r="E53" s="11">
        <f>IFERROR(100/'Skjema total MA'!C53*C53,0)</f>
        <v>23.190917133645016</v>
      </c>
      <c r="F53" s="129"/>
      <c r="G53" s="33"/>
      <c r="H53" s="129"/>
      <c r="I53" s="129"/>
      <c r="J53" s="33"/>
      <c r="K53" s="33"/>
      <c r="L53" s="143"/>
      <c r="M53" s="143"/>
      <c r="N53" s="132"/>
    </row>
    <row r="54" spans="1:14" s="3" customFormat="1" ht="15.75" x14ac:dyDescent="0.2">
      <c r="A54" s="38" t="s">
        <v>358</v>
      </c>
      <c r="B54" s="267">
        <v>25971</v>
      </c>
      <c r="C54" s="268">
        <v>41962</v>
      </c>
      <c r="D54" s="240">
        <f t="shared" si="0"/>
        <v>61.6</v>
      </c>
      <c r="E54" s="27">
        <f>IFERROR(100/'Skjema total MA'!C54*C54,0)</f>
        <v>22.796178542982044</v>
      </c>
      <c r="F54" s="129"/>
      <c r="G54" s="33"/>
      <c r="H54" s="129"/>
      <c r="I54" s="129"/>
      <c r="J54" s="33"/>
      <c r="K54" s="33"/>
      <c r="L54" s="143"/>
      <c r="M54" s="143"/>
      <c r="N54" s="132"/>
    </row>
    <row r="55" spans="1:14" s="3" customFormat="1" ht="15.75" x14ac:dyDescent="0.2">
      <c r="A55" s="38" t="s">
        <v>359</v>
      </c>
      <c r="B55" s="267">
        <v>949</v>
      </c>
      <c r="C55" s="268">
        <v>946</v>
      </c>
      <c r="D55" s="240">
        <f t="shared" si="0"/>
        <v>-0.3</v>
      </c>
      <c r="E55" s="27">
        <f>IFERROR(100/'Skjema total MA'!C55*C55,0)</f>
        <v>100</v>
      </c>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547"/>
      <c r="F62" s="722"/>
      <c r="G62" s="722"/>
      <c r="H62" s="722"/>
      <c r="I62" s="547"/>
      <c r="J62" s="722"/>
      <c r="K62" s="722"/>
      <c r="L62" s="722"/>
      <c r="M62" s="547"/>
    </row>
    <row r="63" spans="1:14" x14ac:dyDescent="0.2">
      <c r="A63" s="128"/>
      <c r="B63" s="723" t="s">
        <v>0</v>
      </c>
      <c r="C63" s="724"/>
      <c r="D63" s="725"/>
      <c r="E63" s="544"/>
      <c r="F63" s="724" t="s">
        <v>1</v>
      </c>
      <c r="G63" s="724"/>
      <c r="H63" s="724"/>
      <c r="I63" s="546"/>
      <c r="J63" s="723" t="s">
        <v>2</v>
      </c>
      <c r="K63" s="724"/>
      <c r="L63" s="724"/>
      <c r="M63" s="546"/>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21"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547"/>
      <c r="F130" s="722"/>
      <c r="G130" s="722"/>
      <c r="H130" s="722"/>
      <c r="I130" s="547"/>
      <c r="J130" s="722"/>
      <c r="K130" s="722"/>
      <c r="L130" s="722"/>
      <c r="M130" s="547"/>
    </row>
    <row r="131" spans="1:14" s="3" customFormat="1" x14ac:dyDescent="0.2">
      <c r="A131" s="128"/>
      <c r="B131" s="723" t="s">
        <v>0</v>
      </c>
      <c r="C131" s="724"/>
      <c r="D131" s="724"/>
      <c r="E131" s="545"/>
      <c r="F131" s="723" t="s">
        <v>1</v>
      </c>
      <c r="G131" s="724"/>
      <c r="H131" s="724"/>
      <c r="I131" s="546"/>
      <c r="J131" s="723" t="s">
        <v>2</v>
      </c>
      <c r="K131" s="724"/>
      <c r="L131" s="724"/>
      <c r="M131" s="546"/>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392" priority="7">
      <formula>kvartal &lt; 4</formula>
    </cfRule>
  </conditionalFormatting>
  <conditionalFormatting sqref="A69:A74">
    <cfRule type="expression" dxfId="391" priority="6">
      <formula>kvartal &lt; 4</formula>
    </cfRule>
  </conditionalFormatting>
  <conditionalFormatting sqref="A80:A85">
    <cfRule type="expression" dxfId="390" priority="5">
      <formula>kvartal &lt; 4</formula>
    </cfRule>
  </conditionalFormatting>
  <conditionalFormatting sqref="A90:A95">
    <cfRule type="expression" dxfId="389" priority="4">
      <formula>kvartal &lt; 4</formula>
    </cfRule>
  </conditionalFormatting>
  <conditionalFormatting sqref="A101:A106">
    <cfRule type="expression" dxfId="388" priority="3">
      <formula>kvartal &lt; 4</formula>
    </cfRule>
  </conditionalFormatting>
  <conditionalFormatting sqref="A115">
    <cfRule type="expression" dxfId="387" priority="2">
      <formula>kvartal &lt; 4</formula>
    </cfRule>
  </conditionalFormatting>
  <conditionalFormatting sqref="A123">
    <cfRule type="expression" dxfId="386" priority="1">
      <formula>kvartal &lt; 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activeCell="D127" sqref="D127"/>
      <selection pane="topRight"/>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380</v>
      </c>
      <c r="D1" s="26"/>
      <c r="E1" s="26"/>
      <c r="F1" s="26"/>
      <c r="G1" s="26"/>
      <c r="H1" s="26"/>
      <c r="I1" s="26"/>
      <c r="J1" s="26"/>
      <c r="K1" s="26"/>
      <c r="L1" s="26"/>
      <c r="M1" s="26"/>
    </row>
    <row r="2" spans="1:14" ht="15.75" x14ac:dyDescent="0.25">
      <c r="A2" s="149" t="s">
        <v>28</v>
      </c>
      <c r="B2" s="340"/>
      <c r="C2" s="340"/>
      <c r="D2" s="340"/>
      <c r="E2" s="340"/>
      <c r="F2" s="340"/>
      <c r="G2" s="340"/>
      <c r="H2" s="340"/>
      <c r="I2" s="340"/>
      <c r="J2" s="340"/>
      <c r="K2" s="340"/>
      <c r="L2" s="340"/>
      <c r="M2" s="340"/>
    </row>
    <row r="3" spans="1:14" ht="15.75" x14ac:dyDescent="0.25">
      <c r="A3" s="147"/>
      <c r="B3" s="340"/>
      <c r="C3" s="340"/>
      <c r="D3" s="340"/>
      <c r="E3" s="340"/>
      <c r="F3" s="340"/>
      <c r="G3" s="340"/>
      <c r="H3" s="340"/>
      <c r="I3" s="340"/>
      <c r="J3" s="340"/>
      <c r="K3" s="340"/>
      <c r="L3" s="340"/>
      <c r="M3" s="340"/>
    </row>
    <row r="4" spans="1:14" x14ac:dyDescent="0.2">
      <c r="A4" s="128"/>
      <c r="B4" s="723" t="s">
        <v>0</v>
      </c>
      <c r="C4" s="724"/>
      <c r="D4" s="724"/>
      <c r="E4" s="337"/>
      <c r="F4" s="723" t="s">
        <v>1</v>
      </c>
      <c r="G4" s="724"/>
      <c r="H4" s="724"/>
      <c r="I4" s="338"/>
      <c r="J4" s="723" t="s">
        <v>2</v>
      </c>
      <c r="K4" s="724"/>
      <c r="L4" s="724"/>
      <c r="M4" s="338"/>
    </row>
    <row r="5" spans="1:14" x14ac:dyDescent="0.2">
      <c r="A5" s="142"/>
      <c r="B5" s="136" t="s">
        <v>434</v>
      </c>
      <c r="C5" s="136" t="s">
        <v>435</v>
      </c>
      <c r="D5" s="227" t="s">
        <v>3</v>
      </c>
      <c r="E5" s="288" t="s">
        <v>29</v>
      </c>
      <c r="F5" s="136" t="s">
        <v>434</v>
      </c>
      <c r="G5" s="136" t="s">
        <v>435</v>
      </c>
      <c r="H5" s="227" t="s">
        <v>3</v>
      </c>
      <c r="I5" s="288"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343">
        <v>954068.68519999995</v>
      </c>
      <c r="C7" s="344">
        <v>1020798.12807</v>
      </c>
      <c r="D7" s="352">
        <f t="shared" ref="D7:D10" si="0">IF(AND(_xlfn.NUMBERVALUE(B7)=0,_xlfn.NUMBERVALUE(C7)=0),,IF(B7=0, "    ---- ", IF(ABS(ROUND(100/B7*C7-100,1))&lt;999,IF(ROUND(100/B7*C7-100,1)=0,"    ---- ",ROUND(100/B7*C7-100,1)),IF(ROUND(100/B7*C7-100,1)&gt;999,999,-999))))</f>
        <v>7</v>
      </c>
      <c r="E7" s="353">
        <f>IFERROR(100/'Skjema total MA'!C7*C7,0)</f>
        <v>24.054954893852447</v>
      </c>
      <c r="F7" s="343"/>
      <c r="G7" s="344"/>
      <c r="H7" s="352"/>
      <c r="I7" s="353"/>
      <c r="J7" s="354">
        <f t="shared" ref="J7:K10" si="1">SUM(B7,F7)</f>
        <v>954068.68519999995</v>
      </c>
      <c r="K7" s="349">
        <f t="shared" si="1"/>
        <v>1020798.12807</v>
      </c>
      <c r="L7" s="352">
        <f t="shared" ref="L7:L10" si="2">IF(AND(_xlfn.NUMBERVALUE(J7)=0,_xlfn.NUMBERVALUE(K7)=0),,IF(J7=0, "    ---- ", IF(ABS(ROUND(100/J7*K7-100,1))&lt;999,IF(ROUND(100/J7*K7-100,1)=0,"    ---- ",ROUND(100/J7*K7-100,1)),IF(ROUND(100/J7*K7-100,1)&gt;999,999,-999))))</f>
        <v>7</v>
      </c>
      <c r="M7" s="353">
        <f>IFERROR(100/'Skjema total MA'!I7*K7,0)</f>
        <v>8.5478858592137854</v>
      </c>
    </row>
    <row r="8" spans="1:14" ht="15.75" x14ac:dyDescent="0.2">
      <c r="A8" s="21" t="s">
        <v>25</v>
      </c>
      <c r="B8" s="346">
        <v>848244.07674000005</v>
      </c>
      <c r="C8" s="347">
        <v>907251.60901999997</v>
      </c>
      <c r="D8" s="355">
        <f t="shared" si="0"/>
        <v>7</v>
      </c>
      <c r="E8" s="353">
        <f>IFERROR(100/'Skjema total MA'!C8*C8,0)</f>
        <v>33.649936406097822</v>
      </c>
      <c r="F8" s="356"/>
      <c r="G8" s="357"/>
      <c r="H8" s="355"/>
      <c r="I8" s="353"/>
      <c r="J8" s="358">
        <f t="shared" si="1"/>
        <v>848244.07674000005</v>
      </c>
      <c r="K8" s="347">
        <f t="shared" si="1"/>
        <v>907251.60901999997</v>
      </c>
      <c r="L8" s="355">
        <f t="shared" si="2"/>
        <v>7</v>
      </c>
      <c r="M8" s="353">
        <f>IFERROR(100/'Skjema total MA'!I8*K8,0)</f>
        <v>33.649936406097822</v>
      </c>
    </row>
    <row r="9" spans="1:14" ht="15.75" x14ac:dyDescent="0.2">
      <c r="A9" s="21" t="s">
        <v>24</v>
      </c>
      <c r="B9" s="346">
        <v>105824.60846</v>
      </c>
      <c r="C9" s="347">
        <v>113546.51905</v>
      </c>
      <c r="D9" s="355">
        <f t="shared" si="0"/>
        <v>7.3</v>
      </c>
      <c r="E9" s="353">
        <f>IFERROR(100/'Skjema total MA'!C9*C9,0)</f>
        <v>12.825647112889726</v>
      </c>
      <c r="F9" s="356"/>
      <c r="G9" s="357"/>
      <c r="H9" s="355"/>
      <c r="I9" s="353"/>
      <c r="J9" s="358">
        <f t="shared" si="1"/>
        <v>105824.60846</v>
      </c>
      <c r="K9" s="347">
        <f t="shared" si="1"/>
        <v>113546.51905</v>
      </c>
      <c r="L9" s="355">
        <f t="shared" si="2"/>
        <v>7.3</v>
      </c>
      <c r="M9" s="353">
        <f>IFERROR(100/'Skjema total MA'!I9*K9,0)</f>
        <v>12.825647112889726</v>
      </c>
    </row>
    <row r="10" spans="1:14" ht="15.75" x14ac:dyDescent="0.2">
      <c r="A10" s="13" t="s">
        <v>347</v>
      </c>
      <c r="B10" s="348">
        <v>643513.56466000003</v>
      </c>
      <c r="C10" s="349">
        <v>657721.84819000005</v>
      </c>
      <c r="D10" s="355">
        <f t="shared" si="0"/>
        <v>2.2000000000000002</v>
      </c>
      <c r="E10" s="353">
        <f>IFERROR(100/'Skjema total MA'!C10*C10,0)</f>
        <v>4.7420826539500966</v>
      </c>
      <c r="F10" s="348"/>
      <c r="G10" s="349"/>
      <c r="H10" s="355"/>
      <c r="I10" s="353"/>
      <c r="J10" s="354">
        <f t="shared" si="1"/>
        <v>643513.56466000003</v>
      </c>
      <c r="K10" s="349">
        <f t="shared" si="1"/>
        <v>657721.84819000005</v>
      </c>
      <c r="L10" s="355">
        <f t="shared" si="2"/>
        <v>2.2000000000000002</v>
      </c>
      <c r="M10" s="353">
        <f>IFERROR(100/'Skjema total MA'!I10*K10,0)</f>
        <v>0.71640340117201173</v>
      </c>
    </row>
    <row r="11" spans="1:14" s="43" customFormat="1" ht="15.75" x14ac:dyDescent="0.2">
      <c r="A11" s="13" t="s">
        <v>348</v>
      </c>
      <c r="B11" s="348"/>
      <c r="C11" s="349"/>
      <c r="D11" s="355"/>
      <c r="E11" s="353"/>
      <c r="F11" s="348"/>
      <c r="G11" s="349"/>
      <c r="H11" s="355"/>
      <c r="I11" s="353"/>
      <c r="J11" s="354"/>
      <c r="K11" s="349"/>
      <c r="L11" s="355"/>
      <c r="M11" s="353"/>
      <c r="N11" s="127"/>
    </row>
    <row r="12" spans="1:14" s="43" customFormat="1" ht="15.75" x14ac:dyDescent="0.2">
      <c r="A12" s="41" t="s">
        <v>349</v>
      </c>
      <c r="B12" s="350"/>
      <c r="C12" s="351"/>
      <c r="D12" s="359"/>
      <c r="E12" s="359"/>
      <c r="F12" s="350"/>
      <c r="G12" s="351"/>
      <c r="H12" s="359"/>
      <c r="I12" s="359"/>
      <c r="J12" s="360"/>
      <c r="K12" s="351"/>
      <c r="L12" s="359"/>
      <c r="M12" s="359"/>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339"/>
      <c r="C18" s="339"/>
      <c r="D18" s="339"/>
      <c r="E18" s="340"/>
      <c r="F18" s="339"/>
      <c r="G18" s="339"/>
      <c r="H18" s="339"/>
      <c r="I18" s="340"/>
      <c r="J18" s="339"/>
      <c r="K18" s="339"/>
      <c r="L18" s="339"/>
      <c r="M18" s="340"/>
    </row>
    <row r="19" spans="1:14" x14ac:dyDescent="0.2">
      <c r="A19" s="128"/>
      <c r="B19" s="723" t="s">
        <v>0</v>
      </c>
      <c r="C19" s="724"/>
      <c r="D19" s="724"/>
      <c r="E19" s="337"/>
      <c r="F19" s="723" t="s">
        <v>1</v>
      </c>
      <c r="G19" s="724"/>
      <c r="H19" s="724"/>
      <c r="I19" s="338"/>
      <c r="J19" s="723" t="s">
        <v>2</v>
      </c>
      <c r="K19" s="724"/>
      <c r="L19" s="724"/>
      <c r="M19" s="338"/>
    </row>
    <row r="20" spans="1:14" x14ac:dyDescent="0.2">
      <c r="A20" s="124" t="s">
        <v>5</v>
      </c>
      <c r="B20" s="224" t="s">
        <v>434</v>
      </c>
      <c r="C20" s="224" t="s">
        <v>435</v>
      </c>
      <c r="D20" s="146" t="s">
        <v>3</v>
      </c>
      <c r="E20" s="288" t="s">
        <v>29</v>
      </c>
      <c r="F20" s="224" t="s">
        <v>434</v>
      </c>
      <c r="G20" s="224" t="s">
        <v>435</v>
      </c>
      <c r="H20" s="146" t="s">
        <v>3</v>
      </c>
      <c r="I20" s="288"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502">
        <v>597139.57126999996</v>
      </c>
      <c r="C22" s="502">
        <v>659037.27387000003</v>
      </c>
      <c r="D22" s="352">
        <f t="shared" ref="D22:D30" si="3">IF(AND(_xlfn.NUMBERVALUE(B22)=0,_xlfn.NUMBERVALUE(C22)=0),,IF(B22=0, "    ---- ", IF(ABS(ROUND(100/B22*C22-100,1))&lt;999,IF(ROUND(100/B22*C22-100,1)=0,"    ---- ",ROUND(100/B22*C22-100,1)),IF(ROUND(100/B22*C22-100,1)&gt;999,999,-999))))</f>
        <v>10.4</v>
      </c>
      <c r="E22" s="353">
        <f>IFERROR(100/'Skjema total MA'!C22*C22,0)</f>
        <v>37.898999303037051</v>
      </c>
      <c r="F22" s="361"/>
      <c r="G22" s="361"/>
      <c r="H22" s="352"/>
      <c r="I22" s="353"/>
      <c r="J22" s="343">
        <f t="shared" ref="J22:K29" si="4">SUM(B22,F22)</f>
        <v>597139.57126999996</v>
      </c>
      <c r="K22" s="343">
        <f t="shared" si="4"/>
        <v>659037.27387000003</v>
      </c>
      <c r="L22" s="352">
        <f t="shared" ref="L22:L30" si="5">IF(AND(_xlfn.NUMBERVALUE(J22)=0,_xlfn.NUMBERVALUE(K22)=0),,IF(J22=0, "    ---- ", IF(ABS(ROUND(100/J22*K22-100,1))&lt;999,IF(ROUND(100/J22*K22-100,1)=0,"    ---- ",ROUND(100/J22*K22-100,1)),IF(ROUND(100/J22*K22-100,1)&gt;999,999,-999))))</f>
        <v>10.4</v>
      </c>
      <c r="M22" s="353">
        <f>IFERROR(100/'Skjema total MA'!I22*K22,0)</f>
        <v>27.594461545202716</v>
      </c>
    </row>
    <row r="23" spans="1:14" ht="15.75" x14ac:dyDescent="0.2">
      <c r="A23" s="487" t="s">
        <v>350</v>
      </c>
      <c r="B23" s="345"/>
      <c r="C23" s="345"/>
      <c r="D23" s="355"/>
      <c r="E23" s="353"/>
      <c r="F23" s="345"/>
      <c r="G23" s="345"/>
      <c r="H23" s="355"/>
      <c r="I23" s="353"/>
      <c r="J23" s="345"/>
      <c r="K23" s="345"/>
      <c r="L23" s="355"/>
      <c r="M23" s="353"/>
    </row>
    <row r="24" spans="1:14" ht="15.75" x14ac:dyDescent="0.2">
      <c r="A24" s="487" t="s">
        <v>351</v>
      </c>
      <c r="B24" s="345"/>
      <c r="C24" s="345"/>
      <c r="D24" s="355"/>
      <c r="E24" s="353"/>
      <c r="F24" s="345"/>
      <c r="G24" s="345"/>
      <c r="H24" s="355"/>
      <c r="I24" s="353"/>
      <c r="J24" s="345"/>
      <c r="K24" s="345"/>
      <c r="L24" s="355"/>
      <c r="M24" s="353"/>
    </row>
    <row r="25" spans="1:14" ht="15.75" x14ac:dyDescent="0.2">
      <c r="A25" s="487" t="s">
        <v>352</v>
      </c>
      <c r="B25" s="345"/>
      <c r="C25" s="345"/>
      <c r="D25" s="355"/>
      <c r="E25" s="353"/>
      <c r="F25" s="345"/>
      <c r="G25" s="345"/>
      <c r="H25" s="355"/>
      <c r="I25" s="353"/>
      <c r="J25" s="345"/>
      <c r="K25" s="345"/>
      <c r="L25" s="355"/>
      <c r="M25" s="353"/>
    </row>
    <row r="26" spans="1:14" ht="15.75" x14ac:dyDescent="0.2">
      <c r="A26" s="487" t="s">
        <v>353</v>
      </c>
      <c r="B26" s="345"/>
      <c r="C26" s="345"/>
      <c r="D26" s="355"/>
      <c r="E26" s="353"/>
      <c r="F26" s="345"/>
      <c r="G26" s="345"/>
      <c r="H26" s="355"/>
      <c r="I26" s="353"/>
      <c r="J26" s="345"/>
      <c r="K26" s="345"/>
      <c r="L26" s="355"/>
      <c r="M26" s="353"/>
    </row>
    <row r="27" spans="1:14" x14ac:dyDescent="0.2">
      <c r="A27" s="487" t="s">
        <v>11</v>
      </c>
      <c r="B27" s="345"/>
      <c r="C27" s="345"/>
      <c r="D27" s="355"/>
      <c r="E27" s="353"/>
      <c r="F27" s="345"/>
      <c r="G27" s="345"/>
      <c r="H27" s="355"/>
      <c r="I27" s="353"/>
      <c r="J27" s="345"/>
      <c r="K27" s="345"/>
      <c r="L27" s="355"/>
      <c r="M27" s="353"/>
    </row>
    <row r="28" spans="1:14" ht="15.75" x14ac:dyDescent="0.2">
      <c r="A28" s="49" t="s">
        <v>268</v>
      </c>
      <c r="B28" s="345">
        <v>597139.57126999996</v>
      </c>
      <c r="C28" s="345">
        <v>659037.27387000003</v>
      </c>
      <c r="D28" s="355">
        <f t="shared" si="3"/>
        <v>10.4</v>
      </c>
      <c r="E28" s="353">
        <f>IFERROR(100/'Skjema total MA'!C28*C28,0)</f>
        <v>31.385228725269062</v>
      </c>
      <c r="F28" s="358"/>
      <c r="G28" s="347"/>
      <c r="H28" s="355"/>
      <c r="I28" s="353"/>
      <c r="J28" s="346">
        <f t="shared" si="4"/>
        <v>597139.57126999996</v>
      </c>
      <c r="K28" s="346">
        <f t="shared" si="4"/>
        <v>659037.27387000003</v>
      </c>
      <c r="L28" s="355">
        <f t="shared" si="5"/>
        <v>10.4</v>
      </c>
      <c r="M28" s="353">
        <f>IFERROR(100/'Skjema total MA'!I28*K28,0)</f>
        <v>31.385228725269062</v>
      </c>
    </row>
    <row r="29" spans="1:14" s="3" customFormat="1" ht="15.75" x14ac:dyDescent="0.2">
      <c r="A29" s="13" t="s">
        <v>347</v>
      </c>
      <c r="B29" s="348">
        <v>4020198.3879900002</v>
      </c>
      <c r="C29" s="348">
        <v>4520566.1255900003</v>
      </c>
      <c r="D29" s="355">
        <f t="shared" si="3"/>
        <v>12.4</v>
      </c>
      <c r="E29" s="353">
        <f>IFERROR(100/'Skjema total MA'!C29*C29,0)</f>
        <v>9.8686888560060932</v>
      </c>
      <c r="F29" s="354"/>
      <c r="G29" s="354"/>
      <c r="H29" s="355"/>
      <c r="I29" s="353"/>
      <c r="J29" s="348">
        <f t="shared" si="4"/>
        <v>4020198.3879900002</v>
      </c>
      <c r="K29" s="348">
        <f t="shared" si="4"/>
        <v>4520566.1255900003</v>
      </c>
      <c r="L29" s="355">
        <f t="shared" si="5"/>
        <v>12.4</v>
      </c>
      <c r="M29" s="353">
        <f>IFERROR(100/'Skjema total MA'!I29*K29,0)</f>
        <v>6.3944618558419597</v>
      </c>
      <c r="N29" s="132"/>
    </row>
    <row r="30" spans="1:14" s="3" customFormat="1" ht="15.75" x14ac:dyDescent="0.2">
      <c r="A30" s="487" t="s">
        <v>350</v>
      </c>
      <c r="B30" s="345"/>
      <c r="C30" s="345">
        <v>4520566.1255900003</v>
      </c>
      <c r="D30" s="355" t="str">
        <f t="shared" si="3"/>
        <v xml:space="preserve">    ---- </v>
      </c>
      <c r="E30" s="353">
        <f>IFERROR(100/'Skjema total MA'!C30*C30,0)</f>
        <v>23.124841978891791</v>
      </c>
      <c r="F30" s="345"/>
      <c r="G30" s="345"/>
      <c r="H30" s="355"/>
      <c r="I30" s="353"/>
      <c r="J30" s="345">
        <f t="shared" ref="J30" si="6">SUM(B30,F30)</f>
        <v>0</v>
      </c>
      <c r="K30" s="345">
        <f t="shared" ref="K30" si="7">SUM(C30,G30)</f>
        <v>4520566.1255900003</v>
      </c>
      <c r="L30" s="355" t="str">
        <f t="shared" si="5"/>
        <v xml:space="preserve">    ---- </v>
      </c>
      <c r="M30" s="353">
        <f>IFERROR(100/'Skjema total MA'!I30*K30,0)</f>
        <v>19.669992220311972</v>
      </c>
      <c r="N30" s="132"/>
    </row>
    <row r="31" spans="1:14" s="3" customFormat="1" ht="15.75" x14ac:dyDescent="0.2">
      <c r="A31" s="487" t="s">
        <v>351</v>
      </c>
      <c r="B31" s="345"/>
      <c r="C31" s="345"/>
      <c r="D31" s="355"/>
      <c r="E31" s="353"/>
      <c r="F31" s="345"/>
      <c r="G31" s="345"/>
      <c r="H31" s="355"/>
      <c r="I31" s="353"/>
      <c r="J31" s="345"/>
      <c r="K31" s="345"/>
      <c r="L31" s="355"/>
      <c r="M31" s="353"/>
      <c r="N31" s="132"/>
    </row>
    <row r="32" spans="1:14" ht="15.75" x14ac:dyDescent="0.2">
      <c r="A32" s="487" t="s">
        <v>352</v>
      </c>
      <c r="B32" s="345"/>
      <c r="C32" s="345"/>
      <c r="D32" s="355"/>
      <c r="E32" s="353"/>
      <c r="F32" s="345"/>
      <c r="G32" s="345"/>
      <c r="H32" s="355"/>
      <c r="I32" s="353"/>
      <c r="J32" s="345"/>
      <c r="K32" s="345"/>
      <c r="L32" s="355"/>
      <c r="M32" s="353"/>
    </row>
    <row r="33" spans="1:14" ht="15.75" x14ac:dyDescent="0.2">
      <c r="A33" s="487" t="s">
        <v>353</v>
      </c>
      <c r="B33" s="345"/>
      <c r="C33" s="345"/>
      <c r="D33" s="355"/>
      <c r="E33" s="353"/>
      <c r="F33" s="345"/>
      <c r="G33" s="345"/>
      <c r="H33" s="355"/>
      <c r="I33" s="353"/>
      <c r="J33" s="345"/>
      <c r="K33" s="345"/>
      <c r="L33" s="355"/>
      <c r="M33" s="353"/>
    </row>
    <row r="34" spans="1:14" ht="15.75" x14ac:dyDescent="0.2">
      <c r="A34" s="13" t="s">
        <v>348</v>
      </c>
      <c r="B34" s="348"/>
      <c r="C34" s="349"/>
      <c r="D34" s="355"/>
      <c r="E34" s="353"/>
      <c r="F34" s="354"/>
      <c r="G34" s="349"/>
      <c r="H34" s="355"/>
      <c r="I34" s="353"/>
      <c r="J34" s="348"/>
      <c r="K34" s="348"/>
      <c r="L34" s="355"/>
      <c r="M34" s="353"/>
    </row>
    <row r="35" spans="1:14" ht="15.75" x14ac:dyDescent="0.2">
      <c r="A35" s="13" t="s">
        <v>349</v>
      </c>
      <c r="B35" s="348"/>
      <c r="C35" s="349"/>
      <c r="D35" s="355"/>
      <c r="E35" s="353"/>
      <c r="F35" s="354"/>
      <c r="G35" s="349"/>
      <c r="H35" s="355"/>
      <c r="I35" s="353"/>
      <c r="J35" s="348"/>
      <c r="K35" s="348"/>
      <c r="L35" s="355"/>
      <c r="M35" s="353"/>
    </row>
    <row r="36" spans="1:14" ht="15.75" x14ac:dyDescent="0.2">
      <c r="A36" s="12" t="s">
        <v>276</v>
      </c>
      <c r="B36" s="348"/>
      <c r="C36" s="349"/>
      <c r="D36" s="355"/>
      <c r="E36" s="353"/>
      <c r="F36" s="362"/>
      <c r="G36" s="363"/>
      <c r="H36" s="355"/>
      <c r="I36" s="353"/>
      <c r="J36" s="348"/>
      <c r="K36" s="348"/>
      <c r="L36" s="355"/>
      <c r="M36" s="353"/>
    </row>
    <row r="37" spans="1:14" ht="15.75" x14ac:dyDescent="0.2">
      <c r="A37" s="12" t="s">
        <v>355</v>
      </c>
      <c r="B37" s="348"/>
      <c r="C37" s="349"/>
      <c r="D37" s="355"/>
      <c r="E37" s="353"/>
      <c r="F37" s="362"/>
      <c r="G37" s="364"/>
      <c r="H37" s="355"/>
      <c r="I37" s="353"/>
      <c r="J37" s="348"/>
      <c r="K37" s="348"/>
      <c r="L37" s="355"/>
      <c r="M37" s="353"/>
    </row>
    <row r="38" spans="1:14" ht="15.75" x14ac:dyDescent="0.2">
      <c r="A38" s="12" t="s">
        <v>356</v>
      </c>
      <c r="B38" s="348"/>
      <c r="C38" s="349"/>
      <c r="D38" s="355"/>
      <c r="E38" s="150"/>
      <c r="F38" s="362"/>
      <c r="G38" s="363"/>
      <c r="H38" s="355"/>
      <c r="I38" s="353"/>
      <c r="J38" s="348"/>
      <c r="K38" s="348"/>
      <c r="L38" s="355"/>
      <c r="M38" s="353"/>
    </row>
    <row r="39" spans="1:14" ht="15.75" x14ac:dyDescent="0.2">
      <c r="A39" s="18" t="s">
        <v>357</v>
      </c>
      <c r="B39" s="350"/>
      <c r="C39" s="351"/>
      <c r="D39" s="359"/>
      <c r="E39" s="151"/>
      <c r="F39" s="365"/>
      <c r="G39" s="366"/>
      <c r="H39" s="359"/>
      <c r="I39" s="353"/>
      <c r="J39" s="348"/>
      <c r="K39" s="348"/>
      <c r="L39" s="359"/>
      <c r="M39" s="359"/>
    </row>
    <row r="40" spans="1:14" ht="15.75" x14ac:dyDescent="0.25">
      <c r="A40" s="47"/>
      <c r="B40" s="239"/>
      <c r="C40" s="239"/>
      <c r="D40" s="342"/>
      <c r="E40" s="342"/>
      <c r="F40" s="342"/>
      <c r="G40" s="342"/>
      <c r="H40" s="342"/>
      <c r="I40" s="342"/>
      <c r="J40" s="342"/>
      <c r="K40" s="342"/>
      <c r="L40" s="342"/>
      <c r="M40" s="341"/>
    </row>
    <row r="41" spans="1:14" x14ac:dyDescent="0.2">
      <c r="A41" s="139"/>
    </row>
    <row r="42" spans="1:14" ht="15.75" x14ac:dyDescent="0.25">
      <c r="A42" s="131" t="s">
        <v>265</v>
      </c>
      <c r="B42" s="340"/>
      <c r="C42" s="340"/>
      <c r="D42" s="340"/>
      <c r="E42" s="340"/>
      <c r="F42" s="341"/>
      <c r="G42" s="341"/>
      <c r="H42" s="341"/>
      <c r="I42" s="341"/>
      <c r="J42" s="341"/>
      <c r="K42" s="341"/>
      <c r="L42" s="341"/>
      <c r="M42" s="341"/>
    </row>
    <row r="43" spans="1:14" ht="15.75" x14ac:dyDescent="0.25">
      <c r="A43" s="147"/>
      <c r="B43" s="339"/>
      <c r="C43" s="339"/>
      <c r="D43" s="339"/>
      <c r="E43" s="339"/>
      <c r="F43" s="341"/>
      <c r="G43" s="341"/>
      <c r="H43" s="341"/>
      <c r="I43" s="341"/>
      <c r="J43" s="341"/>
      <c r="K43" s="341"/>
      <c r="L43" s="341"/>
      <c r="M43" s="341"/>
    </row>
    <row r="44" spans="1:14" ht="15.75" x14ac:dyDescent="0.25">
      <c r="A44" s="230"/>
      <c r="B44" s="723" t="s">
        <v>0</v>
      </c>
      <c r="C44" s="724"/>
      <c r="D44" s="724"/>
      <c r="E44" s="225"/>
      <c r="F44" s="341"/>
      <c r="G44" s="341"/>
      <c r="H44" s="341"/>
      <c r="I44" s="341"/>
      <c r="J44" s="341"/>
      <c r="K44" s="341"/>
      <c r="L44" s="341"/>
      <c r="M44" s="341"/>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98" customFormat="1" ht="15.75" x14ac:dyDescent="0.2">
      <c r="A47" s="14" t="s">
        <v>23</v>
      </c>
      <c r="B47" s="348">
        <v>920909.37560999999</v>
      </c>
      <c r="C47" s="349">
        <v>966368.27142999996</v>
      </c>
      <c r="D47" s="402">
        <f>IF(AND(_xlfn.NUMBERVALUE(B47)=0,_xlfn.NUMBERVALUE(C47)=0),,IF(B47=0, "    ---- ", IF(ABS(ROUND(100/B47*C47-100,1))&lt;999,IF(ROUND(100/B47*C47-100,1)=0,"    ---- ",ROUND(100/B47*C47-100,1)),IF(ROUND(100/B47*C47-100,1)&gt;999,999,-999))))</f>
        <v>4.9000000000000004</v>
      </c>
      <c r="E47" s="403">
        <f>IFERROR(100/'Skjema total MA'!C47*C47,0)</f>
        <v>18.121825583780776</v>
      </c>
      <c r="F47" s="143"/>
      <c r="G47" s="158"/>
      <c r="H47" s="143"/>
      <c r="I47" s="143"/>
      <c r="J47" s="401"/>
      <c r="K47" s="401"/>
      <c r="L47" s="143"/>
      <c r="M47" s="143"/>
      <c r="N47" s="404"/>
    </row>
    <row r="48" spans="1:14" s="3" customFormat="1" ht="15.75" x14ac:dyDescent="0.2">
      <c r="A48" s="38" t="s">
        <v>358</v>
      </c>
      <c r="B48" s="346">
        <v>106439.42294999999</v>
      </c>
      <c r="C48" s="347">
        <v>106012.70565</v>
      </c>
      <c r="D48" s="355">
        <f t="shared" ref="D48:D57" si="8">IF(AND(_xlfn.NUMBERVALUE(B48)=0,_xlfn.NUMBERVALUE(C48)=0),,IF(B48=0, "    ---- ", IF(ABS(ROUND(100/B48*C48-100,1))&lt;999,IF(ROUND(100/B48*C48-100,1)=0,"    ---- ",ROUND(100/B48*C48-100,1)),IF(ROUND(100/B48*C48-100,1)&gt;999,999,-999))))</f>
        <v>-0.4</v>
      </c>
      <c r="E48" s="391">
        <f>IFERROR(100/'Skjema total MA'!C48*C48,0)</f>
        <v>3.5295277536245155</v>
      </c>
      <c r="F48" s="129"/>
      <c r="G48" s="33"/>
      <c r="H48" s="129"/>
      <c r="I48" s="129"/>
      <c r="J48" s="33"/>
      <c r="K48" s="33"/>
      <c r="L48" s="143"/>
      <c r="M48" s="143"/>
      <c r="N48" s="132"/>
    </row>
    <row r="49" spans="1:14" s="3" customFormat="1" ht="15.75" x14ac:dyDescent="0.2">
      <c r="A49" s="38" t="s">
        <v>359</v>
      </c>
      <c r="B49" s="346">
        <v>814469.95265999995</v>
      </c>
      <c r="C49" s="347">
        <v>860355.56577999995</v>
      </c>
      <c r="D49" s="355">
        <f t="shared" si="8"/>
        <v>5.6</v>
      </c>
      <c r="E49" s="391">
        <f>IFERROR(100/'Skjema total MA'!C49*C49,0)</f>
        <v>36.940568089417731</v>
      </c>
      <c r="F49" s="129"/>
      <c r="G49" s="33"/>
      <c r="H49" s="129"/>
      <c r="I49" s="129"/>
      <c r="J49" s="37"/>
      <c r="K49" s="37"/>
      <c r="L49" s="143"/>
      <c r="M49" s="143"/>
      <c r="N49" s="132"/>
    </row>
    <row r="50" spans="1:14" s="3" customFormat="1" x14ac:dyDescent="0.2">
      <c r="A50" s="279" t="s">
        <v>6</v>
      </c>
      <c r="B50" s="362"/>
      <c r="C50" s="362"/>
      <c r="D50" s="355"/>
      <c r="E50" s="392"/>
      <c r="F50" s="129"/>
      <c r="G50" s="33"/>
      <c r="H50" s="129"/>
      <c r="I50" s="129"/>
      <c r="J50" s="33"/>
      <c r="K50" s="33"/>
      <c r="L50" s="143"/>
      <c r="M50" s="143"/>
      <c r="N50" s="132"/>
    </row>
    <row r="51" spans="1:14" s="3" customFormat="1" x14ac:dyDescent="0.2">
      <c r="A51" s="279" t="s">
        <v>7</v>
      </c>
      <c r="B51" s="362"/>
      <c r="C51" s="362"/>
      <c r="D51" s="355"/>
      <c r="E51" s="392"/>
      <c r="F51" s="129"/>
      <c r="G51" s="33"/>
      <c r="H51" s="129"/>
      <c r="I51" s="129"/>
      <c r="J51" s="33"/>
      <c r="K51" s="33"/>
      <c r="L51" s="143"/>
      <c r="M51" s="143"/>
      <c r="N51" s="132"/>
    </row>
    <row r="52" spans="1:14" s="3" customFormat="1" x14ac:dyDescent="0.2">
      <c r="A52" s="279" t="s">
        <v>8</v>
      </c>
      <c r="B52" s="362"/>
      <c r="C52" s="362"/>
      <c r="D52" s="355"/>
      <c r="E52" s="392"/>
      <c r="F52" s="129"/>
      <c r="G52" s="33"/>
      <c r="H52" s="129"/>
      <c r="I52" s="129"/>
      <c r="J52" s="33"/>
      <c r="K52" s="33"/>
      <c r="L52" s="143"/>
      <c r="M52" s="143"/>
      <c r="N52" s="132"/>
    </row>
    <row r="53" spans="1:14" s="3" customFormat="1" ht="15.75" x14ac:dyDescent="0.2">
      <c r="A53" s="39" t="s">
        <v>360</v>
      </c>
      <c r="B53" s="348">
        <v>704</v>
      </c>
      <c r="C53" s="349">
        <v>3248</v>
      </c>
      <c r="D53" s="355">
        <f t="shared" si="8"/>
        <v>361.4</v>
      </c>
      <c r="E53" s="391">
        <f>IFERROR(100/'Skjema total MA'!C53*C53,0)</f>
        <v>1.7554791379248396</v>
      </c>
      <c r="F53" s="129"/>
      <c r="G53" s="33"/>
      <c r="H53" s="129"/>
      <c r="I53" s="129"/>
      <c r="J53" s="33"/>
      <c r="K53" s="33"/>
      <c r="L53" s="143"/>
      <c r="M53" s="143"/>
      <c r="N53" s="132"/>
    </row>
    <row r="54" spans="1:14" s="3" customFormat="1" ht="15.75" x14ac:dyDescent="0.2">
      <c r="A54" s="38" t="s">
        <v>358</v>
      </c>
      <c r="B54" s="346">
        <v>704</v>
      </c>
      <c r="C54" s="347">
        <v>3248</v>
      </c>
      <c r="D54" s="355">
        <f t="shared" si="8"/>
        <v>361.4</v>
      </c>
      <c r="E54" s="391">
        <f>IFERROR(100/'Skjema total MA'!C54*C54,0)</f>
        <v>1.7645009272104686</v>
      </c>
      <c r="F54" s="129"/>
      <c r="G54" s="33"/>
      <c r="H54" s="129"/>
      <c r="I54" s="129"/>
      <c r="J54" s="33"/>
      <c r="K54" s="33"/>
      <c r="L54" s="143"/>
      <c r="M54" s="143"/>
      <c r="N54" s="132"/>
    </row>
    <row r="55" spans="1:14" s="3" customFormat="1" ht="15.75" x14ac:dyDescent="0.2">
      <c r="A55" s="38" t="s">
        <v>359</v>
      </c>
      <c r="B55" s="346"/>
      <c r="C55" s="347"/>
      <c r="D55" s="355"/>
      <c r="E55" s="391"/>
      <c r="F55" s="129"/>
      <c r="G55" s="33"/>
      <c r="H55" s="129"/>
      <c r="I55" s="129"/>
      <c r="J55" s="33"/>
      <c r="K55" s="33"/>
      <c r="L55" s="143"/>
      <c r="M55" s="143"/>
      <c r="N55" s="132"/>
    </row>
    <row r="56" spans="1:14" s="3" customFormat="1" ht="15.75" x14ac:dyDescent="0.2">
      <c r="A56" s="39" t="s">
        <v>361</v>
      </c>
      <c r="B56" s="348">
        <v>4831</v>
      </c>
      <c r="C56" s="349">
        <v>2971</v>
      </c>
      <c r="D56" s="355">
        <f t="shared" si="8"/>
        <v>-38.5</v>
      </c>
      <c r="E56" s="391">
        <f>IFERROR(100/'Skjema total MA'!C56*C56,0)</f>
        <v>2.6690523257062795</v>
      </c>
      <c r="F56" s="129"/>
      <c r="G56" s="33"/>
      <c r="H56" s="129"/>
      <c r="I56" s="129"/>
      <c r="J56" s="33"/>
      <c r="K56" s="33"/>
      <c r="L56" s="143"/>
      <c r="M56" s="143"/>
      <c r="N56" s="132"/>
    </row>
    <row r="57" spans="1:14" s="3" customFormat="1" ht="15.75" x14ac:dyDescent="0.2">
      <c r="A57" s="38" t="s">
        <v>358</v>
      </c>
      <c r="B57" s="346">
        <v>4831</v>
      </c>
      <c r="C57" s="347">
        <v>2971</v>
      </c>
      <c r="D57" s="355">
        <f t="shared" si="8"/>
        <v>-38.5</v>
      </c>
      <c r="E57" s="672">
        <f>IFERROR(100/'Skjema total MA'!C57*C57,0)</f>
        <v>2.6690523257062795</v>
      </c>
      <c r="F57" s="129"/>
      <c r="G57" s="33"/>
      <c r="H57" s="129"/>
      <c r="I57" s="129"/>
      <c r="J57" s="33"/>
      <c r="K57" s="33"/>
      <c r="L57" s="143"/>
      <c r="M57" s="143"/>
      <c r="N57" s="132"/>
    </row>
    <row r="58" spans="1:14" s="3" customFormat="1" ht="15.75" x14ac:dyDescent="0.2">
      <c r="A58" s="46" t="s">
        <v>359</v>
      </c>
      <c r="B58" s="367"/>
      <c r="C58" s="368"/>
      <c r="D58" s="359"/>
      <c r="E58" s="393"/>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339"/>
      <c r="C62" s="339"/>
      <c r="D62" s="339"/>
      <c r="E62" s="340"/>
      <c r="F62" s="339"/>
      <c r="G62" s="339"/>
      <c r="H62" s="339"/>
      <c r="I62" s="340"/>
      <c r="J62" s="339"/>
      <c r="K62" s="339"/>
      <c r="L62" s="339"/>
      <c r="M62" s="340"/>
    </row>
    <row r="63" spans="1:14" x14ac:dyDescent="0.2">
      <c r="A63" s="128"/>
      <c r="B63" s="723" t="s">
        <v>0</v>
      </c>
      <c r="C63" s="724"/>
      <c r="D63" s="725"/>
      <c r="E63" s="336"/>
      <c r="F63" s="724" t="s">
        <v>1</v>
      </c>
      <c r="G63" s="724"/>
      <c r="H63" s="724"/>
      <c r="I63" s="338"/>
      <c r="J63" s="723" t="s">
        <v>2</v>
      </c>
      <c r="K63" s="724"/>
      <c r="L63" s="724"/>
      <c r="M63" s="338"/>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69"/>
      <c r="C66" s="369"/>
      <c r="D66" s="352"/>
      <c r="E66" s="353"/>
      <c r="F66" s="369"/>
      <c r="G66" s="369"/>
      <c r="H66" s="352"/>
      <c r="I66" s="353"/>
      <c r="J66" s="349"/>
      <c r="K66" s="343"/>
      <c r="L66" s="355"/>
      <c r="M66" s="353"/>
    </row>
    <row r="67" spans="1:14" x14ac:dyDescent="0.2">
      <c r="A67" s="21" t="s">
        <v>9</v>
      </c>
      <c r="B67" s="346"/>
      <c r="C67" s="370"/>
      <c r="D67" s="355"/>
      <c r="E67" s="353"/>
      <c r="F67" s="358"/>
      <c r="G67" s="370"/>
      <c r="H67" s="355"/>
      <c r="I67" s="353"/>
      <c r="J67" s="347"/>
      <c r="K67" s="346"/>
      <c r="L67" s="355"/>
      <c r="M67" s="353"/>
    </row>
    <row r="68" spans="1:14" x14ac:dyDescent="0.2">
      <c r="A68" s="21" t="s">
        <v>10</v>
      </c>
      <c r="B68" s="371"/>
      <c r="C68" s="372"/>
      <c r="D68" s="355"/>
      <c r="E68" s="353"/>
      <c r="F68" s="371"/>
      <c r="G68" s="372"/>
      <c r="H68" s="355"/>
      <c r="I68" s="353"/>
      <c r="J68" s="347"/>
      <c r="K68" s="346"/>
      <c r="L68" s="355"/>
      <c r="M68" s="353"/>
    </row>
    <row r="69" spans="1:14" ht="15.75" x14ac:dyDescent="0.2">
      <c r="A69" s="279" t="s">
        <v>362</v>
      </c>
      <c r="B69" s="362"/>
      <c r="C69" s="362"/>
      <c r="D69" s="355"/>
      <c r="E69" s="377"/>
      <c r="F69" s="692"/>
      <c r="G69" s="362"/>
      <c r="H69" s="355"/>
      <c r="I69" s="353"/>
      <c r="J69" s="692"/>
      <c r="K69" s="362"/>
      <c r="L69" s="355"/>
      <c r="M69" s="353"/>
    </row>
    <row r="70" spans="1:14" x14ac:dyDescent="0.2">
      <c r="A70" s="279" t="s">
        <v>12</v>
      </c>
      <c r="B70" s="362"/>
      <c r="C70" s="362"/>
      <c r="D70" s="355"/>
      <c r="E70" s="377"/>
      <c r="F70" s="692"/>
      <c r="G70" s="362"/>
      <c r="H70" s="355"/>
      <c r="I70" s="353"/>
      <c r="J70" s="692"/>
      <c r="K70" s="362"/>
      <c r="L70" s="355"/>
      <c r="M70" s="353"/>
    </row>
    <row r="71" spans="1:14" x14ac:dyDescent="0.2">
      <c r="A71" s="279" t="s">
        <v>13</v>
      </c>
      <c r="B71" s="362"/>
      <c r="C71" s="362"/>
      <c r="D71" s="355"/>
      <c r="E71" s="377"/>
      <c r="F71" s="692"/>
      <c r="G71" s="362"/>
      <c r="H71" s="355"/>
      <c r="I71" s="353"/>
      <c r="J71" s="692"/>
      <c r="K71" s="362"/>
      <c r="L71" s="355"/>
      <c r="M71" s="353"/>
    </row>
    <row r="72" spans="1:14" ht="15.75" x14ac:dyDescent="0.2">
      <c r="A72" s="279" t="s">
        <v>363</v>
      </c>
      <c r="B72" s="362"/>
      <c r="C72" s="362"/>
      <c r="D72" s="355"/>
      <c r="E72" s="377"/>
      <c r="F72" s="692"/>
      <c r="G72" s="362"/>
      <c r="H72" s="355"/>
      <c r="I72" s="353"/>
      <c r="J72" s="692"/>
      <c r="K72" s="362"/>
      <c r="L72" s="355"/>
      <c r="M72" s="353"/>
    </row>
    <row r="73" spans="1:14" x14ac:dyDescent="0.2">
      <c r="A73" s="279" t="s">
        <v>12</v>
      </c>
      <c r="B73" s="373"/>
      <c r="C73" s="374"/>
      <c r="D73" s="355"/>
      <c r="E73" s="377"/>
      <c r="F73" s="692"/>
      <c r="G73" s="362"/>
      <c r="H73" s="355"/>
      <c r="I73" s="353"/>
      <c r="J73" s="692"/>
      <c r="K73" s="362"/>
      <c r="L73" s="355"/>
      <c r="M73" s="353"/>
    </row>
    <row r="74" spans="1:14" s="3" customFormat="1" x14ac:dyDescent="0.2">
      <c r="A74" s="279" t="s">
        <v>13</v>
      </c>
      <c r="B74" s="373"/>
      <c r="C74" s="374"/>
      <c r="D74" s="355"/>
      <c r="E74" s="377"/>
      <c r="F74" s="692"/>
      <c r="G74" s="362"/>
      <c r="H74" s="355"/>
      <c r="I74" s="353"/>
      <c r="J74" s="692"/>
      <c r="K74" s="362"/>
      <c r="L74" s="355"/>
      <c r="M74" s="353"/>
      <c r="N74" s="132"/>
    </row>
    <row r="75" spans="1:14" s="3" customFormat="1" x14ac:dyDescent="0.2">
      <c r="A75" s="21" t="s">
        <v>334</v>
      </c>
      <c r="B75" s="358"/>
      <c r="C75" s="370"/>
      <c r="D75" s="355"/>
      <c r="E75" s="353"/>
      <c r="F75" s="358"/>
      <c r="G75" s="370"/>
      <c r="H75" s="355"/>
      <c r="I75" s="353"/>
      <c r="J75" s="347"/>
      <c r="K75" s="346"/>
      <c r="L75" s="355"/>
      <c r="M75" s="353"/>
      <c r="N75" s="132"/>
    </row>
    <row r="76" spans="1:14" s="3" customFormat="1" x14ac:dyDescent="0.2">
      <c r="A76" s="21" t="s">
        <v>333</v>
      </c>
      <c r="B76" s="358"/>
      <c r="C76" s="370"/>
      <c r="D76" s="355"/>
      <c r="E76" s="353"/>
      <c r="F76" s="358"/>
      <c r="G76" s="370"/>
      <c r="H76" s="355"/>
      <c r="I76" s="353"/>
      <c r="J76" s="347"/>
      <c r="K76" s="346"/>
      <c r="L76" s="355"/>
      <c r="M76" s="353"/>
      <c r="N76" s="132"/>
    </row>
    <row r="77" spans="1:14" ht="15.75" x14ac:dyDescent="0.2">
      <c r="A77" s="21" t="s">
        <v>364</v>
      </c>
      <c r="B77" s="358"/>
      <c r="C77" s="358"/>
      <c r="D77" s="355"/>
      <c r="E77" s="353"/>
      <c r="F77" s="358"/>
      <c r="G77" s="370"/>
      <c r="H77" s="355"/>
      <c r="I77" s="353"/>
      <c r="J77" s="347"/>
      <c r="K77" s="346"/>
      <c r="L77" s="355"/>
      <c r="M77" s="353"/>
    </row>
    <row r="78" spans="1:14" x14ac:dyDescent="0.2">
      <c r="A78" s="21" t="s">
        <v>9</v>
      </c>
      <c r="B78" s="358"/>
      <c r="C78" s="370"/>
      <c r="D78" s="355"/>
      <c r="E78" s="353"/>
      <c r="F78" s="358"/>
      <c r="G78" s="370"/>
      <c r="H78" s="355"/>
      <c r="I78" s="353"/>
      <c r="J78" s="347"/>
      <c r="K78" s="346"/>
      <c r="L78" s="355"/>
      <c r="M78" s="353"/>
    </row>
    <row r="79" spans="1:14" x14ac:dyDescent="0.2">
      <c r="A79" s="38" t="s">
        <v>396</v>
      </c>
      <c r="B79" s="371"/>
      <c r="C79" s="372"/>
      <c r="D79" s="355"/>
      <c r="E79" s="353"/>
      <c r="F79" s="371"/>
      <c r="G79" s="372"/>
      <c r="H79" s="355"/>
      <c r="I79" s="353"/>
      <c r="J79" s="347"/>
      <c r="K79" s="346"/>
      <c r="L79" s="355"/>
      <c r="M79" s="353"/>
    </row>
    <row r="80" spans="1:14" ht="15.75" x14ac:dyDescent="0.2">
      <c r="A80" s="279" t="s">
        <v>362</v>
      </c>
      <c r="B80" s="692"/>
      <c r="C80" s="362"/>
      <c r="D80" s="355"/>
      <c r="E80" s="377"/>
      <c r="F80" s="692"/>
      <c r="G80" s="362"/>
      <c r="H80" s="355"/>
      <c r="I80" s="353"/>
      <c r="J80" s="692"/>
      <c r="K80" s="362"/>
      <c r="L80" s="355"/>
      <c r="M80" s="353"/>
    </row>
    <row r="81" spans="1:13" x14ac:dyDescent="0.2">
      <c r="A81" s="279" t="s">
        <v>12</v>
      </c>
      <c r="B81" s="692"/>
      <c r="C81" s="362"/>
      <c r="D81" s="355"/>
      <c r="E81" s="377"/>
      <c r="F81" s="692"/>
      <c r="G81" s="362"/>
      <c r="H81" s="355"/>
      <c r="I81" s="353"/>
      <c r="J81" s="692"/>
      <c r="K81" s="362"/>
      <c r="L81" s="355"/>
      <c r="M81" s="353"/>
    </row>
    <row r="82" spans="1:13" x14ac:dyDescent="0.2">
      <c r="A82" s="279" t="s">
        <v>13</v>
      </c>
      <c r="B82" s="692"/>
      <c r="C82" s="362"/>
      <c r="D82" s="355"/>
      <c r="E82" s="377"/>
      <c r="F82" s="692"/>
      <c r="G82" s="362"/>
      <c r="H82" s="355"/>
      <c r="I82" s="353"/>
      <c r="J82" s="692"/>
      <c r="K82" s="362"/>
      <c r="L82" s="355"/>
      <c r="M82" s="353"/>
    </row>
    <row r="83" spans="1:13" ht="15.75" x14ac:dyDescent="0.2">
      <c r="A83" s="279" t="s">
        <v>363</v>
      </c>
      <c r="B83" s="692"/>
      <c r="C83" s="362"/>
      <c r="D83" s="355"/>
      <c r="E83" s="377"/>
      <c r="F83" s="692"/>
      <c r="G83" s="362"/>
      <c r="H83" s="355"/>
      <c r="I83" s="353"/>
      <c r="J83" s="692"/>
      <c r="K83" s="362"/>
      <c r="L83" s="355"/>
      <c r="M83" s="353"/>
    </row>
    <row r="84" spans="1:13" x14ac:dyDescent="0.2">
      <c r="A84" s="279" t="s">
        <v>12</v>
      </c>
      <c r="B84" s="692"/>
      <c r="C84" s="362"/>
      <c r="D84" s="355"/>
      <c r="E84" s="377"/>
      <c r="F84" s="692"/>
      <c r="G84" s="362"/>
      <c r="H84" s="355"/>
      <c r="I84" s="353"/>
      <c r="J84" s="692"/>
      <c r="K84" s="362"/>
      <c r="L84" s="355"/>
      <c r="M84" s="353"/>
    </row>
    <row r="85" spans="1:13" x14ac:dyDescent="0.2">
      <c r="A85" s="279" t="s">
        <v>13</v>
      </c>
      <c r="B85" s="692"/>
      <c r="C85" s="362"/>
      <c r="D85" s="355"/>
      <c r="E85" s="377"/>
      <c r="F85" s="692"/>
      <c r="G85" s="362"/>
      <c r="H85" s="355"/>
      <c r="I85" s="353"/>
      <c r="J85" s="692"/>
      <c r="K85" s="362"/>
      <c r="L85" s="355"/>
      <c r="M85" s="353"/>
    </row>
    <row r="86" spans="1:13" ht="15.75" x14ac:dyDescent="0.2">
      <c r="A86" s="21" t="s">
        <v>365</v>
      </c>
      <c r="B86" s="358"/>
      <c r="C86" s="370"/>
      <c r="D86" s="355"/>
      <c r="E86" s="353"/>
      <c r="F86" s="358"/>
      <c r="G86" s="370"/>
      <c r="H86" s="355"/>
      <c r="I86" s="353"/>
      <c r="J86" s="347"/>
      <c r="K86" s="346"/>
      <c r="L86" s="355"/>
      <c r="M86" s="353"/>
    </row>
    <row r="87" spans="1:13" ht="15.75" x14ac:dyDescent="0.2">
      <c r="A87" s="13" t="s">
        <v>347</v>
      </c>
      <c r="B87" s="369"/>
      <c r="C87" s="369"/>
      <c r="D87" s="355"/>
      <c r="E87" s="353"/>
      <c r="F87" s="369"/>
      <c r="G87" s="369"/>
      <c r="H87" s="355"/>
      <c r="I87" s="353"/>
      <c r="J87" s="349"/>
      <c r="K87" s="348"/>
      <c r="L87" s="355"/>
      <c r="M87" s="353"/>
    </row>
    <row r="88" spans="1:13" x14ac:dyDescent="0.2">
      <c r="A88" s="21" t="s">
        <v>9</v>
      </c>
      <c r="B88" s="358"/>
      <c r="C88" s="370"/>
      <c r="D88" s="355"/>
      <c r="E88" s="353"/>
      <c r="F88" s="358"/>
      <c r="G88" s="370"/>
      <c r="H88" s="355"/>
      <c r="I88" s="353"/>
      <c r="J88" s="347"/>
      <c r="K88" s="346"/>
      <c r="L88" s="355"/>
      <c r="M88" s="353"/>
    </row>
    <row r="89" spans="1:13" x14ac:dyDescent="0.2">
      <c r="A89" s="21" t="s">
        <v>10</v>
      </c>
      <c r="B89" s="358"/>
      <c r="C89" s="370"/>
      <c r="D89" s="355"/>
      <c r="E89" s="353"/>
      <c r="F89" s="358"/>
      <c r="G89" s="370"/>
      <c r="H89" s="355"/>
      <c r="I89" s="353"/>
      <c r="J89" s="347"/>
      <c r="K89" s="346"/>
      <c r="L89" s="355"/>
      <c r="M89" s="353"/>
    </row>
    <row r="90" spans="1:13" ht="15.75" x14ac:dyDescent="0.2">
      <c r="A90" s="279" t="s">
        <v>362</v>
      </c>
      <c r="B90" s="692"/>
      <c r="C90" s="362"/>
      <c r="D90" s="355"/>
      <c r="E90" s="377"/>
      <c r="F90" s="692"/>
      <c r="G90" s="362"/>
      <c r="H90" s="355"/>
      <c r="I90" s="353"/>
      <c r="J90" s="692"/>
      <c r="K90" s="362"/>
      <c r="L90" s="355"/>
      <c r="M90" s="353"/>
    </row>
    <row r="91" spans="1:13" x14ac:dyDescent="0.2">
      <c r="A91" s="279" t="s">
        <v>12</v>
      </c>
      <c r="B91" s="692"/>
      <c r="C91" s="362"/>
      <c r="D91" s="355"/>
      <c r="E91" s="377"/>
      <c r="F91" s="692"/>
      <c r="G91" s="362"/>
      <c r="H91" s="355"/>
      <c r="I91" s="353"/>
      <c r="J91" s="692"/>
      <c r="K91" s="362"/>
      <c r="L91" s="355"/>
      <c r="M91" s="353"/>
    </row>
    <row r="92" spans="1:13" x14ac:dyDescent="0.2">
      <c r="A92" s="279" t="s">
        <v>13</v>
      </c>
      <c r="B92" s="692"/>
      <c r="C92" s="362"/>
      <c r="D92" s="355"/>
      <c r="E92" s="377"/>
      <c r="F92" s="692"/>
      <c r="G92" s="362"/>
      <c r="H92" s="355"/>
      <c r="I92" s="353"/>
      <c r="J92" s="692"/>
      <c r="K92" s="362"/>
      <c r="L92" s="355"/>
      <c r="M92" s="353"/>
    </row>
    <row r="93" spans="1:13" ht="15.75" x14ac:dyDescent="0.2">
      <c r="A93" s="279" t="s">
        <v>363</v>
      </c>
      <c r="B93" s="692"/>
      <c r="C93" s="362"/>
      <c r="D93" s="355"/>
      <c r="E93" s="377"/>
      <c r="F93" s="692"/>
      <c r="G93" s="362"/>
      <c r="H93" s="355"/>
      <c r="I93" s="353"/>
      <c r="J93" s="692"/>
      <c r="K93" s="362"/>
      <c r="L93" s="355"/>
      <c r="M93" s="353"/>
    </row>
    <row r="94" spans="1:13" x14ac:dyDescent="0.2">
      <c r="A94" s="279" t="s">
        <v>12</v>
      </c>
      <c r="B94" s="692"/>
      <c r="C94" s="362"/>
      <c r="D94" s="355"/>
      <c r="E94" s="377"/>
      <c r="F94" s="692"/>
      <c r="G94" s="362"/>
      <c r="H94" s="355"/>
      <c r="I94" s="353"/>
      <c r="J94" s="692"/>
      <c r="K94" s="362"/>
      <c r="L94" s="355"/>
      <c r="M94" s="353"/>
    </row>
    <row r="95" spans="1:13" x14ac:dyDescent="0.2">
      <c r="A95" s="279" t="s">
        <v>13</v>
      </c>
      <c r="B95" s="692"/>
      <c r="C95" s="362"/>
      <c r="D95" s="355"/>
      <c r="E95" s="377"/>
      <c r="F95" s="692"/>
      <c r="G95" s="362"/>
      <c r="H95" s="355"/>
      <c r="I95" s="353"/>
      <c r="J95" s="692"/>
      <c r="K95" s="362"/>
      <c r="L95" s="355"/>
      <c r="M95" s="353"/>
    </row>
    <row r="96" spans="1:13" x14ac:dyDescent="0.2">
      <c r="A96" s="21" t="s">
        <v>332</v>
      </c>
      <c r="B96" s="358"/>
      <c r="C96" s="370"/>
      <c r="D96" s="355"/>
      <c r="E96" s="353"/>
      <c r="F96" s="358"/>
      <c r="G96" s="370"/>
      <c r="H96" s="355"/>
      <c r="I96" s="353"/>
      <c r="J96" s="347"/>
      <c r="K96" s="346"/>
      <c r="L96" s="355"/>
      <c r="M96" s="353"/>
    </row>
    <row r="97" spans="1:13" x14ac:dyDescent="0.2">
      <c r="A97" s="21" t="s">
        <v>331</v>
      </c>
      <c r="B97" s="358"/>
      <c r="C97" s="370"/>
      <c r="D97" s="355"/>
      <c r="E97" s="353"/>
      <c r="F97" s="358"/>
      <c r="G97" s="370"/>
      <c r="H97" s="355"/>
      <c r="I97" s="353"/>
      <c r="J97" s="347"/>
      <c r="K97" s="346"/>
      <c r="L97" s="355"/>
      <c r="M97" s="353"/>
    </row>
    <row r="98" spans="1:13" ht="15.75" x14ac:dyDescent="0.2">
      <c r="A98" s="21" t="s">
        <v>364</v>
      </c>
      <c r="B98" s="358"/>
      <c r="C98" s="358"/>
      <c r="D98" s="355"/>
      <c r="E98" s="353"/>
      <c r="F98" s="371"/>
      <c r="G98" s="371"/>
      <c r="H98" s="355"/>
      <c r="I98" s="353"/>
      <c r="J98" s="347"/>
      <c r="K98" s="346"/>
      <c r="L98" s="355"/>
      <c r="M98" s="353"/>
    </row>
    <row r="99" spans="1:13" x14ac:dyDescent="0.2">
      <c r="A99" s="21" t="s">
        <v>9</v>
      </c>
      <c r="B99" s="371"/>
      <c r="C99" s="372"/>
      <c r="D99" s="355"/>
      <c r="E99" s="353"/>
      <c r="F99" s="358"/>
      <c r="G99" s="370"/>
      <c r="H99" s="355"/>
      <c r="I99" s="353"/>
      <c r="J99" s="347"/>
      <c r="K99" s="346"/>
      <c r="L99" s="355"/>
      <c r="M99" s="353"/>
    </row>
    <row r="100" spans="1:13" x14ac:dyDescent="0.2">
      <c r="A100" s="38" t="s">
        <v>396</v>
      </c>
      <c r="B100" s="371"/>
      <c r="C100" s="372"/>
      <c r="D100" s="355"/>
      <c r="E100" s="353"/>
      <c r="F100" s="358"/>
      <c r="G100" s="358"/>
      <c r="H100" s="355"/>
      <c r="I100" s="353"/>
      <c r="J100" s="347"/>
      <c r="K100" s="346"/>
      <c r="L100" s="355"/>
      <c r="M100" s="353"/>
    </row>
    <row r="101" spans="1:13" ht="15.75" x14ac:dyDescent="0.2">
      <c r="A101" s="279" t="s">
        <v>362</v>
      </c>
      <c r="B101" s="692"/>
      <c r="C101" s="362"/>
      <c r="D101" s="355"/>
      <c r="E101" s="377"/>
      <c r="F101" s="692"/>
      <c r="G101" s="362"/>
      <c r="H101" s="355"/>
      <c r="I101" s="353"/>
      <c r="J101" s="692"/>
      <c r="K101" s="362"/>
      <c r="L101" s="355"/>
      <c r="M101" s="353"/>
    </row>
    <row r="102" spans="1:13" x14ac:dyDescent="0.2">
      <c r="A102" s="279" t="s">
        <v>12</v>
      </c>
      <c r="B102" s="692"/>
      <c r="C102" s="362"/>
      <c r="D102" s="355"/>
      <c r="E102" s="377"/>
      <c r="F102" s="692"/>
      <c r="G102" s="362"/>
      <c r="H102" s="355"/>
      <c r="I102" s="353"/>
      <c r="J102" s="692"/>
      <c r="K102" s="362"/>
      <c r="L102" s="355"/>
      <c r="M102" s="353"/>
    </row>
    <row r="103" spans="1:13" x14ac:dyDescent="0.2">
      <c r="A103" s="279" t="s">
        <v>13</v>
      </c>
      <c r="B103" s="692"/>
      <c r="C103" s="362"/>
      <c r="D103" s="355"/>
      <c r="E103" s="377"/>
      <c r="F103" s="692"/>
      <c r="G103" s="362"/>
      <c r="H103" s="355"/>
      <c r="I103" s="353"/>
      <c r="J103" s="692"/>
      <c r="K103" s="362"/>
      <c r="L103" s="355"/>
      <c r="M103" s="353"/>
    </row>
    <row r="104" spans="1:13" ht="15.75" x14ac:dyDescent="0.2">
      <c r="A104" s="279" t="s">
        <v>363</v>
      </c>
      <c r="B104" s="692"/>
      <c r="C104" s="362"/>
      <c r="D104" s="355"/>
      <c r="E104" s="377"/>
      <c r="F104" s="692"/>
      <c r="G104" s="362"/>
      <c r="H104" s="355"/>
      <c r="I104" s="353"/>
      <c r="J104" s="692"/>
      <c r="K104" s="362"/>
      <c r="L104" s="355"/>
      <c r="M104" s="353"/>
    </row>
    <row r="105" spans="1:13" x14ac:dyDescent="0.2">
      <c r="A105" s="279" t="s">
        <v>12</v>
      </c>
      <c r="B105" s="692"/>
      <c r="C105" s="362"/>
      <c r="D105" s="355"/>
      <c r="E105" s="377"/>
      <c r="F105" s="692"/>
      <c r="G105" s="362"/>
      <c r="H105" s="355"/>
      <c r="I105" s="353"/>
      <c r="J105" s="692"/>
      <c r="K105" s="362"/>
      <c r="L105" s="355"/>
      <c r="M105" s="353"/>
    </row>
    <row r="106" spans="1:13" x14ac:dyDescent="0.2">
      <c r="A106" s="279" t="s">
        <v>13</v>
      </c>
      <c r="B106" s="692"/>
      <c r="C106" s="362"/>
      <c r="D106" s="355"/>
      <c r="E106" s="377"/>
      <c r="F106" s="692"/>
      <c r="G106" s="362"/>
      <c r="H106" s="355"/>
      <c r="I106" s="353"/>
      <c r="J106" s="692"/>
      <c r="K106" s="362"/>
      <c r="L106" s="355"/>
      <c r="M106" s="353"/>
    </row>
    <row r="107" spans="1:13" ht="15.75" x14ac:dyDescent="0.2">
      <c r="A107" s="21" t="s">
        <v>365</v>
      </c>
      <c r="B107" s="358"/>
      <c r="C107" s="370"/>
      <c r="D107" s="355"/>
      <c r="E107" s="353"/>
      <c r="F107" s="358"/>
      <c r="G107" s="370"/>
      <c r="H107" s="355"/>
      <c r="I107" s="353"/>
      <c r="J107" s="347"/>
      <c r="K107" s="346"/>
      <c r="L107" s="355"/>
      <c r="M107" s="353"/>
    </row>
    <row r="108" spans="1:13" ht="15.75" x14ac:dyDescent="0.2">
      <c r="A108" s="21" t="s">
        <v>366</v>
      </c>
      <c r="B108" s="358"/>
      <c r="C108" s="358"/>
      <c r="D108" s="355"/>
      <c r="E108" s="353"/>
      <c r="F108" s="358"/>
      <c r="G108" s="358"/>
      <c r="H108" s="355"/>
      <c r="I108" s="353"/>
      <c r="J108" s="347"/>
      <c r="K108" s="346"/>
      <c r="L108" s="355"/>
      <c r="M108" s="353"/>
    </row>
    <row r="109" spans="1:13" ht="15.75" x14ac:dyDescent="0.2">
      <c r="A109" s="38" t="s">
        <v>404</v>
      </c>
      <c r="B109" s="358"/>
      <c r="C109" s="358"/>
      <c r="D109" s="355"/>
      <c r="E109" s="353"/>
      <c r="F109" s="358"/>
      <c r="G109" s="358"/>
      <c r="H109" s="355"/>
      <c r="I109" s="353"/>
      <c r="J109" s="347"/>
      <c r="K109" s="346"/>
      <c r="L109" s="355"/>
      <c r="M109" s="353"/>
    </row>
    <row r="110" spans="1:13" ht="15.75" x14ac:dyDescent="0.2">
      <c r="A110" s="21" t="s">
        <v>367</v>
      </c>
      <c r="B110" s="358"/>
      <c r="C110" s="358"/>
      <c r="D110" s="355"/>
      <c r="E110" s="353"/>
      <c r="F110" s="358"/>
      <c r="G110" s="358"/>
      <c r="H110" s="355"/>
      <c r="I110" s="353"/>
      <c r="J110" s="347"/>
      <c r="K110" s="346"/>
      <c r="L110" s="355"/>
      <c r="M110" s="353"/>
    </row>
    <row r="111" spans="1:13" ht="15.75" x14ac:dyDescent="0.2">
      <c r="A111" s="13" t="s">
        <v>348</v>
      </c>
      <c r="B111" s="354"/>
      <c r="C111" s="375"/>
      <c r="D111" s="355"/>
      <c r="E111" s="353"/>
      <c r="F111" s="354"/>
      <c r="G111" s="375"/>
      <c r="H111" s="355"/>
      <c r="I111" s="353"/>
      <c r="J111" s="349"/>
      <c r="K111" s="348"/>
      <c r="L111" s="355"/>
      <c r="M111" s="353"/>
    </row>
    <row r="112" spans="1:13" x14ac:dyDescent="0.2">
      <c r="A112" s="21" t="s">
        <v>9</v>
      </c>
      <c r="B112" s="358"/>
      <c r="C112" s="370"/>
      <c r="D112" s="355"/>
      <c r="E112" s="353"/>
      <c r="F112" s="358"/>
      <c r="G112" s="370"/>
      <c r="H112" s="355"/>
      <c r="I112" s="353"/>
      <c r="J112" s="347"/>
      <c r="K112" s="346"/>
      <c r="L112" s="355"/>
      <c r="M112" s="353"/>
    </row>
    <row r="113" spans="1:14" x14ac:dyDescent="0.2">
      <c r="A113" s="21" t="s">
        <v>10</v>
      </c>
      <c r="B113" s="358"/>
      <c r="C113" s="370"/>
      <c r="D113" s="355"/>
      <c r="E113" s="353"/>
      <c r="F113" s="358"/>
      <c r="G113" s="370"/>
      <c r="H113" s="355"/>
      <c r="I113" s="353"/>
      <c r="J113" s="347"/>
      <c r="K113" s="346"/>
      <c r="L113" s="355"/>
      <c r="M113" s="353"/>
    </row>
    <row r="114" spans="1:14" x14ac:dyDescent="0.2">
      <c r="A114" s="21" t="s">
        <v>26</v>
      </c>
      <c r="B114" s="358"/>
      <c r="C114" s="370"/>
      <c r="D114" s="355"/>
      <c r="E114" s="353"/>
      <c r="F114" s="358"/>
      <c r="G114" s="370"/>
      <c r="H114" s="355"/>
      <c r="I114" s="353"/>
      <c r="J114" s="347"/>
      <c r="K114" s="346"/>
      <c r="L114" s="355"/>
      <c r="M114" s="353"/>
    </row>
    <row r="115" spans="1:14" x14ac:dyDescent="0.2">
      <c r="A115" s="279" t="s">
        <v>15</v>
      </c>
      <c r="B115" s="692"/>
      <c r="C115" s="362"/>
      <c r="D115" s="355"/>
      <c r="E115" s="377"/>
      <c r="F115" s="692"/>
      <c r="G115" s="362"/>
      <c r="H115" s="355"/>
      <c r="I115" s="353"/>
      <c r="J115" s="692"/>
      <c r="K115" s="362"/>
      <c r="L115" s="355"/>
      <c r="M115" s="353"/>
    </row>
    <row r="116" spans="1:14" ht="15.75" x14ac:dyDescent="0.2">
      <c r="A116" s="21" t="s">
        <v>368</v>
      </c>
      <c r="B116" s="348"/>
      <c r="C116" s="354"/>
      <c r="D116" s="355"/>
      <c r="E116" s="353"/>
      <c r="F116" s="358"/>
      <c r="G116" s="358"/>
      <c r="H116" s="355"/>
      <c r="I116" s="353"/>
      <c r="J116" s="347"/>
      <c r="K116" s="346"/>
      <c r="L116" s="355"/>
      <c r="M116" s="353"/>
    </row>
    <row r="117" spans="1:14" ht="15.75" x14ac:dyDescent="0.2">
      <c r="A117" s="38" t="s">
        <v>404</v>
      </c>
      <c r="B117" s="348"/>
      <c r="C117" s="354"/>
      <c r="D117" s="355"/>
      <c r="E117" s="353"/>
      <c r="F117" s="358"/>
      <c r="G117" s="358"/>
      <c r="H117" s="355"/>
      <c r="I117" s="353"/>
      <c r="J117" s="347"/>
      <c r="K117" s="346"/>
      <c r="L117" s="355"/>
      <c r="M117" s="353"/>
    </row>
    <row r="118" spans="1:14" ht="15.75" x14ac:dyDescent="0.2">
      <c r="A118" s="21" t="s">
        <v>367</v>
      </c>
      <c r="B118" s="348"/>
      <c r="C118" s="354"/>
      <c r="D118" s="355"/>
      <c r="E118" s="353"/>
      <c r="F118" s="358"/>
      <c r="G118" s="358"/>
      <c r="H118" s="355"/>
      <c r="I118" s="353"/>
      <c r="J118" s="347"/>
      <c r="K118" s="346"/>
      <c r="L118" s="355"/>
      <c r="M118" s="353"/>
    </row>
    <row r="119" spans="1:14" ht="15.75" x14ac:dyDescent="0.2">
      <c r="A119" s="13" t="s">
        <v>349</v>
      </c>
      <c r="B119" s="348"/>
      <c r="C119" s="354"/>
      <c r="D119" s="355"/>
      <c r="E119" s="353"/>
      <c r="F119" s="354"/>
      <c r="G119" s="375"/>
      <c r="H119" s="355"/>
      <c r="I119" s="353"/>
      <c r="J119" s="349"/>
      <c r="K119" s="348"/>
      <c r="L119" s="355"/>
      <c r="M119" s="353"/>
    </row>
    <row r="120" spans="1:14" x14ac:dyDescent="0.2">
      <c r="A120" s="21" t="s">
        <v>9</v>
      </c>
      <c r="B120" s="348"/>
      <c r="C120" s="354"/>
      <c r="D120" s="355"/>
      <c r="E120" s="353"/>
      <c r="F120" s="358"/>
      <c r="G120" s="370"/>
      <c r="H120" s="355"/>
      <c r="I120" s="353"/>
      <c r="J120" s="347"/>
      <c r="K120" s="346"/>
      <c r="L120" s="355"/>
      <c r="M120" s="353"/>
    </row>
    <row r="121" spans="1:14" x14ac:dyDescent="0.2">
      <c r="A121" s="21" t="s">
        <v>10</v>
      </c>
      <c r="B121" s="358"/>
      <c r="C121" s="370"/>
      <c r="D121" s="355"/>
      <c r="E121" s="353"/>
      <c r="F121" s="358"/>
      <c r="G121" s="370"/>
      <c r="H121" s="355"/>
      <c r="I121" s="353"/>
      <c r="J121" s="347"/>
      <c r="K121" s="346"/>
      <c r="L121" s="355"/>
      <c r="M121" s="353"/>
    </row>
    <row r="122" spans="1:14" x14ac:dyDescent="0.2">
      <c r="A122" s="21" t="s">
        <v>26</v>
      </c>
      <c r="B122" s="358"/>
      <c r="C122" s="370"/>
      <c r="D122" s="355"/>
      <c r="E122" s="353"/>
      <c r="F122" s="358"/>
      <c r="G122" s="370"/>
      <c r="H122" s="355"/>
      <c r="I122" s="353"/>
      <c r="J122" s="347"/>
      <c r="K122" s="346"/>
      <c r="L122" s="355"/>
      <c r="M122" s="353"/>
    </row>
    <row r="123" spans="1:14" x14ac:dyDescent="0.2">
      <c r="A123" s="279" t="s">
        <v>14</v>
      </c>
      <c r="B123" s="692"/>
      <c r="C123" s="362"/>
      <c r="D123" s="355"/>
      <c r="E123" s="377"/>
      <c r="F123" s="692"/>
      <c r="G123" s="362"/>
      <c r="H123" s="355"/>
      <c r="I123" s="353"/>
      <c r="J123" s="692"/>
      <c r="K123" s="362"/>
      <c r="L123" s="355"/>
      <c r="M123" s="353"/>
    </row>
    <row r="124" spans="1:14" ht="15.75" x14ac:dyDescent="0.2">
      <c r="A124" s="21" t="s">
        <v>373</v>
      </c>
      <c r="B124" s="358"/>
      <c r="C124" s="358"/>
      <c r="D124" s="355"/>
      <c r="E124" s="353"/>
      <c r="F124" s="358"/>
      <c r="G124" s="358"/>
      <c r="H124" s="355"/>
      <c r="I124" s="353"/>
      <c r="J124" s="347"/>
      <c r="K124" s="346"/>
      <c r="L124" s="355"/>
      <c r="M124" s="353"/>
    </row>
    <row r="125" spans="1:14" ht="15.75" x14ac:dyDescent="0.2">
      <c r="A125" s="38" t="s">
        <v>404</v>
      </c>
      <c r="B125" s="358"/>
      <c r="C125" s="358"/>
      <c r="D125" s="355"/>
      <c r="E125" s="353"/>
      <c r="F125" s="358"/>
      <c r="G125" s="358"/>
      <c r="H125" s="355"/>
      <c r="I125" s="353"/>
      <c r="J125" s="347"/>
      <c r="K125" s="346"/>
      <c r="L125" s="355"/>
      <c r="M125" s="353"/>
    </row>
    <row r="126" spans="1:14" ht="15.75" x14ac:dyDescent="0.2">
      <c r="A126" s="10" t="s">
        <v>367</v>
      </c>
      <c r="B126" s="367"/>
      <c r="C126" s="367"/>
      <c r="D126" s="359"/>
      <c r="E126" s="376"/>
      <c r="F126" s="367"/>
      <c r="G126" s="367"/>
      <c r="H126" s="359"/>
      <c r="I126" s="359"/>
      <c r="J126" s="368"/>
      <c r="K126" s="367"/>
      <c r="L126" s="359"/>
      <c r="M126" s="359"/>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339"/>
      <c r="C130" s="339"/>
      <c r="D130" s="339"/>
      <c r="E130" s="340"/>
      <c r="F130" s="339"/>
      <c r="G130" s="339"/>
      <c r="H130" s="339"/>
      <c r="I130" s="340"/>
      <c r="J130" s="339"/>
      <c r="K130" s="339"/>
      <c r="L130" s="339"/>
      <c r="M130" s="340"/>
    </row>
    <row r="131" spans="1:14" s="3" customFormat="1" x14ac:dyDescent="0.2">
      <c r="A131" s="128"/>
      <c r="B131" s="723" t="s">
        <v>0</v>
      </c>
      <c r="C131" s="724"/>
      <c r="D131" s="724"/>
      <c r="E131" s="337"/>
      <c r="F131" s="723" t="s">
        <v>1</v>
      </c>
      <c r="G131" s="724"/>
      <c r="H131" s="724"/>
      <c r="I131" s="338"/>
      <c r="J131" s="723" t="s">
        <v>2</v>
      </c>
      <c r="K131" s="724"/>
      <c r="L131" s="724"/>
      <c r="M131" s="338"/>
      <c r="N131" s="132"/>
    </row>
    <row r="132" spans="1:14" s="3" customFormat="1" x14ac:dyDescent="0.2">
      <c r="A132" s="124"/>
      <c r="B132" s="136" t="s">
        <v>434</v>
      </c>
      <c r="C132" s="136" t="s">
        <v>435</v>
      </c>
      <c r="D132" s="227" t="s">
        <v>3</v>
      </c>
      <c r="E132" s="288" t="s">
        <v>29</v>
      </c>
      <c r="F132" s="136" t="s">
        <v>434</v>
      </c>
      <c r="G132" s="136" t="s">
        <v>435</v>
      </c>
      <c r="H132" s="188" t="s">
        <v>3</v>
      </c>
      <c r="I132" s="288"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348"/>
      <c r="C134" s="349"/>
      <c r="D134" s="352"/>
      <c r="E134" s="353"/>
      <c r="F134" s="343"/>
      <c r="G134" s="344"/>
      <c r="H134" s="378"/>
      <c r="I134" s="353"/>
      <c r="J134" s="361"/>
      <c r="K134" s="361"/>
      <c r="L134" s="352"/>
      <c r="M134" s="353"/>
      <c r="N134" s="132"/>
    </row>
    <row r="135" spans="1:14" s="3" customFormat="1" ht="15.75" x14ac:dyDescent="0.2">
      <c r="A135" s="13" t="s">
        <v>374</v>
      </c>
      <c r="B135" s="348"/>
      <c r="C135" s="349"/>
      <c r="D135" s="355"/>
      <c r="E135" s="353"/>
      <c r="F135" s="348"/>
      <c r="G135" s="349"/>
      <c r="H135" s="379"/>
      <c r="I135" s="353"/>
      <c r="J135" s="354"/>
      <c r="K135" s="354"/>
      <c r="L135" s="355"/>
      <c r="M135" s="353"/>
      <c r="N135" s="132"/>
    </row>
    <row r="136" spans="1:14" s="3" customFormat="1" ht="15.75" x14ac:dyDescent="0.2">
      <c r="A136" s="13" t="s">
        <v>371</v>
      </c>
      <c r="B136" s="348"/>
      <c r="C136" s="349"/>
      <c r="D136" s="355"/>
      <c r="E136" s="353"/>
      <c r="F136" s="348"/>
      <c r="G136" s="349"/>
      <c r="H136" s="379"/>
      <c r="I136" s="353"/>
      <c r="J136" s="354"/>
      <c r="K136" s="354"/>
      <c r="L136" s="355"/>
      <c r="M136" s="353"/>
      <c r="N136" s="132"/>
    </row>
    <row r="137" spans="1:14" s="3" customFormat="1" ht="15.75" x14ac:dyDescent="0.2">
      <c r="A137" s="41" t="s">
        <v>372</v>
      </c>
      <c r="B137" s="350"/>
      <c r="C137" s="351"/>
      <c r="D137" s="359"/>
      <c r="E137" s="376"/>
      <c r="F137" s="350"/>
      <c r="G137" s="351"/>
      <c r="H137" s="380"/>
      <c r="I137" s="376"/>
      <c r="J137" s="360"/>
      <c r="K137" s="360"/>
      <c r="L137" s="359"/>
      <c r="M137" s="359"/>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A50:A52">
    <cfRule type="expression" dxfId="385" priority="12">
      <formula>kvartal &lt; 4</formula>
    </cfRule>
  </conditionalFormatting>
  <conditionalFormatting sqref="A69:A74">
    <cfRule type="expression" dxfId="384" priority="10">
      <formula>kvartal &lt; 4</formula>
    </cfRule>
  </conditionalFormatting>
  <conditionalFormatting sqref="A80:A85">
    <cfRule type="expression" dxfId="383" priority="9">
      <formula>kvartal &lt; 4</formula>
    </cfRule>
  </conditionalFormatting>
  <conditionalFormatting sqref="A90:A95">
    <cfRule type="expression" dxfId="382" priority="6">
      <formula>kvartal &lt; 4</formula>
    </cfRule>
  </conditionalFormatting>
  <conditionalFormatting sqref="A101:A106">
    <cfRule type="expression" dxfId="381" priority="5">
      <formula>kvartal &lt; 4</formula>
    </cfRule>
  </conditionalFormatting>
  <conditionalFormatting sqref="A115">
    <cfRule type="expression" dxfId="380" priority="4">
      <formula>kvartal &lt; 4</formula>
    </cfRule>
  </conditionalFormatting>
  <conditionalFormatting sqref="A123">
    <cfRule type="expression" dxfId="379"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7" x14ac:dyDescent="0.2">
      <c r="A1" s="156" t="s">
        <v>132</v>
      </c>
      <c r="B1" s="688"/>
      <c r="C1" s="231" t="s">
        <v>122</v>
      </c>
      <c r="D1" s="26"/>
      <c r="E1" s="26"/>
      <c r="F1" s="26"/>
      <c r="G1" s="26"/>
      <c r="H1" s="26"/>
      <c r="I1" s="26"/>
      <c r="J1" s="26"/>
      <c r="K1" s="26"/>
      <c r="L1" s="26"/>
      <c r="M1" s="26"/>
    </row>
    <row r="2" spans="1:17" ht="15.75" x14ac:dyDescent="0.25">
      <c r="A2" s="149" t="s">
        <v>28</v>
      </c>
      <c r="B2" s="727"/>
      <c r="C2" s="727"/>
      <c r="D2" s="727"/>
      <c r="E2" s="282"/>
      <c r="F2" s="727"/>
      <c r="G2" s="727"/>
      <c r="H2" s="727"/>
      <c r="I2" s="282"/>
      <c r="J2" s="727"/>
      <c r="K2" s="727"/>
      <c r="L2" s="727"/>
      <c r="M2" s="282"/>
    </row>
    <row r="3" spans="1:17" ht="15.75" x14ac:dyDescent="0.25">
      <c r="A3" s="147"/>
      <c r="B3" s="282"/>
      <c r="C3" s="282"/>
      <c r="D3" s="282"/>
      <c r="E3" s="282"/>
      <c r="F3" s="282"/>
      <c r="G3" s="282"/>
      <c r="H3" s="282"/>
      <c r="I3" s="282"/>
      <c r="J3" s="282"/>
      <c r="K3" s="282"/>
      <c r="L3" s="282"/>
      <c r="M3" s="282"/>
    </row>
    <row r="4" spans="1:17" x14ac:dyDescent="0.2">
      <c r="A4" s="128"/>
      <c r="B4" s="723" t="s">
        <v>0</v>
      </c>
      <c r="C4" s="724"/>
      <c r="D4" s="724"/>
      <c r="E4" s="284"/>
      <c r="F4" s="723" t="s">
        <v>1</v>
      </c>
      <c r="G4" s="724"/>
      <c r="H4" s="724"/>
      <c r="I4" s="287"/>
      <c r="J4" s="723" t="s">
        <v>2</v>
      </c>
      <c r="K4" s="724"/>
      <c r="L4" s="724"/>
      <c r="M4" s="287"/>
    </row>
    <row r="5" spans="1:17"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7" x14ac:dyDescent="0.2">
      <c r="A6" s="690"/>
      <c r="B6" s="140"/>
      <c r="C6" s="140"/>
      <c r="D6" s="229" t="s">
        <v>4</v>
      </c>
      <c r="E6" s="140" t="s">
        <v>30</v>
      </c>
      <c r="F6" s="145"/>
      <c r="G6" s="145"/>
      <c r="H6" s="227" t="s">
        <v>4</v>
      </c>
      <c r="I6" s="140" t="s">
        <v>30</v>
      </c>
      <c r="J6" s="145"/>
      <c r="K6" s="145"/>
      <c r="L6" s="227" t="s">
        <v>4</v>
      </c>
      <c r="M6" s="140" t="s">
        <v>30</v>
      </c>
    </row>
    <row r="7" spans="1:17" ht="15.75" x14ac:dyDescent="0.2">
      <c r="A7" s="14" t="s">
        <v>23</v>
      </c>
      <c r="B7" s="289">
        <v>235107</v>
      </c>
      <c r="C7" s="290">
        <v>253856</v>
      </c>
      <c r="D7" s="332">
        <f>IF(B7=0, "    ---- ", IF(ABS(ROUND(100/B7*C7-100,1))&lt;999,ROUND(100/B7*C7-100,1),IF(ROUND(100/B7*C7-100,1)&gt;999,999,-999)))</f>
        <v>8</v>
      </c>
      <c r="E7" s="11">
        <f>IFERROR(100/'Skjema total MA'!C7*C7,0)</f>
        <v>5.9820785928352151</v>
      </c>
      <c r="F7" s="289"/>
      <c r="G7" s="290"/>
      <c r="H7" s="332"/>
      <c r="I7" s="144"/>
      <c r="J7" s="291">
        <f t="shared" ref="J7:K10" si="0">SUM(B7,F7)</f>
        <v>235107</v>
      </c>
      <c r="K7" s="292">
        <f t="shared" si="0"/>
        <v>253856</v>
      </c>
      <c r="L7" s="405">
        <f>IF(J7=0, "    ---- ", IF(ABS(ROUND(100/J7*K7-100,1))&lt;999,ROUND(100/J7*K7-100,1),IF(ROUND(100/J7*K7-100,1)&gt;999,999,-999)))</f>
        <v>8</v>
      </c>
      <c r="M7" s="11">
        <f>IFERROR(100/'Skjema total MA'!I7*K7,0)</f>
        <v>2.1257210931403416</v>
      </c>
    </row>
    <row r="8" spans="1:17" ht="15.75" x14ac:dyDescent="0.2">
      <c r="A8" s="21" t="s">
        <v>25</v>
      </c>
      <c r="B8" s="267">
        <v>205021</v>
      </c>
      <c r="C8" s="268">
        <v>222632</v>
      </c>
      <c r="D8" s="150">
        <f t="shared" ref="D8:D10" si="1">IF(B8=0, "    ---- ", IF(ABS(ROUND(100/B8*C8-100,1))&lt;999,ROUND(100/B8*C8-100,1),IF(ROUND(100/B8*C8-100,1)&gt;999,999,-999)))</f>
        <v>8.6</v>
      </c>
      <c r="E8" s="27">
        <f>IFERROR(100/'Skjema total MA'!C8*C8,0)</f>
        <v>8.2574145556541225</v>
      </c>
      <c r="F8" s="271"/>
      <c r="G8" s="272"/>
      <c r="H8" s="150"/>
      <c r="I8" s="160"/>
      <c r="J8" s="215">
        <f t="shared" si="0"/>
        <v>205021</v>
      </c>
      <c r="K8" s="273">
        <f t="shared" si="0"/>
        <v>222632</v>
      </c>
      <c r="L8" s="150">
        <f t="shared" ref="L8:L9" si="2">IF(J8=0, "    ---- ", IF(ABS(ROUND(100/J8*K8-100,1))&lt;999,ROUND(100/J8*K8-100,1),IF(ROUND(100/J8*K8-100,1)&gt;999,999,-999)))</f>
        <v>8.6</v>
      </c>
      <c r="M8" s="27">
        <f>IFERROR(100/'Skjema total MA'!I8*K8,0)</f>
        <v>8.2574145556541225</v>
      </c>
    </row>
    <row r="9" spans="1:17" ht="15.75" x14ac:dyDescent="0.2">
      <c r="A9" s="21" t="s">
        <v>24</v>
      </c>
      <c r="B9" s="267">
        <v>30086</v>
      </c>
      <c r="C9" s="268">
        <v>31224</v>
      </c>
      <c r="D9" s="150">
        <f t="shared" si="1"/>
        <v>3.8</v>
      </c>
      <c r="E9" s="27">
        <f>IFERROR(100/'Skjema total MA'!C9*C9,0)</f>
        <v>3.526906934738558</v>
      </c>
      <c r="F9" s="271"/>
      <c r="G9" s="272"/>
      <c r="H9" s="150"/>
      <c r="I9" s="160"/>
      <c r="J9" s="215">
        <f t="shared" si="0"/>
        <v>30086</v>
      </c>
      <c r="K9" s="273">
        <f t="shared" si="0"/>
        <v>31224</v>
      </c>
      <c r="L9" s="150">
        <f t="shared" si="2"/>
        <v>3.8</v>
      </c>
      <c r="M9" s="27">
        <f>IFERROR(100/'Skjema total MA'!I9*K9,0)</f>
        <v>3.526906934738558</v>
      </c>
    </row>
    <row r="10" spans="1:17" ht="15.75" x14ac:dyDescent="0.2">
      <c r="A10" s="13" t="s">
        <v>347</v>
      </c>
      <c r="B10" s="293">
        <v>123214</v>
      </c>
      <c r="C10" s="294">
        <v>143015</v>
      </c>
      <c r="D10" s="155">
        <f t="shared" si="1"/>
        <v>16.100000000000001</v>
      </c>
      <c r="E10" s="11">
        <f>IFERROR(100/'Skjema total MA'!C10*C10,0)</f>
        <v>1.0311181734664843</v>
      </c>
      <c r="F10" s="293"/>
      <c r="G10" s="294"/>
      <c r="H10" s="155"/>
      <c r="I10" s="144"/>
      <c r="J10" s="291">
        <f t="shared" si="0"/>
        <v>123214</v>
      </c>
      <c r="K10" s="292">
        <f t="shared" si="0"/>
        <v>143015</v>
      </c>
      <c r="L10" s="406">
        <f t="shared" ref="L10" si="3">IF(J10=0, "    ---- ", IF(ABS(ROUND(100/J10*K10-100,1))&lt;999,ROUND(100/J10*K10-100,1),IF(ROUND(100/J10*K10-100,1)&gt;999,999,-999)))</f>
        <v>16.100000000000001</v>
      </c>
      <c r="M10" s="11">
        <f>IFERROR(100/'Skjema total MA'!I10*K10,0)</f>
        <v>0.15577471343025548</v>
      </c>
    </row>
    <row r="11" spans="1:17" s="43" customFormat="1" ht="15.75" x14ac:dyDescent="0.2">
      <c r="A11" s="13" t="s">
        <v>348</v>
      </c>
      <c r="B11" s="293"/>
      <c r="C11" s="294"/>
      <c r="D11" s="155"/>
      <c r="E11" s="11"/>
      <c r="F11" s="293"/>
      <c r="G11" s="294"/>
      <c r="H11" s="155"/>
      <c r="I11" s="144"/>
      <c r="J11" s="291"/>
      <c r="K11" s="292"/>
      <c r="L11" s="406"/>
      <c r="M11" s="11"/>
      <c r="N11" s="127"/>
      <c r="Q11" s="127"/>
    </row>
    <row r="12" spans="1:17" s="43" customFormat="1" ht="15.75" x14ac:dyDescent="0.2">
      <c r="A12" s="41" t="s">
        <v>349</v>
      </c>
      <c r="B12" s="295"/>
      <c r="C12" s="296"/>
      <c r="D12" s="153"/>
      <c r="E12" s="36"/>
      <c r="F12" s="295"/>
      <c r="G12" s="296"/>
      <c r="H12" s="153"/>
      <c r="I12" s="153"/>
      <c r="J12" s="297"/>
      <c r="K12" s="298"/>
      <c r="L12" s="407"/>
      <c r="M12" s="36"/>
      <c r="N12" s="127"/>
    </row>
    <row r="13" spans="1:17" s="43" customFormat="1" x14ac:dyDescent="0.2">
      <c r="A13" s="152"/>
      <c r="B13" s="129"/>
      <c r="C13" s="33"/>
      <c r="D13" s="143"/>
      <c r="E13" s="143"/>
      <c r="F13" s="129"/>
      <c r="G13" s="33"/>
      <c r="H13" s="143"/>
      <c r="I13" s="143"/>
      <c r="J13" s="48"/>
      <c r="K13" s="48"/>
      <c r="L13" s="143"/>
      <c r="M13" s="143"/>
      <c r="N13" s="127"/>
    </row>
    <row r="14" spans="1:17" x14ac:dyDescent="0.2">
      <c r="A14" s="137" t="s">
        <v>267</v>
      </c>
      <c r="B14" s="26"/>
    </row>
    <row r="15" spans="1:17" x14ac:dyDescent="0.2">
      <c r="F15" s="130"/>
      <c r="G15" s="130"/>
      <c r="H15" s="130"/>
      <c r="I15" s="130"/>
      <c r="J15" s="130"/>
      <c r="K15" s="130"/>
      <c r="L15" s="130"/>
      <c r="M15" s="130"/>
    </row>
    <row r="16" spans="1:17"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236416</v>
      </c>
      <c r="C22" s="293">
        <v>268724</v>
      </c>
      <c r="D22" s="332">
        <f t="shared" ref="D22:D30" si="4">IF(B22=0, "    ---- ", IF(ABS(ROUND(100/B22*C22-100,1))&lt;999,ROUND(100/B22*C22-100,1),IF(ROUND(100/B22*C22-100,1)&gt;999,999,-999)))</f>
        <v>13.7</v>
      </c>
      <c r="E22" s="11">
        <f>IFERROR(100/'Skjema total MA'!C22*C22,0)</f>
        <v>15.453406191890551</v>
      </c>
      <c r="F22" s="301"/>
      <c r="G22" s="301"/>
      <c r="H22" s="332"/>
      <c r="I22" s="11"/>
      <c r="J22" s="299">
        <f t="shared" ref="J22:K29" si="5">SUM(B22,F22)</f>
        <v>236416</v>
      </c>
      <c r="K22" s="299">
        <f t="shared" si="5"/>
        <v>268724</v>
      </c>
      <c r="L22" s="405">
        <f t="shared" ref="L22:L30" si="6">IF(J22=0, "    ---- ", IF(ABS(ROUND(100/J22*K22-100,1))&lt;999,ROUND(100/J22*K22-100,1),IF(ROUND(100/J22*K22-100,1)&gt;999,999,-999)))</f>
        <v>13.7</v>
      </c>
      <c r="M22" s="24">
        <f>IFERROR(100/'Skjema total MA'!I22*K22,0)</f>
        <v>11.251706661034435</v>
      </c>
    </row>
    <row r="23" spans="1:14" ht="15.75" x14ac:dyDescent="0.2">
      <c r="A23" s="487" t="s">
        <v>350</v>
      </c>
      <c r="B23" s="267">
        <v>236416</v>
      </c>
      <c r="C23" s="267">
        <v>268724</v>
      </c>
      <c r="D23" s="150">
        <f t="shared" si="4"/>
        <v>13.7</v>
      </c>
      <c r="E23" s="11">
        <f>IFERROR(100/'Skjema total MA'!C23*C23,0)</f>
        <v>26.184508044585126</v>
      </c>
      <c r="F23" s="276"/>
      <c r="G23" s="276"/>
      <c r="H23" s="150"/>
      <c r="I23" s="395"/>
      <c r="J23" s="276">
        <f t="shared" ref="J23" si="7">SUM(B23,F23)</f>
        <v>236416</v>
      </c>
      <c r="K23" s="276">
        <f t="shared" ref="K23" si="8">SUM(C23,G23)</f>
        <v>268724</v>
      </c>
      <c r="L23" s="150">
        <f t="shared" si="6"/>
        <v>13.7</v>
      </c>
      <c r="M23" s="23">
        <f>IFERROR(100/'Skjema total MA'!I23*K23,0)</f>
        <v>25.343581271505435</v>
      </c>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236416</v>
      </c>
      <c r="C28" s="273">
        <v>268724</v>
      </c>
      <c r="D28" s="150">
        <f t="shared" si="4"/>
        <v>13.7</v>
      </c>
      <c r="E28" s="11">
        <f>IFERROR(100/'Skjema total MA'!C28*C28,0)</f>
        <v>12.797400903355983</v>
      </c>
      <c r="F28" s="215"/>
      <c r="G28" s="273"/>
      <c r="H28" s="150"/>
      <c r="I28" s="27"/>
      <c r="J28" s="44">
        <f t="shared" si="5"/>
        <v>236416</v>
      </c>
      <c r="K28" s="44">
        <f t="shared" si="5"/>
        <v>268724</v>
      </c>
      <c r="L28" s="240">
        <f t="shared" si="6"/>
        <v>13.7</v>
      </c>
      <c r="M28" s="23">
        <f>IFERROR(100/'Skjema total MA'!I28*K28,0)</f>
        <v>12.797400903355983</v>
      </c>
    </row>
    <row r="29" spans="1:14" s="3" customFormat="1" ht="15.75" x14ac:dyDescent="0.2">
      <c r="A29" s="13" t="s">
        <v>347</v>
      </c>
      <c r="B29" s="217">
        <v>1141221</v>
      </c>
      <c r="C29" s="217">
        <v>1472521</v>
      </c>
      <c r="D29" s="155">
        <f t="shared" si="4"/>
        <v>29</v>
      </c>
      <c r="E29" s="11">
        <f>IFERROR(100/'Skjema total MA'!C29*C29,0)</f>
        <v>3.2146087855397378</v>
      </c>
      <c r="F29" s="291"/>
      <c r="G29" s="291"/>
      <c r="H29" s="155"/>
      <c r="I29" s="11"/>
      <c r="J29" s="217">
        <f t="shared" si="5"/>
        <v>1141221</v>
      </c>
      <c r="K29" s="217">
        <f t="shared" si="5"/>
        <v>1472521</v>
      </c>
      <c r="L29" s="406">
        <f t="shared" si="6"/>
        <v>29</v>
      </c>
      <c r="M29" s="24">
        <f>IFERROR(100/'Skjema total MA'!I29*K29,0)</f>
        <v>2.0829203920111521</v>
      </c>
      <c r="N29" s="132"/>
    </row>
    <row r="30" spans="1:14" s="3" customFormat="1" ht="15.75" x14ac:dyDescent="0.2">
      <c r="A30" s="487" t="s">
        <v>350</v>
      </c>
      <c r="B30" s="267">
        <v>1141221</v>
      </c>
      <c r="C30" s="267">
        <v>1472521</v>
      </c>
      <c r="D30" s="150">
        <f t="shared" si="4"/>
        <v>29</v>
      </c>
      <c r="E30" s="11">
        <f>IFERROR(100/'Skjema total MA'!C30*C30,0)</f>
        <v>7.5326440294367902</v>
      </c>
      <c r="F30" s="276"/>
      <c r="G30" s="276"/>
      <c r="H30" s="150"/>
      <c r="I30" s="395"/>
      <c r="J30" s="276">
        <f t="shared" ref="J30" si="9">SUM(B30,F30)</f>
        <v>1141221</v>
      </c>
      <c r="K30" s="276">
        <f t="shared" ref="K30" si="10">SUM(C30,G30)</f>
        <v>1472521</v>
      </c>
      <c r="L30" s="150">
        <f t="shared" si="6"/>
        <v>29</v>
      </c>
      <c r="M30" s="23">
        <f>IFERROR(100/'Skjema total MA'!I30*K30,0)</f>
        <v>6.4072675433910868</v>
      </c>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36270</v>
      </c>
      <c r="C47" s="294">
        <v>36086</v>
      </c>
      <c r="D47" s="405">
        <f t="shared" ref="D47:D48" si="11">IF(B47=0, "    ---- ", IF(ABS(ROUND(100/B47*C47-100,1))&lt;999,ROUND(100/B47*C47-100,1),IF(ROUND(100/B47*C47-100,1)&gt;999,999,-999)))</f>
        <v>-0.5</v>
      </c>
      <c r="E47" s="11">
        <f>IFERROR(100/'Skjema total MA'!C47*C47,0)</f>
        <v>0.67670288579386817</v>
      </c>
      <c r="F47" s="129"/>
      <c r="G47" s="33"/>
      <c r="H47" s="143"/>
      <c r="I47" s="143"/>
      <c r="J47" s="37"/>
      <c r="K47" s="37"/>
      <c r="L47" s="143"/>
      <c r="M47" s="143"/>
      <c r="N47" s="132"/>
    </row>
    <row r="48" spans="1:14" s="3" customFormat="1" ht="15.75" x14ac:dyDescent="0.2">
      <c r="A48" s="38" t="s">
        <v>358</v>
      </c>
      <c r="B48" s="267">
        <v>36270</v>
      </c>
      <c r="C48" s="268">
        <v>36086</v>
      </c>
      <c r="D48" s="240">
        <f t="shared" si="11"/>
        <v>-0.5</v>
      </c>
      <c r="E48" s="27">
        <f>IFERROR(100/'Skjema total MA'!C48*C48,0)</f>
        <v>1.2014271094805726</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78" priority="12">
      <formula>kvartal &lt; 4</formula>
    </cfRule>
  </conditionalFormatting>
  <conditionalFormatting sqref="A69:A74">
    <cfRule type="expression" dxfId="377" priority="10">
      <formula>kvartal &lt; 4</formula>
    </cfRule>
  </conditionalFormatting>
  <conditionalFormatting sqref="A80:A85">
    <cfRule type="expression" dxfId="376" priority="9">
      <formula>kvartal &lt; 4</formula>
    </cfRule>
  </conditionalFormatting>
  <conditionalFormatting sqref="A90:A95">
    <cfRule type="expression" dxfId="375" priority="6">
      <formula>kvartal &lt; 4</formula>
    </cfRule>
  </conditionalFormatting>
  <conditionalFormatting sqref="A101:A106">
    <cfRule type="expression" dxfId="374" priority="5">
      <formula>kvartal &lt; 4</formula>
    </cfRule>
  </conditionalFormatting>
  <conditionalFormatting sqref="A115">
    <cfRule type="expression" dxfId="373" priority="4">
      <formula>kvartal &lt; 4</formula>
    </cfRule>
  </conditionalFormatting>
  <conditionalFormatting sqref="A123">
    <cfRule type="expression" dxfId="372"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123</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6370.085</v>
      </c>
      <c r="C47" s="294">
        <v>6433.6</v>
      </c>
      <c r="D47" s="405">
        <f t="shared" ref="D47:D54" si="0">IF(B47=0, "    ---- ", IF(ABS(ROUND(100/B47*C47-100,1))&lt;999,ROUND(100/B47*C47-100,1),IF(ROUND(100/B47*C47-100,1)&gt;999,999,-999)))</f>
        <v>1</v>
      </c>
      <c r="E47" s="11">
        <f>IFERROR(100/'Skjema total MA'!C47*C47,0)</f>
        <v>0.12064611445002024</v>
      </c>
      <c r="F47" s="129"/>
      <c r="G47" s="33"/>
      <c r="H47" s="143"/>
      <c r="I47" s="143"/>
      <c r="J47" s="37"/>
      <c r="K47" s="37"/>
      <c r="L47" s="143"/>
      <c r="M47" s="143"/>
      <c r="N47" s="132"/>
    </row>
    <row r="48" spans="1:14" s="3" customFormat="1" ht="15.75" x14ac:dyDescent="0.2">
      <c r="A48" s="38" t="s">
        <v>358</v>
      </c>
      <c r="B48" s="267">
        <v>6370.085</v>
      </c>
      <c r="C48" s="268">
        <v>6433.6</v>
      </c>
      <c r="D48" s="240">
        <f t="shared" si="0"/>
        <v>1</v>
      </c>
      <c r="E48" s="27">
        <f>IFERROR(100/'Skjema total MA'!C48*C48,0)</f>
        <v>0.21419668158161648</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215.715</v>
      </c>
      <c r="C53" s="294">
        <v>0</v>
      </c>
      <c r="D53" s="406">
        <f t="shared" si="0"/>
        <v>-100</v>
      </c>
      <c r="E53" s="11">
        <f>IFERROR(100/'Skjema total MA'!C53*C53,0)</f>
        <v>0</v>
      </c>
      <c r="F53" s="129"/>
      <c r="G53" s="33"/>
      <c r="H53" s="129"/>
      <c r="I53" s="129"/>
      <c r="J53" s="33"/>
      <c r="K53" s="33"/>
      <c r="L53" s="143"/>
      <c r="M53" s="143"/>
      <c r="N53" s="132"/>
    </row>
    <row r="54" spans="1:14" s="3" customFormat="1" ht="15.75" x14ac:dyDescent="0.2">
      <c r="A54" s="38" t="s">
        <v>358</v>
      </c>
      <c r="B54" s="267">
        <v>215.715</v>
      </c>
      <c r="C54" s="268">
        <v>0</v>
      </c>
      <c r="D54" s="240">
        <f t="shared" si="0"/>
        <v>-100</v>
      </c>
      <c r="E54" s="27">
        <f>IFERROR(100/'Skjema total MA'!C54*C54,0)</f>
        <v>0</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71" priority="12">
      <formula>kvartal &lt; 4</formula>
    </cfRule>
  </conditionalFormatting>
  <conditionalFormatting sqref="A69:A74">
    <cfRule type="expression" dxfId="370" priority="10">
      <formula>kvartal &lt; 4</formula>
    </cfRule>
  </conditionalFormatting>
  <conditionalFormatting sqref="A80:A85">
    <cfRule type="expression" dxfId="369" priority="9">
      <formula>kvartal &lt; 4</formula>
    </cfRule>
  </conditionalFormatting>
  <conditionalFormatting sqref="A90:A95">
    <cfRule type="expression" dxfId="368" priority="6">
      <formula>kvartal &lt; 4</formula>
    </cfRule>
  </conditionalFormatting>
  <conditionalFormatting sqref="A101:A106">
    <cfRule type="expression" dxfId="367" priority="5">
      <formula>kvartal &lt; 4</formula>
    </cfRule>
  </conditionalFormatting>
  <conditionalFormatting sqref="A115">
    <cfRule type="expression" dxfId="366" priority="4">
      <formula>kvartal &lt; 4</formula>
    </cfRule>
  </conditionalFormatting>
  <conditionalFormatting sqref="A123">
    <cfRule type="expression" dxfId="365"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124</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698698.80200000003</v>
      </c>
      <c r="C7" s="290">
        <v>768057.63</v>
      </c>
      <c r="D7" s="332">
        <f>IF(B7=0, "    ---- ", IF(ABS(ROUND(100/B7*C7-100,1))&lt;999,ROUND(100/B7*C7-100,1),IF(ROUND(100/B7*C7-100,1)&gt;999,999,-999)))</f>
        <v>9.9</v>
      </c>
      <c r="E7" s="11">
        <f>IFERROR(100/'Skjema total MA'!C7*C7,0)</f>
        <v>18.099162936809648</v>
      </c>
      <c r="F7" s="289"/>
      <c r="G7" s="290"/>
      <c r="H7" s="332"/>
      <c r="I7" s="144"/>
      <c r="J7" s="291">
        <f t="shared" ref="J7:K9" si="0">SUM(B7,F7)</f>
        <v>698698.80200000003</v>
      </c>
      <c r="K7" s="292">
        <f t="shared" si="0"/>
        <v>768057.63</v>
      </c>
      <c r="L7" s="405">
        <f>IF(J7=0, "    ---- ", IF(ABS(ROUND(100/J7*K7-100,1))&lt;999,ROUND(100/J7*K7-100,1),IF(ROUND(100/J7*K7-100,1)&gt;999,999,-999)))</f>
        <v>9.9</v>
      </c>
      <c r="M7" s="11">
        <f>IFERROR(100/'Skjema total MA'!I7*K7,0)</f>
        <v>6.431505675809829</v>
      </c>
    </row>
    <row r="8" spans="1:14" ht="15.75" x14ac:dyDescent="0.2">
      <c r="A8" s="21" t="s">
        <v>25</v>
      </c>
      <c r="B8" s="267">
        <v>449956.842</v>
      </c>
      <c r="C8" s="268">
        <v>470893.06699999998</v>
      </c>
      <c r="D8" s="150">
        <f t="shared" ref="D8:D9" si="1">IF(B8=0, "    ---- ", IF(ABS(ROUND(100/B8*C8-100,1))&lt;999,ROUND(100/B8*C8-100,1),IF(ROUND(100/B8*C8-100,1)&gt;999,999,-999)))</f>
        <v>4.7</v>
      </c>
      <c r="E8" s="27">
        <f>IFERROR(100/'Skjema total MA'!C8*C8,0)</f>
        <v>17.465410478288888</v>
      </c>
      <c r="F8" s="271"/>
      <c r="G8" s="272"/>
      <c r="H8" s="150"/>
      <c r="I8" s="160"/>
      <c r="J8" s="215">
        <f t="shared" si="0"/>
        <v>449956.842</v>
      </c>
      <c r="K8" s="273">
        <f t="shared" si="0"/>
        <v>470893.06699999998</v>
      </c>
      <c r="L8" s="150">
        <f t="shared" ref="L8:L9" si="2">IF(J8=0, "    ---- ", IF(ABS(ROUND(100/J8*K8-100,1))&lt;999,ROUND(100/J8*K8-100,1),IF(ROUND(100/J8*K8-100,1)&gt;999,999,-999)))</f>
        <v>4.7</v>
      </c>
      <c r="M8" s="27">
        <f>IFERROR(100/'Skjema total MA'!I8*K8,0)</f>
        <v>17.465410478288888</v>
      </c>
    </row>
    <row r="9" spans="1:14" ht="15.75" x14ac:dyDescent="0.2">
      <c r="A9" s="21" t="s">
        <v>24</v>
      </c>
      <c r="B9" s="267">
        <v>248741.96</v>
      </c>
      <c r="C9" s="268">
        <v>297164.56300000002</v>
      </c>
      <c r="D9" s="150">
        <f t="shared" si="1"/>
        <v>19.5</v>
      </c>
      <c r="E9" s="27">
        <f>IFERROR(100/'Skjema total MA'!C9*C9,0)</f>
        <v>33.566223353934575</v>
      </c>
      <c r="F9" s="271"/>
      <c r="G9" s="272"/>
      <c r="H9" s="150"/>
      <c r="I9" s="160"/>
      <c r="J9" s="215">
        <f t="shared" si="0"/>
        <v>248741.96</v>
      </c>
      <c r="K9" s="273">
        <f t="shared" si="0"/>
        <v>297164.56300000002</v>
      </c>
      <c r="L9" s="150">
        <f t="shared" si="2"/>
        <v>19.5</v>
      </c>
      <c r="M9" s="27">
        <f>IFERROR(100/'Skjema total MA'!I9*K9,0)</f>
        <v>33.566223353934575</v>
      </c>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1103507.9479999999</v>
      </c>
      <c r="C47" s="294">
        <v>1164918.034</v>
      </c>
      <c r="D47" s="405">
        <f t="shared" ref="D47:D57" si="3">IF(B47=0, "    ---- ", IF(ABS(ROUND(100/B47*C47-100,1))&lt;999,ROUND(100/B47*C47-100,1),IF(ROUND(100/B47*C47-100,1)&gt;999,999,-999)))</f>
        <v>5.6</v>
      </c>
      <c r="E47" s="11">
        <f>IFERROR(100/'Skjema total MA'!C47*C47,0)</f>
        <v>21.845130946104291</v>
      </c>
      <c r="F47" s="129"/>
      <c r="G47" s="33"/>
      <c r="H47" s="143"/>
      <c r="I47" s="143"/>
      <c r="J47" s="37"/>
      <c r="K47" s="37"/>
      <c r="L47" s="143"/>
      <c r="M47" s="143"/>
      <c r="N47" s="132"/>
    </row>
    <row r="48" spans="1:14" s="3" customFormat="1" ht="15.75" x14ac:dyDescent="0.2">
      <c r="A48" s="38" t="s">
        <v>358</v>
      </c>
      <c r="B48" s="267">
        <v>736742.75399999996</v>
      </c>
      <c r="C48" s="268">
        <v>815352.15099999995</v>
      </c>
      <c r="D48" s="240">
        <f t="shared" si="3"/>
        <v>10.7</v>
      </c>
      <c r="E48" s="27">
        <f>IFERROR(100/'Skjema total MA'!C48*C48,0)</f>
        <v>27.145878678287904</v>
      </c>
      <c r="F48" s="129"/>
      <c r="G48" s="33"/>
      <c r="H48" s="129"/>
      <c r="I48" s="129"/>
      <c r="J48" s="33"/>
      <c r="K48" s="33"/>
      <c r="L48" s="143"/>
      <c r="M48" s="143"/>
      <c r="N48" s="132"/>
    </row>
    <row r="49" spans="1:14" s="3" customFormat="1" ht="15.75" x14ac:dyDescent="0.2">
      <c r="A49" s="38" t="s">
        <v>359</v>
      </c>
      <c r="B49" s="44">
        <v>366765.19400000002</v>
      </c>
      <c r="C49" s="273">
        <v>349565.88299999997</v>
      </c>
      <c r="D49" s="240">
        <f>IF(B49=0, "    ---- ", IF(ABS(ROUND(100/B49*C49-100,1))&lt;999,ROUND(100/B49*C49-100,1),IF(ROUND(100/B49*C49-100,1)&gt;999,999,-999)))</f>
        <v>-4.7</v>
      </c>
      <c r="E49" s="27">
        <f>IFERROR(100/'Skjema total MA'!C49*C49,0)</f>
        <v>15.009099512236936</v>
      </c>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52707</v>
      </c>
      <c r="C53" s="294">
        <v>21771.007000000001</v>
      </c>
      <c r="D53" s="406">
        <f t="shared" si="3"/>
        <v>-58.7</v>
      </c>
      <c r="E53" s="11">
        <f>IFERROR(100/'Skjema total MA'!C53*C53,0)</f>
        <v>11.76679451974004</v>
      </c>
      <c r="F53" s="129"/>
      <c r="G53" s="33"/>
      <c r="H53" s="129"/>
      <c r="I53" s="129"/>
      <c r="J53" s="33"/>
      <c r="K53" s="33"/>
      <c r="L53" s="143"/>
      <c r="M53" s="143"/>
      <c r="N53" s="132"/>
    </row>
    <row r="54" spans="1:14" s="3" customFormat="1" ht="15.75" x14ac:dyDescent="0.2">
      <c r="A54" s="38" t="s">
        <v>358</v>
      </c>
      <c r="B54" s="267">
        <v>52707</v>
      </c>
      <c r="C54" s="268">
        <v>21771.007000000001</v>
      </c>
      <c r="D54" s="240">
        <f t="shared" si="3"/>
        <v>-58.7</v>
      </c>
      <c r="E54" s="27">
        <f>IFERROR(100/'Skjema total MA'!C54*C54,0)</f>
        <v>11.82726663725542</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v>24428</v>
      </c>
      <c r="C56" s="294">
        <v>20798.609</v>
      </c>
      <c r="D56" s="406">
        <f t="shared" si="3"/>
        <v>-14.9</v>
      </c>
      <c r="E56" s="11">
        <f>IFERROR(100/'Skjema total MA'!C56*C56,0)</f>
        <v>18.684811754596282</v>
      </c>
      <c r="F56" s="129"/>
      <c r="G56" s="33"/>
      <c r="H56" s="129"/>
      <c r="I56" s="129"/>
      <c r="J56" s="33"/>
      <c r="K56" s="33"/>
      <c r="L56" s="143"/>
      <c r="M56" s="143"/>
      <c r="N56" s="132"/>
    </row>
    <row r="57" spans="1:14" s="3" customFormat="1" ht="15.75" x14ac:dyDescent="0.2">
      <c r="A57" s="38" t="s">
        <v>358</v>
      </c>
      <c r="B57" s="267">
        <v>24428</v>
      </c>
      <c r="C57" s="268">
        <v>20798.609</v>
      </c>
      <c r="D57" s="240">
        <f t="shared" si="3"/>
        <v>-14.9</v>
      </c>
      <c r="E57" s="27">
        <f>IFERROR(100/'Skjema total MA'!C57*C57,0)</f>
        <v>18.684811754596282</v>
      </c>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64" priority="12">
      <formula>kvartal &lt; 4</formula>
    </cfRule>
  </conditionalFormatting>
  <conditionalFormatting sqref="A69:A74">
    <cfRule type="expression" dxfId="363" priority="10">
      <formula>kvartal &lt; 4</formula>
    </cfRule>
  </conditionalFormatting>
  <conditionalFormatting sqref="A80:A85">
    <cfRule type="expression" dxfId="362" priority="9">
      <formula>kvartal &lt; 4</formula>
    </cfRule>
  </conditionalFormatting>
  <conditionalFormatting sqref="A90:A95">
    <cfRule type="expression" dxfId="361" priority="6">
      <formula>kvartal &lt; 4</formula>
    </cfRule>
  </conditionalFormatting>
  <conditionalFormatting sqref="A101:A106">
    <cfRule type="expression" dxfId="360" priority="5">
      <formula>kvartal &lt; 4</formula>
    </cfRule>
  </conditionalFormatting>
  <conditionalFormatting sqref="A115">
    <cfRule type="expression" dxfId="359" priority="4">
      <formula>kvartal &lt; 4</formula>
    </cfRule>
  </conditionalFormatting>
  <conditionalFormatting sqref="A123">
    <cfRule type="expression" dxfId="358"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125</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v>75012</v>
      </c>
      <c r="G7" s="290">
        <v>133517</v>
      </c>
      <c r="H7" s="332">
        <f>IF(F7=0, "    ---- ", IF(ABS(ROUND(100/F7*G7-100,1))&lt;999,ROUND(100/F7*G7-100,1),IF(ROUND(100/F7*G7-100,1)&gt;999,999,-999)))</f>
        <v>78</v>
      </c>
      <c r="I7" s="144">
        <f>IFERROR(100/'Skjema total MA'!F7*G7,0)</f>
        <v>1.7343240301773248</v>
      </c>
      <c r="J7" s="291">
        <f t="shared" ref="J7:K12" si="0">SUM(B7,F7)</f>
        <v>75012</v>
      </c>
      <c r="K7" s="292">
        <f t="shared" si="0"/>
        <v>133517</v>
      </c>
      <c r="L7" s="405">
        <f>IF(J7=0, "    ---- ", IF(ABS(ROUND(100/J7*K7-100,1))&lt;999,ROUND(100/J7*K7-100,1),IF(ROUND(100/J7*K7-100,1)&gt;999,999,-999)))</f>
        <v>78</v>
      </c>
      <c r="M7" s="11">
        <f>IFERROR(100/'Skjema total MA'!I7*K7,0)</f>
        <v>1.1180350403095416</v>
      </c>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v>893109</v>
      </c>
      <c r="G10" s="294">
        <v>2203137</v>
      </c>
      <c r="H10" s="155">
        <f t="shared" ref="H10:H12" si="1">IF(F10=0, "    ---- ", IF(ABS(ROUND(100/F10*G10-100,1))&lt;999,ROUND(100/F10*G10-100,1),IF(ROUND(100/F10*G10-100,1)&gt;999,999,-999)))</f>
        <v>146.69999999999999</v>
      </c>
      <c r="I10" s="144">
        <f>IFERROR(100/'Skjema total MA'!F10*G10,0)</f>
        <v>2.8267462503112575</v>
      </c>
      <c r="J10" s="291">
        <f t="shared" si="0"/>
        <v>893109</v>
      </c>
      <c r="K10" s="292">
        <f t="shared" si="0"/>
        <v>2203137</v>
      </c>
      <c r="L10" s="406">
        <f t="shared" ref="L10:L12" si="2">IF(J10=0, "    ---- ", IF(ABS(ROUND(100/J10*K10-100,1))&lt;999,ROUND(100/J10*K10-100,1),IF(ROUND(100/J10*K10-100,1)&gt;999,999,-999)))</f>
        <v>146.69999999999999</v>
      </c>
      <c r="M10" s="11">
        <f>IFERROR(100/'Skjema total MA'!I10*K10,0)</f>
        <v>2.3996995757269715</v>
      </c>
    </row>
    <row r="11" spans="1:14" s="43" customFormat="1" ht="15.75" x14ac:dyDescent="0.2">
      <c r="A11" s="13" t="s">
        <v>348</v>
      </c>
      <c r="B11" s="293"/>
      <c r="C11" s="294"/>
      <c r="D11" s="155"/>
      <c r="E11" s="11"/>
      <c r="F11" s="293">
        <v>6014</v>
      </c>
      <c r="G11" s="294">
        <v>6597</v>
      </c>
      <c r="H11" s="155">
        <f t="shared" si="1"/>
        <v>9.6999999999999993</v>
      </c>
      <c r="I11" s="144">
        <f>IFERROR(100/'Skjema total MA'!F11*G11,0)</f>
        <v>3.9455516985203656</v>
      </c>
      <c r="J11" s="291">
        <f t="shared" si="0"/>
        <v>6014</v>
      </c>
      <c r="K11" s="292">
        <f t="shared" si="0"/>
        <v>6597</v>
      </c>
      <c r="L11" s="406">
        <f t="shared" si="2"/>
        <v>9.6999999999999993</v>
      </c>
      <c r="M11" s="11">
        <f>IFERROR(100/'Skjema total MA'!I11*K11,0)</f>
        <v>3.414119993656811</v>
      </c>
      <c r="N11" s="127"/>
    </row>
    <row r="12" spans="1:14" s="43" customFormat="1" ht="15.75" x14ac:dyDescent="0.2">
      <c r="A12" s="41" t="s">
        <v>349</v>
      </c>
      <c r="B12" s="295"/>
      <c r="C12" s="296"/>
      <c r="D12" s="153"/>
      <c r="E12" s="36"/>
      <c r="F12" s="295">
        <v>23415</v>
      </c>
      <c r="G12" s="296">
        <v>10336</v>
      </c>
      <c r="H12" s="153">
        <f t="shared" si="1"/>
        <v>-55.9</v>
      </c>
      <c r="I12" s="153">
        <f>IFERROR(100/'Skjema total MA'!F12*G12,0)</f>
        <v>6.92414279166334</v>
      </c>
      <c r="J12" s="297">
        <f t="shared" si="0"/>
        <v>23415</v>
      </c>
      <c r="K12" s="298">
        <f t="shared" si="0"/>
        <v>10336</v>
      </c>
      <c r="L12" s="407">
        <f t="shared" si="2"/>
        <v>-55.9</v>
      </c>
      <c r="M12" s="36">
        <f>IFERROR(100/'Skjema total MA'!I12*K12,0)</f>
        <v>6.7859906967753361</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407684</v>
      </c>
      <c r="C22" s="293">
        <v>442714</v>
      </c>
      <c r="D22" s="332">
        <f t="shared" ref="D22:D30" si="3">IF(B22=0, "    ---- ", IF(ABS(ROUND(100/B22*C22-100,1))&lt;999,ROUND(100/B22*C22-100,1),IF(ROUND(100/B22*C22-100,1)&gt;999,999,-999)))</f>
        <v>8.6</v>
      </c>
      <c r="E22" s="11">
        <f>IFERROR(100/'Skjema total MA'!C22*C22,0)</f>
        <v>25.458981218040197</v>
      </c>
      <c r="F22" s="301">
        <v>35600</v>
      </c>
      <c r="G22" s="301">
        <v>44257</v>
      </c>
      <c r="H22" s="332">
        <f t="shared" ref="H22:H35" si="4">IF(F22=0, "    ---- ", IF(ABS(ROUND(100/F22*G22-100,1))&lt;999,ROUND(100/F22*G22-100,1),IF(ROUND(100/F22*G22-100,1)&gt;999,999,-999)))</f>
        <v>24.3</v>
      </c>
      <c r="I22" s="11">
        <f>IFERROR(100/'Skjema total MA'!F22*G22,0)</f>
        <v>6.8154281764001432</v>
      </c>
      <c r="J22" s="299">
        <f t="shared" ref="J22:K35" si="5">SUM(B22,F22)</f>
        <v>443284</v>
      </c>
      <c r="K22" s="299">
        <f t="shared" si="5"/>
        <v>486971</v>
      </c>
      <c r="L22" s="405">
        <f t="shared" ref="L22:L35" si="6">IF(J22=0, "    ---- ", IF(ABS(ROUND(100/J22*K22-100,1))&lt;999,ROUND(100/J22*K22-100,1),IF(ROUND(100/J22*K22-100,1)&gt;999,999,-999)))</f>
        <v>9.9</v>
      </c>
      <c r="M22" s="24">
        <f>IFERROR(100/'Skjema total MA'!I22*K22,0)</f>
        <v>20.389897606579986</v>
      </c>
    </row>
    <row r="23" spans="1:14" ht="15.75" x14ac:dyDescent="0.2">
      <c r="A23" s="487" t="s">
        <v>350</v>
      </c>
      <c r="B23" s="267"/>
      <c r="C23" s="267">
        <v>442714</v>
      </c>
      <c r="D23" s="150" t="str">
        <f t="shared" si="3"/>
        <v xml:space="preserve">    ---- </v>
      </c>
      <c r="E23" s="11">
        <f>IFERROR(100/'Skjema total MA'!C23*C23,0)</f>
        <v>43.138120504497032</v>
      </c>
      <c r="F23" s="276">
        <v>25</v>
      </c>
      <c r="G23" s="276">
        <v>20</v>
      </c>
      <c r="H23" s="150">
        <f t="shared" si="4"/>
        <v>-20</v>
      </c>
      <c r="I23" s="395">
        <f>IFERROR(100/'Skjema total MA'!F23*G23,0)</f>
        <v>5.873240216854847E-2</v>
      </c>
      <c r="J23" s="276">
        <f t="shared" ref="J23:J26" si="7">SUM(B23,F23)</f>
        <v>25</v>
      </c>
      <c r="K23" s="276">
        <f t="shared" ref="K23:K26" si="8">SUM(C23,G23)</f>
        <v>442734</v>
      </c>
      <c r="L23" s="150">
        <f t="shared" si="6"/>
        <v>999</v>
      </c>
      <c r="M23" s="23">
        <f>IFERROR(100/'Skjema total MA'!I23*K23,0)</f>
        <v>41.754607369117338</v>
      </c>
    </row>
    <row r="24" spans="1:14" ht="15.75" x14ac:dyDescent="0.2">
      <c r="A24" s="487" t="s">
        <v>351</v>
      </c>
      <c r="B24" s="267"/>
      <c r="C24" s="267"/>
      <c r="D24" s="150"/>
      <c r="E24" s="11"/>
      <c r="F24" s="276">
        <v>712</v>
      </c>
      <c r="G24" s="276"/>
      <c r="H24" s="150">
        <f t="shared" si="4"/>
        <v>-100</v>
      </c>
      <c r="I24" s="395">
        <f>IFERROR(100/'Skjema total MA'!F24*G24,0)</f>
        <v>0</v>
      </c>
      <c r="J24" s="276">
        <f t="shared" si="7"/>
        <v>712</v>
      </c>
      <c r="K24" s="276">
        <f t="shared" si="8"/>
        <v>0</v>
      </c>
      <c r="L24" s="150">
        <f t="shared" si="6"/>
        <v>-100</v>
      </c>
      <c r="M24" s="23">
        <f>IFERROR(100/'Skjema total MA'!I24*K24,0)</f>
        <v>0</v>
      </c>
    </row>
    <row r="25" spans="1:14" ht="15.75" x14ac:dyDescent="0.2">
      <c r="A25" s="487" t="s">
        <v>352</v>
      </c>
      <c r="B25" s="267"/>
      <c r="C25" s="267"/>
      <c r="D25" s="150"/>
      <c r="E25" s="11"/>
      <c r="F25" s="276">
        <v>157</v>
      </c>
      <c r="G25" s="276"/>
      <c r="H25" s="150">
        <f t="shared" si="4"/>
        <v>-100</v>
      </c>
      <c r="I25" s="395">
        <f>IFERROR(100/'Skjema total MA'!F25*G25,0)</f>
        <v>0</v>
      </c>
      <c r="J25" s="276">
        <f t="shared" si="7"/>
        <v>157</v>
      </c>
      <c r="K25" s="276">
        <f t="shared" si="8"/>
        <v>0</v>
      </c>
      <c r="L25" s="150">
        <f t="shared" si="6"/>
        <v>-100</v>
      </c>
      <c r="M25" s="23">
        <f>IFERROR(100/'Skjema total MA'!I25*K25,0)</f>
        <v>0</v>
      </c>
    </row>
    <row r="26" spans="1:14" ht="15.75" x14ac:dyDescent="0.2">
      <c r="A26" s="487" t="s">
        <v>353</v>
      </c>
      <c r="B26" s="267"/>
      <c r="C26" s="267"/>
      <c r="D26" s="150"/>
      <c r="E26" s="11"/>
      <c r="F26" s="276">
        <v>34706</v>
      </c>
      <c r="G26" s="276">
        <v>44237</v>
      </c>
      <c r="H26" s="150">
        <f t="shared" si="4"/>
        <v>27.5</v>
      </c>
      <c r="I26" s="395">
        <f>IFERROR(100/'Skjema total MA'!F26*G26,0)</f>
        <v>7.3814476782592013</v>
      </c>
      <c r="J26" s="276">
        <f t="shared" si="7"/>
        <v>34706</v>
      </c>
      <c r="K26" s="276">
        <f t="shared" si="8"/>
        <v>44237</v>
      </c>
      <c r="L26" s="150">
        <f t="shared" si="6"/>
        <v>27.5</v>
      </c>
      <c r="M26" s="23">
        <f>IFERROR(100/'Skjema total MA'!I26*K26,0)</f>
        <v>7.3814476782592013</v>
      </c>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407684</v>
      </c>
      <c r="C28" s="273">
        <v>442714</v>
      </c>
      <c r="D28" s="150">
        <f t="shared" si="3"/>
        <v>8.6</v>
      </c>
      <c r="E28" s="11">
        <f>IFERROR(100/'Skjema total MA'!C28*C28,0)</f>
        <v>21.08329938348767</v>
      </c>
      <c r="F28" s="215"/>
      <c r="G28" s="273"/>
      <c r="H28" s="150"/>
      <c r="I28" s="27"/>
      <c r="J28" s="44">
        <f t="shared" si="5"/>
        <v>407684</v>
      </c>
      <c r="K28" s="44">
        <f t="shared" si="5"/>
        <v>442714</v>
      </c>
      <c r="L28" s="240">
        <f t="shared" si="6"/>
        <v>8.6</v>
      </c>
      <c r="M28" s="23">
        <f>IFERROR(100/'Skjema total MA'!I28*K28,0)</f>
        <v>21.08329938348767</v>
      </c>
    </row>
    <row r="29" spans="1:14" s="3" customFormat="1" ht="15.75" x14ac:dyDescent="0.2">
      <c r="A29" s="13" t="s">
        <v>347</v>
      </c>
      <c r="B29" s="217">
        <v>2969718</v>
      </c>
      <c r="C29" s="217">
        <v>5988177</v>
      </c>
      <c r="D29" s="155">
        <f t="shared" si="3"/>
        <v>101.6</v>
      </c>
      <c r="E29" s="11">
        <f>IFERROR(100/'Skjema total MA'!C29*C29,0)</f>
        <v>13.072578519129433</v>
      </c>
      <c r="F29" s="291">
        <v>1482429</v>
      </c>
      <c r="G29" s="291">
        <v>2237769</v>
      </c>
      <c r="H29" s="155">
        <f t="shared" si="4"/>
        <v>51</v>
      </c>
      <c r="I29" s="11">
        <f>IFERROR(100/'Skjema total MA'!F29*G29,0)</f>
        <v>8.9914077610494338</v>
      </c>
      <c r="J29" s="217">
        <f t="shared" si="5"/>
        <v>4452147</v>
      </c>
      <c r="K29" s="217">
        <f t="shared" si="5"/>
        <v>8225946</v>
      </c>
      <c r="L29" s="406">
        <f t="shared" si="6"/>
        <v>84.8</v>
      </c>
      <c r="M29" s="24">
        <f>IFERROR(100/'Skjema total MA'!I29*K29,0)</f>
        <v>11.635820926820445</v>
      </c>
      <c r="N29" s="132"/>
    </row>
    <row r="30" spans="1:14" s="3" customFormat="1" ht="15.75" x14ac:dyDescent="0.2">
      <c r="A30" s="487" t="s">
        <v>350</v>
      </c>
      <c r="B30" s="267"/>
      <c r="C30" s="267">
        <v>5988177</v>
      </c>
      <c r="D30" s="150" t="str">
        <f t="shared" si="3"/>
        <v xml:space="preserve">    ---- </v>
      </c>
      <c r="E30" s="11">
        <f>IFERROR(100/'Skjema total MA'!C30*C30,0)</f>
        <v>30.632368384736591</v>
      </c>
      <c r="F30" s="276">
        <v>19991</v>
      </c>
      <c r="G30" s="276">
        <v>18479</v>
      </c>
      <c r="H30" s="150">
        <f t="shared" si="4"/>
        <v>-7.6</v>
      </c>
      <c r="I30" s="395">
        <f>IFERROR(100/'Skjema total MA'!F30*G30,0)</f>
        <v>0.53819472283443337</v>
      </c>
      <c r="J30" s="276">
        <f t="shared" ref="J30:J33" si="9">SUM(B30,F30)</f>
        <v>19991</v>
      </c>
      <c r="K30" s="276">
        <f t="shared" ref="K30:K33" si="10">SUM(C30,G30)</f>
        <v>6006656</v>
      </c>
      <c r="L30" s="150">
        <f t="shared" si="6"/>
        <v>999</v>
      </c>
      <c r="M30" s="23">
        <f>IFERROR(100/'Skjema total MA'!I30*K30,0)</f>
        <v>26.136300964886296</v>
      </c>
      <c r="N30" s="132"/>
    </row>
    <row r="31" spans="1:14" s="3" customFormat="1" ht="15.75" x14ac:dyDescent="0.2">
      <c r="A31" s="487" t="s">
        <v>351</v>
      </c>
      <c r="B31" s="267"/>
      <c r="C31" s="267"/>
      <c r="D31" s="150"/>
      <c r="E31" s="11"/>
      <c r="F31" s="276">
        <v>838514</v>
      </c>
      <c r="G31" s="276">
        <v>1132050</v>
      </c>
      <c r="H31" s="150">
        <f t="shared" si="4"/>
        <v>35</v>
      </c>
      <c r="I31" s="395">
        <f>IFERROR(100/'Skjema total MA'!F31*G31,0)</f>
        <v>15.719685390842114</v>
      </c>
      <c r="J31" s="276">
        <f t="shared" si="9"/>
        <v>838514</v>
      </c>
      <c r="K31" s="276">
        <f t="shared" si="10"/>
        <v>1132050</v>
      </c>
      <c r="L31" s="150">
        <f t="shared" si="6"/>
        <v>35</v>
      </c>
      <c r="M31" s="23">
        <f>IFERROR(100/'Skjema total MA'!I31*K31,0)</f>
        <v>3.6503853926581482</v>
      </c>
      <c r="N31" s="132"/>
    </row>
    <row r="32" spans="1:14" ht="15.75" x14ac:dyDescent="0.2">
      <c r="A32" s="487" t="s">
        <v>352</v>
      </c>
      <c r="B32" s="267"/>
      <c r="C32" s="267"/>
      <c r="D32" s="150"/>
      <c r="E32" s="11"/>
      <c r="F32" s="276">
        <v>113530</v>
      </c>
      <c r="G32" s="276">
        <v>114980</v>
      </c>
      <c r="H32" s="150">
        <f t="shared" si="4"/>
        <v>1.3</v>
      </c>
      <c r="I32" s="395">
        <f>IFERROR(100/'Skjema total MA'!F32*G32,0)</f>
        <v>2.001426108598181</v>
      </c>
      <c r="J32" s="276">
        <f t="shared" si="9"/>
        <v>113530</v>
      </c>
      <c r="K32" s="276">
        <f t="shared" si="10"/>
        <v>114980</v>
      </c>
      <c r="L32" s="150">
        <f t="shared" si="6"/>
        <v>1.3</v>
      </c>
      <c r="M32" s="23">
        <f>IFERROR(100/'Skjema total MA'!I32*K32,0)</f>
        <v>1.4212351773604586</v>
      </c>
    </row>
    <row r="33" spans="1:14" ht="15.75" x14ac:dyDescent="0.2">
      <c r="A33" s="487" t="s">
        <v>353</v>
      </c>
      <c r="B33" s="267"/>
      <c r="C33" s="267"/>
      <c r="D33" s="150"/>
      <c r="E33" s="11"/>
      <c r="F33" s="276">
        <v>510394</v>
      </c>
      <c r="G33" s="276">
        <v>972260</v>
      </c>
      <c r="H33" s="150">
        <f t="shared" si="4"/>
        <v>90.5</v>
      </c>
      <c r="I33" s="395">
        <f>IFERROR(100/'Skjema total MA'!F34*G33,0)</f>
        <v>-78522.369022118524</v>
      </c>
      <c r="J33" s="276">
        <f t="shared" si="9"/>
        <v>510394</v>
      </c>
      <c r="K33" s="276">
        <f t="shared" si="10"/>
        <v>972260</v>
      </c>
      <c r="L33" s="150">
        <f t="shared" si="6"/>
        <v>90.5</v>
      </c>
      <c r="M33" s="23">
        <f>IFERROR(100/'Skjema total MA'!I34*K33,0)</f>
        <v>5313.2220873255446</v>
      </c>
    </row>
    <row r="34" spans="1:14" ht="15.75" x14ac:dyDescent="0.2">
      <c r="A34" s="13" t="s">
        <v>348</v>
      </c>
      <c r="B34" s="217"/>
      <c r="C34" s="292"/>
      <c r="D34" s="155"/>
      <c r="E34" s="11"/>
      <c r="F34" s="291">
        <v>28510</v>
      </c>
      <c r="G34" s="292">
        <v>9522</v>
      </c>
      <c r="H34" s="155">
        <f t="shared" si="4"/>
        <v>-66.599999999999994</v>
      </c>
      <c r="I34" s="11">
        <f>IFERROR(100/'Skjema total MA'!F34*G34,0)</f>
        <v>-769.02268717072855</v>
      </c>
      <c r="J34" s="217">
        <f t="shared" si="5"/>
        <v>28510</v>
      </c>
      <c r="K34" s="217">
        <f t="shared" si="5"/>
        <v>9522</v>
      </c>
      <c r="L34" s="406">
        <f t="shared" si="6"/>
        <v>-66.599999999999994</v>
      </c>
      <c r="M34" s="24">
        <f>IFERROR(100/'Skjema total MA'!I34*K34,0)</f>
        <v>52.035978766496449</v>
      </c>
    </row>
    <row r="35" spans="1:14" ht="15.75" x14ac:dyDescent="0.2">
      <c r="A35" s="13" t="s">
        <v>349</v>
      </c>
      <c r="B35" s="217"/>
      <c r="C35" s="292"/>
      <c r="D35" s="155"/>
      <c r="E35" s="11"/>
      <c r="F35" s="291">
        <v>7880</v>
      </c>
      <c r="G35" s="292">
        <v>19502</v>
      </c>
      <c r="H35" s="155">
        <f t="shared" si="4"/>
        <v>147.5</v>
      </c>
      <c r="I35" s="11">
        <f>IFERROR(100/'Skjema total MA'!F35*G35,0)</f>
        <v>18.93863023321336</v>
      </c>
      <c r="J35" s="217">
        <f t="shared" si="5"/>
        <v>7880</v>
      </c>
      <c r="K35" s="217">
        <f t="shared" si="5"/>
        <v>19502</v>
      </c>
      <c r="L35" s="406">
        <f t="shared" si="6"/>
        <v>147.5</v>
      </c>
      <c r="M35" s="24">
        <f>IFERROR(100/'Skjema total MA'!I35*K35,0)</f>
        <v>75.873233435495322</v>
      </c>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c r="D47" s="405"/>
      <c r="E47" s="11"/>
      <c r="F47" s="129"/>
      <c r="G47" s="33"/>
      <c r="H47" s="143"/>
      <c r="I47" s="143"/>
      <c r="J47" s="37"/>
      <c r="K47" s="37"/>
      <c r="L47" s="143"/>
      <c r="M47" s="143"/>
      <c r="N47" s="132"/>
    </row>
    <row r="48" spans="1:14" s="3" customFormat="1" ht="15.75" x14ac:dyDescent="0.2">
      <c r="A48" s="38" t="s">
        <v>358</v>
      </c>
      <c r="B48" s="267"/>
      <c r="C48" s="268"/>
      <c r="D48" s="240"/>
      <c r="E48" s="27"/>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v>217808</v>
      </c>
      <c r="C66" s="335">
        <v>266650</v>
      </c>
      <c r="D66" s="332">
        <f t="shared" ref="D66:D111" si="11">IF(B66=0, "    ---- ", IF(ABS(ROUND(100/B66*C66-100,1))&lt;999,ROUND(100/B66*C66-100,1),IF(ROUND(100/B66*C66-100,1)&gt;999,999,-999)))</f>
        <v>22.4</v>
      </c>
      <c r="E66" s="11">
        <f>IFERROR(100/'Skjema total MA'!C66*C66,0)</f>
        <v>3.8909243329385488</v>
      </c>
      <c r="F66" s="334">
        <v>3089347</v>
      </c>
      <c r="G66" s="334">
        <v>3795353</v>
      </c>
      <c r="H66" s="332">
        <f t="shared" ref="H66:H111" si="12">IF(F66=0, "    ---- ", IF(ABS(ROUND(100/F66*G66-100,1))&lt;999,ROUND(100/F66*G66-100,1),IF(ROUND(100/F66*G66-100,1)&gt;999,999,-999)))</f>
        <v>22.9</v>
      </c>
      <c r="I66" s="11">
        <f>IFERROR(100/'Skjema total MA'!F66*G66,0)</f>
        <v>10.388790623279021</v>
      </c>
      <c r="J66" s="292">
        <f t="shared" ref="J66:K86" si="13">SUM(B66,F66)</f>
        <v>3307155</v>
      </c>
      <c r="K66" s="299">
        <f t="shared" si="13"/>
        <v>4062003</v>
      </c>
      <c r="L66" s="406">
        <f t="shared" ref="L66:L111" si="14">IF(J66=0, "    ---- ", IF(ABS(ROUND(100/J66*K66-100,1))&lt;999,ROUND(100/J66*K66-100,1),IF(ROUND(100/J66*K66-100,1)&gt;999,999,-999)))</f>
        <v>22.8</v>
      </c>
      <c r="M66" s="11">
        <f>IFERROR(100/'Skjema total MA'!I66*K66,0)</f>
        <v>9.36241309923677</v>
      </c>
    </row>
    <row r="67" spans="1:14" x14ac:dyDescent="0.2">
      <c r="A67" s="397" t="s">
        <v>9</v>
      </c>
      <c r="B67" s="44">
        <v>217808</v>
      </c>
      <c r="C67" s="129">
        <v>266650</v>
      </c>
      <c r="D67" s="150">
        <f t="shared" si="11"/>
        <v>22.4</v>
      </c>
      <c r="E67" s="27">
        <f>IFERROR(100/'Skjema total MA'!C67*C67,0)</f>
        <v>6.3374952447093884</v>
      </c>
      <c r="F67" s="215"/>
      <c r="G67" s="129"/>
      <c r="H67" s="150"/>
      <c r="I67" s="27"/>
      <c r="J67" s="273">
        <f t="shared" si="13"/>
        <v>217808</v>
      </c>
      <c r="K67" s="44">
        <f t="shared" si="13"/>
        <v>266650</v>
      </c>
      <c r="L67" s="240">
        <f t="shared" si="14"/>
        <v>22.4</v>
      </c>
      <c r="M67" s="27">
        <f>IFERROR(100/'Skjema total MA'!I67*K67,0)</f>
        <v>6.3374952447093884</v>
      </c>
    </row>
    <row r="68" spans="1:14" x14ac:dyDescent="0.2">
      <c r="A68" s="21" t="s">
        <v>10</v>
      </c>
      <c r="B68" s="277"/>
      <c r="C68" s="278"/>
      <c r="D68" s="150"/>
      <c r="E68" s="27"/>
      <c r="F68" s="277">
        <v>3089347</v>
      </c>
      <c r="G68" s="277">
        <v>3795353</v>
      </c>
      <c r="H68" s="150">
        <f t="shared" si="12"/>
        <v>22.9</v>
      </c>
      <c r="I68" s="27">
        <f>IFERROR(100/'Skjema total MA'!F68*G68,0)</f>
        <v>10.871736302503306</v>
      </c>
      <c r="J68" s="273">
        <f t="shared" si="13"/>
        <v>3089347</v>
      </c>
      <c r="K68" s="44">
        <f t="shared" si="13"/>
        <v>3795353</v>
      </c>
      <c r="L68" s="240">
        <f t="shared" si="14"/>
        <v>22.9</v>
      </c>
      <c r="M68" s="27">
        <f>IFERROR(100/'Skjema total MA'!I68*K68,0)</f>
        <v>10.86265725166972</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v>217045</v>
      </c>
      <c r="C77" s="215">
        <v>265504</v>
      </c>
      <c r="D77" s="150">
        <f t="shared" si="11"/>
        <v>22.3</v>
      </c>
      <c r="E77" s="27">
        <f>IFERROR(100/'Skjema total MA'!C77*C77,0)</f>
        <v>6.4108619731316931</v>
      </c>
      <c r="F77" s="215">
        <v>3089306</v>
      </c>
      <c r="G77" s="129">
        <v>3795353</v>
      </c>
      <c r="H77" s="150">
        <f t="shared" si="12"/>
        <v>22.9</v>
      </c>
      <c r="I77" s="27">
        <f>IFERROR(100/'Skjema total MA'!F77*G77,0)</f>
        <v>10.874679694476784</v>
      </c>
      <c r="J77" s="273">
        <f t="shared" si="13"/>
        <v>3306351</v>
      </c>
      <c r="K77" s="44">
        <f t="shared" si="13"/>
        <v>4060857</v>
      </c>
      <c r="L77" s="240">
        <f t="shared" si="14"/>
        <v>22.8</v>
      </c>
      <c r="M77" s="27">
        <f>IFERROR(100/'Skjema total MA'!I77*K77,0)</f>
        <v>10.40117342346328</v>
      </c>
    </row>
    <row r="78" spans="1:14" x14ac:dyDescent="0.2">
      <c r="A78" s="21" t="s">
        <v>9</v>
      </c>
      <c r="B78" s="215">
        <v>217045</v>
      </c>
      <c r="C78" s="129">
        <v>265504</v>
      </c>
      <c r="D78" s="150">
        <f t="shared" si="11"/>
        <v>22.3</v>
      </c>
      <c r="E78" s="27">
        <f>IFERROR(100/'Skjema total MA'!C78*C78,0)</f>
        <v>6.4563382674774363</v>
      </c>
      <c r="F78" s="215"/>
      <c r="G78" s="129"/>
      <c r="H78" s="150"/>
      <c r="I78" s="27"/>
      <c r="J78" s="273">
        <f t="shared" si="13"/>
        <v>217045</v>
      </c>
      <c r="K78" s="44">
        <f t="shared" si="13"/>
        <v>265504</v>
      </c>
      <c r="L78" s="240">
        <f t="shared" si="14"/>
        <v>22.3</v>
      </c>
      <c r="M78" s="27">
        <f>IFERROR(100/'Skjema total MA'!I78*K78,0)</f>
        <v>6.4563382674774363</v>
      </c>
    </row>
    <row r="79" spans="1:14" x14ac:dyDescent="0.2">
      <c r="A79" s="38" t="s">
        <v>396</v>
      </c>
      <c r="B79" s="277"/>
      <c r="C79" s="278"/>
      <c r="D79" s="150"/>
      <c r="E79" s="27"/>
      <c r="F79" s="277">
        <v>3089306</v>
      </c>
      <c r="G79" s="278">
        <v>3795353</v>
      </c>
      <c r="H79" s="150">
        <f t="shared" si="12"/>
        <v>22.9</v>
      </c>
      <c r="I79" s="27">
        <f>IFERROR(100/'Skjema total MA'!F79*G79,0)</f>
        <v>10.874679694476784</v>
      </c>
      <c r="J79" s="273">
        <f t="shared" si="13"/>
        <v>3089306</v>
      </c>
      <c r="K79" s="44">
        <f t="shared" si="13"/>
        <v>3795353</v>
      </c>
      <c r="L79" s="240">
        <f t="shared" si="14"/>
        <v>22.9</v>
      </c>
      <c r="M79" s="27">
        <f>IFERROR(100/'Skjema total MA'!I79*K79,0)</f>
        <v>10.865597906417999</v>
      </c>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v>763</v>
      </c>
      <c r="C86" s="129">
        <v>1146</v>
      </c>
      <c r="D86" s="150">
        <f t="shared" si="11"/>
        <v>50.2</v>
      </c>
      <c r="E86" s="27">
        <f>IFERROR(100/'Skjema total MA'!C86*C86,0)</f>
        <v>1.2037218196353938</v>
      </c>
      <c r="F86" s="215">
        <v>41</v>
      </c>
      <c r="G86" s="129">
        <v>0</v>
      </c>
      <c r="H86" s="150">
        <f t="shared" si="12"/>
        <v>-100</v>
      </c>
      <c r="I86" s="27">
        <f>IFERROR(100/'Skjema total MA'!F86*G86,0)</f>
        <v>0</v>
      </c>
      <c r="J86" s="273">
        <f t="shared" si="13"/>
        <v>804</v>
      </c>
      <c r="K86" s="44">
        <f t="shared" si="13"/>
        <v>1146</v>
      </c>
      <c r="L86" s="240">
        <f t="shared" si="14"/>
        <v>42.5</v>
      </c>
      <c r="M86" s="27">
        <f>IFERROR(100/'Skjema total MA'!I86*K86,0)</f>
        <v>1.0950401160393028</v>
      </c>
    </row>
    <row r="87" spans="1:13" ht="15.75" x14ac:dyDescent="0.2">
      <c r="A87" s="13" t="s">
        <v>347</v>
      </c>
      <c r="B87" s="335">
        <v>5747259</v>
      </c>
      <c r="C87" s="335">
        <v>5988177</v>
      </c>
      <c r="D87" s="155">
        <f t="shared" si="11"/>
        <v>4.2</v>
      </c>
      <c r="E87" s="11">
        <f>IFERROR(100/'Skjema total MA'!C87*C87,0)</f>
        <v>1.4989482590497769</v>
      </c>
      <c r="F87" s="334">
        <v>38552818</v>
      </c>
      <c r="G87" s="334">
        <v>50998121</v>
      </c>
      <c r="H87" s="155">
        <f t="shared" si="12"/>
        <v>32.299999999999997</v>
      </c>
      <c r="I87" s="11">
        <f>IFERROR(100/'Skjema total MA'!F87*G87,0)</f>
        <v>10.10067585756866</v>
      </c>
      <c r="J87" s="292">
        <f t="shared" ref="J87:K111" si="15">SUM(B87,F87)</f>
        <v>44300077</v>
      </c>
      <c r="K87" s="217">
        <f t="shared" si="15"/>
        <v>56986298</v>
      </c>
      <c r="L87" s="406">
        <f t="shared" si="14"/>
        <v>28.6</v>
      </c>
      <c r="M87" s="11">
        <f>IFERROR(100/'Skjema total MA'!I87*K87,0)</f>
        <v>6.3010755513737626</v>
      </c>
    </row>
    <row r="88" spans="1:13" x14ac:dyDescent="0.2">
      <c r="A88" s="21" t="s">
        <v>9</v>
      </c>
      <c r="B88" s="215">
        <v>5747259</v>
      </c>
      <c r="C88" s="129">
        <v>5988177</v>
      </c>
      <c r="D88" s="150">
        <f t="shared" si="11"/>
        <v>4.2</v>
      </c>
      <c r="E88" s="27">
        <f>IFERROR(100/'Skjema total MA'!C88*C88,0)</f>
        <v>1.5651408360510695</v>
      </c>
      <c r="F88" s="215"/>
      <c r="G88" s="129"/>
      <c r="H88" s="150"/>
      <c r="I88" s="27"/>
      <c r="J88" s="273">
        <f t="shared" si="15"/>
        <v>5747259</v>
      </c>
      <c r="K88" s="44">
        <f t="shared" si="15"/>
        <v>5988177</v>
      </c>
      <c r="L88" s="240">
        <f t="shared" si="14"/>
        <v>4.2</v>
      </c>
      <c r="M88" s="27">
        <f>IFERROR(100/'Skjema total MA'!I88*K88,0)</f>
        <v>1.5651408360510695</v>
      </c>
    </row>
    <row r="89" spans="1:13" x14ac:dyDescent="0.2">
      <c r="A89" s="21" t="s">
        <v>10</v>
      </c>
      <c r="B89" s="215"/>
      <c r="C89" s="129"/>
      <c r="D89" s="150"/>
      <c r="E89" s="27"/>
      <c r="F89" s="215">
        <v>38552818</v>
      </c>
      <c r="G89" s="129">
        <v>50998121</v>
      </c>
      <c r="H89" s="150">
        <f t="shared" si="12"/>
        <v>32.299999999999997</v>
      </c>
      <c r="I89" s="27">
        <f>IFERROR(100/'Skjema total MA'!F89*G89,0)</f>
        <v>10.245736287331079</v>
      </c>
      <c r="J89" s="273">
        <f t="shared" si="15"/>
        <v>38552818</v>
      </c>
      <c r="K89" s="44">
        <f t="shared" si="15"/>
        <v>50998121</v>
      </c>
      <c r="L89" s="240">
        <f t="shared" si="14"/>
        <v>32.299999999999997</v>
      </c>
      <c r="M89" s="27">
        <f>IFERROR(100/'Skjema total MA'!I89*K89,0)</f>
        <v>10.20073720515906</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v>5744804</v>
      </c>
      <c r="C98" s="215">
        <v>5984447</v>
      </c>
      <c r="D98" s="150">
        <f t="shared" si="11"/>
        <v>4.2</v>
      </c>
      <c r="E98" s="27">
        <f>IFERROR(100/'Skjema total MA'!C98*C98,0)</f>
        <v>1.5729919581938514</v>
      </c>
      <c r="F98" s="277">
        <v>38552818</v>
      </c>
      <c r="G98" s="277">
        <v>50998035</v>
      </c>
      <c r="H98" s="150">
        <f t="shared" si="12"/>
        <v>32.299999999999997</v>
      </c>
      <c r="I98" s="27">
        <f>IFERROR(100/'Skjema total MA'!F98*G98,0)</f>
        <v>10.249585554193922</v>
      </c>
      <c r="J98" s="273">
        <f t="shared" si="15"/>
        <v>44297622</v>
      </c>
      <c r="K98" s="44">
        <f t="shared" si="15"/>
        <v>56982482</v>
      </c>
      <c r="L98" s="240">
        <f t="shared" si="14"/>
        <v>28.6</v>
      </c>
      <c r="M98" s="27">
        <f>IFERROR(100/'Skjema total MA'!I98*K98,0)</f>
        <v>6.4899444108018374</v>
      </c>
    </row>
    <row r="99" spans="1:13" x14ac:dyDescent="0.2">
      <c r="A99" s="21" t="s">
        <v>9</v>
      </c>
      <c r="B99" s="277">
        <v>5744804</v>
      </c>
      <c r="C99" s="278">
        <v>5984447</v>
      </c>
      <c r="D99" s="150">
        <f t="shared" si="11"/>
        <v>4.2</v>
      </c>
      <c r="E99" s="27">
        <f>IFERROR(100/'Skjema total MA'!C99*C99,0)</f>
        <v>1.5821231160595668</v>
      </c>
      <c r="F99" s="215"/>
      <c r="G99" s="129"/>
      <c r="H99" s="150"/>
      <c r="I99" s="27"/>
      <c r="J99" s="273">
        <f t="shared" si="15"/>
        <v>5744804</v>
      </c>
      <c r="K99" s="44">
        <f t="shared" si="15"/>
        <v>5984447</v>
      </c>
      <c r="L99" s="240">
        <f t="shared" si="14"/>
        <v>4.2</v>
      </c>
      <c r="M99" s="27">
        <f>IFERROR(100/'Skjema total MA'!I99*K99,0)</f>
        <v>1.5821231160595668</v>
      </c>
    </row>
    <row r="100" spans="1:13" x14ac:dyDescent="0.2">
      <c r="A100" s="38" t="s">
        <v>396</v>
      </c>
      <c r="B100" s="277"/>
      <c r="C100" s="278"/>
      <c r="D100" s="150"/>
      <c r="E100" s="27"/>
      <c r="F100" s="215">
        <v>38552818</v>
      </c>
      <c r="G100" s="215">
        <v>50998035</v>
      </c>
      <c r="H100" s="150">
        <f t="shared" si="12"/>
        <v>32.299999999999997</v>
      </c>
      <c r="I100" s="27">
        <f>IFERROR(100/'Skjema total MA'!F100*G100,0)</f>
        <v>10.249585554193922</v>
      </c>
      <c r="J100" s="273">
        <f t="shared" si="15"/>
        <v>38552818</v>
      </c>
      <c r="K100" s="44">
        <f t="shared" si="15"/>
        <v>50998035</v>
      </c>
      <c r="L100" s="240">
        <f t="shared" si="14"/>
        <v>32.299999999999997</v>
      </c>
      <c r="M100" s="27">
        <f>IFERROR(100/'Skjema total MA'!I100*K100,0)</f>
        <v>10.204552652553426</v>
      </c>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v>2455</v>
      </c>
      <c r="C107" s="129">
        <v>3730</v>
      </c>
      <c r="D107" s="150">
        <f t="shared" si="11"/>
        <v>51.9</v>
      </c>
      <c r="E107" s="27">
        <f>IFERROR(100/'Skjema total MA'!C107*C107,0)</f>
        <v>8.5895290995714496E-2</v>
      </c>
      <c r="F107" s="215"/>
      <c r="G107" s="129">
        <v>86</v>
      </c>
      <c r="H107" s="150" t="str">
        <f t="shared" si="12"/>
        <v xml:space="preserve">    ---- </v>
      </c>
      <c r="I107" s="27">
        <f>IFERROR(100/'Skjema total MA'!F107*G107,0)</f>
        <v>4.5800553648084649E-2</v>
      </c>
      <c r="J107" s="273">
        <f t="shared" si="15"/>
        <v>2455</v>
      </c>
      <c r="K107" s="44">
        <f t="shared" si="15"/>
        <v>3816</v>
      </c>
      <c r="L107" s="240">
        <f t="shared" si="14"/>
        <v>55.4</v>
      </c>
      <c r="M107" s="27">
        <f>IFERROR(100/'Skjema total MA'!I107*K107,0)</f>
        <v>8.4233443055723251E-2</v>
      </c>
    </row>
    <row r="108" spans="1:13" ht="15.75" x14ac:dyDescent="0.2">
      <c r="A108" s="21" t="s">
        <v>366</v>
      </c>
      <c r="B108" s="215">
        <v>4155820</v>
      </c>
      <c r="C108" s="215">
        <v>4059760</v>
      </c>
      <c r="D108" s="150">
        <f t="shared" si="11"/>
        <v>-2.2999999999999998</v>
      </c>
      <c r="E108" s="27">
        <f>IFERROR(100/'Skjema total MA'!C108*C108,0)</f>
        <v>1.236004076265778</v>
      </c>
      <c r="F108" s="215"/>
      <c r="G108" s="215"/>
      <c r="H108" s="150"/>
      <c r="I108" s="27"/>
      <c r="J108" s="273">
        <f t="shared" si="15"/>
        <v>4155820</v>
      </c>
      <c r="K108" s="44">
        <f t="shared" si="15"/>
        <v>4059760</v>
      </c>
      <c r="L108" s="240">
        <f t="shared" si="14"/>
        <v>-2.2999999999999998</v>
      </c>
      <c r="M108" s="27">
        <f>IFERROR(100/'Skjema total MA'!I108*K108,0)</f>
        <v>1.1648232740605147</v>
      </c>
    </row>
    <row r="109" spans="1:13" ht="15.75" x14ac:dyDescent="0.2">
      <c r="A109" s="38" t="s">
        <v>404</v>
      </c>
      <c r="B109" s="215"/>
      <c r="C109" s="215"/>
      <c r="D109" s="150"/>
      <c r="E109" s="27"/>
      <c r="F109" s="215">
        <v>16157470</v>
      </c>
      <c r="G109" s="215">
        <v>21787790</v>
      </c>
      <c r="H109" s="150">
        <f t="shared" si="12"/>
        <v>34.799999999999997</v>
      </c>
      <c r="I109" s="27">
        <f>IFERROR(100/'Skjema total MA'!F109*G109,0)</f>
        <v>11.667487103209893</v>
      </c>
      <c r="J109" s="273">
        <f t="shared" si="15"/>
        <v>16157470</v>
      </c>
      <c r="K109" s="44">
        <f t="shared" si="15"/>
        <v>21787790</v>
      </c>
      <c r="L109" s="240">
        <f t="shared" si="14"/>
        <v>34.799999999999997</v>
      </c>
      <c r="M109" s="27">
        <f>IFERROR(100/'Skjema total MA'!I109*K109,0)</f>
        <v>11.542344429880549</v>
      </c>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v>104121</v>
      </c>
      <c r="C111" s="143">
        <v>93051</v>
      </c>
      <c r="D111" s="155">
        <f t="shared" si="11"/>
        <v>-10.6</v>
      </c>
      <c r="E111" s="11">
        <f>IFERROR(100/'Skjema total MA'!C111*C111,0)</f>
        <v>21.426560820495791</v>
      </c>
      <c r="F111" s="291">
        <v>5436772</v>
      </c>
      <c r="G111" s="143">
        <v>6603911</v>
      </c>
      <c r="H111" s="155">
        <f t="shared" si="12"/>
        <v>21.5</v>
      </c>
      <c r="I111" s="11">
        <f>IFERROR(100/'Skjema total MA'!F111*G111,0)</f>
        <v>17.980177014826861</v>
      </c>
      <c r="J111" s="292">
        <f t="shared" si="15"/>
        <v>5540893</v>
      </c>
      <c r="K111" s="217">
        <f t="shared" si="15"/>
        <v>6696962</v>
      </c>
      <c r="L111" s="406">
        <f t="shared" si="14"/>
        <v>20.9</v>
      </c>
      <c r="M111" s="11">
        <f>IFERROR(100/'Skjema total MA'!I111*K111,0)</f>
        <v>18.020450575545027</v>
      </c>
    </row>
    <row r="112" spans="1:13" x14ac:dyDescent="0.2">
      <c r="A112" s="21" t="s">
        <v>9</v>
      </c>
      <c r="B112" s="215">
        <v>104121</v>
      </c>
      <c r="C112" s="129">
        <v>93051</v>
      </c>
      <c r="D112" s="150">
        <f t="shared" ref="D112:D120" si="16">IF(B112=0, "    ---- ", IF(ABS(ROUND(100/B112*C112-100,1))&lt;999,ROUND(100/B112*C112-100,1),IF(ROUND(100/B112*C112-100,1)&gt;999,999,-999)))</f>
        <v>-10.6</v>
      </c>
      <c r="E112" s="27">
        <f>IFERROR(100/'Skjema total MA'!C112*C112,0)</f>
        <v>38.770272415658177</v>
      </c>
      <c r="F112" s="215"/>
      <c r="G112" s="129"/>
      <c r="H112" s="150"/>
      <c r="I112" s="27"/>
      <c r="J112" s="273">
        <f t="shared" ref="J112:K125" si="17">SUM(B112,F112)</f>
        <v>104121</v>
      </c>
      <c r="K112" s="44">
        <f t="shared" si="17"/>
        <v>93051</v>
      </c>
      <c r="L112" s="240">
        <f t="shared" ref="L112:L125" si="18">IF(J112=0, "    ---- ", IF(ABS(ROUND(100/J112*K112-100,1))&lt;999,ROUND(100/J112*K112-100,1),IF(ROUND(100/J112*K112-100,1)&gt;999,999,-999)))</f>
        <v>-10.6</v>
      </c>
      <c r="M112" s="27">
        <f>IFERROR(100/'Skjema total MA'!I112*K112,0)</f>
        <v>38.455342478028044</v>
      </c>
    </row>
    <row r="113" spans="1:14" x14ac:dyDescent="0.2">
      <c r="A113" s="21" t="s">
        <v>10</v>
      </c>
      <c r="B113" s="215"/>
      <c r="C113" s="129"/>
      <c r="D113" s="150"/>
      <c r="E113" s="27"/>
      <c r="F113" s="215">
        <v>5436772</v>
      </c>
      <c r="G113" s="129">
        <v>6603911</v>
      </c>
      <c r="H113" s="150">
        <f t="shared" ref="H113:H125" si="19">IF(F113=0, "    ---- ", IF(ABS(ROUND(100/F113*G113-100,1))&lt;999,ROUND(100/F113*G113-100,1),IF(ROUND(100/F113*G113-100,1)&gt;999,999,-999)))</f>
        <v>21.5</v>
      </c>
      <c r="I113" s="27">
        <f>IFERROR(100/'Skjema total MA'!F113*G113,0)</f>
        <v>17.985193921123511</v>
      </c>
      <c r="J113" s="273">
        <f t="shared" si="17"/>
        <v>5436772</v>
      </c>
      <c r="K113" s="44">
        <f t="shared" si="17"/>
        <v>6603911</v>
      </c>
      <c r="L113" s="240">
        <f t="shared" si="18"/>
        <v>21.5</v>
      </c>
      <c r="M113" s="27">
        <f>IFERROR(100/'Skjema total MA'!I113*K113,0)</f>
        <v>17.985193921123511</v>
      </c>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44">
        <v>17062</v>
      </c>
      <c r="C116" s="215">
        <v>7631</v>
      </c>
      <c r="D116" s="150">
        <f t="shared" si="16"/>
        <v>-55.3</v>
      </c>
      <c r="E116" s="27">
        <f>IFERROR(100/'Skjema total MA'!C116*C116,0)</f>
        <v>11.477702536063878</v>
      </c>
      <c r="F116" s="215"/>
      <c r="G116" s="215"/>
      <c r="H116" s="150"/>
      <c r="I116" s="27"/>
      <c r="J116" s="273">
        <f t="shared" si="17"/>
        <v>17062</v>
      </c>
      <c r="K116" s="44">
        <f t="shared" si="17"/>
        <v>7631</v>
      </c>
      <c r="L116" s="240">
        <f t="shared" si="18"/>
        <v>-55.3</v>
      </c>
      <c r="M116" s="27">
        <f>IFERROR(100/'Skjema total MA'!I116*K116,0)</f>
        <v>11.148127067903797</v>
      </c>
    </row>
    <row r="117" spans="1:14" ht="15.75" x14ac:dyDescent="0.2">
      <c r="A117" s="38" t="s">
        <v>404</v>
      </c>
      <c r="B117" s="44"/>
      <c r="C117" s="215"/>
      <c r="D117" s="150"/>
      <c r="E117" s="27"/>
      <c r="F117" s="215">
        <v>2611729</v>
      </c>
      <c r="G117" s="215">
        <v>3221570</v>
      </c>
      <c r="H117" s="150">
        <f t="shared" si="19"/>
        <v>23.4</v>
      </c>
      <c r="I117" s="27">
        <f>IFERROR(100/'Skjema total MA'!F117*G117,0)</f>
        <v>15.89484292538363</v>
      </c>
      <c r="J117" s="273">
        <f t="shared" si="17"/>
        <v>2611729</v>
      </c>
      <c r="K117" s="44">
        <f t="shared" si="17"/>
        <v>3221570</v>
      </c>
      <c r="L117" s="240">
        <f t="shared" si="18"/>
        <v>23.4</v>
      </c>
      <c r="M117" s="27">
        <f>IFERROR(100/'Skjema total MA'!I117*K117,0)</f>
        <v>15.89484292538363</v>
      </c>
    </row>
    <row r="118" spans="1:14" ht="15.75" x14ac:dyDescent="0.2">
      <c r="A118" s="21" t="s">
        <v>367</v>
      </c>
      <c r="B118" s="44"/>
      <c r="C118" s="215"/>
      <c r="D118" s="150"/>
      <c r="E118" s="27"/>
      <c r="F118" s="215"/>
      <c r="G118" s="215"/>
      <c r="H118" s="150"/>
      <c r="I118" s="27"/>
      <c r="J118" s="273"/>
      <c r="K118" s="44"/>
      <c r="L118" s="240"/>
      <c r="M118" s="27"/>
    </row>
    <row r="119" spans="1:14" ht="15.75" x14ac:dyDescent="0.2">
      <c r="A119" s="13" t="s">
        <v>349</v>
      </c>
      <c r="B119" s="217">
        <v>39438</v>
      </c>
      <c r="C119" s="291">
        <v>42360</v>
      </c>
      <c r="D119" s="155">
        <f t="shared" si="16"/>
        <v>7.4</v>
      </c>
      <c r="E119" s="11">
        <f>IFERROR(100/'Skjema total MA'!C119*C119,0)</f>
        <v>10.066598488687649</v>
      </c>
      <c r="F119" s="291">
        <v>3584416</v>
      </c>
      <c r="G119" s="143">
        <v>4048041</v>
      </c>
      <c r="H119" s="155">
        <f t="shared" si="19"/>
        <v>12.9</v>
      </c>
      <c r="I119" s="11">
        <f>IFERROR(100/'Skjema total MA'!F119*G119,0)</f>
        <v>10.416836081145078</v>
      </c>
      <c r="J119" s="292">
        <f t="shared" si="17"/>
        <v>3623854</v>
      </c>
      <c r="K119" s="217">
        <f t="shared" si="17"/>
        <v>4090401</v>
      </c>
      <c r="L119" s="406">
        <f t="shared" si="18"/>
        <v>12.9</v>
      </c>
      <c r="M119" s="11">
        <f>IFERROR(100/'Skjema total MA'!I119*K119,0)</f>
        <v>10.413084196669935</v>
      </c>
    </row>
    <row r="120" spans="1:14" x14ac:dyDescent="0.2">
      <c r="A120" s="21" t="s">
        <v>9</v>
      </c>
      <c r="B120" s="44">
        <v>39438</v>
      </c>
      <c r="C120" s="215">
        <v>42360</v>
      </c>
      <c r="D120" s="150">
        <f t="shared" si="16"/>
        <v>7.4</v>
      </c>
      <c r="E120" s="27">
        <f>IFERROR(100/'Skjema total MA'!C120*C120,0)</f>
        <v>15.504881762095232</v>
      </c>
      <c r="F120" s="215"/>
      <c r="G120" s="129"/>
      <c r="H120" s="150"/>
      <c r="I120" s="27"/>
      <c r="J120" s="273">
        <f t="shared" si="17"/>
        <v>39438</v>
      </c>
      <c r="K120" s="44">
        <f t="shared" si="17"/>
        <v>42360</v>
      </c>
      <c r="L120" s="240">
        <f t="shared" si="18"/>
        <v>7.4</v>
      </c>
      <c r="M120" s="27">
        <f>IFERROR(100/'Skjema total MA'!I120*K120,0)</f>
        <v>15.504881762095232</v>
      </c>
    </row>
    <row r="121" spans="1:14" x14ac:dyDescent="0.2">
      <c r="A121" s="21" t="s">
        <v>10</v>
      </c>
      <c r="B121" s="215"/>
      <c r="C121" s="129"/>
      <c r="D121" s="150"/>
      <c r="E121" s="27"/>
      <c r="F121" s="215">
        <v>3584416</v>
      </c>
      <c r="G121" s="129">
        <v>4048041</v>
      </c>
      <c r="H121" s="150">
        <f t="shared" si="19"/>
        <v>12.9</v>
      </c>
      <c r="I121" s="27">
        <f>IFERROR(100/'Skjema total MA'!F121*G121,0)</f>
        <v>10.416836081145078</v>
      </c>
      <c r="J121" s="273">
        <f t="shared" si="17"/>
        <v>3584416</v>
      </c>
      <c r="K121" s="44">
        <f t="shared" si="17"/>
        <v>4048041</v>
      </c>
      <c r="L121" s="240">
        <f t="shared" si="18"/>
        <v>12.9</v>
      </c>
      <c r="M121" s="27">
        <f>IFERROR(100/'Skjema total MA'!I121*K121,0)</f>
        <v>10.415618536779871</v>
      </c>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v>1727963</v>
      </c>
      <c r="G125" s="215">
        <v>1941341</v>
      </c>
      <c r="H125" s="150">
        <f t="shared" si="19"/>
        <v>12.3</v>
      </c>
      <c r="I125" s="27">
        <f>IFERROR(100/'Skjema total MA'!F125*G125,0)</f>
        <v>10.619127710405476</v>
      </c>
      <c r="J125" s="273">
        <f t="shared" si="17"/>
        <v>1727963</v>
      </c>
      <c r="K125" s="44">
        <f t="shared" si="17"/>
        <v>1941341</v>
      </c>
      <c r="L125" s="240">
        <f t="shared" si="18"/>
        <v>12.3</v>
      </c>
      <c r="M125" s="27">
        <f>IFERROR(100/'Skjema total MA'!I125*K125,0)</f>
        <v>10.618666033665829</v>
      </c>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57" priority="13">
      <formula>kvartal &lt; 4</formula>
    </cfRule>
  </conditionalFormatting>
  <conditionalFormatting sqref="A69:A74">
    <cfRule type="expression" dxfId="356" priority="11">
      <formula>kvartal &lt; 4</formula>
    </cfRule>
  </conditionalFormatting>
  <conditionalFormatting sqref="A80:A85">
    <cfRule type="expression" dxfId="355" priority="10">
      <formula>kvartal &lt; 4</formula>
    </cfRule>
  </conditionalFormatting>
  <conditionalFormatting sqref="A90:A95">
    <cfRule type="expression" dxfId="354" priority="7">
      <formula>kvartal &lt; 4</formula>
    </cfRule>
  </conditionalFormatting>
  <conditionalFormatting sqref="A101:A106">
    <cfRule type="expression" dxfId="353" priority="6">
      <formula>kvartal &lt; 4</formula>
    </cfRule>
  </conditionalFormatting>
  <conditionalFormatting sqref="A115">
    <cfRule type="expression" dxfId="352" priority="5">
      <formula>kvartal &lt; 4</formula>
    </cfRule>
  </conditionalFormatting>
  <conditionalFormatting sqref="A123">
    <cfRule type="expression" dxfId="351" priority="4">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87</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37583.932999999997</v>
      </c>
      <c r="C7" s="290"/>
      <c r="D7" s="332">
        <f>IF(B7=0, "    ---- ", IF(ABS(ROUND(100/B7*C7-100,1))&lt;999,ROUND(100/B7*C7-100,1),IF(ROUND(100/B7*C7-100,1)&gt;999,999,-999)))</f>
        <v>-100</v>
      </c>
      <c r="E7" s="11">
        <f>IFERROR(100/'Skjema total MA'!C7*C7,0)</f>
        <v>0</v>
      </c>
      <c r="F7" s="289"/>
      <c r="G7" s="290"/>
      <c r="H7" s="332"/>
      <c r="I7" s="144"/>
      <c r="J7" s="291">
        <f t="shared" ref="J7:K10" si="0">SUM(B7,F7)</f>
        <v>37583.932999999997</v>
      </c>
      <c r="K7" s="292">
        <f t="shared" si="0"/>
        <v>0</v>
      </c>
      <c r="L7" s="405">
        <f>IF(J7=0, "    ---- ", IF(ABS(ROUND(100/J7*K7-100,1))&lt;999,ROUND(100/J7*K7-100,1),IF(ROUND(100/J7*K7-100,1)&gt;999,999,-999)))</f>
        <v>-100</v>
      </c>
      <c r="M7" s="11">
        <f>IFERROR(100/'Skjema total MA'!I7*K7,0)</f>
        <v>0</v>
      </c>
    </row>
    <row r="8" spans="1:14" ht="15.75" x14ac:dyDescent="0.2">
      <c r="A8" s="21" t="s">
        <v>25</v>
      </c>
      <c r="B8" s="267">
        <v>6346.4939999999997</v>
      </c>
      <c r="C8" s="268"/>
      <c r="D8" s="150">
        <f t="shared" ref="D8:D10" si="1">IF(B8=0, "    ---- ", IF(ABS(ROUND(100/B8*C8-100,1))&lt;999,ROUND(100/B8*C8-100,1),IF(ROUND(100/B8*C8-100,1)&gt;999,999,-999)))</f>
        <v>-100</v>
      </c>
      <c r="E8" s="27">
        <f>IFERROR(100/'Skjema total MA'!C8*C8,0)</f>
        <v>0</v>
      </c>
      <c r="F8" s="271"/>
      <c r="G8" s="272"/>
      <c r="H8" s="150"/>
      <c r="I8" s="160"/>
      <c r="J8" s="215">
        <f t="shared" si="0"/>
        <v>6346.4939999999997</v>
      </c>
      <c r="K8" s="273">
        <f t="shared" si="0"/>
        <v>0</v>
      </c>
      <c r="L8" s="150">
        <f t="shared" ref="L8:L9" si="2">IF(J8=0, "    ---- ", IF(ABS(ROUND(100/J8*K8-100,1))&lt;999,ROUND(100/J8*K8-100,1),IF(ROUND(100/J8*K8-100,1)&gt;999,999,-999)))</f>
        <v>-100</v>
      </c>
      <c r="M8" s="27">
        <f>IFERROR(100/'Skjema total MA'!I8*K8,0)</f>
        <v>0</v>
      </c>
    </row>
    <row r="9" spans="1:14" ht="15.75" x14ac:dyDescent="0.2">
      <c r="A9" s="21" t="s">
        <v>24</v>
      </c>
      <c r="B9" s="267">
        <v>3702.1968000000002</v>
      </c>
      <c r="C9" s="268"/>
      <c r="D9" s="150">
        <f t="shared" si="1"/>
        <v>-100</v>
      </c>
      <c r="E9" s="27">
        <f>IFERROR(100/'Skjema total MA'!C9*C9,0)</f>
        <v>0</v>
      </c>
      <c r="F9" s="271"/>
      <c r="G9" s="272"/>
      <c r="H9" s="150"/>
      <c r="I9" s="160"/>
      <c r="J9" s="215">
        <f t="shared" si="0"/>
        <v>3702.1968000000002</v>
      </c>
      <c r="K9" s="273">
        <f t="shared" si="0"/>
        <v>0</v>
      </c>
      <c r="L9" s="150">
        <f t="shared" si="2"/>
        <v>-100</v>
      </c>
      <c r="M9" s="27">
        <f>IFERROR(100/'Skjema total MA'!I9*K9,0)</f>
        <v>0</v>
      </c>
    </row>
    <row r="10" spans="1:14" ht="15.75" x14ac:dyDescent="0.2">
      <c r="A10" s="13" t="s">
        <v>347</v>
      </c>
      <c r="B10" s="293">
        <v>4.1253200000000003</v>
      </c>
      <c r="C10" s="294"/>
      <c r="D10" s="155">
        <f t="shared" si="1"/>
        <v>-100</v>
      </c>
      <c r="E10" s="11">
        <f>IFERROR(100/'Skjema total MA'!C10*C10,0)</f>
        <v>0</v>
      </c>
      <c r="F10" s="293"/>
      <c r="G10" s="294"/>
      <c r="H10" s="155"/>
      <c r="I10" s="144"/>
      <c r="J10" s="291">
        <f t="shared" si="0"/>
        <v>4.1253200000000003</v>
      </c>
      <c r="K10" s="292">
        <f t="shared" si="0"/>
        <v>0</v>
      </c>
      <c r="L10" s="406">
        <f t="shared" ref="L10" si="3">IF(J10=0, "    ---- ", IF(ABS(ROUND(100/J10*K10-100,1))&lt;999,ROUND(100/J10*K10-100,1),IF(ROUND(100/J10*K10-100,1)&gt;999,999,-999)))</f>
        <v>-100</v>
      </c>
      <c r="M10" s="11">
        <f>IFERROR(100/'Skjema total MA'!I10*K10,0)</f>
        <v>0</v>
      </c>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132.72809000000001</v>
      </c>
      <c r="C22" s="293"/>
      <c r="D22" s="332">
        <f t="shared" ref="D22:D31" si="4">IF(B22=0, "    ---- ", IF(ABS(ROUND(100/B22*C22-100,1))&lt;999,ROUND(100/B22*C22-100,1),IF(ROUND(100/B22*C22-100,1)&gt;999,999,-999)))</f>
        <v>-100</v>
      </c>
      <c r="E22" s="11">
        <f>IFERROR(100/'Skjema total MA'!C22*C22,0)</f>
        <v>0</v>
      </c>
      <c r="F22" s="301"/>
      <c r="G22" s="301"/>
      <c r="H22" s="332"/>
      <c r="I22" s="11"/>
      <c r="J22" s="299">
        <f t="shared" ref="J22:K29" si="5">SUM(B22,F22)</f>
        <v>132.72809000000001</v>
      </c>
      <c r="K22" s="299">
        <f t="shared" si="5"/>
        <v>0</v>
      </c>
      <c r="L22" s="405">
        <f t="shared" ref="L22:L31" si="6">IF(J22=0, "    ---- ", IF(ABS(ROUND(100/J22*K22-100,1))&lt;999,ROUND(100/J22*K22-100,1),IF(ROUND(100/J22*K22-100,1)&gt;999,999,-999)))</f>
        <v>-100</v>
      </c>
      <c r="M22" s="24">
        <f>IFERROR(100/'Skjema total MA'!I22*K22,0)</f>
        <v>0</v>
      </c>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v>132.72809000000001</v>
      </c>
      <c r="C24" s="267"/>
      <c r="D24" s="150">
        <f t="shared" si="4"/>
        <v>-100</v>
      </c>
      <c r="E24" s="11">
        <f>IFERROR(100/'Skjema total MA'!C24*C24,0)</f>
        <v>0</v>
      </c>
      <c r="F24" s="276"/>
      <c r="G24" s="276"/>
      <c r="H24" s="150"/>
      <c r="I24" s="395"/>
      <c r="J24" s="276">
        <f t="shared" ref="J24" si="7">SUM(B24,F24)</f>
        <v>132.72809000000001</v>
      </c>
      <c r="K24" s="276">
        <f t="shared" ref="K24" si="8">SUM(C24,G24)</f>
        <v>0</v>
      </c>
      <c r="L24" s="150">
        <f t="shared" si="6"/>
        <v>-100</v>
      </c>
      <c r="M24" s="23">
        <f>IFERROR(100/'Skjema total MA'!I24*K24,0)</f>
        <v>0</v>
      </c>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132.72809000000001</v>
      </c>
      <c r="C28" s="273"/>
      <c r="D28" s="150">
        <f t="shared" si="4"/>
        <v>-100</v>
      </c>
      <c r="E28" s="11">
        <f>IFERROR(100/'Skjema total MA'!C28*C28,0)</f>
        <v>0</v>
      </c>
      <c r="F28" s="215"/>
      <c r="G28" s="273"/>
      <c r="H28" s="150"/>
      <c r="I28" s="27"/>
      <c r="J28" s="44">
        <f t="shared" si="5"/>
        <v>132.72809000000001</v>
      </c>
      <c r="K28" s="44">
        <f t="shared" si="5"/>
        <v>0</v>
      </c>
      <c r="L28" s="240">
        <f t="shared" si="6"/>
        <v>-100</v>
      </c>
      <c r="M28" s="23">
        <f>IFERROR(100/'Skjema total MA'!I28*K28,0)</f>
        <v>0</v>
      </c>
    </row>
    <row r="29" spans="1:14" s="3" customFormat="1" ht="15.75" x14ac:dyDescent="0.2">
      <c r="A29" s="13" t="s">
        <v>347</v>
      </c>
      <c r="B29" s="217">
        <v>1515.47009</v>
      </c>
      <c r="C29" s="217"/>
      <c r="D29" s="155">
        <f t="shared" si="4"/>
        <v>-100</v>
      </c>
      <c r="E29" s="11">
        <f>IFERROR(100/'Skjema total MA'!C29*C29,0)</f>
        <v>0</v>
      </c>
      <c r="F29" s="291"/>
      <c r="G29" s="291"/>
      <c r="H29" s="155"/>
      <c r="I29" s="11"/>
      <c r="J29" s="217">
        <f t="shared" si="5"/>
        <v>1515.47009</v>
      </c>
      <c r="K29" s="217">
        <f t="shared" si="5"/>
        <v>0</v>
      </c>
      <c r="L29" s="406">
        <f t="shared" si="6"/>
        <v>-100</v>
      </c>
      <c r="M29" s="24">
        <f>IFERROR(100/'Skjema total MA'!I29*K29,0)</f>
        <v>0</v>
      </c>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v>1515.47009</v>
      </c>
      <c r="C31" s="267"/>
      <c r="D31" s="150">
        <f t="shared" si="4"/>
        <v>-100</v>
      </c>
      <c r="E31" s="11">
        <f>IFERROR(100/'Skjema total MA'!C31*C31,0)</f>
        <v>0</v>
      </c>
      <c r="F31" s="276"/>
      <c r="G31" s="276"/>
      <c r="H31" s="150"/>
      <c r="I31" s="395"/>
      <c r="J31" s="276">
        <f t="shared" ref="J31" si="9">SUM(B31,F31)</f>
        <v>1515.47009</v>
      </c>
      <c r="K31" s="276">
        <f t="shared" ref="K31" si="10">SUM(C31,G31)</f>
        <v>0</v>
      </c>
      <c r="L31" s="150">
        <f t="shared" si="6"/>
        <v>-100</v>
      </c>
      <c r="M31" s="23">
        <f>IFERROR(100/'Skjema total MA'!I31*K31,0)</f>
        <v>0</v>
      </c>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c r="D47" s="405"/>
      <c r="E47" s="11"/>
      <c r="F47" s="129"/>
      <c r="G47" s="33"/>
      <c r="H47" s="143"/>
      <c r="I47" s="143"/>
      <c r="J47" s="37"/>
      <c r="K47" s="37"/>
      <c r="L47" s="143"/>
      <c r="M47" s="143"/>
      <c r="N47" s="132"/>
    </row>
    <row r="48" spans="1:14" s="3" customFormat="1" ht="15.75" x14ac:dyDescent="0.2">
      <c r="A48" s="38" t="s">
        <v>358</v>
      </c>
      <c r="B48" s="267"/>
      <c r="C48" s="268"/>
      <c r="D48" s="240"/>
      <c r="E48" s="27"/>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50" priority="12">
      <formula>kvartal &lt; 4</formula>
    </cfRule>
  </conditionalFormatting>
  <conditionalFormatting sqref="A69:A74">
    <cfRule type="expression" dxfId="349" priority="10">
      <formula>kvartal &lt; 4</formula>
    </cfRule>
  </conditionalFormatting>
  <conditionalFormatting sqref="A80:A85">
    <cfRule type="expression" dxfId="348" priority="9">
      <formula>kvartal &lt; 4</formula>
    </cfRule>
  </conditionalFormatting>
  <conditionalFormatting sqref="A90:A95">
    <cfRule type="expression" dxfId="347" priority="6">
      <formula>kvartal &lt; 4</formula>
    </cfRule>
  </conditionalFormatting>
  <conditionalFormatting sqref="A101:A106">
    <cfRule type="expression" dxfId="346" priority="5">
      <formula>kvartal &lt; 4</formula>
    </cfRule>
  </conditionalFormatting>
  <conditionalFormatting sqref="A115">
    <cfRule type="expression" dxfId="345" priority="4">
      <formula>kvartal &lt; 4</formula>
    </cfRule>
  </conditionalFormatting>
  <conditionalFormatting sqref="A123">
    <cfRule type="expression" dxfId="344"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126</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326978.113817651</v>
      </c>
      <c r="C7" s="290">
        <v>347717.76290588698</v>
      </c>
      <c r="D7" s="332">
        <f>IF(B7=0, "    ---- ", IF(ABS(ROUND(100/B7*C7-100,1))&lt;999,ROUND(100/B7*C7-100,1),IF(ROUND(100/B7*C7-100,1)&gt;999,999,-999)))</f>
        <v>6.3</v>
      </c>
      <c r="E7" s="11">
        <f>IFERROR(100/'Skjema total MA'!C7*C7,0)</f>
        <v>8.1939169679970423</v>
      </c>
      <c r="F7" s="289"/>
      <c r="G7" s="290"/>
      <c r="H7" s="332"/>
      <c r="I7" s="144"/>
      <c r="J7" s="291">
        <f t="shared" ref="J7:K9" si="0">SUM(B7,F7)</f>
        <v>326978.113817651</v>
      </c>
      <c r="K7" s="292">
        <f t="shared" si="0"/>
        <v>347717.76290588698</v>
      </c>
      <c r="L7" s="405">
        <f>IF(J7=0, "    ---- ", IF(ABS(ROUND(100/J7*K7-100,1))&lt;999,ROUND(100/J7*K7-100,1),IF(ROUND(100/J7*K7-100,1)&gt;999,999,-999)))</f>
        <v>6.3</v>
      </c>
      <c r="M7" s="11">
        <f>IFERROR(100/'Skjema total MA'!I7*K7,0)</f>
        <v>2.9116939645650142</v>
      </c>
    </row>
    <row r="8" spans="1:14" ht="15.75" x14ac:dyDescent="0.2">
      <c r="A8" s="21" t="s">
        <v>25</v>
      </c>
      <c r="B8" s="267">
        <v>231936.87422797299</v>
      </c>
      <c r="C8" s="268">
        <v>255061.509555261</v>
      </c>
      <c r="D8" s="150">
        <f t="shared" ref="D8:D9" si="1">IF(B8=0, "    ---- ", IF(ABS(ROUND(100/B8*C8-100,1))&lt;999,ROUND(100/B8*C8-100,1),IF(ROUND(100/B8*C8-100,1)&gt;999,999,-999)))</f>
        <v>10</v>
      </c>
      <c r="E8" s="27">
        <f>IFERROR(100/'Skjema total MA'!C8*C8,0)</f>
        <v>9.4602241438280448</v>
      </c>
      <c r="F8" s="271"/>
      <c r="G8" s="272"/>
      <c r="H8" s="150"/>
      <c r="I8" s="160"/>
      <c r="J8" s="215">
        <f t="shared" si="0"/>
        <v>231936.87422797299</v>
      </c>
      <c r="K8" s="273">
        <f t="shared" si="0"/>
        <v>255061.509555261</v>
      </c>
      <c r="L8" s="150">
        <f t="shared" ref="L8:L9" si="2">IF(J8=0, "    ---- ", IF(ABS(ROUND(100/J8*K8-100,1))&lt;999,ROUND(100/J8*K8-100,1),IF(ROUND(100/J8*K8-100,1)&gt;999,999,-999)))</f>
        <v>10</v>
      </c>
      <c r="M8" s="27">
        <f>IFERROR(100/'Skjema total MA'!I8*K8,0)</f>
        <v>9.4602241438280448</v>
      </c>
    </row>
    <row r="9" spans="1:14" ht="15.75" x14ac:dyDescent="0.2">
      <c r="A9" s="21" t="s">
        <v>24</v>
      </c>
      <c r="B9" s="267">
        <v>95041.2395896776</v>
      </c>
      <c r="C9" s="268">
        <v>92656.253350625906</v>
      </c>
      <c r="D9" s="150">
        <f t="shared" si="1"/>
        <v>-2.5</v>
      </c>
      <c r="E9" s="27">
        <f>IFERROR(100/'Skjema total MA'!C9*C9,0)</f>
        <v>10.465987140956164</v>
      </c>
      <c r="F9" s="271"/>
      <c r="G9" s="272"/>
      <c r="H9" s="150"/>
      <c r="I9" s="160"/>
      <c r="J9" s="215">
        <f t="shared" si="0"/>
        <v>95041.2395896776</v>
      </c>
      <c r="K9" s="273">
        <f t="shared" si="0"/>
        <v>92656.253350625906</v>
      </c>
      <c r="L9" s="150">
        <f t="shared" si="2"/>
        <v>-2.5</v>
      </c>
      <c r="M9" s="27">
        <f>IFERROR(100/'Skjema total MA'!I9*K9,0)</f>
        <v>10.465987140956164</v>
      </c>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184270.04622068099</v>
      </c>
      <c r="C28" s="273">
        <v>213326.745952342</v>
      </c>
      <c r="D28" s="150">
        <f t="shared" ref="D28" si="3">IF(B28=0, "    ---- ", IF(ABS(ROUND(100/B28*C28-100,1))&lt;999,ROUND(100/B28*C28-100,1),IF(ROUND(100/B28*C28-100,1)&gt;999,999,-999)))</f>
        <v>15.8</v>
      </c>
      <c r="E28" s="11">
        <f>IFERROR(100/'Skjema total MA'!C28*C28,0)</f>
        <v>10.159226162756188</v>
      </c>
      <c r="F28" s="215"/>
      <c r="G28" s="273"/>
      <c r="H28" s="150"/>
      <c r="I28" s="27"/>
      <c r="J28" s="44">
        <f t="shared" ref="J28:K28" si="4">SUM(B28,F28)</f>
        <v>184270.04622068099</v>
      </c>
      <c r="K28" s="44">
        <f t="shared" si="4"/>
        <v>213326.745952342</v>
      </c>
      <c r="L28" s="240">
        <f t="shared" ref="L28" si="5">IF(J28=0, "    ---- ", IF(ABS(ROUND(100/J28*K28-100,1))&lt;999,ROUND(100/J28*K28-100,1),IF(ROUND(100/J28*K28-100,1)&gt;999,999,-999)))</f>
        <v>15.8</v>
      </c>
      <c r="M28" s="23">
        <f>IFERROR(100/'Skjema total MA'!I28*K28,0)</f>
        <v>10.159226162756188</v>
      </c>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134979.38141999999</v>
      </c>
      <c r="C47" s="294">
        <v>164512.27918000001</v>
      </c>
      <c r="D47" s="405">
        <f t="shared" ref="D47:D57" si="6">IF(B47=0, "    ---- ", IF(ABS(ROUND(100/B47*C47-100,1))&lt;999,ROUND(100/B47*C47-100,1),IF(ROUND(100/B47*C47-100,1)&gt;999,999,-999)))</f>
        <v>21.9</v>
      </c>
      <c r="E47" s="11">
        <f>IFERROR(100/'Skjema total MA'!C47*C47,0)</f>
        <v>3.0850172939542344</v>
      </c>
      <c r="F47" s="129"/>
      <c r="G47" s="33"/>
      <c r="H47" s="143"/>
      <c r="I47" s="143"/>
      <c r="J47" s="37"/>
      <c r="K47" s="37"/>
      <c r="L47" s="143"/>
      <c r="M47" s="143"/>
      <c r="N47" s="132"/>
    </row>
    <row r="48" spans="1:14" s="3" customFormat="1" ht="15.75" x14ac:dyDescent="0.2">
      <c r="A48" s="38" t="s">
        <v>358</v>
      </c>
      <c r="B48" s="267">
        <v>134979.38141999999</v>
      </c>
      <c r="C48" s="268">
        <v>164512.27918000001</v>
      </c>
      <c r="D48" s="240">
        <f t="shared" si="6"/>
        <v>21.9</v>
      </c>
      <c r="E48" s="27">
        <f>IFERROR(100/'Skjema total MA'!C48*C48,0)</f>
        <v>5.4771798495064123</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3154.5819999999999</v>
      </c>
      <c r="C53" s="294">
        <v>6553.1</v>
      </c>
      <c r="D53" s="406">
        <f t="shared" si="6"/>
        <v>107.7</v>
      </c>
      <c r="E53" s="11">
        <f>IFERROR(100/'Skjema total MA'!C53*C53,0)</f>
        <v>3.5418196855712027</v>
      </c>
      <c r="F53" s="129"/>
      <c r="G53" s="33"/>
      <c r="H53" s="129"/>
      <c r="I53" s="129"/>
      <c r="J53" s="33"/>
      <c r="K53" s="33"/>
      <c r="L53" s="143"/>
      <c r="M53" s="143"/>
      <c r="N53" s="132"/>
    </row>
    <row r="54" spans="1:14" s="3" customFormat="1" ht="15.75" x14ac:dyDescent="0.2">
      <c r="A54" s="38" t="s">
        <v>358</v>
      </c>
      <c r="B54" s="267">
        <v>3154.5819999999999</v>
      </c>
      <c r="C54" s="268">
        <v>6553.1</v>
      </c>
      <c r="D54" s="240">
        <f t="shared" si="6"/>
        <v>107.7</v>
      </c>
      <c r="E54" s="27">
        <f>IFERROR(100/'Skjema total MA'!C54*C54,0)</f>
        <v>3.5600218676425257</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v>1460.0830000000001</v>
      </c>
      <c r="C56" s="294">
        <v>1027.086</v>
      </c>
      <c r="D56" s="406">
        <f t="shared" si="6"/>
        <v>-29.7</v>
      </c>
      <c r="E56" s="11">
        <f>IFERROR(100/'Skjema total MA'!C56*C56,0)</f>
        <v>0.92270154055885545</v>
      </c>
      <c r="F56" s="129"/>
      <c r="G56" s="33"/>
      <c r="H56" s="129"/>
      <c r="I56" s="129"/>
      <c r="J56" s="33"/>
      <c r="K56" s="33"/>
      <c r="L56" s="143"/>
      <c r="M56" s="143"/>
      <c r="N56" s="132"/>
    </row>
    <row r="57" spans="1:14" s="3" customFormat="1" ht="15.75" x14ac:dyDescent="0.2">
      <c r="A57" s="38" t="s">
        <v>358</v>
      </c>
      <c r="B57" s="267">
        <v>1460.0830000000001</v>
      </c>
      <c r="C57" s="268">
        <v>1027.086</v>
      </c>
      <c r="D57" s="240">
        <f t="shared" si="6"/>
        <v>-29.7</v>
      </c>
      <c r="E57" s="27">
        <f>IFERROR(100/'Skjema total MA'!C57*C57,0)</f>
        <v>0.92270154055885545</v>
      </c>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43" priority="12">
      <formula>kvartal &lt; 4</formula>
    </cfRule>
  </conditionalFormatting>
  <conditionalFormatting sqref="A69:A74">
    <cfRule type="expression" dxfId="342" priority="10">
      <formula>kvartal &lt; 4</formula>
    </cfRule>
  </conditionalFormatting>
  <conditionalFormatting sqref="A80:A85">
    <cfRule type="expression" dxfId="341" priority="9">
      <formula>kvartal &lt; 4</formula>
    </cfRule>
  </conditionalFormatting>
  <conditionalFormatting sqref="A90:A95">
    <cfRule type="expression" dxfId="340" priority="6">
      <formula>kvartal &lt; 4</formula>
    </cfRule>
  </conditionalFormatting>
  <conditionalFormatting sqref="A101:A106">
    <cfRule type="expression" dxfId="339" priority="5">
      <formula>kvartal &lt; 4</formula>
    </cfRule>
  </conditionalFormatting>
  <conditionalFormatting sqref="A115">
    <cfRule type="expression" dxfId="338" priority="4">
      <formula>kvartal &lt; 4</formula>
    </cfRule>
  </conditionalFormatting>
  <conditionalFormatting sqref="A123">
    <cfRule type="expression" dxfId="337"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62</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v>-21.013280000000002</v>
      </c>
      <c r="D47" s="405" t="str">
        <f t="shared" ref="D47" si="0">IF(B47=0, "    ---- ", IF(ABS(ROUND(100/B47*C47-100,1))&lt;999,ROUND(100/B47*C47-100,1),IF(ROUND(100/B47*C47-100,1)&gt;999,999,-999)))</f>
        <v xml:space="preserve">    ---- </v>
      </c>
      <c r="E47" s="11">
        <f>IFERROR(100/'Skjema total MA'!C47*C47,0)</f>
        <v>-3.9405163265517307E-4</v>
      </c>
      <c r="F47" s="129"/>
      <c r="G47" s="33"/>
      <c r="H47" s="143"/>
      <c r="I47" s="143"/>
      <c r="J47" s="37"/>
      <c r="K47" s="37"/>
      <c r="L47" s="143"/>
      <c r="M47" s="143"/>
      <c r="N47" s="132"/>
    </row>
    <row r="48" spans="1:14" s="3" customFormat="1" ht="15.75" x14ac:dyDescent="0.2">
      <c r="A48" s="38" t="s">
        <v>358</v>
      </c>
      <c r="B48" s="267"/>
      <c r="C48" s="268"/>
      <c r="D48" s="240"/>
      <c r="E48" s="27"/>
      <c r="F48" s="129"/>
      <c r="G48" s="33"/>
      <c r="H48" s="129"/>
      <c r="I48" s="129"/>
      <c r="J48" s="33"/>
      <c r="K48" s="33"/>
      <c r="L48" s="143"/>
      <c r="M48" s="143"/>
      <c r="N48" s="132"/>
    </row>
    <row r="49" spans="1:14" s="3" customFormat="1" ht="15.75" x14ac:dyDescent="0.2">
      <c r="A49" s="38" t="s">
        <v>359</v>
      </c>
      <c r="B49" s="44"/>
      <c r="C49" s="273">
        <v>-21.013280000000002</v>
      </c>
      <c r="D49" s="240" t="str">
        <f>IF(B49=0, "    ---- ", IF(ABS(ROUND(100/B49*C49-100,1))&lt;999,ROUND(100/B49*C49-100,1),IF(ROUND(100/B49*C49-100,1)&gt;999,999,-999)))</f>
        <v xml:space="preserve">    ---- </v>
      </c>
      <c r="E49" s="27">
        <f>IFERROR(100/'Skjema total MA'!C49*C49,0)</f>
        <v>-9.0223453127574868E-4</v>
      </c>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v>40116042.616570003</v>
      </c>
      <c r="C134" s="292">
        <v>59728596.095169999</v>
      </c>
      <c r="D134" s="332">
        <f t="shared" ref="D134:D137" si="1">IF(B134=0, "    ---- ", IF(ABS(ROUND(100/B134*C134-100,1))&lt;999,ROUND(100/B134*C134-100,1),IF(ROUND(100/B134*C134-100,1)&gt;999,999,-999)))</f>
        <v>48.9</v>
      </c>
      <c r="E134" s="11">
        <f>IFERROR(100/'Skjema total MA'!C134*C134,0)</f>
        <v>84.509343456597762</v>
      </c>
      <c r="F134" s="299">
        <v>131709.47200000001</v>
      </c>
      <c r="G134" s="300">
        <v>212341.89300000001</v>
      </c>
      <c r="H134" s="409">
        <f t="shared" ref="H134:H137" si="2">IF(F134=0, "    ---- ", IF(ABS(ROUND(100/F134*G134-100,1))&lt;999,ROUND(100/F134*G134-100,1),IF(ROUND(100/F134*G134-100,1)&gt;999,999,-999)))</f>
        <v>61.2</v>
      </c>
      <c r="I134" s="24">
        <f>IFERROR(100/'Skjema total MA'!F134*G134,0)</f>
        <v>100</v>
      </c>
      <c r="J134" s="301">
        <f t="shared" ref="J134:K137" si="3">SUM(B134,F134)</f>
        <v>40247752.088570006</v>
      </c>
      <c r="K134" s="301">
        <f t="shared" si="3"/>
        <v>59940937.988169998</v>
      </c>
      <c r="L134" s="405">
        <f t="shared" ref="L134:L137" si="4">IF(J134=0, "    ---- ", IF(ABS(ROUND(100/J134*K134-100,1))&lt;999,ROUND(100/J134*K134-100,1),IF(ROUND(100/J134*K134-100,1)&gt;999,999,-999)))</f>
        <v>48.9</v>
      </c>
      <c r="M134" s="11">
        <f>IFERROR(100/'Skjema total MA'!I134*K134,0)</f>
        <v>84.55574421630952</v>
      </c>
      <c r="N134" s="132"/>
    </row>
    <row r="135" spans="1:14" s="3" customFormat="1" ht="15.75" x14ac:dyDescent="0.2">
      <c r="A135" s="13" t="s">
        <v>374</v>
      </c>
      <c r="B135" s="217">
        <v>639219292.35275996</v>
      </c>
      <c r="C135" s="292">
        <v>701899868.41477001</v>
      </c>
      <c r="D135" s="155">
        <f t="shared" si="1"/>
        <v>9.8000000000000007</v>
      </c>
      <c r="E135" s="11">
        <f>IFERROR(100/'Skjema total MA'!C135*C135,0)</f>
        <v>86.429371364225318</v>
      </c>
      <c r="F135" s="217">
        <v>2548669.2979299999</v>
      </c>
      <c r="G135" s="292">
        <v>2854115.91493</v>
      </c>
      <c r="H135" s="410">
        <f t="shared" si="2"/>
        <v>12</v>
      </c>
      <c r="I135" s="24">
        <f>IFERROR(100/'Skjema total MA'!F135*G135,0)</f>
        <v>100</v>
      </c>
      <c r="J135" s="291">
        <f t="shared" si="3"/>
        <v>641767961.65068996</v>
      </c>
      <c r="K135" s="291">
        <f t="shared" si="3"/>
        <v>704753984.32969999</v>
      </c>
      <c r="L135" s="406">
        <f t="shared" si="4"/>
        <v>9.8000000000000007</v>
      </c>
      <c r="M135" s="11">
        <f>IFERROR(100/'Skjema total MA'!I135*K135,0)</f>
        <v>86.476897678396284</v>
      </c>
      <c r="N135" s="132"/>
    </row>
    <row r="136" spans="1:14" s="3" customFormat="1" ht="15.75" x14ac:dyDescent="0.2">
      <c r="A136" s="13" t="s">
        <v>371</v>
      </c>
      <c r="B136" s="217">
        <v>9190.7080000000005</v>
      </c>
      <c r="C136" s="292">
        <v>91457.827999999994</v>
      </c>
      <c r="D136" s="155">
        <f t="shared" si="1"/>
        <v>895.1</v>
      </c>
      <c r="E136" s="11">
        <f>IFERROR(100/'Skjema total MA'!C136*C136,0)</f>
        <v>10.124021567454314</v>
      </c>
      <c r="F136" s="217">
        <v>376440.52899999998</v>
      </c>
      <c r="G136" s="292">
        <v>0</v>
      </c>
      <c r="H136" s="410">
        <f t="shared" si="2"/>
        <v>-100</v>
      </c>
      <c r="I136" s="24">
        <f>IFERROR(100/'Skjema total MA'!F136*G136,0)</f>
        <v>0</v>
      </c>
      <c r="J136" s="291">
        <f t="shared" si="3"/>
        <v>385631.23699999996</v>
      </c>
      <c r="K136" s="291">
        <f t="shared" si="3"/>
        <v>91457.827999999994</v>
      </c>
      <c r="L136" s="406">
        <f t="shared" si="4"/>
        <v>-76.3</v>
      </c>
      <c r="M136" s="11">
        <f>IFERROR(100/'Skjema total MA'!I136*K136,0)</f>
        <v>10.124021567454314</v>
      </c>
      <c r="N136" s="132"/>
    </row>
    <row r="137" spans="1:14" s="3" customFormat="1" ht="15.75" x14ac:dyDescent="0.2">
      <c r="A137" s="41" t="s">
        <v>372</v>
      </c>
      <c r="B137" s="262">
        <v>4658432.9369999999</v>
      </c>
      <c r="C137" s="298">
        <v>2125116.352</v>
      </c>
      <c r="D137" s="153">
        <f t="shared" si="1"/>
        <v>-54.4</v>
      </c>
      <c r="E137" s="9">
        <f>IFERROR(100/'Skjema total MA'!C137*C137,0)</f>
        <v>99.993083116041916</v>
      </c>
      <c r="F137" s="262">
        <v>0</v>
      </c>
      <c r="G137" s="298">
        <v>0</v>
      </c>
      <c r="H137" s="411" t="str">
        <f t="shared" si="2"/>
        <v xml:space="preserve">    ---- </v>
      </c>
      <c r="I137" s="36">
        <f>IFERROR(100/'Skjema total MA'!F137*G137,0)</f>
        <v>0</v>
      </c>
      <c r="J137" s="297">
        <f t="shared" si="3"/>
        <v>4658432.9369999999</v>
      </c>
      <c r="K137" s="297">
        <f t="shared" si="3"/>
        <v>2125116.352</v>
      </c>
      <c r="L137" s="407">
        <f t="shared" si="4"/>
        <v>-54.4</v>
      </c>
      <c r="M137" s="36">
        <f>IFERROR(100/'Skjema total MA'!I137*K137,0)</f>
        <v>99.993083116041916</v>
      </c>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36" priority="12">
      <formula>kvartal &lt; 4</formula>
    </cfRule>
  </conditionalFormatting>
  <conditionalFormatting sqref="A69:A74">
    <cfRule type="expression" dxfId="335" priority="10">
      <formula>kvartal &lt; 4</formula>
    </cfRule>
  </conditionalFormatting>
  <conditionalFormatting sqref="A80:A85">
    <cfRule type="expression" dxfId="334" priority="9">
      <formula>kvartal &lt; 4</formula>
    </cfRule>
  </conditionalFormatting>
  <conditionalFormatting sqref="A90:A95">
    <cfRule type="expression" dxfId="333" priority="6">
      <formula>kvartal &lt; 4</formula>
    </cfRule>
  </conditionalFormatting>
  <conditionalFormatting sqref="A101:A106">
    <cfRule type="expression" dxfId="332" priority="5">
      <formula>kvartal &lt; 4</formula>
    </cfRule>
  </conditionalFormatting>
  <conditionalFormatting sqref="A115">
    <cfRule type="expression" dxfId="331" priority="4">
      <formula>kvartal &lt; 4</formula>
    </cfRule>
  </conditionalFormatting>
  <conditionalFormatting sqref="A123">
    <cfRule type="expression" dxfId="330" priority="3">
      <formula>kvartal &lt; 4</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44" sqref="A44"/>
    </sheetView>
  </sheetViews>
  <sheetFormatPr baseColWidth="10" defaultColWidth="11.42578125" defaultRowHeight="25.5" x14ac:dyDescent="0.35"/>
  <cols>
    <col min="1" max="1" width="11.42578125" style="51"/>
    <col min="2" max="2" width="25" style="51" customWidth="1"/>
    <col min="3" max="3" width="141.7109375" style="51" customWidth="1"/>
    <col min="4" max="16384" width="11.42578125" style="51"/>
  </cols>
  <sheetData>
    <row r="1" spans="1:14" ht="20.100000000000001" customHeight="1" x14ac:dyDescent="0.35">
      <c r="C1" s="52"/>
      <c r="D1" s="53"/>
      <c r="E1" s="53"/>
      <c r="F1" s="53"/>
      <c r="G1" s="53"/>
      <c r="H1" s="53"/>
      <c r="I1" s="53"/>
      <c r="J1" s="53"/>
      <c r="K1" s="53"/>
      <c r="L1" s="53"/>
      <c r="M1" s="53"/>
      <c r="N1" s="53"/>
    </row>
    <row r="2" spans="1:14" ht="20.100000000000001" customHeight="1" x14ac:dyDescent="0.35">
      <c r="C2" s="261" t="s">
        <v>31</v>
      </c>
      <c r="D2" s="53"/>
      <c r="E2" s="53"/>
      <c r="F2" s="53"/>
      <c r="G2" s="53"/>
      <c r="H2" s="53"/>
      <c r="I2" s="53"/>
      <c r="J2" s="53"/>
      <c r="K2" s="53"/>
      <c r="L2" s="53"/>
      <c r="M2" s="53"/>
      <c r="N2" s="53"/>
    </row>
    <row r="3" spans="1:14" ht="20.100000000000001" customHeight="1" x14ac:dyDescent="0.35">
      <c r="C3" s="54"/>
      <c r="D3" s="53"/>
      <c r="E3" s="53"/>
      <c r="F3" s="53"/>
      <c r="G3" s="53"/>
      <c r="H3" s="53"/>
      <c r="I3" s="53"/>
      <c r="J3" s="53"/>
      <c r="K3" s="53"/>
      <c r="L3" s="53"/>
      <c r="M3" s="53"/>
      <c r="N3" s="53"/>
    </row>
    <row r="4" spans="1:14" ht="20.100000000000001" customHeight="1" x14ac:dyDescent="0.35">
      <c r="C4" s="54"/>
      <c r="D4" s="53"/>
      <c r="E4" s="53"/>
      <c r="F4" s="53"/>
      <c r="G4" s="53"/>
      <c r="H4" s="53"/>
      <c r="I4" s="53"/>
      <c r="J4" s="53"/>
      <c r="K4" s="53"/>
      <c r="L4" s="53"/>
      <c r="M4" s="53"/>
      <c r="N4" s="53"/>
    </row>
    <row r="5" spans="1:14" ht="20.100000000000001" customHeight="1" x14ac:dyDescent="0.35">
      <c r="A5" s="54"/>
      <c r="B5" s="54"/>
      <c r="C5" s="54"/>
      <c r="D5" s="53"/>
      <c r="E5" s="53"/>
      <c r="F5" s="53"/>
      <c r="G5" s="53"/>
      <c r="H5" s="53"/>
      <c r="I5" s="53"/>
      <c r="J5" s="53"/>
      <c r="K5" s="53"/>
      <c r="L5" s="53"/>
      <c r="M5" s="53"/>
      <c r="N5" s="53"/>
    </row>
    <row r="6" spans="1:14" ht="20.100000000000001" customHeight="1" x14ac:dyDescent="0.35">
      <c r="A6" s="55" t="s">
        <v>32</v>
      </c>
      <c r="B6" s="55"/>
      <c r="C6" s="54"/>
      <c r="D6" s="53"/>
      <c r="E6" s="53"/>
      <c r="F6" s="53"/>
      <c r="G6" s="53"/>
      <c r="H6" s="53"/>
      <c r="I6" s="53"/>
      <c r="J6" s="53"/>
      <c r="K6" s="53"/>
      <c r="L6" s="53"/>
      <c r="M6" s="53"/>
      <c r="N6" s="53"/>
    </row>
    <row r="7" spans="1:14" ht="20.100000000000001" customHeight="1" x14ac:dyDescent="0.35">
      <c r="A7" s="54"/>
      <c r="B7" s="54" t="s">
        <v>33</v>
      </c>
      <c r="C7" s="54" t="s">
        <v>34</v>
      </c>
      <c r="D7" s="53"/>
      <c r="E7" s="53"/>
      <c r="F7" s="53"/>
      <c r="G7" s="53"/>
      <c r="H7" s="53"/>
      <c r="I7" s="53"/>
      <c r="J7" s="53"/>
      <c r="K7" s="53"/>
      <c r="L7" s="53"/>
      <c r="M7" s="53"/>
      <c r="N7" s="53"/>
    </row>
    <row r="8" spans="1:14" ht="20.100000000000001" customHeight="1" x14ac:dyDescent="0.35">
      <c r="A8" s="54"/>
      <c r="B8" s="54" t="s">
        <v>35</v>
      </c>
      <c r="C8" s="54" t="s">
        <v>36</v>
      </c>
      <c r="D8" s="53"/>
      <c r="E8" s="53"/>
      <c r="F8" s="53"/>
      <c r="G8" s="53"/>
      <c r="H8" s="53"/>
      <c r="I8" s="53"/>
      <c r="J8" s="53"/>
      <c r="K8" s="53"/>
      <c r="L8" s="53"/>
      <c r="M8" s="53"/>
      <c r="N8" s="53"/>
    </row>
    <row r="9" spans="1:14" ht="20.100000000000001" customHeight="1" x14ac:dyDescent="0.35">
      <c r="A9" s="54"/>
      <c r="B9" s="54" t="s">
        <v>37</v>
      </c>
      <c r="C9" s="54" t="s">
        <v>40</v>
      </c>
      <c r="D9" s="53"/>
      <c r="E9" s="53"/>
      <c r="F9" s="53"/>
      <c r="G9" s="53"/>
      <c r="H9" s="53"/>
      <c r="I9" s="53"/>
      <c r="J9" s="53"/>
      <c r="K9" s="53"/>
      <c r="L9" s="53"/>
      <c r="M9" s="53"/>
      <c r="N9" s="53"/>
    </row>
    <row r="10" spans="1:14" ht="20.100000000000001" customHeight="1" x14ac:dyDescent="0.35">
      <c r="A10" s="54"/>
      <c r="B10" s="54" t="s">
        <v>38</v>
      </c>
      <c r="C10" s="54" t="s">
        <v>42</v>
      </c>
      <c r="D10" s="53"/>
      <c r="E10" s="53"/>
      <c r="F10" s="53"/>
      <c r="G10" s="53"/>
      <c r="H10" s="53"/>
      <c r="I10" s="53"/>
      <c r="J10" s="53"/>
      <c r="K10" s="53"/>
      <c r="L10" s="53"/>
      <c r="M10" s="53"/>
      <c r="N10" s="53"/>
    </row>
    <row r="11" spans="1:14" ht="20.100000000000001" customHeight="1" x14ac:dyDescent="0.35">
      <c r="A11" s="54"/>
      <c r="B11" s="54" t="s">
        <v>39</v>
      </c>
      <c r="C11" s="54" t="s">
        <v>43</v>
      </c>
      <c r="D11" s="53"/>
      <c r="E11" s="53"/>
      <c r="F11" s="53"/>
      <c r="G11" s="53"/>
      <c r="H11" s="53"/>
      <c r="I11" s="53"/>
      <c r="J11" s="53"/>
      <c r="K11" s="53"/>
      <c r="L11" s="53"/>
      <c r="M11" s="53"/>
      <c r="N11" s="53"/>
    </row>
    <row r="12" spans="1:14" ht="20.100000000000001" customHeight="1" x14ac:dyDescent="0.35">
      <c r="A12" s="54"/>
      <c r="B12" s="54" t="s">
        <v>41</v>
      </c>
      <c r="C12" s="54" t="s">
        <v>44</v>
      </c>
      <c r="D12" s="53"/>
      <c r="E12" s="53"/>
      <c r="F12" s="53"/>
      <c r="G12" s="53"/>
      <c r="H12" s="53"/>
      <c r="I12" s="53"/>
      <c r="J12" s="53"/>
      <c r="K12" s="53"/>
      <c r="L12" s="53"/>
      <c r="M12" s="53"/>
      <c r="N12" s="53"/>
    </row>
    <row r="13" spans="1:14" ht="18.75" customHeight="1" x14ac:dyDescent="0.35">
      <c r="A13" s="54"/>
      <c r="B13" s="54"/>
      <c r="C13" s="54"/>
      <c r="D13" s="53"/>
      <c r="E13" s="53"/>
      <c r="F13" s="53"/>
      <c r="G13" s="53"/>
      <c r="H13" s="53"/>
      <c r="I13" s="53"/>
      <c r="J13" s="53"/>
      <c r="K13" s="53"/>
      <c r="L13" s="53"/>
      <c r="M13" s="53"/>
      <c r="N13" s="53"/>
    </row>
    <row r="14" spans="1:14" ht="20.100000000000001" customHeight="1" x14ac:dyDescent="0.35">
      <c r="A14" s="260" t="s">
        <v>45</v>
      </c>
      <c r="B14" s="55"/>
      <c r="C14" s="54"/>
      <c r="D14" s="53"/>
      <c r="E14" s="53"/>
      <c r="F14" s="53"/>
      <c r="G14" s="53"/>
      <c r="H14" s="53"/>
      <c r="I14" s="53"/>
      <c r="J14" s="53"/>
      <c r="K14" s="53"/>
      <c r="L14" s="53"/>
      <c r="M14" s="53"/>
      <c r="N14" s="53"/>
    </row>
    <row r="15" spans="1:14" ht="20.100000000000001" customHeight="1" x14ac:dyDescent="0.35">
      <c r="A15" s="54"/>
      <c r="B15" s="54" t="s">
        <v>46</v>
      </c>
      <c r="C15" s="54"/>
      <c r="D15" s="53"/>
      <c r="E15" s="53"/>
      <c r="F15" s="53"/>
      <c r="G15" s="53"/>
      <c r="H15" s="53"/>
      <c r="I15" s="53"/>
      <c r="J15" s="53"/>
      <c r="K15" s="53"/>
      <c r="L15" s="53"/>
      <c r="M15" s="53"/>
      <c r="N15" s="53"/>
    </row>
    <row r="16" spans="1:14" ht="20.100000000000001" customHeight="1" x14ac:dyDescent="0.35">
      <c r="A16" s="54"/>
      <c r="B16" s="55" t="s">
        <v>47</v>
      </c>
      <c r="C16" s="54" t="s">
        <v>48</v>
      </c>
      <c r="D16" s="53"/>
      <c r="E16" s="53"/>
      <c r="F16" s="53"/>
      <c r="G16" s="53"/>
      <c r="H16" s="53"/>
      <c r="I16" s="53"/>
      <c r="J16" s="53"/>
      <c r="K16" s="53"/>
      <c r="L16" s="53"/>
      <c r="M16" s="53"/>
      <c r="N16" s="53"/>
    </row>
    <row r="17" spans="1:14" ht="20.100000000000001" customHeight="1" x14ac:dyDescent="0.35">
      <c r="A17" s="54"/>
      <c r="B17" s="55" t="s">
        <v>49</v>
      </c>
      <c r="C17" s="54" t="s">
        <v>50</v>
      </c>
      <c r="D17" s="53"/>
      <c r="E17" s="53"/>
      <c r="F17" s="53"/>
      <c r="G17" s="53"/>
      <c r="H17" s="53"/>
      <c r="I17" s="53"/>
      <c r="J17" s="53"/>
      <c r="K17" s="53"/>
      <c r="L17" s="53"/>
      <c r="M17" s="53"/>
      <c r="N17" s="53"/>
    </row>
    <row r="18" spans="1:14" ht="20.100000000000001" customHeight="1" x14ac:dyDescent="0.35">
      <c r="A18" s="54"/>
      <c r="B18" s="55" t="s">
        <v>325</v>
      </c>
      <c r="C18" s="54" t="s">
        <v>326</v>
      </c>
      <c r="D18" s="53"/>
      <c r="E18" s="53"/>
      <c r="F18" s="53"/>
      <c r="G18" s="53"/>
      <c r="H18" s="53"/>
      <c r="I18" s="53"/>
      <c r="J18" s="53"/>
      <c r="K18" s="53"/>
      <c r="L18" s="53"/>
      <c r="M18" s="53"/>
      <c r="N18" s="53"/>
    </row>
    <row r="19" spans="1:14" ht="20.100000000000001" customHeight="1" x14ac:dyDescent="0.35">
      <c r="A19" s="54"/>
      <c r="B19" s="54" t="s">
        <v>327</v>
      </c>
      <c r="C19" s="54" t="s">
        <v>263</v>
      </c>
      <c r="D19" s="53"/>
      <c r="E19" s="53"/>
      <c r="F19" s="53"/>
      <c r="G19" s="53"/>
      <c r="H19" s="53"/>
      <c r="I19" s="53"/>
      <c r="J19" s="53"/>
      <c r="K19" s="53"/>
      <c r="L19" s="53"/>
      <c r="M19" s="53"/>
      <c r="N19" s="53"/>
    </row>
    <row r="20" spans="1:14" s="330" customFormat="1" ht="20.100000000000001" customHeight="1" x14ac:dyDescent="0.35">
      <c r="A20" s="328"/>
      <c r="B20" s="328" t="s">
        <v>329</v>
      </c>
      <c r="C20" s="328" t="s">
        <v>328</v>
      </c>
      <c r="D20" s="329"/>
      <c r="E20" s="329"/>
      <c r="F20" s="329"/>
      <c r="G20" s="329"/>
      <c r="H20" s="329"/>
      <c r="I20" s="329"/>
      <c r="J20" s="329"/>
      <c r="K20" s="329"/>
      <c r="L20" s="329"/>
      <c r="M20" s="329"/>
      <c r="N20" s="329"/>
    </row>
    <row r="21" spans="1:14" ht="20.100000000000001" customHeight="1" x14ac:dyDescent="0.35">
      <c r="A21" s="54"/>
      <c r="B21" s="54"/>
      <c r="C21" s="54"/>
    </row>
    <row r="22" spans="1:14" ht="18.75" customHeight="1" x14ac:dyDescent="0.35">
      <c r="A22" s="54"/>
      <c r="B22" s="328" t="s">
        <v>247</v>
      </c>
      <c r="C22" s="328"/>
    </row>
    <row r="23" spans="1:14" ht="20.100000000000001" customHeight="1" x14ac:dyDescent="0.35">
      <c r="A23" s="54"/>
      <c r="B23" s="331" t="s">
        <v>248</v>
      </c>
      <c r="C23" s="328" t="s">
        <v>249</v>
      </c>
    </row>
    <row r="24" spans="1:14" ht="20.100000000000001" hidden="1" customHeight="1" x14ac:dyDescent="0.35">
      <c r="A24" s="54"/>
      <c r="B24" s="331" t="s">
        <v>250</v>
      </c>
      <c r="C24" s="328" t="s">
        <v>251</v>
      </c>
    </row>
    <row r="25" spans="1:14" ht="20.100000000000001" hidden="1" customHeight="1" x14ac:dyDescent="0.35">
      <c r="A25" s="54"/>
      <c r="B25" s="331" t="s">
        <v>252</v>
      </c>
      <c r="C25" s="328" t="s">
        <v>253</v>
      </c>
    </row>
    <row r="26" spans="1:14" ht="20.100000000000001" hidden="1" customHeight="1" x14ac:dyDescent="0.35">
      <c r="A26" s="54"/>
      <c r="B26" s="331" t="s">
        <v>254</v>
      </c>
      <c r="C26" s="328" t="s">
        <v>255</v>
      </c>
    </row>
    <row r="27" spans="1:14" ht="20.100000000000001" customHeight="1" x14ac:dyDescent="0.35">
      <c r="A27" s="54"/>
      <c r="B27" s="331" t="s">
        <v>167</v>
      </c>
      <c r="C27" s="328" t="s">
        <v>256</v>
      </c>
    </row>
    <row r="28" spans="1:14" ht="20.100000000000001" hidden="1" customHeight="1" x14ac:dyDescent="0.35">
      <c r="A28" s="54"/>
      <c r="B28" s="325" t="s">
        <v>257</v>
      </c>
      <c r="C28" s="259" t="s">
        <v>258</v>
      </c>
    </row>
    <row r="29" spans="1:14" ht="20.100000000000001" hidden="1" customHeight="1" x14ac:dyDescent="0.35">
      <c r="A29" s="54"/>
      <c r="B29" s="325" t="s">
        <v>259</v>
      </c>
      <c r="C29" s="259" t="s">
        <v>260</v>
      </c>
    </row>
    <row r="30" spans="1:14" ht="18.75" customHeight="1" x14ac:dyDescent="0.35">
      <c r="A30" s="54"/>
      <c r="B30" s="331" t="s">
        <v>261</v>
      </c>
      <c r="C30" s="328" t="s">
        <v>262</v>
      </c>
    </row>
    <row r="31" spans="1:14" ht="18.75" customHeight="1" x14ac:dyDescent="0.35">
      <c r="A31" s="54"/>
      <c r="B31" s="331"/>
      <c r="C31" s="328"/>
    </row>
    <row r="32" spans="1:14" ht="20.100000000000001" customHeight="1" x14ac:dyDescent="0.35">
      <c r="A32" s="54"/>
      <c r="B32" s="54"/>
      <c r="C32" s="54"/>
    </row>
    <row r="33" spans="1:14" x14ac:dyDescent="0.35">
      <c r="A33" s="55" t="s">
        <v>51</v>
      </c>
      <c r="B33" s="54"/>
      <c r="C33" s="54"/>
    </row>
    <row r="34" spans="1:14" ht="26.25" hidden="1" customHeight="1" x14ac:dyDescent="0.4">
      <c r="C34" s="56"/>
    </row>
    <row r="35" spans="1:14" ht="26.25" hidden="1" customHeight="1" x14ac:dyDescent="0.4">
      <c r="C35" s="56"/>
    </row>
    <row r="36" spans="1:14" ht="18.75" customHeight="1" x14ac:dyDescent="0.4">
      <c r="C36" s="326"/>
      <c r="D36" s="327"/>
    </row>
    <row r="37" spans="1:14" ht="26.25" x14ac:dyDescent="0.4">
      <c r="C37" s="56"/>
    </row>
    <row r="38" spans="1:14" ht="26.25" x14ac:dyDescent="0.4">
      <c r="C38" s="56"/>
    </row>
    <row r="39" spans="1:14" ht="26.25" x14ac:dyDescent="0.4">
      <c r="C39" s="326"/>
      <c r="D39" s="330"/>
      <c r="E39" s="330"/>
      <c r="F39" s="330"/>
      <c r="G39" s="330"/>
      <c r="H39" s="330"/>
      <c r="I39" s="330"/>
      <c r="J39" s="330"/>
      <c r="K39" s="330"/>
      <c r="L39" s="330"/>
      <c r="M39" s="330"/>
      <c r="N39" s="330"/>
    </row>
    <row r="40" spans="1:14" ht="26.25" x14ac:dyDescent="0.4">
      <c r="C40" s="56"/>
    </row>
    <row r="41" spans="1:14" ht="26.25" x14ac:dyDescent="0.4">
      <c r="C41" s="56"/>
    </row>
    <row r="42" spans="1:14" ht="26.25" x14ac:dyDescent="0.4">
      <c r="C42" s="56"/>
    </row>
    <row r="43" spans="1:14" ht="26.25" x14ac:dyDescent="0.4">
      <c r="C43" s="56"/>
    </row>
    <row r="44" spans="1:14" ht="26.25" x14ac:dyDescent="0.4">
      <c r="C44" s="56"/>
    </row>
    <row r="45" spans="1:14" ht="26.25" x14ac:dyDescent="0.4">
      <c r="C45" s="56"/>
    </row>
    <row r="46" spans="1:14" ht="26.25" x14ac:dyDescent="0.4">
      <c r="C46" s="56"/>
    </row>
    <row r="47" spans="1:14" ht="26.25" x14ac:dyDescent="0.4">
      <c r="C47" s="56"/>
    </row>
    <row r="48" spans="1:14" ht="26.25" x14ac:dyDescent="0.4">
      <c r="C48" s="56"/>
    </row>
    <row r="49" spans="3:3" ht="26.25" x14ac:dyDescent="0.4">
      <c r="C49" s="56"/>
    </row>
    <row r="50" spans="3:3" ht="26.25" x14ac:dyDescent="0.4">
      <c r="C50" s="56"/>
    </row>
    <row r="51" spans="3:3" ht="26.25" x14ac:dyDescent="0.4">
      <c r="C51" s="56"/>
    </row>
    <row r="52" spans="3:3" ht="26.25" x14ac:dyDescent="0.4">
      <c r="C52" s="56"/>
    </row>
    <row r="53" spans="3:3" ht="26.25" x14ac:dyDescent="0.4">
      <c r="C53" s="56"/>
    </row>
    <row r="54" spans="3:3" ht="26.25" x14ac:dyDescent="0.4">
      <c r="C54" s="56"/>
    </row>
    <row r="55" spans="3:3" ht="26.25" x14ac:dyDescent="0.4">
      <c r="C55" s="56"/>
    </row>
    <row r="56" spans="3:3" ht="26.25" x14ac:dyDescent="0.4">
      <c r="C56" s="56"/>
    </row>
    <row r="57" spans="3:3" ht="26.25" x14ac:dyDescent="0.4">
      <c r="C57" s="56"/>
    </row>
    <row r="58" spans="3:3" ht="26.25" x14ac:dyDescent="0.4">
      <c r="C58" s="56"/>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131</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20913.025000000001</v>
      </c>
      <c r="C7" s="290">
        <v>25244.225999999999</v>
      </c>
      <c r="D7" s="332">
        <f>IF(B7=0, "    ---- ", IF(ABS(ROUND(100/B7*C7-100,1))&lt;999,ROUND(100/B7*C7-100,1),IF(ROUND(100/B7*C7-100,1)&gt;999,999,-999)))</f>
        <v>20.7</v>
      </c>
      <c r="E7" s="11">
        <f>IFERROR(100/'Skjema total MA'!C7*C7,0)</f>
        <v>0.59487640216222637</v>
      </c>
      <c r="F7" s="289"/>
      <c r="G7" s="290"/>
      <c r="H7" s="332"/>
      <c r="I7" s="144"/>
      <c r="J7" s="291">
        <f t="shared" ref="J7:K10" si="0">SUM(B7,F7)</f>
        <v>20913.025000000001</v>
      </c>
      <c r="K7" s="292">
        <f t="shared" si="0"/>
        <v>25244.225999999999</v>
      </c>
      <c r="L7" s="405">
        <f>IF(J7=0, "    ---- ", IF(ABS(ROUND(100/J7*K7-100,1))&lt;999,ROUND(100/J7*K7-100,1),IF(ROUND(100/J7*K7-100,1)&gt;999,999,-999)))</f>
        <v>20.7</v>
      </c>
      <c r="M7" s="11">
        <f>IFERROR(100/'Skjema total MA'!I7*K7,0)</f>
        <v>0.21138828189289136</v>
      </c>
    </row>
    <row r="8" spans="1:14" ht="15.75" x14ac:dyDescent="0.2">
      <c r="A8" s="21" t="s">
        <v>25</v>
      </c>
      <c r="B8" s="267">
        <v>19964.654999999999</v>
      </c>
      <c r="C8" s="268">
        <v>24213.144</v>
      </c>
      <c r="D8" s="150">
        <f t="shared" ref="D8:D10" si="1">IF(B8=0, "    ---- ", IF(ABS(ROUND(100/B8*C8-100,1))&lt;999,ROUND(100/B8*C8-100,1),IF(ROUND(100/B8*C8-100,1)&gt;999,999,-999)))</f>
        <v>21.3</v>
      </c>
      <c r="E8" s="27">
        <f>IFERROR(100/'Skjema total MA'!C8*C8,0)</f>
        <v>0.8980648231330145</v>
      </c>
      <c r="F8" s="271"/>
      <c r="G8" s="272"/>
      <c r="H8" s="150"/>
      <c r="I8" s="160"/>
      <c r="J8" s="215">
        <f t="shared" si="0"/>
        <v>19964.654999999999</v>
      </c>
      <c r="K8" s="273">
        <f t="shared" si="0"/>
        <v>24213.144</v>
      </c>
      <c r="L8" s="150">
        <f t="shared" ref="L8:L9" si="2">IF(J8=0, "    ---- ", IF(ABS(ROUND(100/J8*K8-100,1))&lt;999,ROUND(100/J8*K8-100,1),IF(ROUND(100/J8*K8-100,1)&gt;999,999,-999)))</f>
        <v>21.3</v>
      </c>
      <c r="M8" s="27">
        <f>IFERROR(100/'Skjema total MA'!I8*K8,0)</f>
        <v>0.8980648231330145</v>
      </c>
    </row>
    <row r="9" spans="1:14" ht="15.75" x14ac:dyDescent="0.2">
      <c r="A9" s="21" t="s">
        <v>24</v>
      </c>
      <c r="B9" s="267">
        <v>948.37</v>
      </c>
      <c r="C9" s="268">
        <v>1031.0820000000001</v>
      </c>
      <c r="D9" s="150">
        <f t="shared" si="1"/>
        <v>8.6999999999999993</v>
      </c>
      <c r="E9" s="27">
        <f>IFERROR(100/'Skjema total MA'!C9*C9,0)</f>
        <v>0.11646586779669812</v>
      </c>
      <c r="F9" s="271"/>
      <c r="G9" s="272"/>
      <c r="H9" s="150"/>
      <c r="I9" s="160"/>
      <c r="J9" s="215">
        <f t="shared" si="0"/>
        <v>948.37</v>
      </c>
      <c r="K9" s="273">
        <f t="shared" si="0"/>
        <v>1031.0820000000001</v>
      </c>
      <c r="L9" s="150">
        <f t="shared" si="2"/>
        <v>8.6999999999999993</v>
      </c>
      <c r="M9" s="27">
        <f>IFERROR(100/'Skjema total MA'!I9*K9,0)</f>
        <v>0.11646586779669812</v>
      </c>
    </row>
    <row r="10" spans="1:14" ht="15.75" x14ac:dyDescent="0.2">
      <c r="A10" s="13" t="s">
        <v>347</v>
      </c>
      <c r="B10" s="293">
        <v>20958.964</v>
      </c>
      <c r="C10" s="294">
        <v>24211.605</v>
      </c>
      <c r="D10" s="155">
        <f t="shared" si="1"/>
        <v>15.5</v>
      </c>
      <c r="E10" s="11">
        <f>IFERROR(100/'Skjema total MA'!C10*C10,0)</f>
        <v>0.17456229013943989</v>
      </c>
      <c r="F10" s="293"/>
      <c r="G10" s="294"/>
      <c r="H10" s="155"/>
      <c r="I10" s="144"/>
      <c r="J10" s="291">
        <f t="shared" si="0"/>
        <v>20958.964</v>
      </c>
      <c r="K10" s="292">
        <f t="shared" si="0"/>
        <v>24211.605</v>
      </c>
      <c r="L10" s="406">
        <f t="shared" ref="L10" si="3">IF(J10=0, "    ---- ", IF(ABS(ROUND(100/J10*K10-100,1))&lt;999,ROUND(100/J10*K10-100,1),IF(ROUND(100/J10*K10-100,1)&gt;999,999,-999)))</f>
        <v>15.5</v>
      </c>
      <c r="M10" s="11">
        <f>IFERROR(100/'Skjema total MA'!I10*K10,0)</f>
        <v>2.6371750030147474E-2</v>
      </c>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18794.949000000001</v>
      </c>
      <c r="C22" s="293">
        <v>23087.366999999998</v>
      </c>
      <c r="D22" s="332">
        <f t="shared" ref="D22:D29" si="4">IF(B22=0, "    ---- ", IF(ABS(ROUND(100/B22*C22-100,1))&lt;999,ROUND(100/B22*C22-100,1),IF(ROUND(100/B22*C22-100,1)&gt;999,999,-999)))</f>
        <v>22.8</v>
      </c>
      <c r="E22" s="11">
        <f>IFERROR(100/'Skjema total MA'!C22*C22,0)</f>
        <v>1.3276762036597012</v>
      </c>
      <c r="F22" s="301"/>
      <c r="G22" s="301"/>
      <c r="H22" s="332"/>
      <c r="I22" s="11"/>
      <c r="J22" s="299">
        <f t="shared" ref="J22:K29" si="5">SUM(B22,F22)</f>
        <v>18794.949000000001</v>
      </c>
      <c r="K22" s="299">
        <f t="shared" si="5"/>
        <v>23087.366999999998</v>
      </c>
      <c r="L22" s="405">
        <f t="shared" ref="L22:L29" si="6">IF(J22=0, "    ---- ", IF(ABS(ROUND(100/J22*K22-100,1))&lt;999,ROUND(100/J22*K22-100,1),IF(ROUND(100/J22*K22-100,1)&gt;999,999,-999)))</f>
        <v>22.8</v>
      </c>
      <c r="M22" s="24">
        <f>IFERROR(100/'Skjema total MA'!I22*K22,0)</f>
        <v>0.96668805562453142</v>
      </c>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18794.949000000001</v>
      </c>
      <c r="C28" s="273">
        <v>23087.366999999998</v>
      </c>
      <c r="D28" s="150">
        <f t="shared" si="4"/>
        <v>22.8</v>
      </c>
      <c r="E28" s="11">
        <f>IFERROR(100/'Skjema total MA'!C28*C28,0)</f>
        <v>1.099486057448948</v>
      </c>
      <c r="F28" s="215"/>
      <c r="G28" s="273"/>
      <c r="H28" s="150"/>
      <c r="I28" s="27"/>
      <c r="J28" s="44">
        <f t="shared" si="5"/>
        <v>18794.949000000001</v>
      </c>
      <c r="K28" s="44">
        <f t="shared" si="5"/>
        <v>23087.366999999998</v>
      </c>
      <c r="L28" s="240">
        <f t="shared" si="6"/>
        <v>22.8</v>
      </c>
      <c r="M28" s="23">
        <f>IFERROR(100/'Skjema total MA'!I28*K28,0)</f>
        <v>1.099486057448948</v>
      </c>
    </row>
    <row r="29" spans="1:14" s="3" customFormat="1" ht="15.75" x14ac:dyDescent="0.2">
      <c r="A29" s="13" t="s">
        <v>347</v>
      </c>
      <c r="B29" s="217">
        <v>78085.343999999997</v>
      </c>
      <c r="C29" s="217">
        <v>103073.265</v>
      </c>
      <c r="D29" s="155">
        <f t="shared" si="4"/>
        <v>32</v>
      </c>
      <c r="E29" s="11">
        <f>IFERROR(100/'Skjema total MA'!C29*C29,0)</f>
        <v>0.22501561826504721</v>
      </c>
      <c r="F29" s="291"/>
      <c r="G29" s="291"/>
      <c r="H29" s="155"/>
      <c r="I29" s="11"/>
      <c r="J29" s="217">
        <f t="shared" si="5"/>
        <v>78085.343999999997</v>
      </c>
      <c r="K29" s="217">
        <f t="shared" si="5"/>
        <v>103073.265</v>
      </c>
      <c r="L29" s="406">
        <f t="shared" si="6"/>
        <v>32</v>
      </c>
      <c r="M29" s="24">
        <f>IFERROR(100/'Skjema total MA'!I29*K29,0)</f>
        <v>0.14579989388244335</v>
      </c>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253603.658</v>
      </c>
      <c r="C47" s="294">
        <v>264499.36800000002</v>
      </c>
      <c r="D47" s="405">
        <f t="shared" ref="D47:D48" si="7">IF(B47=0, "    ---- ", IF(ABS(ROUND(100/B47*C47-100,1))&lt;999,ROUND(100/B47*C47-100,1),IF(ROUND(100/B47*C47-100,1)&gt;999,999,-999)))</f>
        <v>4.3</v>
      </c>
      <c r="E47" s="11">
        <f>IFERROR(100/'Skjema total MA'!C47*C47,0)</f>
        <v>4.9600256502869344</v>
      </c>
      <c r="F47" s="129"/>
      <c r="G47" s="33"/>
      <c r="H47" s="143"/>
      <c r="I47" s="143"/>
      <c r="J47" s="37"/>
      <c r="K47" s="37"/>
      <c r="L47" s="143"/>
      <c r="M47" s="143"/>
      <c r="N47" s="132"/>
    </row>
    <row r="48" spans="1:14" s="3" customFormat="1" ht="15.75" x14ac:dyDescent="0.2">
      <c r="A48" s="38" t="s">
        <v>358</v>
      </c>
      <c r="B48" s="267">
        <v>253603.658</v>
      </c>
      <c r="C48" s="268">
        <v>264499.36800000002</v>
      </c>
      <c r="D48" s="240">
        <f t="shared" si="7"/>
        <v>4.3</v>
      </c>
      <c r="E48" s="27">
        <f>IFERROR(100/'Skjema total MA'!C48*C48,0)</f>
        <v>8.8060940851210514</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29" priority="12">
      <formula>kvartal &lt; 4</formula>
    </cfRule>
  </conditionalFormatting>
  <conditionalFormatting sqref="A69:A74">
    <cfRule type="expression" dxfId="328" priority="10">
      <formula>kvartal &lt; 4</formula>
    </cfRule>
  </conditionalFormatting>
  <conditionalFormatting sqref="A80:A85">
    <cfRule type="expression" dxfId="327" priority="9">
      <formula>kvartal &lt; 4</formula>
    </cfRule>
  </conditionalFormatting>
  <conditionalFormatting sqref="A90:A95">
    <cfRule type="expression" dxfId="326" priority="6">
      <formula>kvartal &lt; 4</formula>
    </cfRule>
  </conditionalFormatting>
  <conditionalFormatting sqref="A101:A106">
    <cfRule type="expression" dxfId="325" priority="5">
      <formula>kvartal &lt; 4</formula>
    </cfRule>
  </conditionalFormatting>
  <conditionalFormatting sqref="A115">
    <cfRule type="expression" dxfId="324" priority="4">
      <formula>kvartal &lt; 4</formula>
    </cfRule>
  </conditionalFormatting>
  <conditionalFormatting sqref="A123">
    <cfRule type="expression" dxfId="323"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486" t="s">
        <v>390</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28431</v>
      </c>
      <c r="C47" s="294">
        <v>29620</v>
      </c>
      <c r="D47" s="405">
        <f t="shared" ref="D47:D57" si="0">IF(B47=0, "    ---- ", IF(ABS(ROUND(100/B47*C47-100,1))&lt;999,ROUND(100/B47*C47-100,1),IF(ROUND(100/B47*C47-100,1)&gt;999,999,-999)))</f>
        <v>4.2</v>
      </c>
      <c r="E47" s="11">
        <f>IFERROR(100/'Skjema total MA'!C47*C47,0)</f>
        <v>0.55544919019049976</v>
      </c>
      <c r="F47" s="129"/>
      <c r="G47" s="33"/>
      <c r="H47" s="143"/>
      <c r="I47" s="143"/>
      <c r="J47" s="37"/>
      <c r="K47" s="37"/>
      <c r="L47" s="143"/>
      <c r="M47" s="143"/>
      <c r="N47" s="132"/>
    </row>
    <row r="48" spans="1:14" s="3" customFormat="1" ht="15.75" x14ac:dyDescent="0.2">
      <c r="A48" s="38" t="s">
        <v>358</v>
      </c>
      <c r="B48" s="267">
        <v>28431</v>
      </c>
      <c r="C48" s="268">
        <v>29620</v>
      </c>
      <c r="D48" s="240">
        <f t="shared" si="0"/>
        <v>4.2</v>
      </c>
      <c r="E48" s="27">
        <f>IFERROR(100/'Skjema total MA'!C48*C48,0)</f>
        <v>0.98615172041275179</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895</v>
      </c>
      <c r="C53" s="294">
        <v>0</v>
      </c>
      <c r="D53" s="406">
        <f t="shared" si="0"/>
        <v>-100</v>
      </c>
      <c r="E53" s="11">
        <f>IFERROR(100/'Skjema total MA'!C53*C53,0)</f>
        <v>0</v>
      </c>
      <c r="F53" s="129"/>
      <c r="G53" s="33"/>
      <c r="H53" s="129"/>
      <c r="I53" s="129"/>
      <c r="J53" s="33"/>
      <c r="K53" s="33"/>
      <c r="L53" s="143"/>
      <c r="M53" s="143"/>
      <c r="N53" s="132"/>
    </row>
    <row r="54" spans="1:14" s="3" customFormat="1" ht="15.75" x14ac:dyDescent="0.2">
      <c r="A54" s="38" t="s">
        <v>358</v>
      </c>
      <c r="B54" s="267">
        <v>895</v>
      </c>
      <c r="C54" s="268">
        <v>0</v>
      </c>
      <c r="D54" s="240">
        <f t="shared" si="0"/>
        <v>-100</v>
      </c>
      <c r="E54" s="27">
        <f>IFERROR(100/'Skjema total MA'!C54*C54,0)</f>
        <v>0</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v>16098</v>
      </c>
      <c r="C56" s="294">
        <v>1996</v>
      </c>
      <c r="D56" s="406">
        <f t="shared" si="0"/>
        <v>-87.6</v>
      </c>
      <c r="E56" s="11">
        <f>IFERROR(100/'Skjema total MA'!C56*C56,0)</f>
        <v>1.7931431982866826</v>
      </c>
      <c r="F56" s="129"/>
      <c r="G56" s="33"/>
      <c r="H56" s="129"/>
      <c r="I56" s="129"/>
      <c r="J56" s="33"/>
      <c r="K56" s="33"/>
      <c r="L56" s="143"/>
      <c r="M56" s="143"/>
      <c r="N56" s="132"/>
    </row>
    <row r="57" spans="1:14" s="3" customFormat="1" ht="15.75" x14ac:dyDescent="0.2">
      <c r="A57" s="38" t="s">
        <v>358</v>
      </c>
      <c r="B57" s="267">
        <v>16098</v>
      </c>
      <c r="C57" s="268">
        <v>1996</v>
      </c>
      <c r="D57" s="240">
        <f t="shared" si="0"/>
        <v>-87.6</v>
      </c>
      <c r="E57" s="27">
        <f>IFERROR(100/'Skjema total MA'!C57*C57,0)</f>
        <v>1.7931431982866826</v>
      </c>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22" priority="12">
      <formula>kvartal &lt; 4</formula>
    </cfRule>
  </conditionalFormatting>
  <conditionalFormatting sqref="A69:A74">
    <cfRule type="expression" dxfId="321" priority="10">
      <formula>kvartal &lt; 4</formula>
    </cfRule>
  </conditionalFormatting>
  <conditionalFormatting sqref="A80:A85">
    <cfRule type="expression" dxfId="320" priority="9">
      <formula>kvartal &lt; 4</formula>
    </cfRule>
  </conditionalFormatting>
  <conditionalFormatting sqref="A90:A95">
    <cfRule type="expression" dxfId="319" priority="6">
      <formula>kvartal &lt; 4</formula>
    </cfRule>
  </conditionalFormatting>
  <conditionalFormatting sqref="A101:A106">
    <cfRule type="expression" dxfId="318" priority="5">
      <formula>kvartal &lt; 4</formula>
    </cfRule>
  </conditionalFormatting>
  <conditionalFormatting sqref="A115">
    <cfRule type="expression" dxfId="317" priority="4">
      <formula>kvartal &lt; 4</formula>
    </cfRule>
  </conditionalFormatting>
  <conditionalFormatting sqref="A123">
    <cfRule type="expression" dxfId="316"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N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399</v>
      </c>
      <c r="D1" s="26"/>
      <c r="E1" s="26"/>
      <c r="F1" s="26"/>
      <c r="G1" s="26"/>
      <c r="H1" s="26"/>
      <c r="I1" s="26"/>
      <c r="J1" s="26"/>
      <c r="K1" s="26"/>
      <c r="L1" s="26"/>
      <c r="M1" s="26"/>
    </row>
    <row r="2" spans="1:14" ht="15.75" x14ac:dyDescent="0.25">
      <c r="A2" s="149" t="s">
        <v>28</v>
      </c>
      <c r="B2" s="727"/>
      <c r="C2" s="727"/>
      <c r="D2" s="727"/>
      <c r="E2" s="554"/>
      <c r="F2" s="727"/>
      <c r="G2" s="727"/>
      <c r="H2" s="727"/>
      <c r="I2" s="554"/>
      <c r="J2" s="727"/>
      <c r="K2" s="727"/>
      <c r="L2" s="727"/>
      <c r="M2" s="554"/>
    </row>
    <row r="3" spans="1:14" ht="15.75" x14ac:dyDescent="0.25">
      <c r="A3" s="147"/>
      <c r="B3" s="554"/>
      <c r="C3" s="554"/>
      <c r="D3" s="554"/>
      <c r="E3" s="554"/>
      <c r="F3" s="554"/>
      <c r="G3" s="554"/>
      <c r="H3" s="554"/>
      <c r="I3" s="554"/>
      <c r="J3" s="554"/>
      <c r="K3" s="554"/>
      <c r="L3" s="554"/>
      <c r="M3" s="554"/>
    </row>
    <row r="4" spans="1:14" x14ac:dyDescent="0.2">
      <c r="A4" s="128"/>
      <c r="B4" s="723" t="s">
        <v>0</v>
      </c>
      <c r="C4" s="724"/>
      <c r="D4" s="724"/>
      <c r="E4" s="552"/>
      <c r="F4" s="723" t="s">
        <v>1</v>
      </c>
      <c r="G4" s="724"/>
      <c r="H4" s="724"/>
      <c r="I4" s="553"/>
      <c r="J4" s="723" t="s">
        <v>2</v>
      </c>
      <c r="K4" s="724"/>
      <c r="L4" s="724"/>
      <c r="M4" s="553"/>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554"/>
      <c r="F18" s="722"/>
      <c r="G18" s="722"/>
      <c r="H18" s="722"/>
      <c r="I18" s="554"/>
      <c r="J18" s="722"/>
      <c r="K18" s="722"/>
      <c r="L18" s="722"/>
      <c r="M18" s="554"/>
    </row>
    <row r="19" spans="1:14" x14ac:dyDescent="0.2">
      <c r="A19" s="128"/>
      <c r="B19" s="723" t="s">
        <v>0</v>
      </c>
      <c r="C19" s="724"/>
      <c r="D19" s="724"/>
      <c r="E19" s="552"/>
      <c r="F19" s="723" t="s">
        <v>1</v>
      </c>
      <c r="G19" s="724"/>
      <c r="H19" s="724"/>
      <c r="I19" s="553"/>
      <c r="J19" s="723" t="s">
        <v>2</v>
      </c>
      <c r="K19" s="724"/>
      <c r="L19" s="724"/>
      <c r="M19" s="553"/>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555"/>
    </row>
    <row r="41" spans="1:14" x14ac:dyDescent="0.2">
      <c r="A41" s="139"/>
    </row>
    <row r="42" spans="1:14" ht="15.75" x14ac:dyDescent="0.25">
      <c r="A42" s="131" t="s">
        <v>265</v>
      </c>
      <c r="B42" s="727"/>
      <c r="C42" s="727"/>
      <c r="D42" s="727"/>
      <c r="E42" s="554"/>
      <c r="F42" s="728"/>
      <c r="G42" s="728"/>
      <c r="H42" s="728"/>
      <c r="I42" s="555"/>
      <c r="J42" s="728"/>
      <c r="K42" s="728"/>
      <c r="L42" s="728"/>
      <c r="M42" s="555"/>
    </row>
    <row r="43" spans="1:14" ht="15.75" x14ac:dyDescent="0.25">
      <c r="A43" s="147"/>
      <c r="B43" s="550"/>
      <c r="C43" s="550"/>
      <c r="D43" s="550"/>
      <c r="E43" s="550"/>
      <c r="F43" s="555"/>
      <c r="G43" s="555"/>
      <c r="H43" s="555"/>
      <c r="I43" s="555"/>
      <c r="J43" s="555"/>
      <c r="K43" s="555"/>
      <c r="L43" s="555"/>
      <c r="M43" s="555"/>
    </row>
    <row r="44" spans="1:14" ht="15.75" x14ac:dyDescent="0.25">
      <c r="A44" s="230"/>
      <c r="B44" s="723" t="s">
        <v>0</v>
      </c>
      <c r="C44" s="724"/>
      <c r="D44" s="724"/>
      <c r="E44" s="225"/>
      <c r="F44" s="555"/>
      <c r="G44" s="555"/>
      <c r="H44" s="555"/>
      <c r="I44" s="555"/>
      <c r="J44" s="555"/>
      <c r="K44" s="555"/>
      <c r="L44" s="555"/>
      <c r="M44" s="55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16353.946</v>
      </c>
      <c r="C47" s="294">
        <v>21105.620999999999</v>
      </c>
      <c r="D47" s="405">
        <f t="shared" ref="D47:D48" si="0">IF(B47=0, "    ---- ", IF(ABS(ROUND(100/B47*C47-100,1))&lt;999,ROUND(100/B47*C47-100,1),IF(ROUND(100/B47*C47-100,1)&gt;999,999,-999)))</f>
        <v>29.1</v>
      </c>
      <c r="E47" s="11">
        <f>IFERROR(100/'Skjema total MA'!C47*C47,0)</f>
        <v>0.39578325769472</v>
      </c>
      <c r="F47" s="129"/>
      <c r="G47" s="33"/>
      <c r="H47" s="143"/>
      <c r="I47" s="143"/>
      <c r="J47" s="37"/>
      <c r="K47" s="37"/>
      <c r="L47" s="143"/>
      <c r="M47" s="143"/>
      <c r="N47" s="132"/>
    </row>
    <row r="48" spans="1:14" s="3" customFormat="1" ht="15.75" x14ac:dyDescent="0.2">
      <c r="A48" s="38" t="s">
        <v>358</v>
      </c>
      <c r="B48" s="267">
        <v>16353.946</v>
      </c>
      <c r="C48" s="268">
        <v>21105.620999999999</v>
      </c>
      <c r="D48" s="240">
        <f t="shared" si="0"/>
        <v>29.1</v>
      </c>
      <c r="E48" s="27">
        <f>IFERROR(100/'Skjema total MA'!C48*C48,0)</f>
        <v>0.70267874610160364</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554"/>
      <c r="F62" s="722"/>
      <c r="G62" s="722"/>
      <c r="H62" s="722"/>
      <c r="I62" s="554"/>
      <c r="J62" s="722"/>
      <c r="K62" s="722"/>
      <c r="L62" s="722"/>
      <c r="M62" s="554"/>
    </row>
    <row r="63" spans="1:14" x14ac:dyDescent="0.2">
      <c r="A63" s="128"/>
      <c r="B63" s="723" t="s">
        <v>0</v>
      </c>
      <c r="C63" s="724"/>
      <c r="D63" s="725"/>
      <c r="E63" s="551"/>
      <c r="F63" s="724" t="s">
        <v>1</v>
      </c>
      <c r="G63" s="724"/>
      <c r="H63" s="724"/>
      <c r="I63" s="553"/>
      <c r="J63" s="723" t="s">
        <v>2</v>
      </c>
      <c r="K63" s="724"/>
      <c r="L63" s="724"/>
      <c r="M63" s="553"/>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554"/>
      <c r="F130" s="722"/>
      <c r="G130" s="722"/>
      <c r="H130" s="722"/>
      <c r="I130" s="554"/>
      <c r="J130" s="722"/>
      <c r="K130" s="722"/>
      <c r="L130" s="722"/>
      <c r="M130" s="554"/>
    </row>
    <row r="131" spans="1:14" s="3" customFormat="1" x14ac:dyDescent="0.2">
      <c r="A131" s="128"/>
      <c r="B131" s="723" t="s">
        <v>0</v>
      </c>
      <c r="C131" s="724"/>
      <c r="D131" s="724"/>
      <c r="E131" s="552"/>
      <c r="F131" s="723" t="s">
        <v>1</v>
      </c>
      <c r="G131" s="724"/>
      <c r="H131" s="724"/>
      <c r="I131" s="553"/>
      <c r="J131" s="723" t="s">
        <v>2</v>
      </c>
      <c r="K131" s="724"/>
      <c r="L131" s="724"/>
      <c r="M131" s="553"/>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315" priority="7">
      <formula>kvartal &lt; 4</formula>
    </cfRule>
  </conditionalFormatting>
  <conditionalFormatting sqref="A69:A74">
    <cfRule type="expression" dxfId="314" priority="6">
      <formula>kvartal &lt; 4</formula>
    </cfRule>
  </conditionalFormatting>
  <conditionalFormatting sqref="A80:A85">
    <cfRule type="expression" dxfId="313" priority="5">
      <formula>kvartal &lt; 4</formula>
    </cfRule>
  </conditionalFormatting>
  <conditionalFormatting sqref="A90:A95">
    <cfRule type="expression" dxfId="312" priority="4">
      <formula>kvartal &lt; 4</formula>
    </cfRule>
  </conditionalFormatting>
  <conditionalFormatting sqref="A101:A106">
    <cfRule type="expression" dxfId="311" priority="3">
      <formula>kvartal &lt; 4</formula>
    </cfRule>
  </conditionalFormatting>
  <conditionalFormatting sqref="A115">
    <cfRule type="expression" dxfId="310" priority="2">
      <formula>kvartal &lt; 4</formula>
    </cfRule>
  </conditionalFormatting>
  <conditionalFormatting sqref="A123">
    <cfRule type="expression" dxfId="309" priority="1">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127</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396106.26944140397</v>
      </c>
      <c r="C7" s="290">
        <v>405222.28407956503</v>
      </c>
      <c r="D7" s="332">
        <f>IF(B7=0, "    ---- ", IF(ABS(ROUND(100/B7*C7-100,1))&lt;999,ROUND(100/B7*C7-100,1),IF(ROUND(100/B7*C7-100,1)&gt;999,999,-999)))</f>
        <v>2.2999999999999998</v>
      </c>
      <c r="E7" s="11">
        <f>IFERROR(100/'Skjema total MA'!C7*C7,0)</f>
        <v>9.5490023908521202</v>
      </c>
      <c r="F7" s="289">
        <v>5216410.1561899995</v>
      </c>
      <c r="G7" s="290">
        <v>5821128.0564299999</v>
      </c>
      <c r="H7" s="332">
        <f>IF(F7=0, "    ---- ", IF(ABS(ROUND(100/F7*G7-100,1))&lt;999,ROUND(100/F7*G7-100,1),IF(ROUND(100/F7*G7-100,1)&gt;999,999,-999)))</f>
        <v>11.6</v>
      </c>
      <c r="I7" s="144">
        <f>IFERROR(100/'Skjema total MA'!F7*G7,0)</f>
        <v>75.613759079412915</v>
      </c>
      <c r="J7" s="291">
        <f t="shared" ref="J7:K12" si="0">SUM(B7,F7)</f>
        <v>5612516.4256314039</v>
      </c>
      <c r="K7" s="292">
        <f t="shared" si="0"/>
        <v>6226350.3405095646</v>
      </c>
      <c r="L7" s="405">
        <f>IF(J7=0, "    ---- ", IF(ABS(ROUND(100/J7*K7-100,1))&lt;999,ROUND(100/J7*K7-100,1),IF(ROUND(100/J7*K7-100,1)&gt;999,999,-999)))</f>
        <v>10.9</v>
      </c>
      <c r="M7" s="11">
        <f>IFERROR(100/'Skjema total MA'!I7*K7,0)</f>
        <v>52.137764134401905</v>
      </c>
    </row>
    <row r="8" spans="1:14" ht="15.75" x14ac:dyDescent="0.2">
      <c r="A8" s="21" t="s">
        <v>25</v>
      </c>
      <c r="B8" s="267">
        <v>339216.62968050101</v>
      </c>
      <c r="C8" s="268">
        <v>350946.085835148</v>
      </c>
      <c r="D8" s="150">
        <f t="shared" ref="D8:D10" si="1">IF(B8=0, "    ---- ", IF(ABS(ROUND(100/B8*C8-100,1))&lt;999,ROUND(100/B8*C8-100,1),IF(ROUND(100/B8*C8-100,1)&gt;999,999,-999)))</f>
        <v>3.5</v>
      </c>
      <c r="E8" s="27">
        <f>IFERROR(100/'Skjema total MA'!C8*C8,0)</f>
        <v>13.016580354239247</v>
      </c>
      <c r="F8" s="271"/>
      <c r="G8" s="272"/>
      <c r="H8" s="150"/>
      <c r="I8" s="160"/>
      <c r="J8" s="215">
        <f t="shared" si="0"/>
        <v>339216.62968050101</v>
      </c>
      <c r="K8" s="273">
        <f t="shared" si="0"/>
        <v>350946.085835148</v>
      </c>
      <c r="L8" s="150">
        <f t="shared" ref="L8:L9" si="2">IF(J8=0, "    ---- ", IF(ABS(ROUND(100/J8*K8-100,1))&lt;999,ROUND(100/J8*K8-100,1),IF(ROUND(100/J8*K8-100,1)&gt;999,999,-999)))</f>
        <v>3.5</v>
      </c>
      <c r="M8" s="27">
        <f>IFERROR(100/'Skjema total MA'!I8*K8,0)</f>
        <v>13.016580354239247</v>
      </c>
    </row>
    <row r="9" spans="1:14" ht="15.75" x14ac:dyDescent="0.2">
      <c r="A9" s="21" t="s">
        <v>24</v>
      </c>
      <c r="B9" s="267">
        <v>52304.886731856801</v>
      </c>
      <c r="C9" s="268">
        <v>50236.465106768897</v>
      </c>
      <c r="D9" s="150">
        <f t="shared" si="1"/>
        <v>-4</v>
      </c>
      <c r="E9" s="27">
        <f>IFERROR(100/'Skjema total MA'!C9*C9,0)</f>
        <v>5.6744599398480275</v>
      </c>
      <c r="F9" s="271"/>
      <c r="G9" s="272"/>
      <c r="H9" s="150"/>
      <c r="I9" s="160"/>
      <c r="J9" s="215">
        <f t="shared" si="0"/>
        <v>52304.886731856801</v>
      </c>
      <c r="K9" s="273">
        <f t="shared" si="0"/>
        <v>50236.465106768897</v>
      </c>
      <c r="L9" s="150">
        <f t="shared" si="2"/>
        <v>-4</v>
      </c>
      <c r="M9" s="27">
        <f>IFERROR(100/'Skjema total MA'!I9*K9,0)</f>
        <v>5.6744599398480275</v>
      </c>
    </row>
    <row r="10" spans="1:14" ht="15.75" x14ac:dyDescent="0.2">
      <c r="A10" s="13" t="s">
        <v>347</v>
      </c>
      <c r="B10" s="293">
        <v>720555.28834595694</v>
      </c>
      <c r="C10" s="294">
        <v>628312.136998225</v>
      </c>
      <c r="D10" s="155">
        <f t="shared" si="1"/>
        <v>-12.8</v>
      </c>
      <c r="E10" s="11">
        <f>IFERROR(100/'Skjema total MA'!C10*C10,0)</f>
        <v>4.5300427442466393</v>
      </c>
      <c r="F10" s="293">
        <v>43409145.596840002</v>
      </c>
      <c r="G10" s="294">
        <v>49335575.331459999</v>
      </c>
      <c r="H10" s="155">
        <f t="shared" ref="H10:H12" si="3">IF(F10=0, "    ---- ", IF(ABS(ROUND(100/F10*G10-100,1))&lt;999,ROUND(100/F10*G10-100,1),IF(ROUND(100/F10*G10-100,1)&gt;999,999,-999)))</f>
        <v>13.7</v>
      </c>
      <c r="I10" s="144">
        <f>IFERROR(100/'Skjema total MA'!F10*G10,0)</f>
        <v>63.300263476648581</v>
      </c>
      <c r="J10" s="291">
        <f t="shared" si="0"/>
        <v>44129700.885185957</v>
      </c>
      <c r="K10" s="292">
        <f t="shared" si="0"/>
        <v>49963887.46845822</v>
      </c>
      <c r="L10" s="406">
        <f t="shared" ref="L10:L12" si="4">IF(J10=0, "    ---- ", IF(ABS(ROUND(100/J10*K10-100,1))&lt;999,ROUND(100/J10*K10-100,1),IF(ROUND(100/J10*K10-100,1)&gt;999,999,-999)))</f>
        <v>13.2</v>
      </c>
      <c r="M10" s="11">
        <f>IFERROR(100/'Skjema total MA'!I10*K10,0)</f>
        <v>54.421635858200979</v>
      </c>
    </row>
    <row r="11" spans="1:14" s="43" customFormat="1" ht="15.75" x14ac:dyDescent="0.2">
      <c r="A11" s="13" t="s">
        <v>348</v>
      </c>
      <c r="B11" s="293"/>
      <c r="C11" s="294"/>
      <c r="D11" s="155"/>
      <c r="E11" s="11"/>
      <c r="F11" s="293">
        <v>74906.103300000002</v>
      </c>
      <c r="G11" s="294">
        <v>68942.144350000002</v>
      </c>
      <c r="H11" s="155">
        <f t="shared" si="3"/>
        <v>-8</v>
      </c>
      <c r="I11" s="144">
        <f>IFERROR(100/'Skjema total MA'!F11*G11,0)</f>
        <v>41.233105159887636</v>
      </c>
      <c r="J11" s="291">
        <f t="shared" si="0"/>
        <v>74906.103300000002</v>
      </c>
      <c r="K11" s="292">
        <f t="shared" si="0"/>
        <v>68942.144350000002</v>
      </c>
      <c r="L11" s="406">
        <f t="shared" si="4"/>
        <v>-8</v>
      </c>
      <c r="M11" s="11">
        <f>IFERROR(100/'Skjema total MA'!I11*K11,0)</f>
        <v>35.67936235120645</v>
      </c>
      <c r="N11" s="127"/>
    </row>
    <row r="12" spans="1:14" s="43" customFormat="1" ht="15.75" x14ac:dyDescent="0.2">
      <c r="A12" s="41" t="s">
        <v>349</v>
      </c>
      <c r="B12" s="295"/>
      <c r="C12" s="296"/>
      <c r="D12" s="153"/>
      <c r="E12" s="36"/>
      <c r="F12" s="295">
        <v>44609.3436</v>
      </c>
      <c r="G12" s="296">
        <v>45585.376089999998</v>
      </c>
      <c r="H12" s="153">
        <f t="shared" si="3"/>
        <v>2.2000000000000002</v>
      </c>
      <c r="I12" s="153">
        <f>IFERROR(100/'Skjema total MA'!F12*G12,0)</f>
        <v>30.537892149655171</v>
      </c>
      <c r="J12" s="297">
        <f t="shared" si="0"/>
        <v>44609.3436</v>
      </c>
      <c r="K12" s="298">
        <f t="shared" si="0"/>
        <v>45585.376089999998</v>
      </c>
      <c r="L12" s="407">
        <f t="shared" si="4"/>
        <v>2.2000000000000002</v>
      </c>
      <c r="M12" s="36">
        <f>IFERROR(100/'Skjema total MA'!I12*K12,0)</f>
        <v>29.928593078148687</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152554.865651509</v>
      </c>
      <c r="C22" s="293">
        <v>164845.64927577399</v>
      </c>
      <c r="D22" s="332">
        <f t="shared" ref="D22:D34" si="5">IF(B22=0, "    ---- ", IF(ABS(ROUND(100/B22*C22-100,1))&lt;999,ROUND(100/B22*C22-100,1),IF(ROUND(100/B22*C22-100,1)&gt;999,999,-999)))</f>
        <v>8.1</v>
      </c>
      <c r="E22" s="11">
        <f>IFERROR(100/'Skjema total MA'!C22*C22,0)</f>
        <v>9.4797144178579664</v>
      </c>
      <c r="F22" s="301">
        <v>169424.16802000001</v>
      </c>
      <c r="G22" s="301">
        <v>167272.46470000001</v>
      </c>
      <c r="H22" s="332">
        <f t="shared" ref="H22:H35" si="6">IF(F22=0, "    ---- ", IF(ABS(ROUND(100/F22*G22-100,1))&lt;999,ROUND(100/F22*G22-100,1),IF(ROUND(100/F22*G22-100,1)&gt;999,999,-999)))</f>
        <v>-1.3</v>
      </c>
      <c r="I22" s="11">
        <f>IFERROR(100/'Skjema total MA'!F22*G22,0)</f>
        <v>25.759393294897492</v>
      </c>
      <c r="J22" s="299">
        <f t="shared" ref="J22:K35" si="7">SUM(B22,F22)</f>
        <v>321979.03367150901</v>
      </c>
      <c r="K22" s="299">
        <f t="shared" si="7"/>
        <v>332118.11397577403</v>
      </c>
      <c r="L22" s="405">
        <f t="shared" ref="L22:L35" si="8">IF(J22=0, "    ---- ", IF(ABS(ROUND(100/J22*K22-100,1))&lt;999,ROUND(100/J22*K22-100,1),IF(ROUND(100/J22*K22-100,1)&gt;999,999,-999)))</f>
        <v>3.1</v>
      </c>
      <c r="M22" s="24">
        <f>IFERROR(100/'Skjema total MA'!I22*K22,0)</f>
        <v>13.906073128084616</v>
      </c>
    </row>
    <row r="23" spans="1:14" ht="15.75" x14ac:dyDescent="0.2">
      <c r="A23" s="487" t="s">
        <v>350</v>
      </c>
      <c r="B23" s="267">
        <v>152199.04565150899</v>
      </c>
      <c r="C23" s="267">
        <v>164691.76927577399</v>
      </c>
      <c r="D23" s="150">
        <f t="shared" si="5"/>
        <v>8.1999999999999993</v>
      </c>
      <c r="E23" s="11">
        <f>IFERROR(100/'Skjema total MA'!C23*C23,0)</f>
        <v>16.047591422717961</v>
      </c>
      <c r="F23" s="276">
        <v>1934.568</v>
      </c>
      <c r="G23" s="276">
        <v>1732.59</v>
      </c>
      <c r="H23" s="150">
        <f t="shared" si="6"/>
        <v>-10.4</v>
      </c>
      <c r="I23" s="395">
        <f>IFERROR(100/'Skjema total MA'!F23*G23,0)</f>
        <v>5.0879586336602696</v>
      </c>
      <c r="J23" s="276">
        <f t="shared" ref="J23:J26" si="9">SUM(B23,F23)</f>
        <v>154133.61365150899</v>
      </c>
      <c r="K23" s="276">
        <f t="shared" ref="K23:K26" si="10">SUM(C23,G23)</f>
        <v>166424.35927577398</v>
      </c>
      <c r="L23" s="150">
        <f t="shared" si="8"/>
        <v>8</v>
      </c>
      <c r="M23" s="23">
        <f>IFERROR(100/'Skjema total MA'!I23*K23,0)</f>
        <v>15.69561808719652</v>
      </c>
    </row>
    <row r="24" spans="1:14" ht="15.75" x14ac:dyDescent="0.2">
      <c r="A24" s="487" t="s">
        <v>351</v>
      </c>
      <c r="B24" s="267">
        <v>355.82</v>
      </c>
      <c r="C24" s="267">
        <v>153.88</v>
      </c>
      <c r="D24" s="150">
        <f t="shared" si="5"/>
        <v>-56.8</v>
      </c>
      <c r="E24" s="11">
        <f>IFERROR(100/'Skjema total MA'!C24*C24,0)</f>
        <v>0.85267920289543508</v>
      </c>
      <c r="F24" s="276"/>
      <c r="G24" s="276"/>
      <c r="H24" s="150"/>
      <c r="I24" s="395"/>
      <c r="J24" s="276">
        <f t="shared" si="9"/>
        <v>355.82</v>
      </c>
      <c r="K24" s="276">
        <f t="shared" si="10"/>
        <v>153.88</v>
      </c>
      <c r="L24" s="150">
        <f t="shared" si="8"/>
        <v>-56.8</v>
      </c>
      <c r="M24" s="23">
        <f>IFERROR(100/'Skjema total MA'!I24*K24,0)</f>
        <v>0.72755246829680209</v>
      </c>
    </row>
    <row r="25" spans="1:14" ht="15.75" x14ac:dyDescent="0.2">
      <c r="A25" s="487" t="s">
        <v>352</v>
      </c>
      <c r="B25" s="267"/>
      <c r="C25" s="267"/>
      <c r="D25" s="150"/>
      <c r="E25" s="11"/>
      <c r="F25" s="276">
        <v>719.72721000000001</v>
      </c>
      <c r="G25" s="276">
        <v>653.75</v>
      </c>
      <c r="H25" s="150">
        <f t="shared" si="6"/>
        <v>-9.1999999999999993</v>
      </c>
      <c r="I25" s="395">
        <f>IFERROR(100/'Skjema total MA'!F25*G25,0)</f>
        <v>5.064426347376763</v>
      </c>
      <c r="J25" s="276">
        <f t="shared" si="9"/>
        <v>719.72721000000001</v>
      </c>
      <c r="K25" s="276">
        <f t="shared" si="10"/>
        <v>653.75</v>
      </c>
      <c r="L25" s="150">
        <f t="shared" si="8"/>
        <v>-9.1999999999999993</v>
      </c>
      <c r="M25" s="23">
        <f>IFERROR(100/'Skjema total MA'!I25*K25,0)</f>
        <v>3.174519417930239</v>
      </c>
    </row>
    <row r="26" spans="1:14" ht="15.75" x14ac:dyDescent="0.2">
      <c r="A26" s="487" t="s">
        <v>353</v>
      </c>
      <c r="B26" s="267"/>
      <c r="C26" s="267"/>
      <c r="D26" s="150"/>
      <c r="E26" s="11"/>
      <c r="F26" s="276">
        <v>166769.87281</v>
      </c>
      <c r="G26" s="276">
        <v>164886.12469999999</v>
      </c>
      <c r="H26" s="150">
        <f t="shared" si="6"/>
        <v>-1.1000000000000001</v>
      </c>
      <c r="I26" s="395">
        <f>IFERROR(100/'Skjema total MA'!F26*G26,0)</f>
        <v>27.513129333905372</v>
      </c>
      <c r="J26" s="276">
        <f t="shared" si="9"/>
        <v>166769.87281</v>
      </c>
      <c r="K26" s="276">
        <f t="shared" si="10"/>
        <v>164886.12469999999</v>
      </c>
      <c r="L26" s="150">
        <f t="shared" si="8"/>
        <v>-1.1000000000000001</v>
      </c>
      <c r="M26" s="23">
        <f>IFERROR(100/'Skjema total MA'!I26*K26,0)</f>
        <v>27.513129333905372</v>
      </c>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157751.82153121999</v>
      </c>
      <c r="C28" s="273">
        <v>170691.59961566</v>
      </c>
      <c r="D28" s="150">
        <f t="shared" si="5"/>
        <v>8.1999999999999993</v>
      </c>
      <c r="E28" s="11">
        <f>IFERROR(100/'Skjema total MA'!C28*C28,0)</f>
        <v>8.1288192759735836</v>
      </c>
      <c r="F28" s="215"/>
      <c r="G28" s="273"/>
      <c r="H28" s="150"/>
      <c r="I28" s="27"/>
      <c r="J28" s="44">
        <f t="shared" si="7"/>
        <v>157751.82153121999</v>
      </c>
      <c r="K28" s="44">
        <f t="shared" si="7"/>
        <v>170691.59961566</v>
      </c>
      <c r="L28" s="240">
        <f t="shared" si="8"/>
        <v>8.1999999999999993</v>
      </c>
      <c r="M28" s="23">
        <f>IFERROR(100/'Skjema total MA'!I28*K28,0)</f>
        <v>8.1288192759735836</v>
      </c>
    </row>
    <row r="29" spans="1:14" s="3" customFormat="1" ht="15.75" x14ac:dyDescent="0.2">
      <c r="A29" s="13" t="s">
        <v>347</v>
      </c>
      <c r="B29" s="217">
        <v>4010531.83122257</v>
      </c>
      <c r="C29" s="217">
        <v>3965116.5321315001</v>
      </c>
      <c r="D29" s="155">
        <f t="shared" si="5"/>
        <v>-1.1000000000000001</v>
      </c>
      <c r="E29" s="11">
        <f>IFERROR(100/'Skjema total MA'!C29*C29,0)</f>
        <v>8.6561063916092049</v>
      </c>
      <c r="F29" s="291">
        <v>5070387.4000000004</v>
      </c>
      <c r="G29" s="291">
        <v>5670749.2800000003</v>
      </c>
      <c r="H29" s="155">
        <f t="shared" si="6"/>
        <v>11.8</v>
      </c>
      <c r="I29" s="11">
        <f>IFERROR(100/'Skjema total MA'!F29*G29,0)</f>
        <v>22.785202175540679</v>
      </c>
      <c r="J29" s="217">
        <f t="shared" si="7"/>
        <v>9080919.2312225699</v>
      </c>
      <c r="K29" s="217">
        <f t="shared" si="7"/>
        <v>9635865.8121314999</v>
      </c>
      <c r="L29" s="406">
        <f t="shared" si="8"/>
        <v>6.1</v>
      </c>
      <c r="M29" s="24">
        <f>IFERROR(100/'Skjema total MA'!I29*K29,0)</f>
        <v>13.6301902619873</v>
      </c>
      <c r="N29" s="132"/>
    </row>
    <row r="30" spans="1:14" s="3" customFormat="1" ht="15.75" x14ac:dyDescent="0.2">
      <c r="A30" s="487" t="s">
        <v>350</v>
      </c>
      <c r="B30" s="267">
        <v>560490.42169848201</v>
      </c>
      <c r="C30" s="267">
        <v>495119.74515919801</v>
      </c>
      <c r="D30" s="150">
        <f t="shared" si="5"/>
        <v>-11.7</v>
      </c>
      <c r="E30" s="11">
        <f>IFERROR(100/'Skjema total MA'!C30*C30,0)</f>
        <v>2.5327725663876426</v>
      </c>
      <c r="F30" s="276">
        <v>371040.896608198</v>
      </c>
      <c r="G30" s="276">
        <v>367110.45209201402</v>
      </c>
      <c r="H30" s="150">
        <f t="shared" si="6"/>
        <v>-1.1000000000000001</v>
      </c>
      <c r="I30" s="395">
        <f>IFERROR(100/'Skjema total MA'!F30*G30,0)</f>
        <v>10.691969696048758</v>
      </c>
      <c r="J30" s="276">
        <f t="shared" ref="J30:J33" si="11">SUM(B30,F30)</f>
        <v>931531.31830668007</v>
      </c>
      <c r="K30" s="276">
        <f t="shared" ref="K30:K33" si="12">SUM(C30,G30)</f>
        <v>862230.19725121208</v>
      </c>
      <c r="L30" s="150">
        <f t="shared" si="8"/>
        <v>-7.4</v>
      </c>
      <c r="M30" s="23">
        <f>IFERROR(100/'Skjema total MA'!I30*K30,0)</f>
        <v>3.7517560413599438</v>
      </c>
      <c r="N30" s="132"/>
    </row>
    <row r="31" spans="1:14" s="3" customFormat="1" ht="15.75" x14ac:dyDescent="0.2">
      <c r="A31" s="487" t="s">
        <v>351</v>
      </c>
      <c r="B31" s="267">
        <v>2743543.7357572699</v>
      </c>
      <c r="C31" s="267">
        <v>2675955.4067278202</v>
      </c>
      <c r="D31" s="150">
        <f t="shared" si="5"/>
        <v>-2.5</v>
      </c>
      <c r="E31" s="11">
        <f>IFERROR(100/'Skjema total MA'!C31*C31,0)</f>
        <v>11.238639698260968</v>
      </c>
      <c r="F31" s="276">
        <v>673034.23906000995</v>
      </c>
      <c r="G31" s="276">
        <v>661089.18449985899</v>
      </c>
      <c r="H31" s="150">
        <f t="shared" si="6"/>
        <v>-1.8</v>
      </c>
      <c r="I31" s="395">
        <f>IFERROR(100/'Skjema total MA'!F31*G31,0)</f>
        <v>9.1799072440494331</v>
      </c>
      <c r="J31" s="276">
        <f t="shared" si="11"/>
        <v>3416577.9748172797</v>
      </c>
      <c r="K31" s="276">
        <f t="shared" si="12"/>
        <v>3337044.591227679</v>
      </c>
      <c r="L31" s="150">
        <f t="shared" si="8"/>
        <v>-2.2999999999999998</v>
      </c>
      <c r="M31" s="23">
        <f>IFERROR(100/'Skjema total MA'!I31*K31,0)</f>
        <v>10.760566079648779</v>
      </c>
      <c r="N31" s="132"/>
    </row>
    <row r="32" spans="1:14" ht="15.75" x14ac:dyDescent="0.2">
      <c r="A32" s="487" t="s">
        <v>352</v>
      </c>
      <c r="B32" s="267">
        <v>706497.67376681801</v>
      </c>
      <c r="C32" s="267">
        <v>794041.38024448603</v>
      </c>
      <c r="D32" s="150">
        <f t="shared" si="5"/>
        <v>12.4</v>
      </c>
      <c r="E32" s="11">
        <f>IFERROR(100/'Skjema total MA'!C32*C32,0)</f>
        <v>33.857540311940291</v>
      </c>
      <c r="F32" s="276">
        <v>2186806.74841897</v>
      </c>
      <c r="G32" s="276">
        <v>2377104.5948802601</v>
      </c>
      <c r="H32" s="150">
        <f t="shared" si="6"/>
        <v>8.6999999999999993</v>
      </c>
      <c r="I32" s="395">
        <f>IFERROR(100/'Skjema total MA'!F32*G32,0)</f>
        <v>41.377623926439853</v>
      </c>
      <c r="J32" s="276">
        <f t="shared" si="11"/>
        <v>2893304.4221857879</v>
      </c>
      <c r="K32" s="276">
        <f t="shared" si="12"/>
        <v>3171145.9751247461</v>
      </c>
      <c r="L32" s="150">
        <f t="shared" si="8"/>
        <v>9.6</v>
      </c>
      <c r="M32" s="23">
        <f>IFERROR(100/'Skjema total MA'!I32*K32,0)</f>
        <v>39.197636218406011</v>
      </c>
    </row>
    <row r="33" spans="1:14" ht="15.75" x14ac:dyDescent="0.2">
      <c r="A33" s="487" t="s">
        <v>353</v>
      </c>
      <c r="B33" s="267"/>
      <c r="C33" s="267"/>
      <c r="D33" s="150"/>
      <c r="E33" s="11"/>
      <c r="F33" s="276">
        <v>1839505.5159128199</v>
      </c>
      <c r="G33" s="276">
        <v>2265445.0485278699</v>
      </c>
      <c r="H33" s="150">
        <f t="shared" si="6"/>
        <v>23.2</v>
      </c>
      <c r="I33" s="395">
        <f>IFERROR(100/'Skjema total MA'!F33*G33,0)</f>
        <v>26.627355654560056</v>
      </c>
      <c r="J33" s="276">
        <f t="shared" si="11"/>
        <v>1839505.5159128199</v>
      </c>
      <c r="K33" s="276">
        <f t="shared" si="12"/>
        <v>2265445.0485278699</v>
      </c>
      <c r="L33" s="150">
        <f t="shared" si="8"/>
        <v>23.2</v>
      </c>
      <c r="M33" s="23">
        <f>IFERROR(100/'Skjema total MA'!I33*K33,0)</f>
        <v>26.627355654560056</v>
      </c>
    </row>
    <row r="34" spans="1:14" ht="15.75" x14ac:dyDescent="0.2">
      <c r="A34" s="13" t="s">
        <v>348</v>
      </c>
      <c r="B34" s="217">
        <v>974.46686999999997</v>
      </c>
      <c r="C34" s="292">
        <v>753.56042000000002</v>
      </c>
      <c r="D34" s="155">
        <f t="shared" si="5"/>
        <v>-22.7</v>
      </c>
      <c r="E34" s="11">
        <f>IFERROR(100/'Skjema total MA'!C34*C34,0)</f>
        <v>3.8570795245073879</v>
      </c>
      <c r="F34" s="291">
        <v>8786.2215099999994</v>
      </c>
      <c r="G34" s="292">
        <v>19325.512719999999</v>
      </c>
      <c r="H34" s="155">
        <f t="shared" si="6"/>
        <v>120</v>
      </c>
      <c r="I34" s="11">
        <f>IFERROR(100/'Skjema total MA'!F34*G34,0)</f>
        <v>-1560.7811093138516</v>
      </c>
      <c r="J34" s="217">
        <f t="shared" si="7"/>
        <v>9760.6883799999996</v>
      </c>
      <c r="K34" s="217">
        <f t="shared" si="7"/>
        <v>20079.07314</v>
      </c>
      <c r="L34" s="406">
        <f t="shared" si="8"/>
        <v>105.7</v>
      </c>
      <c r="M34" s="24">
        <f>IFERROR(100/'Skjema total MA'!I34*K34,0)</f>
        <v>109.72844187817361</v>
      </c>
    </row>
    <row r="35" spans="1:14" ht="15.75" x14ac:dyDescent="0.2">
      <c r="A35" s="13" t="s">
        <v>349</v>
      </c>
      <c r="B35" s="217"/>
      <c r="C35" s="292"/>
      <c r="D35" s="155"/>
      <c r="E35" s="11"/>
      <c r="F35" s="291">
        <v>19218.302390000001</v>
      </c>
      <c r="G35" s="292">
        <v>24637.075789999999</v>
      </c>
      <c r="H35" s="155">
        <f t="shared" si="6"/>
        <v>28.2</v>
      </c>
      <c r="I35" s="11">
        <f>IFERROR(100/'Skjema total MA'!F35*G35,0)</f>
        <v>23.925365009458666</v>
      </c>
      <c r="J35" s="217">
        <f t="shared" si="7"/>
        <v>19218.302390000001</v>
      </c>
      <c r="K35" s="217">
        <f t="shared" si="7"/>
        <v>24637.075789999999</v>
      </c>
      <c r="L35" s="406">
        <f t="shared" si="8"/>
        <v>28.2</v>
      </c>
      <c r="M35" s="24">
        <f>IFERROR(100/'Skjema total MA'!I35*K35,0)</f>
        <v>95.851430754930789</v>
      </c>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c r="D47" s="405"/>
      <c r="E47" s="11"/>
      <c r="F47" s="129"/>
      <c r="G47" s="33"/>
      <c r="H47" s="143"/>
      <c r="I47" s="143"/>
      <c r="J47" s="37"/>
      <c r="K47" s="37"/>
      <c r="L47" s="143"/>
      <c r="M47" s="143"/>
      <c r="N47" s="132"/>
    </row>
    <row r="48" spans="1:14" s="3" customFormat="1" ht="15.75" x14ac:dyDescent="0.2">
      <c r="A48" s="38" t="s">
        <v>358</v>
      </c>
      <c r="B48" s="267"/>
      <c r="C48" s="268"/>
      <c r="D48" s="240"/>
      <c r="E48" s="27"/>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v>723902</v>
      </c>
      <c r="C66" s="335">
        <v>826704</v>
      </c>
      <c r="D66" s="332">
        <f t="shared" ref="D66:D111" si="13">IF(B66=0, "    ---- ", IF(ABS(ROUND(100/B66*C66-100,1))&lt;999,ROUND(100/B66*C66-100,1),IF(ROUND(100/B66*C66-100,1)&gt;999,999,-999)))</f>
        <v>14.2</v>
      </c>
      <c r="E66" s="11">
        <f>IFERROR(100/'Skjema total MA'!C66*C66,0)</f>
        <v>12.063164109272941</v>
      </c>
      <c r="F66" s="334">
        <v>5003733.284</v>
      </c>
      <c r="G66" s="334">
        <v>5938068.9060000004</v>
      </c>
      <c r="H66" s="332">
        <f t="shared" ref="H66:H111" si="14">IF(F66=0, "    ---- ", IF(ABS(ROUND(100/F66*G66-100,1))&lt;999,ROUND(100/F66*G66-100,1),IF(ROUND(100/F66*G66-100,1)&gt;999,999,-999)))</f>
        <v>18.7</v>
      </c>
      <c r="I66" s="11">
        <f>IFERROR(100/'Skjema total MA'!F66*G66,0)</f>
        <v>16.253917506760907</v>
      </c>
      <c r="J66" s="292">
        <f t="shared" ref="J66:K86" si="15">SUM(B66,F66)</f>
        <v>5727635.284</v>
      </c>
      <c r="K66" s="299">
        <f t="shared" si="15"/>
        <v>6764772.9060000004</v>
      </c>
      <c r="L66" s="406">
        <f t="shared" ref="L66:L111" si="16">IF(J66=0, "    ---- ", IF(ABS(ROUND(100/J66*K66-100,1))&lt;999,ROUND(100/J66*K66-100,1),IF(ROUND(100/J66*K66-100,1)&gt;999,999,-999)))</f>
        <v>18.100000000000001</v>
      </c>
      <c r="M66" s="11">
        <f>IFERROR(100/'Skjema total MA'!I66*K66,0)</f>
        <v>15.591962504335028</v>
      </c>
    </row>
    <row r="67" spans="1:14" x14ac:dyDescent="0.2">
      <c r="A67" s="397" t="s">
        <v>9</v>
      </c>
      <c r="B67" s="44">
        <v>480289.59549328801</v>
      </c>
      <c r="C67" s="129">
        <v>513667.59293495998</v>
      </c>
      <c r="D67" s="150">
        <f t="shared" si="13"/>
        <v>6.9</v>
      </c>
      <c r="E67" s="27">
        <f>IFERROR(100/'Skjema total MA'!C67*C67,0)</f>
        <v>12.208385252528133</v>
      </c>
      <c r="F67" s="215"/>
      <c r="G67" s="129"/>
      <c r="H67" s="150"/>
      <c r="I67" s="27"/>
      <c r="J67" s="273">
        <f t="shared" si="15"/>
        <v>480289.59549328801</v>
      </c>
      <c r="K67" s="44">
        <f t="shared" si="15"/>
        <v>513667.59293495998</v>
      </c>
      <c r="L67" s="240">
        <f t="shared" si="16"/>
        <v>6.9</v>
      </c>
      <c r="M67" s="27">
        <f>IFERROR(100/'Skjema total MA'!I67*K67,0)</f>
        <v>12.208385252528133</v>
      </c>
    </row>
    <row r="68" spans="1:14" x14ac:dyDescent="0.2">
      <c r="A68" s="21" t="s">
        <v>10</v>
      </c>
      <c r="B68" s="277">
        <v>5986</v>
      </c>
      <c r="C68" s="278">
        <v>1165</v>
      </c>
      <c r="D68" s="150">
        <f t="shared" si="13"/>
        <v>-80.5</v>
      </c>
      <c r="E68" s="27">
        <f>IFERROR(100/'Skjema total MA'!C68*C68,0)</f>
        <v>3.9927147931988629</v>
      </c>
      <c r="F68" s="277">
        <v>5003733.284</v>
      </c>
      <c r="G68" s="278">
        <v>5938068.9060000004</v>
      </c>
      <c r="H68" s="150">
        <f t="shared" si="14"/>
        <v>18.7</v>
      </c>
      <c r="I68" s="27">
        <f>IFERROR(100/'Skjema total MA'!F68*G68,0)</f>
        <v>17.009516451335699</v>
      </c>
      <c r="J68" s="273">
        <f t="shared" si="15"/>
        <v>5009719.284</v>
      </c>
      <c r="K68" s="44">
        <f t="shared" si="15"/>
        <v>5939233.9060000004</v>
      </c>
      <c r="L68" s="240">
        <f t="shared" si="16"/>
        <v>18.600000000000001</v>
      </c>
      <c r="M68" s="27">
        <f>IFERROR(100/'Skjema total MA'!I68*K68,0)</f>
        <v>16.998646043826117</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v>237626.40450671199</v>
      </c>
      <c r="C76" s="129">
        <v>311871.40706504002</v>
      </c>
      <c r="D76" s="150">
        <f t="shared" ref="D76" si="17">IF(B76=0, "    ---- ", IF(ABS(ROUND(100/B76*C76-100,1))&lt;999,ROUND(100/B76*C76-100,1),IF(ROUND(100/B76*C76-100,1)&gt;999,999,-999)))</f>
        <v>31.2</v>
      </c>
      <c r="E76" s="27">
        <f>IFERROR(100/'Skjema total MA'!C77*C76,0)</f>
        <v>7.5304498013602057</v>
      </c>
      <c r="F76" s="215"/>
      <c r="G76" s="129"/>
      <c r="H76" s="150"/>
      <c r="I76" s="27"/>
      <c r="J76" s="273">
        <f t="shared" ref="J76" si="18">SUM(B76,F76)</f>
        <v>237626.40450671199</v>
      </c>
      <c r="K76" s="44">
        <f t="shared" ref="K76" si="19">SUM(C76,G76)</f>
        <v>311871.40706504002</v>
      </c>
      <c r="L76" s="240">
        <f t="shared" ref="L76" si="20">IF(J76=0, "    ---- ", IF(ABS(ROUND(100/J76*K76-100,1))&lt;999,ROUND(100/J76*K76-100,1),IF(ROUND(100/J76*K76-100,1)&gt;999,999,-999)))</f>
        <v>31.2</v>
      </c>
      <c r="M76" s="27">
        <f>IFERROR(100/'Skjema total MA'!I77*K76,0)</f>
        <v>0.79880394475919558</v>
      </c>
      <c r="N76" s="132"/>
    </row>
    <row r="77" spans="1:14" ht="15.75" x14ac:dyDescent="0.2">
      <c r="A77" s="21" t="s">
        <v>364</v>
      </c>
      <c r="B77" s="215">
        <v>478454.645493288</v>
      </c>
      <c r="C77" s="215">
        <v>508445.44693496003</v>
      </c>
      <c r="D77" s="150">
        <f t="shared" si="13"/>
        <v>6.3</v>
      </c>
      <c r="E77" s="27">
        <f>IFERROR(100/'Skjema total MA'!C77*C77,0)</f>
        <v>12.276928336926312</v>
      </c>
      <c r="F77" s="215">
        <v>5001679.4280000003</v>
      </c>
      <c r="G77" s="129">
        <v>5936004.2170000002</v>
      </c>
      <c r="H77" s="150">
        <f t="shared" si="14"/>
        <v>18.7</v>
      </c>
      <c r="I77" s="27">
        <f>IFERROR(100/'Skjema total MA'!F77*G77,0)</f>
        <v>17.00820569916381</v>
      </c>
      <c r="J77" s="273">
        <f t="shared" si="15"/>
        <v>5480134.0734932879</v>
      </c>
      <c r="K77" s="44">
        <f t="shared" si="15"/>
        <v>6444449.66393496</v>
      </c>
      <c r="L77" s="240">
        <f t="shared" si="16"/>
        <v>17.600000000000001</v>
      </c>
      <c r="M77" s="27">
        <f>IFERROR(100/'Skjema total MA'!I77*K77,0)</f>
        <v>16.506328238932614</v>
      </c>
    </row>
    <row r="78" spans="1:14" x14ac:dyDescent="0.2">
      <c r="A78" s="21" t="s">
        <v>9</v>
      </c>
      <c r="B78" s="215">
        <v>474529.30749328801</v>
      </c>
      <c r="C78" s="129">
        <v>507287.44693496003</v>
      </c>
      <c r="D78" s="150">
        <f t="shared" si="13"/>
        <v>6.9</v>
      </c>
      <c r="E78" s="27">
        <f>IFERROR(100/'Skjema total MA'!C78*C78,0)</f>
        <v>12.335856922144719</v>
      </c>
      <c r="F78" s="215"/>
      <c r="G78" s="129"/>
      <c r="H78" s="150"/>
      <c r="I78" s="27"/>
      <c r="J78" s="273">
        <f t="shared" si="15"/>
        <v>474529.30749328801</v>
      </c>
      <c r="K78" s="44">
        <f t="shared" si="15"/>
        <v>507287.44693496003</v>
      </c>
      <c r="L78" s="240">
        <f t="shared" si="16"/>
        <v>6.9</v>
      </c>
      <c r="M78" s="27">
        <f>IFERROR(100/'Skjema total MA'!I78*K78,0)</f>
        <v>12.335856922144719</v>
      </c>
    </row>
    <row r="79" spans="1:14" x14ac:dyDescent="0.2">
      <c r="A79" s="38" t="s">
        <v>396</v>
      </c>
      <c r="B79" s="277">
        <v>3925.3380000000002</v>
      </c>
      <c r="C79" s="278">
        <v>1158</v>
      </c>
      <c r="D79" s="150">
        <f t="shared" si="13"/>
        <v>-70.5</v>
      </c>
      <c r="E79" s="27">
        <f>IFERROR(100/'Skjema total MA'!C79*C79,0)</f>
        <v>3.9696765798906566</v>
      </c>
      <c r="F79" s="277">
        <v>5001679.4280000003</v>
      </c>
      <c r="G79" s="278">
        <v>5936004.2170000002</v>
      </c>
      <c r="H79" s="150">
        <f t="shared" si="14"/>
        <v>18.7</v>
      </c>
      <c r="I79" s="27">
        <f>IFERROR(100/'Skjema total MA'!F79*G79,0)</f>
        <v>17.00820569916381</v>
      </c>
      <c r="J79" s="273">
        <f t="shared" si="15"/>
        <v>5005604.7660000008</v>
      </c>
      <c r="K79" s="44">
        <f t="shared" si="15"/>
        <v>5937162.2170000002</v>
      </c>
      <c r="L79" s="240">
        <f t="shared" si="16"/>
        <v>18.600000000000001</v>
      </c>
      <c r="M79" s="27">
        <f>IFERROR(100/'Skjema total MA'!I79*K79,0)</f>
        <v>16.99731681219092</v>
      </c>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v>7820.95</v>
      </c>
      <c r="C86" s="129">
        <v>6386.6629999999996</v>
      </c>
      <c r="D86" s="150">
        <f t="shared" si="13"/>
        <v>-18.3</v>
      </c>
      <c r="E86" s="27">
        <f>IFERROR(100/'Skjema total MA'!C86*C86,0)</f>
        <v>6.7083469526684496</v>
      </c>
      <c r="F86" s="215">
        <v>2053.8560000000002</v>
      </c>
      <c r="G86" s="129">
        <v>2064.6889999999999</v>
      </c>
      <c r="H86" s="150">
        <f t="shared" si="14"/>
        <v>0.5</v>
      </c>
      <c r="I86" s="27">
        <f>IFERROR(100/'Skjema total MA'!F86*G86,0)</f>
        <v>21.85092123162989</v>
      </c>
      <c r="J86" s="273">
        <f t="shared" si="15"/>
        <v>9874.8060000000005</v>
      </c>
      <c r="K86" s="44">
        <f t="shared" si="15"/>
        <v>8451.351999999999</v>
      </c>
      <c r="L86" s="240">
        <f t="shared" si="16"/>
        <v>-14.4</v>
      </c>
      <c r="M86" s="27">
        <f>IFERROR(100/'Skjema total MA'!I86*K86,0)</f>
        <v>8.0755405538996445</v>
      </c>
    </row>
    <row r="87" spans="1:13" ht="15.75" x14ac:dyDescent="0.2">
      <c r="A87" s="13" t="s">
        <v>347</v>
      </c>
      <c r="B87" s="335">
        <v>50149102.880440257</v>
      </c>
      <c r="C87" s="335">
        <v>49702241.330873691</v>
      </c>
      <c r="D87" s="155">
        <f t="shared" si="13"/>
        <v>-0.9</v>
      </c>
      <c r="E87" s="11">
        <f>IFERROR(100/'Skjema total MA'!C87*C87,0)</f>
        <v>12.441363726186614</v>
      </c>
      <c r="F87" s="334">
        <v>63847867.00316</v>
      </c>
      <c r="G87" s="334">
        <v>80806435.38854</v>
      </c>
      <c r="H87" s="155">
        <f t="shared" si="14"/>
        <v>26.6</v>
      </c>
      <c r="I87" s="11">
        <f>IFERROR(100/'Skjema total MA'!F87*G87,0)</f>
        <v>16.004503598577834</v>
      </c>
      <c r="J87" s="292">
        <f t="shared" ref="J87:K111" si="21">SUM(B87,F87)</f>
        <v>113996969.88360026</v>
      </c>
      <c r="K87" s="217">
        <f t="shared" si="21"/>
        <v>130508676.7194137</v>
      </c>
      <c r="L87" s="406">
        <f t="shared" si="16"/>
        <v>14.5</v>
      </c>
      <c r="M87" s="11">
        <f>IFERROR(100/'Skjema total MA'!I87*K87,0)</f>
        <v>14.43057473427805</v>
      </c>
    </row>
    <row r="88" spans="1:13" x14ac:dyDescent="0.2">
      <c r="A88" s="21" t="s">
        <v>9</v>
      </c>
      <c r="B88" s="215">
        <v>48461661.962348297</v>
      </c>
      <c r="C88" s="129">
        <v>47966723.281745099</v>
      </c>
      <c r="D88" s="150">
        <f t="shared" si="13"/>
        <v>-1</v>
      </c>
      <c r="E88" s="27">
        <f>IFERROR(100/'Skjema total MA'!C88*C88,0)</f>
        <v>12.537150685395709</v>
      </c>
      <c r="F88" s="215"/>
      <c r="G88" s="129"/>
      <c r="H88" s="150"/>
      <c r="I88" s="27"/>
      <c r="J88" s="273">
        <f t="shared" si="21"/>
        <v>48461661.962348297</v>
      </c>
      <c r="K88" s="44">
        <f t="shared" si="21"/>
        <v>47966723.281745099</v>
      </c>
      <c r="L88" s="240">
        <f t="shared" si="16"/>
        <v>-1</v>
      </c>
      <c r="M88" s="27">
        <f>IFERROR(100/'Skjema total MA'!I88*K88,0)</f>
        <v>12.537150685395709</v>
      </c>
    </row>
    <row r="89" spans="1:13" x14ac:dyDescent="0.2">
      <c r="A89" s="21" t="s">
        <v>10</v>
      </c>
      <c r="B89" s="215">
        <v>1365619.1020919599</v>
      </c>
      <c r="C89" s="129">
        <v>1399670.5671285901</v>
      </c>
      <c r="D89" s="150">
        <f t="shared" si="13"/>
        <v>2.5</v>
      </c>
      <c r="E89" s="27">
        <f>IFERROR(100/'Skjema total MA'!C89*C89,0)</f>
        <v>63.744501937210238</v>
      </c>
      <c r="F89" s="215">
        <v>63847867.00316</v>
      </c>
      <c r="G89" s="129">
        <v>80806435.38854</v>
      </c>
      <c r="H89" s="150">
        <f t="shared" si="14"/>
        <v>26.6</v>
      </c>
      <c r="I89" s="27">
        <f>IFERROR(100/'Skjema total MA'!F89*G89,0)</f>
        <v>16.23435160111563</v>
      </c>
      <c r="J89" s="273">
        <f t="shared" si="21"/>
        <v>65213486.10525196</v>
      </c>
      <c r="K89" s="44">
        <f t="shared" si="21"/>
        <v>82206105.955668584</v>
      </c>
      <c r="L89" s="240">
        <f t="shared" si="16"/>
        <v>26.1</v>
      </c>
      <c r="M89" s="27">
        <f>IFERROR(100/'Skjema total MA'!I89*K89,0)</f>
        <v>16.443015292921014</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v>321821.81599999999</v>
      </c>
      <c r="C97" s="129">
        <v>335847.48200000002</v>
      </c>
      <c r="D97" s="150">
        <f t="shared" ref="D97" si="22">IF(B97=0, "    ---- ", IF(ABS(ROUND(100/B97*C97-100,1))&lt;999,ROUND(100/B97*C97-100,1),IF(ROUND(100/B97*C97-100,1)&gt;999,999,-999)))</f>
        <v>4.4000000000000004</v>
      </c>
      <c r="E97" s="27">
        <f>IFERROR(100/'Skjema total MA'!C98*C97,0)</f>
        <v>8.827639184801106E-2</v>
      </c>
      <c r="F97" s="215"/>
      <c r="G97" s="129"/>
      <c r="H97" s="150"/>
      <c r="I97" s="27"/>
      <c r="J97" s="273">
        <f t="shared" ref="J97" si="23">SUM(B97,F97)</f>
        <v>321821.81599999999</v>
      </c>
      <c r="K97" s="44">
        <f t="shared" ref="K97" si="24">SUM(C97,G97)</f>
        <v>335847.48200000002</v>
      </c>
      <c r="L97" s="240">
        <f t="shared" ref="L97" si="25">IF(J97=0, "    ---- ", IF(ABS(ROUND(100/J97*K97-100,1))&lt;999,ROUND(100/J97*K97-100,1),IF(ROUND(100/J97*K97-100,1)&gt;999,999,-999)))</f>
        <v>4.4000000000000004</v>
      </c>
      <c r="M97" s="27">
        <f>IFERROR(100/'Skjema total MA'!I98*K97,0)</f>
        <v>3.8250904702392063E-2</v>
      </c>
    </row>
    <row r="98" spans="1:13" ht="15.75" x14ac:dyDescent="0.2">
      <c r="A98" s="21" t="s">
        <v>364</v>
      </c>
      <c r="B98" s="215">
        <v>49804596.198440261</v>
      </c>
      <c r="C98" s="215">
        <v>49344978.678873688</v>
      </c>
      <c r="D98" s="150">
        <f t="shared" si="13"/>
        <v>-0.9</v>
      </c>
      <c r="E98" s="27">
        <f>IFERROR(100/'Skjema total MA'!C98*C98,0)</f>
        <v>12.970163264728615</v>
      </c>
      <c r="F98" s="277">
        <v>63835578.570160002</v>
      </c>
      <c r="G98" s="277">
        <v>80791151.244540006</v>
      </c>
      <c r="H98" s="150">
        <f t="shared" si="14"/>
        <v>26.6</v>
      </c>
      <c r="I98" s="27">
        <f>IFERROR(100/'Skjema total MA'!F98*G98,0)</f>
        <v>16.237406337376207</v>
      </c>
      <c r="J98" s="273">
        <f t="shared" si="21"/>
        <v>113640174.76860026</v>
      </c>
      <c r="K98" s="44">
        <f t="shared" si="21"/>
        <v>130136129.92341369</v>
      </c>
      <c r="L98" s="240">
        <f t="shared" si="16"/>
        <v>14.5</v>
      </c>
      <c r="M98" s="27">
        <f>IFERROR(100/'Skjema total MA'!I98*K98,0)</f>
        <v>14.821682373186912</v>
      </c>
    </row>
    <row r="99" spans="1:13" x14ac:dyDescent="0.2">
      <c r="A99" s="21" t="s">
        <v>9</v>
      </c>
      <c r="B99" s="277">
        <v>48438977.096348301</v>
      </c>
      <c r="C99" s="278">
        <v>47945308.111745097</v>
      </c>
      <c r="D99" s="150">
        <f t="shared" si="13"/>
        <v>-1</v>
      </c>
      <c r="E99" s="27">
        <f>IFERROR(100/'Skjema total MA'!C99*C99,0)</f>
        <v>12.675420180041728</v>
      </c>
      <c r="F99" s="215"/>
      <c r="G99" s="129"/>
      <c r="H99" s="150"/>
      <c r="I99" s="27"/>
      <c r="J99" s="273">
        <f t="shared" si="21"/>
        <v>48438977.096348301</v>
      </c>
      <c r="K99" s="44">
        <f t="shared" si="21"/>
        <v>47945308.111745097</v>
      </c>
      <c r="L99" s="240">
        <f t="shared" si="16"/>
        <v>-1</v>
      </c>
      <c r="M99" s="27">
        <f>IFERROR(100/'Skjema total MA'!I99*K99,0)</f>
        <v>12.675420180041728</v>
      </c>
    </row>
    <row r="100" spans="1:13" x14ac:dyDescent="0.2">
      <c r="A100" s="38" t="s">
        <v>396</v>
      </c>
      <c r="B100" s="277">
        <v>1365619.1020919599</v>
      </c>
      <c r="C100" s="278">
        <v>1399670.5671285901</v>
      </c>
      <c r="D100" s="150">
        <f t="shared" si="13"/>
        <v>2.5</v>
      </c>
      <c r="E100" s="27">
        <f>IFERROR(100/'Skjema total MA'!C100*C100,0)</f>
        <v>63.744501937210238</v>
      </c>
      <c r="F100" s="215">
        <v>63835578.570160002</v>
      </c>
      <c r="G100" s="215">
        <v>80791151.244540006</v>
      </c>
      <c r="H100" s="150">
        <f t="shared" si="14"/>
        <v>26.6</v>
      </c>
      <c r="I100" s="27">
        <f>IFERROR(100/'Skjema total MA'!F100*G100,0)</f>
        <v>16.237406337376207</v>
      </c>
      <c r="J100" s="273">
        <f t="shared" si="21"/>
        <v>65201197.672251962</v>
      </c>
      <c r="K100" s="44">
        <f t="shared" si="21"/>
        <v>82190821.81166859</v>
      </c>
      <c r="L100" s="240">
        <f t="shared" si="16"/>
        <v>26.1</v>
      </c>
      <c r="M100" s="27">
        <f>IFERROR(100/'Skjema total MA'!I100*K100,0)</f>
        <v>16.446135007629383</v>
      </c>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v>22684.866000000002</v>
      </c>
      <c r="C107" s="129">
        <v>21415.17</v>
      </c>
      <c r="D107" s="150">
        <f t="shared" si="13"/>
        <v>-5.6</v>
      </c>
      <c r="E107" s="27">
        <f>IFERROR(100/'Skjema total MA'!C107*C107,0)</f>
        <v>0.49315342060930162</v>
      </c>
      <c r="F107" s="215">
        <v>12288.433000000001</v>
      </c>
      <c r="G107" s="129">
        <v>15284.144</v>
      </c>
      <c r="H107" s="150">
        <f t="shared" si="14"/>
        <v>24.4</v>
      </c>
      <c r="I107" s="27">
        <f>IFERROR(100/'Skjema total MA'!F107*G107,0)</f>
        <v>8.1397936888029196</v>
      </c>
      <c r="J107" s="273">
        <f t="shared" si="21"/>
        <v>34973.298999999999</v>
      </c>
      <c r="K107" s="44">
        <f t="shared" si="21"/>
        <v>36699.313999999998</v>
      </c>
      <c r="L107" s="240">
        <f t="shared" si="16"/>
        <v>4.9000000000000004</v>
      </c>
      <c r="M107" s="27">
        <f>IFERROR(100/'Skjema total MA'!I107*K107,0)</f>
        <v>0.8100916079672712</v>
      </c>
    </row>
    <row r="108" spans="1:13" ht="15.75" x14ac:dyDescent="0.2">
      <c r="A108" s="21" t="s">
        <v>366</v>
      </c>
      <c r="B108" s="215">
        <v>39275268.894150198</v>
      </c>
      <c r="C108" s="215">
        <v>38598559.231895201</v>
      </c>
      <c r="D108" s="150">
        <f t="shared" si="13"/>
        <v>-1.7</v>
      </c>
      <c r="E108" s="27">
        <f>IFERROR(100/'Skjema total MA'!C108*C108,0)</f>
        <v>11.751427805734464</v>
      </c>
      <c r="F108" s="215"/>
      <c r="G108" s="215"/>
      <c r="H108" s="150"/>
      <c r="I108" s="27"/>
      <c r="J108" s="273">
        <f t="shared" si="21"/>
        <v>39275268.894150198</v>
      </c>
      <c r="K108" s="44">
        <f t="shared" si="21"/>
        <v>38598559.231895201</v>
      </c>
      <c r="L108" s="240">
        <f t="shared" si="16"/>
        <v>-1.7</v>
      </c>
      <c r="M108" s="27">
        <f>IFERROR(100/'Skjema total MA'!I108*K108,0)</f>
        <v>11.074669472706482</v>
      </c>
    </row>
    <row r="109" spans="1:13" ht="15.75" x14ac:dyDescent="0.2">
      <c r="A109" s="38" t="s">
        <v>404</v>
      </c>
      <c r="B109" s="215">
        <v>965153.37215767498</v>
      </c>
      <c r="C109" s="215">
        <v>1040349.68053346</v>
      </c>
      <c r="D109" s="150">
        <f t="shared" si="13"/>
        <v>7.8</v>
      </c>
      <c r="E109" s="27">
        <f>IFERROR(100/'Skjema total MA'!C109*C109,0)</f>
        <v>51.384494497297204</v>
      </c>
      <c r="F109" s="215">
        <v>25278104.950257201</v>
      </c>
      <c r="G109" s="215">
        <v>33786280.482749999</v>
      </c>
      <c r="H109" s="150">
        <f t="shared" si="14"/>
        <v>33.700000000000003</v>
      </c>
      <c r="I109" s="27">
        <f>IFERROR(100/'Skjema total MA'!F109*G109,0)</f>
        <v>18.092747901366671</v>
      </c>
      <c r="J109" s="273">
        <f t="shared" si="21"/>
        <v>26243258.322414875</v>
      </c>
      <c r="K109" s="44">
        <f t="shared" si="21"/>
        <v>34826630.16328346</v>
      </c>
      <c r="L109" s="240">
        <f t="shared" si="16"/>
        <v>32.700000000000003</v>
      </c>
      <c r="M109" s="27">
        <f>IFERROR(100/'Skjema total MA'!I109*K109,0)</f>
        <v>18.449827204901677</v>
      </c>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v>422.16499999999996</v>
      </c>
      <c r="C111" s="143">
        <v>0</v>
      </c>
      <c r="D111" s="155">
        <f t="shared" si="13"/>
        <v>-100</v>
      </c>
      <c r="E111" s="11">
        <f>IFERROR(100/'Skjema total MA'!C111*C111,0)</f>
        <v>0</v>
      </c>
      <c r="F111" s="291">
        <v>5326900.4989999998</v>
      </c>
      <c r="G111" s="143">
        <v>9697964.8110000007</v>
      </c>
      <c r="H111" s="155">
        <f t="shared" si="14"/>
        <v>82.1</v>
      </c>
      <c r="I111" s="11">
        <f>IFERROR(100/'Skjema total MA'!F111*G111,0)</f>
        <v>26.404220769380743</v>
      </c>
      <c r="J111" s="292">
        <f t="shared" si="21"/>
        <v>5327322.6639999999</v>
      </c>
      <c r="K111" s="217">
        <f t="shared" si="21"/>
        <v>9697964.8110000007</v>
      </c>
      <c r="L111" s="406">
        <f t="shared" si="16"/>
        <v>82</v>
      </c>
      <c r="M111" s="11">
        <f>IFERROR(100/'Skjema total MA'!I111*K111,0)</f>
        <v>26.095667790858059</v>
      </c>
    </row>
    <row r="112" spans="1:13" x14ac:dyDescent="0.2">
      <c r="A112" s="21" t="s">
        <v>9</v>
      </c>
      <c r="B112" s="215">
        <v>241.202</v>
      </c>
      <c r="C112" s="129">
        <v>0</v>
      </c>
      <c r="D112" s="150">
        <f t="shared" ref="D112:D120" si="26">IF(B112=0, "    ---- ", IF(ABS(ROUND(100/B112*C112-100,1))&lt;999,ROUND(100/B112*C112-100,1),IF(ROUND(100/B112*C112-100,1)&gt;999,999,-999)))</f>
        <v>-100</v>
      </c>
      <c r="E112" s="27">
        <f>IFERROR(100/'Skjema total MA'!C112*C112,0)</f>
        <v>0</v>
      </c>
      <c r="F112" s="215"/>
      <c r="G112" s="129"/>
      <c r="H112" s="150"/>
      <c r="I112" s="27"/>
      <c r="J112" s="273">
        <f t="shared" ref="J112:K125" si="27">SUM(B112,F112)</f>
        <v>241.202</v>
      </c>
      <c r="K112" s="44">
        <f t="shared" si="27"/>
        <v>0</v>
      </c>
      <c r="L112" s="240">
        <f t="shared" ref="L112:L125" si="28">IF(J112=0, "    ---- ", IF(ABS(ROUND(100/J112*K112-100,1))&lt;999,ROUND(100/J112*K112-100,1),IF(ROUND(100/J112*K112-100,1)&gt;999,999,-999)))</f>
        <v>-100</v>
      </c>
      <c r="M112" s="27">
        <f>IFERROR(100/'Skjema total MA'!I112*K112,0)</f>
        <v>0</v>
      </c>
    </row>
    <row r="113" spans="1:14" x14ac:dyDescent="0.2">
      <c r="A113" s="21" t="s">
        <v>10</v>
      </c>
      <c r="B113" s="215">
        <v>180.96299999999999</v>
      </c>
      <c r="C113" s="129">
        <v>0</v>
      </c>
      <c r="D113" s="150">
        <f t="shared" si="26"/>
        <v>-100</v>
      </c>
      <c r="E113" s="27">
        <f>IFERROR(100/'Skjema total MA'!C113*C113,0)</f>
        <v>0</v>
      </c>
      <c r="F113" s="215">
        <v>5326900.4989999998</v>
      </c>
      <c r="G113" s="129">
        <v>9697964.8110000007</v>
      </c>
      <c r="H113" s="150">
        <f t="shared" ref="H113:H125" si="29">IF(F113=0, "    ---- ", IF(ABS(ROUND(100/F113*G113-100,1))&lt;999,ROUND(100/F113*G113-100,1),IF(ROUND(100/F113*G113-100,1)&gt;999,999,-999)))</f>
        <v>82.1</v>
      </c>
      <c r="I113" s="27">
        <f>IFERROR(100/'Skjema total MA'!F113*G113,0)</f>
        <v>26.411588188585053</v>
      </c>
      <c r="J113" s="273">
        <f t="shared" si="27"/>
        <v>5327081.4620000003</v>
      </c>
      <c r="K113" s="44">
        <f t="shared" si="27"/>
        <v>9697964.8110000007</v>
      </c>
      <c r="L113" s="240">
        <f t="shared" si="28"/>
        <v>82.1</v>
      </c>
      <c r="M113" s="27">
        <f>IFERROR(100/'Skjema total MA'!I113*K113,0)</f>
        <v>26.411588188585053</v>
      </c>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44">
        <v>39.902999999999999</v>
      </c>
      <c r="C116" s="215">
        <v>0</v>
      </c>
      <c r="D116" s="150">
        <f t="shared" si="26"/>
        <v>-100</v>
      </c>
      <c r="E116" s="27">
        <f>IFERROR(100/'Skjema total MA'!C116*C116,0)</f>
        <v>0</v>
      </c>
      <c r="F116" s="215"/>
      <c r="G116" s="215"/>
      <c r="H116" s="150"/>
      <c r="I116" s="27"/>
      <c r="J116" s="273">
        <f t="shared" si="27"/>
        <v>39.902999999999999</v>
      </c>
      <c r="K116" s="44">
        <f t="shared" si="27"/>
        <v>0</v>
      </c>
      <c r="L116" s="240">
        <f t="shared" si="28"/>
        <v>-100</v>
      </c>
      <c r="M116" s="27">
        <f>IFERROR(100/'Skjema total MA'!I116*K116,0)</f>
        <v>0</v>
      </c>
    </row>
    <row r="117" spans="1:14" ht="15.75" x14ac:dyDescent="0.2">
      <c r="A117" s="38" t="s">
        <v>404</v>
      </c>
      <c r="B117" s="44">
        <v>180.96299999999999</v>
      </c>
      <c r="C117" s="215">
        <v>0</v>
      </c>
      <c r="D117" s="150">
        <f t="shared" si="26"/>
        <v>-100</v>
      </c>
      <c r="E117" s="27">
        <f>IFERROR(100/'Skjema total MA'!C117*C117,0)</f>
        <v>0</v>
      </c>
      <c r="F117" s="215">
        <v>3447130.2289999998</v>
      </c>
      <c r="G117" s="215">
        <v>5720396.0880000005</v>
      </c>
      <c r="H117" s="150">
        <f t="shared" si="29"/>
        <v>65.900000000000006</v>
      </c>
      <c r="I117" s="27">
        <f>IFERROR(100/'Skjema total MA'!F117*G117,0)</f>
        <v>28.223753415179246</v>
      </c>
      <c r="J117" s="273">
        <f t="shared" si="27"/>
        <v>3447311.1919999998</v>
      </c>
      <c r="K117" s="44">
        <f t="shared" si="27"/>
        <v>5720396.0880000005</v>
      </c>
      <c r="L117" s="240">
        <f t="shared" si="28"/>
        <v>65.900000000000006</v>
      </c>
      <c r="M117" s="27">
        <f>IFERROR(100/'Skjema total MA'!I117*K117,0)</f>
        <v>28.223753415179246</v>
      </c>
    </row>
    <row r="118" spans="1:14" ht="15.75" x14ac:dyDescent="0.2">
      <c r="A118" s="21" t="s">
        <v>367</v>
      </c>
      <c r="B118" s="44"/>
      <c r="C118" s="215"/>
      <c r="D118" s="150"/>
      <c r="E118" s="27"/>
      <c r="F118" s="215"/>
      <c r="G118" s="215"/>
      <c r="H118" s="150"/>
      <c r="I118" s="27"/>
      <c r="J118" s="273"/>
      <c r="K118" s="44"/>
      <c r="L118" s="240"/>
      <c r="M118" s="27"/>
    </row>
    <row r="119" spans="1:14" ht="15.75" x14ac:dyDescent="0.2">
      <c r="A119" s="13" t="s">
        <v>349</v>
      </c>
      <c r="B119" s="217">
        <v>3948.5240099998191</v>
      </c>
      <c r="C119" s="291">
        <v>77859.010119999759</v>
      </c>
      <c r="D119" s="155">
        <f t="shared" si="26"/>
        <v>999</v>
      </c>
      <c r="E119" s="11">
        <f>IFERROR(100/'Skjema total MA'!C119*C119,0)</f>
        <v>18.502724117202693</v>
      </c>
      <c r="F119" s="291">
        <v>4730223.83</v>
      </c>
      <c r="G119" s="143">
        <v>7899443.6380000003</v>
      </c>
      <c r="H119" s="155">
        <f t="shared" si="29"/>
        <v>67</v>
      </c>
      <c r="I119" s="11">
        <f>IFERROR(100/'Skjema total MA'!F119*G119,0)</f>
        <v>20.327662073899532</v>
      </c>
      <c r="J119" s="292">
        <f t="shared" si="27"/>
        <v>4734172.3540099999</v>
      </c>
      <c r="K119" s="217">
        <f t="shared" si="27"/>
        <v>7977302.64812</v>
      </c>
      <c r="L119" s="406">
        <f t="shared" si="28"/>
        <v>68.5</v>
      </c>
      <c r="M119" s="11">
        <f>IFERROR(100/'Skjema total MA'!I119*K119,0)</f>
        <v>20.308112612233273</v>
      </c>
    </row>
    <row r="120" spans="1:14" x14ac:dyDescent="0.2">
      <c r="A120" s="21" t="s">
        <v>9</v>
      </c>
      <c r="B120" s="44">
        <v>3948.5240099998191</v>
      </c>
      <c r="C120" s="215">
        <v>77859.010119999759</v>
      </c>
      <c r="D120" s="150">
        <f t="shared" si="26"/>
        <v>999</v>
      </c>
      <c r="E120" s="27">
        <f>IFERROR(100/'Skjema total MA'!C120*C120,0)</f>
        <v>28.498459537874702</v>
      </c>
      <c r="F120" s="215"/>
      <c r="G120" s="129"/>
      <c r="H120" s="150"/>
      <c r="I120" s="27"/>
      <c r="J120" s="273">
        <f t="shared" si="27"/>
        <v>3948.5240099998191</v>
      </c>
      <c r="K120" s="44">
        <f t="shared" si="27"/>
        <v>77859.010119999759</v>
      </c>
      <c r="L120" s="240">
        <f t="shared" si="28"/>
        <v>999</v>
      </c>
      <c r="M120" s="27">
        <f>IFERROR(100/'Skjema total MA'!I120*K120,0)</f>
        <v>28.498459537874702</v>
      </c>
    </row>
    <row r="121" spans="1:14" x14ac:dyDescent="0.2">
      <c r="A121" s="21" t="s">
        <v>10</v>
      </c>
      <c r="B121" s="215"/>
      <c r="C121" s="129"/>
      <c r="D121" s="150"/>
      <c r="E121" s="27"/>
      <c r="F121" s="215">
        <v>4730223.83</v>
      </c>
      <c r="G121" s="129">
        <v>7899443.6380000003</v>
      </c>
      <c r="H121" s="150">
        <f t="shared" si="29"/>
        <v>67</v>
      </c>
      <c r="I121" s="27">
        <f>IFERROR(100/'Skjema total MA'!F121*G121,0)</f>
        <v>20.327662073899532</v>
      </c>
      <c r="J121" s="273">
        <f t="shared" si="27"/>
        <v>4730223.83</v>
      </c>
      <c r="K121" s="44">
        <f t="shared" si="27"/>
        <v>7899443.6380000003</v>
      </c>
      <c r="L121" s="240">
        <f t="shared" si="28"/>
        <v>67</v>
      </c>
      <c r="M121" s="27">
        <f>IFERROR(100/'Skjema total MA'!I121*K121,0)</f>
        <v>20.325286128821478</v>
      </c>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v>3428314.6120000002</v>
      </c>
      <c r="G125" s="215">
        <v>4304858.2209999999</v>
      </c>
      <c r="H125" s="150">
        <f t="shared" si="29"/>
        <v>25.6</v>
      </c>
      <c r="I125" s="27">
        <f>IFERROR(100/'Skjema total MA'!F125*G125,0)</f>
        <v>23.547557705723989</v>
      </c>
      <c r="J125" s="273">
        <f t="shared" si="27"/>
        <v>3428314.6120000002</v>
      </c>
      <c r="K125" s="44">
        <f t="shared" si="27"/>
        <v>4304858.2209999999</v>
      </c>
      <c r="L125" s="240">
        <f t="shared" si="28"/>
        <v>25.6</v>
      </c>
      <c r="M125" s="27">
        <f>IFERROR(100/'Skjema total MA'!I125*K125,0)</f>
        <v>23.546533953117873</v>
      </c>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08" priority="12">
      <formula>kvartal &lt; 4</formula>
    </cfRule>
  </conditionalFormatting>
  <conditionalFormatting sqref="A69:A74">
    <cfRule type="expression" dxfId="307" priority="10">
      <formula>kvartal &lt; 4</formula>
    </cfRule>
  </conditionalFormatting>
  <conditionalFormatting sqref="A80:A85">
    <cfRule type="expression" dxfId="306" priority="9">
      <formula>kvartal &lt; 4</formula>
    </cfRule>
  </conditionalFormatting>
  <conditionalFormatting sqref="A90:A95">
    <cfRule type="expression" dxfId="305" priority="6">
      <formula>kvartal &lt; 4</formula>
    </cfRule>
  </conditionalFormatting>
  <conditionalFormatting sqref="A101:A106">
    <cfRule type="expression" dxfId="304" priority="5">
      <formula>kvartal &lt; 4</formula>
    </cfRule>
  </conditionalFormatting>
  <conditionalFormatting sqref="A115">
    <cfRule type="expression" dxfId="303" priority="4">
      <formula>kvartal &lt; 4</formula>
    </cfRule>
  </conditionalFormatting>
  <conditionalFormatting sqref="A123">
    <cfRule type="expression" dxfId="302"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B1" sqref="B1"/>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91</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25000</v>
      </c>
      <c r="C47" s="294">
        <v>25000</v>
      </c>
      <c r="D47" s="405">
        <f t="shared" ref="D47:D48" si="0">IF(B47=0, "    ---- ", IF(ABS(ROUND(100/B47*C47-100,1))&lt;999,ROUND(100/B47*C47-100,1),IF(ROUND(100/B47*C47-100,1)&gt;999,999,-999)))</f>
        <v>0</v>
      </c>
      <c r="E47" s="11">
        <f>IFERROR(100/'Skjema total MA'!C47*C47,0)</f>
        <v>0.46881261832418958</v>
      </c>
      <c r="F47" s="129"/>
      <c r="G47" s="33"/>
      <c r="H47" s="143"/>
      <c r="I47" s="143"/>
      <c r="J47" s="37"/>
      <c r="K47" s="37"/>
      <c r="L47" s="143"/>
      <c r="M47" s="143"/>
      <c r="N47" s="132"/>
    </row>
    <row r="48" spans="1:14" s="3" customFormat="1" ht="15.75" x14ac:dyDescent="0.2">
      <c r="A48" s="38" t="s">
        <v>358</v>
      </c>
      <c r="B48" s="267">
        <v>25000</v>
      </c>
      <c r="C48" s="268">
        <v>25000</v>
      </c>
      <c r="D48" s="240">
        <f t="shared" si="0"/>
        <v>0</v>
      </c>
      <c r="E48" s="27">
        <f>IFERROR(100/'Skjema total MA'!C48*C48,0)</f>
        <v>0.83233602330583367</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v>7023000</v>
      </c>
      <c r="C134" s="292">
        <v>9278000</v>
      </c>
      <c r="D134" s="332">
        <f t="shared" ref="D134:D136" si="1">IF(B134=0, "    ---- ", IF(ABS(ROUND(100/B134*C134-100,1))&lt;999,ROUND(100/B134*C134-100,1),IF(ROUND(100/B134*C134-100,1)&gt;999,999,-999)))</f>
        <v>32.1</v>
      </c>
      <c r="E134" s="11">
        <f>IFERROR(100/'Skjema total MA'!C134*C134,0)</f>
        <v>13.127341673006763</v>
      </c>
      <c r="F134" s="299"/>
      <c r="G134" s="300"/>
      <c r="H134" s="409"/>
      <c r="I134" s="24"/>
      <c r="J134" s="301">
        <f t="shared" ref="J134:K136" si="2">SUM(B134,F134)</f>
        <v>7023000</v>
      </c>
      <c r="K134" s="301">
        <f t="shared" si="2"/>
        <v>9278000</v>
      </c>
      <c r="L134" s="405">
        <f t="shared" ref="L134:L136" si="3">IF(J134=0, "    ---- ", IF(ABS(ROUND(100/J134*K134-100,1))&lt;999,ROUND(100/J134*K134-100,1),IF(ROUND(100/J134*K134-100,1)&gt;999,999,-999)))</f>
        <v>32.1</v>
      </c>
      <c r="M134" s="11">
        <f>IFERROR(100/'Skjema total MA'!I134*K134,0)</f>
        <v>13.08801999384379</v>
      </c>
      <c r="N134" s="132"/>
    </row>
    <row r="135" spans="1:14" s="3" customFormat="1" ht="15.75" x14ac:dyDescent="0.2">
      <c r="A135" s="13" t="s">
        <v>374</v>
      </c>
      <c r="B135" s="217">
        <v>85289000</v>
      </c>
      <c r="C135" s="292">
        <v>91739000</v>
      </c>
      <c r="D135" s="155">
        <f t="shared" si="1"/>
        <v>7.6</v>
      </c>
      <c r="E135" s="11">
        <f>IFERROR(100/'Skjema total MA'!C135*C135,0)</f>
        <v>11.296403456364885</v>
      </c>
      <c r="F135" s="217"/>
      <c r="G135" s="292"/>
      <c r="H135" s="410"/>
      <c r="I135" s="24"/>
      <c r="J135" s="291">
        <f t="shared" si="2"/>
        <v>85289000</v>
      </c>
      <c r="K135" s="291">
        <f t="shared" si="2"/>
        <v>91739000</v>
      </c>
      <c r="L135" s="406">
        <f t="shared" si="3"/>
        <v>7.6</v>
      </c>
      <c r="M135" s="11">
        <f>IFERROR(100/'Skjema total MA'!I135*K135,0)</f>
        <v>11.256841809363955</v>
      </c>
      <c r="N135" s="132"/>
    </row>
    <row r="136" spans="1:14" s="3" customFormat="1" ht="15.75" x14ac:dyDescent="0.2">
      <c r="A136" s="13" t="s">
        <v>371</v>
      </c>
      <c r="B136" s="217">
        <v>13000</v>
      </c>
      <c r="C136" s="292"/>
      <c r="D136" s="155">
        <f t="shared" si="1"/>
        <v>-100</v>
      </c>
      <c r="E136" s="11">
        <f>IFERROR(100/'Skjema total MA'!C136*C136,0)</f>
        <v>0</v>
      </c>
      <c r="F136" s="217"/>
      <c r="G136" s="292"/>
      <c r="H136" s="410"/>
      <c r="I136" s="24"/>
      <c r="J136" s="291">
        <f t="shared" si="2"/>
        <v>13000</v>
      </c>
      <c r="K136" s="291"/>
      <c r="L136" s="406">
        <f t="shared" si="3"/>
        <v>-100</v>
      </c>
      <c r="M136" s="11">
        <f>IFERROR(100/'Skjema total MA'!I136*K136,0)</f>
        <v>0</v>
      </c>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01" priority="12">
      <formula>kvartal &lt; 4</formula>
    </cfRule>
  </conditionalFormatting>
  <conditionalFormatting sqref="A69:A74">
    <cfRule type="expression" dxfId="300" priority="10">
      <formula>kvartal &lt; 4</formula>
    </cfRule>
  </conditionalFormatting>
  <conditionalFormatting sqref="A80:A85">
    <cfRule type="expression" dxfId="299" priority="9">
      <formula>kvartal &lt; 4</formula>
    </cfRule>
  </conditionalFormatting>
  <conditionalFormatting sqref="A90:A95">
    <cfRule type="expression" dxfId="298" priority="6">
      <formula>kvartal &lt; 4</formula>
    </cfRule>
  </conditionalFormatting>
  <conditionalFormatting sqref="A101:A106">
    <cfRule type="expression" dxfId="297" priority="5">
      <formula>kvartal &lt; 4</formula>
    </cfRule>
  </conditionalFormatting>
  <conditionalFormatting sqref="A115">
    <cfRule type="expression" dxfId="296" priority="4">
      <formula>kvartal &lt; 4</formula>
    </cfRule>
  </conditionalFormatting>
  <conditionalFormatting sqref="A123">
    <cfRule type="expression" dxfId="295"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486" t="s">
        <v>346</v>
      </c>
      <c r="D1" s="26"/>
      <c r="E1" s="26"/>
      <c r="F1" s="26"/>
      <c r="G1" s="26"/>
      <c r="H1" s="26"/>
      <c r="I1" s="26"/>
      <c r="J1" s="26"/>
      <c r="K1" s="26"/>
      <c r="L1" s="26"/>
      <c r="M1" s="26"/>
    </row>
    <row r="2" spans="1:14" ht="15.75" x14ac:dyDescent="0.25">
      <c r="A2" s="149" t="s">
        <v>28</v>
      </c>
      <c r="B2" s="727"/>
      <c r="C2" s="727"/>
      <c r="D2" s="727"/>
      <c r="E2" s="483"/>
      <c r="F2" s="727"/>
      <c r="G2" s="727"/>
      <c r="H2" s="727"/>
      <c r="I2" s="483"/>
      <c r="J2" s="727"/>
      <c r="K2" s="727"/>
      <c r="L2" s="727"/>
      <c r="M2" s="483"/>
    </row>
    <row r="3" spans="1:14" ht="15.75" x14ac:dyDescent="0.25">
      <c r="A3" s="147"/>
      <c r="B3" s="483"/>
      <c r="C3" s="483"/>
      <c r="D3" s="483"/>
      <c r="E3" s="483"/>
      <c r="F3" s="483"/>
      <c r="G3" s="483"/>
      <c r="H3" s="483"/>
      <c r="I3" s="483"/>
      <c r="J3" s="483"/>
      <c r="K3" s="483"/>
      <c r="L3" s="483"/>
      <c r="M3" s="483"/>
    </row>
    <row r="4" spans="1:14" x14ac:dyDescent="0.2">
      <c r="A4" s="128"/>
      <c r="B4" s="723" t="s">
        <v>0</v>
      </c>
      <c r="C4" s="724"/>
      <c r="D4" s="724"/>
      <c r="E4" s="481"/>
      <c r="F4" s="723" t="s">
        <v>1</v>
      </c>
      <c r="G4" s="724"/>
      <c r="H4" s="724"/>
      <c r="I4" s="482"/>
      <c r="J4" s="723" t="s">
        <v>2</v>
      </c>
      <c r="K4" s="724"/>
      <c r="L4" s="724"/>
      <c r="M4" s="482"/>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1516.0919285320599</v>
      </c>
      <c r="C7" s="290">
        <v>1388.31740154203</v>
      </c>
      <c r="D7" s="332">
        <f>IF(B7=0, "    ---- ", IF(ABS(ROUND(100/B7*C7-100,1))&lt;999,ROUND(100/B7*C7-100,1),IF(ROUND(100/B7*C7-100,1)&gt;999,999,-999)))</f>
        <v>-8.4</v>
      </c>
      <c r="E7" s="11">
        <f>IFERROR(100/'Skjema total MA'!C7*C7,0)</f>
        <v>3.2715491490550502E-2</v>
      </c>
      <c r="F7" s="289"/>
      <c r="G7" s="290"/>
      <c r="H7" s="332"/>
      <c r="I7" s="144"/>
      <c r="J7" s="291">
        <f t="shared" ref="J7:K9" si="0">SUM(B7,F7)</f>
        <v>1516.0919285320599</v>
      </c>
      <c r="K7" s="292">
        <f t="shared" si="0"/>
        <v>1388.31740154203</v>
      </c>
      <c r="L7" s="405">
        <f>IF(J7=0, "    ---- ", IF(ABS(ROUND(100/J7*K7-100,1))&lt;999,ROUND(100/J7*K7-100,1),IF(ROUND(100/J7*K7-100,1)&gt;999,999,-999)))</f>
        <v>-8.4</v>
      </c>
      <c r="M7" s="11">
        <f>IFERROR(100/'Skjema total MA'!I7*K7,0)</f>
        <v>1.1625392287090645E-2</v>
      </c>
    </row>
    <row r="8" spans="1:14" ht="15.75" x14ac:dyDescent="0.2">
      <c r="A8" s="21" t="s">
        <v>25</v>
      </c>
      <c r="B8" s="267"/>
      <c r="C8" s="268"/>
      <c r="D8" s="150"/>
      <c r="E8" s="27"/>
      <c r="F8" s="271"/>
      <c r="G8" s="272"/>
      <c r="H8" s="150"/>
      <c r="I8" s="160"/>
      <c r="J8" s="215"/>
      <c r="K8" s="273"/>
      <c r="L8" s="150"/>
      <c r="M8" s="27"/>
    </row>
    <row r="9" spans="1:14" ht="15.75" x14ac:dyDescent="0.2">
      <c r="A9" s="21" t="s">
        <v>24</v>
      </c>
      <c r="B9" s="267">
        <v>1516.0919285320599</v>
      </c>
      <c r="C9" s="268">
        <v>1388.31740154203</v>
      </c>
      <c r="D9" s="150">
        <f t="shared" ref="D9" si="1">IF(B9=0, "    ---- ", IF(ABS(ROUND(100/B9*C9-100,1))&lt;999,ROUND(100/B9*C9-100,1),IF(ROUND(100/B9*C9-100,1)&gt;999,999,-999)))</f>
        <v>-8.4</v>
      </c>
      <c r="E9" s="27">
        <f>IFERROR(100/'Skjema total MA'!C9*C9,0)</f>
        <v>0.15681739274650272</v>
      </c>
      <c r="F9" s="271"/>
      <c r="G9" s="272"/>
      <c r="H9" s="150"/>
      <c r="I9" s="160"/>
      <c r="J9" s="215">
        <f t="shared" si="0"/>
        <v>1516.0919285320599</v>
      </c>
      <c r="K9" s="273">
        <f t="shared" si="0"/>
        <v>1388.31740154203</v>
      </c>
      <c r="L9" s="150">
        <f t="shared" ref="L9" si="2">IF(J9=0, "    ---- ", IF(ABS(ROUND(100/J9*K9-100,1))&lt;999,ROUND(100/J9*K9-100,1),IF(ROUND(100/J9*K9-100,1)&gt;999,999,-999)))</f>
        <v>-8.4</v>
      </c>
      <c r="M9" s="27">
        <f>IFERROR(100/'Skjema total MA'!I9*K9,0)</f>
        <v>0.15681739274650272</v>
      </c>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483"/>
      <c r="F18" s="722"/>
      <c r="G18" s="722"/>
      <c r="H18" s="722"/>
      <c r="I18" s="483"/>
      <c r="J18" s="722"/>
      <c r="K18" s="722"/>
      <c r="L18" s="722"/>
      <c r="M18" s="483"/>
    </row>
    <row r="19" spans="1:14" x14ac:dyDescent="0.2">
      <c r="A19" s="128"/>
      <c r="B19" s="723" t="s">
        <v>0</v>
      </c>
      <c r="C19" s="724"/>
      <c r="D19" s="724"/>
      <c r="E19" s="481"/>
      <c r="F19" s="723" t="s">
        <v>1</v>
      </c>
      <c r="G19" s="724"/>
      <c r="H19" s="724"/>
      <c r="I19" s="482"/>
      <c r="J19" s="723" t="s">
        <v>2</v>
      </c>
      <c r="K19" s="724"/>
      <c r="L19" s="724"/>
      <c r="M19" s="482"/>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485"/>
    </row>
    <row r="41" spans="1:14" x14ac:dyDescent="0.2">
      <c r="A41" s="139"/>
    </row>
    <row r="42" spans="1:14" ht="15.75" x14ac:dyDescent="0.25">
      <c r="A42" s="131" t="s">
        <v>265</v>
      </c>
      <c r="B42" s="727"/>
      <c r="C42" s="727"/>
      <c r="D42" s="727"/>
      <c r="E42" s="483"/>
      <c r="F42" s="728"/>
      <c r="G42" s="728"/>
      <c r="H42" s="728"/>
      <c r="I42" s="485"/>
      <c r="J42" s="728"/>
      <c r="K42" s="728"/>
      <c r="L42" s="728"/>
      <c r="M42" s="485"/>
    </row>
    <row r="43" spans="1:14" ht="15.75" x14ac:dyDescent="0.25">
      <c r="A43" s="147"/>
      <c r="B43" s="484"/>
      <c r="C43" s="484"/>
      <c r="D43" s="484"/>
      <c r="E43" s="484"/>
      <c r="F43" s="485"/>
      <c r="G43" s="485"/>
      <c r="H43" s="485"/>
      <c r="I43" s="485"/>
      <c r="J43" s="485"/>
      <c r="K43" s="485"/>
      <c r="L43" s="485"/>
      <c r="M43" s="485"/>
    </row>
    <row r="44" spans="1:14" ht="15.75" x14ac:dyDescent="0.25">
      <c r="A44" s="230"/>
      <c r="B44" s="723" t="s">
        <v>0</v>
      </c>
      <c r="C44" s="724"/>
      <c r="D44" s="724"/>
      <c r="E44" s="225"/>
      <c r="F44" s="485"/>
      <c r="G44" s="485"/>
      <c r="H44" s="485"/>
      <c r="I44" s="485"/>
      <c r="J44" s="485"/>
      <c r="K44" s="485"/>
      <c r="L44" s="485"/>
      <c r="M44" s="4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336586.42185882799</v>
      </c>
      <c r="C47" s="294">
        <v>363531.49416733498</v>
      </c>
      <c r="D47" s="405">
        <f t="shared" ref="D47:D48" si="3">IF(B47=0, "    ---- ", IF(ABS(ROUND(100/B47*C47-100,1))&lt;999,ROUND(100/B47*C47-100,1),IF(ROUND(100/B47*C47-100,1)&gt;999,999,-999)))</f>
        <v>8</v>
      </c>
      <c r="E47" s="11">
        <f>IFERROR(100/'Skjema total MA'!C47*C47,0)</f>
        <v>6.8171260649557262</v>
      </c>
      <c r="F47" s="129"/>
      <c r="G47" s="33"/>
      <c r="H47" s="143"/>
      <c r="I47" s="143"/>
      <c r="J47" s="37"/>
      <c r="K47" s="37"/>
      <c r="L47" s="143"/>
      <c r="M47" s="143"/>
      <c r="N47" s="132"/>
    </row>
    <row r="48" spans="1:14" s="3" customFormat="1" ht="15.75" x14ac:dyDescent="0.2">
      <c r="A48" s="38" t="s">
        <v>358</v>
      </c>
      <c r="B48" s="267">
        <v>336586.42185882799</v>
      </c>
      <c r="C48" s="268">
        <v>363531.49416733498</v>
      </c>
      <c r="D48" s="240">
        <f t="shared" si="3"/>
        <v>8</v>
      </c>
      <c r="E48" s="27">
        <f>IFERROR(100/'Skjema total MA'!C48*C48,0)</f>
        <v>12.103214328066699</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483"/>
      <c r="F62" s="722"/>
      <c r="G62" s="722"/>
      <c r="H62" s="722"/>
      <c r="I62" s="483"/>
      <c r="J62" s="722"/>
      <c r="K62" s="722"/>
      <c r="L62" s="722"/>
      <c r="M62" s="483"/>
    </row>
    <row r="63" spans="1:14" x14ac:dyDescent="0.2">
      <c r="A63" s="128"/>
      <c r="B63" s="723" t="s">
        <v>0</v>
      </c>
      <c r="C63" s="724"/>
      <c r="D63" s="725"/>
      <c r="E63" s="480"/>
      <c r="F63" s="724" t="s">
        <v>1</v>
      </c>
      <c r="G63" s="724"/>
      <c r="H63" s="724"/>
      <c r="I63" s="482"/>
      <c r="J63" s="723" t="s">
        <v>2</v>
      </c>
      <c r="K63" s="724"/>
      <c r="L63" s="724"/>
      <c r="M63" s="482"/>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483"/>
      <c r="F130" s="722"/>
      <c r="G130" s="722"/>
      <c r="H130" s="722"/>
      <c r="I130" s="483"/>
      <c r="J130" s="722"/>
      <c r="K130" s="722"/>
      <c r="L130" s="722"/>
      <c r="M130" s="483"/>
    </row>
    <row r="131" spans="1:14" s="3" customFormat="1" x14ac:dyDescent="0.2">
      <c r="A131" s="128"/>
      <c r="B131" s="723" t="s">
        <v>0</v>
      </c>
      <c r="C131" s="724"/>
      <c r="D131" s="724"/>
      <c r="E131" s="481"/>
      <c r="F131" s="723" t="s">
        <v>1</v>
      </c>
      <c r="G131" s="724"/>
      <c r="H131" s="724"/>
      <c r="I131" s="482"/>
      <c r="J131" s="723" t="s">
        <v>2</v>
      </c>
      <c r="K131" s="724"/>
      <c r="L131" s="724"/>
      <c r="M131" s="482"/>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294" priority="8">
      <formula>kvartal &lt; 4</formula>
    </cfRule>
  </conditionalFormatting>
  <conditionalFormatting sqref="A69:A74">
    <cfRule type="expression" dxfId="293" priority="7">
      <formula>kvartal &lt; 4</formula>
    </cfRule>
  </conditionalFormatting>
  <conditionalFormatting sqref="A80:A85">
    <cfRule type="expression" dxfId="292" priority="6">
      <formula>kvartal &lt; 4</formula>
    </cfRule>
  </conditionalFormatting>
  <conditionalFormatting sqref="A90:A95">
    <cfRule type="expression" dxfId="291" priority="5">
      <formula>kvartal &lt; 4</formula>
    </cfRule>
  </conditionalFormatting>
  <conditionalFormatting sqref="A101:A106">
    <cfRule type="expression" dxfId="290" priority="4">
      <formula>kvartal &lt; 4</formula>
    </cfRule>
  </conditionalFormatting>
  <conditionalFormatting sqref="A115">
    <cfRule type="expression" dxfId="289" priority="3">
      <formula>kvartal &lt; 4</formula>
    </cfRule>
  </conditionalFormatting>
  <conditionalFormatting sqref="A123">
    <cfRule type="expression" dxfId="288"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69</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v>66427.870980000007</v>
      </c>
      <c r="G7" s="290"/>
      <c r="H7" s="332">
        <f>IF(F7=0, "    ---- ", IF(ABS(ROUND(100/F7*G7-100,1))&lt;999,ROUND(100/F7*G7-100,1),IF(ROUND(100/F7*G7-100,1)&gt;999,999,-999)))</f>
        <v>-100</v>
      </c>
      <c r="I7" s="144">
        <f>IFERROR(100/'Skjema total MA'!F7*G7,0)</f>
        <v>0</v>
      </c>
      <c r="J7" s="291">
        <f t="shared" ref="J7:J12" si="0">SUM(B7,F7)</f>
        <v>66427.870980000007</v>
      </c>
      <c r="K7" s="292"/>
      <c r="L7" s="405">
        <f>IF(J7=0, "    ---- ", IF(ABS(ROUND(100/J7*K7-100,1))&lt;999,ROUND(100/J7*K7-100,1),IF(ROUND(100/J7*K7-100,1)&gt;999,999,-999)))</f>
        <v>-100</v>
      </c>
      <c r="M7" s="11">
        <f>IFERROR(100/'Skjema total MA'!I7*K7,0)</f>
        <v>0</v>
      </c>
    </row>
    <row r="8" spans="1:14" ht="15.75" x14ac:dyDescent="0.2">
      <c r="A8" s="21" t="s">
        <v>25</v>
      </c>
      <c r="B8" s="267"/>
      <c r="C8" s="268"/>
      <c r="D8" s="150"/>
      <c r="E8" s="27"/>
      <c r="F8" s="271"/>
      <c r="G8" s="272"/>
      <c r="H8" s="150"/>
      <c r="I8" s="160"/>
      <c r="J8" s="215"/>
      <c r="K8" s="273"/>
      <c r="L8" s="150"/>
      <c r="M8" s="27"/>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v>1145646.1975100001</v>
      </c>
      <c r="G10" s="294"/>
      <c r="H10" s="155">
        <f t="shared" ref="H10:H12" si="1">IF(F10=0, "    ---- ", IF(ABS(ROUND(100/F10*G10-100,1))&lt;999,ROUND(100/F10*G10-100,1),IF(ROUND(100/F10*G10-100,1)&gt;999,999,-999)))</f>
        <v>-100</v>
      </c>
      <c r="I10" s="144">
        <f>IFERROR(100/'Skjema total MA'!F10*G10,0)</f>
        <v>0</v>
      </c>
      <c r="J10" s="291">
        <f t="shared" si="0"/>
        <v>1145646.1975100001</v>
      </c>
      <c r="K10" s="292"/>
      <c r="L10" s="406">
        <f t="shared" ref="L10:L12" si="2">IF(J10=0, "    ---- ", IF(ABS(ROUND(100/J10*K10-100,1))&lt;999,ROUND(100/J10*K10-100,1),IF(ROUND(100/J10*K10-100,1)&gt;999,999,-999)))</f>
        <v>-100</v>
      </c>
      <c r="M10" s="11">
        <f>IFERROR(100/'Skjema total MA'!I10*K10,0)</f>
        <v>0</v>
      </c>
    </row>
    <row r="11" spans="1:14" s="43" customFormat="1" ht="15.75" x14ac:dyDescent="0.2">
      <c r="A11" s="13" t="s">
        <v>348</v>
      </c>
      <c r="B11" s="293"/>
      <c r="C11" s="294"/>
      <c r="D11" s="155"/>
      <c r="E11" s="11"/>
      <c r="F11" s="293">
        <v>13325.159</v>
      </c>
      <c r="G11" s="294"/>
      <c r="H11" s="155">
        <f t="shared" si="1"/>
        <v>-100</v>
      </c>
      <c r="I11" s="144">
        <f>IFERROR(100/'Skjema total MA'!F11*G11,0)</f>
        <v>0</v>
      </c>
      <c r="J11" s="291">
        <f t="shared" si="0"/>
        <v>13325.159</v>
      </c>
      <c r="K11" s="292"/>
      <c r="L11" s="406">
        <f t="shared" si="2"/>
        <v>-100</v>
      </c>
      <c r="M11" s="11">
        <f>IFERROR(100/'Skjema total MA'!I11*K11,0)</f>
        <v>0</v>
      </c>
      <c r="N11" s="127"/>
    </row>
    <row r="12" spans="1:14" s="43" customFormat="1" ht="15.75" x14ac:dyDescent="0.2">
      <c r="A12" s="41" t="s">
        <v>349</v>
      </c>
      <c r="B12" s="295"/>
      <c r="C12" s="296"/>
      <c r="D12" s="153"/>
      <c r="E12" s="36"/>
      <c r="F12" s="295">
        <v>6245.2145</v>
      </c>
      <c r="G12" s="296"/>
      <c r="H12" s="153">
        <f t="shared" si="1"/>
        <v>-100</v>
      </c>
      <c r="I12" s="153">
        <f>IFERROR(100/'Skjema total MA'!F12*G12,0)</f>
        <v>0</v>
      </c>
      <c r="J12" s="297">
        <f t="shared" si="0"/>
        <v>6245.2145</v>
      </c>
      <c r="K12" s="298"/>
      <c r="L12" s="407">
        <f t="shared" si="2"/>
        <v>-100</v>
      </c>
      <c r="M12" s="36">
        <f>IFERROR(100/'Skjema total MA'!I12*K12,0)</f>
        <v>0</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v>16489.446329999999</v>
      </c>
      <c r="G22" s="301"/>
      <c r="H22" s="332">
        <f t="shared" ref="H22:H35" si="3">IF(F22=0, "    ---- ", IF(ABS(ROUND(100/F22*G22-100,1))&lt;999,ROUND(100/F22*G22-100,1),IF(ROUND(100/F22*G22-100,1)&gt;999,999,-999)))</f>
        <v>-100</v>
      </c>
      <c r="I22" s="11">
        <f>IFERROR(100/'Skjema total MA'!F22*G22,0)</f>
        <v>0</v>
      </c>
      <c r="J22" s="299">
        <f t="shared" ref="J22:J35" si="4">SUM(B22,F22)</f>
        <v>16489.446329999999</v>
      </c>
      <c r="K22" s="299"/>
      <c r="L22" s="405">
        <f t="shared" ref="L22:L35" si="5">IF(J22=0, "    ---- ", IF(ABS(ROUND(100/J22*K22-100,1))&lt;999,ROUND(100/J22*K22-100,1),IF(ROUND(100/J22*K22-100,1)&gt;999,999,-999)))</f>
        <v>-100</v>
      </c>
      <c r="M22" s="24">
        <f>IFERROR(100/'Skjema total MA'!I22*K22,0)</f>
        <v>0</v>
      </c>
    </row>
    <row r="23" spans="1:14" ht="15.75" x14ac:dyDescent="0.2">
      <c r="A23" s="487" t="s">
        <v>350</v>
      </c>
      <c r="B23" s="267"/>
      <c r="C23" s="267"/>
      <c r="D23" s="150"/>
      <c r="E23" s="11"/>
      <c r="F23" s="276">
        <v>190.2</v>
      </c>
      <c r="G23" s="276"/>
      <c r="H23" s="150">
        <f t="shared" si="3"/>
        <v>-100</v>
      </c>
      <c r="I23" s="395">
        <f>IFERROR(100/'Skjema total MA'!F23*G23,0)</f>
        <v>0</v>
      </c>
      <c r="J23" s="276">
        <f t="shared" ref="J23:J26" si="6">SUM(B23,F23)</f>
        <v>190.2</v>
      </c>
      <c r="K23" s="276"/>
      <c r="L23" s="150">
        <f t="shared" si="5"/>
        <v>-100</v>
      </c>
      <c r="M23" s="23">
        <f>IFERROR(100/'Skjema total MA'!I23*K23,0)</f>
        <v>0</v>
      </c>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v>16299.24633</v>
      </c>
      <c r="G26" s="276"/>
      <c r="H26" s="150">
        <f t="shared" si="3"/>
        <v>-100</v>
      </c>
      <c r="I26" s="395">
        <f>IFERROR(100/'Skjema total MA'!F26*G26,0)</f>
        <v>0</v>
      </c>
      <c r="J26" s="276">
        <f t="shared" si="6"/>
        <v>16299.24633</v>
      </c>
      <c r="K26" s="276"/>
      <c r="L26" s="150">
        <f t="shared" si="5"/>
        <v>-100</v>
      </c>
      <c r="M26" s="23">
        <f>IFERROR(100/'Skjema total MA'!I26*K26,0)</f>
        <v>0</v>
      </c>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v>940102.25233000005</v>
      </c>
      <c r="G29" s="291"/>
      <c r="H29" s="155">
        <f t="shared" si="3"/>
        <v>-100</v>
      </c>
      <c r="I29" s="11">
        <f>IFERROR(100/'Skjema total MA'!F29*G29,0)</f>
        <v>0</v>
      </c>
      <c r="J29" s="217">
        <f t="shared" si="4"/>
        <v>940102.25233000005</v>
      </c>
      <c r="K29" s="217"/>
      <c r="L29" s="406">
        <f t="shared" si="5"/>
        <v>-100</v>
      </c>
      <c r="M29" s="24">
        <f>IFERROR(100/'Skjema total MA'!I29*K29,0)</f>
        <v>0</v>
      </c>
      <c r="N29" s="132"/>
    </row>
    <row r="30" spans="1:14" s="3" customFormat="1" ht="15.75" x14ac:dyDescent="0.2">
      <c r="A30" s="487" t="s">
        <v>350</v>
      </c>
      <c r="B30" s="267"/>
      <c r="C30" s="267"/>
      <c r="D30" s="150"/>
      <c r="E30" s="11"/>
      <c r="F30" s="276">
        <v>101509.45948</v>
      </c>
      <c r="G30" s="276"/>
      <c r="H30" s="150">
        <f t="shared" si="3"/>
        <v>-100</v>
      </c>
      <c r="I30" s="395">
        <f>IFERROR(100/'Skjema total MA'!F30*G30,0)</f>
        <v>0</v>
      </c>
      <c r="J30" s="276">
        <f t="shared" ref="J30:J33" si="7">SUM(B30,F30)</f>
        <v>101509.45948</v>
      </c>
      <c r="K30" s="276"/>
      <c r="L30" s="150">
        <f t="shared" si="5"/>
        <v>-100</v>
      </c>
      <c r="M30" s="23">
        <f>IFERROR(100/'Skjema total MA'!I30*K30,0)</f>
        <v>0</v>
      </c>
      <c r="N30" s="132"/>
    </row>
    <row r="31" spans="1:14" s="3" customFormat="1" ht="15.75" x14ac:dyDescent="0.2">
      <c r="A31" s="487" t="s">
        <v>351</v>
      </c>
      <c r="B31" s="267"/>
      <c r="C31" s="267"/>
      <c r="D31" s="150"/>
      <c r="E31" s="11"/>
      <c r="F31" s="276">
        <v>519817.08198999998</v>
      </c>
      <c r="G31" s="276"/>
      <c r="H31" s="150">
        <f t="shared" si="3"/>
        <v>-100</v>
      </c>
      <c r="I31" s="395">
        <f>IFERROR(100/'Skjema total MA'!F31*G31,0)</f>
        <v>0</v>
      </c>
      <c r="J31" s="276">
        <f t="shared" si="7"/>
        <v>519817.08198999998</v>
      </c>
      <c r="K31" s="276"/>
      <c r="L31" s="150">
        <f t="shared" si="5"/>
        <v>-100</v>
      </c>
      <c r="M31" s="23">
        <f>IFERROR(100/'Skjema total MA'!I31*K31,0)</f>
        <v>0</v>
      </c>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v>318755.71085999999</v>
      </c>
      <c r="G33" s="276"/>
      <c r="H33" s="150">
        <f t="shared" si="3"/>
        <v>-100</v>
      </c>
      <c r="I33" s="395">
        <f>IFERROR(100/'Skjema total MA'!F34*G33,0)</f>
        <v>0</v>
      </c>
      <c r="J33" s="276">
        <f t="shared" si="7"/>
        <v>318755.71085999999</v>
      </c>
      <c r="K33" s="276"/>
      <c r="L33" s="150">
        <f t="shared" si="5"/>
        <v>-100</v>
      </c>
      <c r="M33" s="23">
        <f>IFERROR(100/'Skjema total MA'!I34*K33,0)</f>
        <v>0</v>
      </c>
    </row>
    <row r="34" spans="1:14" ht="15.75" x14ac:dyDescent="0.2">
      <c r="A34" s="13" t="s">
        <v>348</v>
      </c>
      <c r="B34" s="217"/>
      <c r="C34" s="292"/>
      <c r="D34" s="155"/>
      <c r="E34" s="11"/>
      <c r="F34" s="291">
        <v>1945.2280000000001</v>
      </c>
      <c r="G34" s="292"/>
      <c r="H34" s="155">
        <f t="shared" si="3"/>
        <v>-100</v>
      </c>
      <c r="I34" s="11">
        <f>IFERROR(100/'Skjema total MA'!F34*G34,0)</f>
        <v>0</v>
      </c>
      <c r="J34" s="217">
        <f t="shared" si="4"/>
        <v>1945.2280000000001</v>
      </c>
      <c r="K34" s="217"/>
      <c r="L34" s="406">
        <f t="shared" si="5"/>
        <v>-100</v>
      </c>
      <c r="M34" s="24">
        <f>IFERROR(100/'Skjema total MA'!I34*K34,0)</f>
        <v>0</v>
      </c>
    </row>
    <row r="35" spans="1:14" ht="15.75" x14ac:dyDescent="0.2">
      <c r="A35" s="13" t="s">
        <v>349</v>
      </c>
      <c r="B35" s="217"/>
      <c r="C35" s="292"/>
      <c r="D35" s="155"/>
      <c r="E35" s="11"/>
      <c r="F35" s="291">
        <v>2901.2574599999998</v>
      </c>
      <c r="G35" s="292"/>
      <c r="H35" s="155">
        <f t="shared" si="3"/>
        <v>-100</v>
      </c>
      <c r="I35" s="11">
        <f>IFERROR(100/'Skjema total MA'!F35*G35,0)</f>
        <v>0</v>
      </c>
      <c r="J35" s="217">
        <f t="shared" si="4"/>
        <v>2901.2574599999998</v>
      </c>
      <c r="K35" s="217"/>
      <c r="L35" s="406">
        <f t="shared" si="5"/>
        <v>-100</v>
      </c>
      <c r="M35" s="24">
        <f>IFERROR(100/'Skjema total MA'!I35*K35,0)</f>
        <v>0</v>
      </c>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c r="D47" s="405"/>
      <c r="E47" s="11"/>
      <c r="F47" s="129"/>
      <c r="G47" s="33"/>
      <c r="H47" s="143"/>
      <c r="I47" s="143"/>
      <c r="J47" s="37"/>
      <c r="K47" s="37"/>
      <c r="L47" s="143"/>
      <c r="M47" s="143"/>
      <c r="N47" s="132"/>
    </row>
    <row r="48" spans="1:14" s="3" customFormat="1" ht="15.75" x14ac:dyDescent="0.2">
      <c r="A48" s="38" t="s">
        <v>358</v>
      </c>
      <c r="B48" s="267"/>
      <c r="C48" s="268"/>
      <c r="D48" s="240"/>
      <c r="E48" s="27"/>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v>15.702680000000001</v>
      </c>
      <c r="G66" s="334"/>
      <c r="H66" s="332">
        <f t="shared" ref="H66:H111" si="8">IF(F66=0, "    ---- ", IF(ABS(ROUND(100/F66*G66-100,1))&lt;999,ROUND(100/F66*G66-100,1),IF(ROUND(100/F66*G66-100,1)&gt;999,999,-999)))</f>
        <v>-100</v>
      </c>
      <c r="I66" s="11">
        <f>IFERROR(100/'Skjema total MA'!F66*G66,0)</f>
        <v>0</v>
      </c>
      <c r="J66" s="292">
        <f t="shared" ref="J66:K86" si="9">SUM(B66,F66)</f>
        <v>15.702680000000001</v>
      </c>
      <c r="K66" s="299">
        <f t="shared" si="9"/>
        <v>0</v>
      </c>
      <c r="L66" s="406">
        <f t="shared" ref="L66:L111" si="10">IF(J66=0, "    ---- ", IF(ABS(ROUND(100/J66*K66-100,1))&lt;999,ROUND(100/J66*K66-100,1),IF(ROUND(100/J66*K66-100,1)&gt;999,999,-999)))</f>
        <v>-100</v>
      </c>
      <c r="M66" s="11">
        <f>IFERROR(100/'Skjema total MA'!I66*K66,0)</f>
        <v>0</v>
      </c>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v>15.702680000000001</v>
      </c>
      <c r="G68" s="278"/>
      <c r="H68" s="150">
        <f t="shared" si="8"/>
        <v>-100</v>
      </c>
      <c r="I68" s="27">
        <f>IFERROR(100/'Skjema total MA'!F68*G68,0)</f>
        <v>0</v>
      </c>
      <c r="J68" s="273">
        <f t="shared" si="9"/>
        <v>15.702680000000001</v>
      </c>
      <c r="K68" s="44">
        <f t="shared" si="9"/>
        <v>0</v>
      </c>
      <c r="L68" s="240">
        <f t="shared" si="10"/>
        <v>-100</v>
      </c>
      <c r="M68" s="27">
        <f>IFERROR(100/'Skjema total MA'!I68*K68,0)</f>
        <v>0</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v>15.702680000000001</v>
      </c>
      <c r="G86" s="129"/>
      <c r="H86" s="150">
        <f t="shared" si="8"/>
        <v>-100</v>
      </c>
      <c r="I86" s="27">
        <f>IFERROR(100/'Skjema total MA'!F86*G86,0)</f>
        <v>0</v>
      </c>
      <c r="J86" s="273">
        <f t="shared" si="9"/>
        <v>15.702680000000001</v>
      </c>
      <c r="K86" s="44">
        <f t="shared" si="9"/>
        <v>0</v>
      </c>
      <c r="L86" s="240">
        <f t="shared" si="10"/>
        <v>-100</v>
      </c>
      <c r="M86" s="27">
        <f>IFERROR(100/'Skjema total MA'!I86*K86,0)</f>
        <v>0</v>
      </c>
    </row>
    <row r="87" spans="1:13" ht="15.75" x14ac:dyDescent="0.2">
      <c r="A87" s="13" t="s">
        <v>347</v>
      </c>
      <c r="B87" s="335"/>
      <c r="C87" s="335"/>
      <c r="D87" s="155"/>
      <c r="E87" s="11"/>
      <c r="F87" s="334">
        <v>612565.39625999995</v>
      </c>
      <c r="G87" s="334"/>
      <c r="H87" s="155">
        <f t="shared" si="8"/>
        <v>-100</v>
      </c>
      <c r="I87" s="11">
        <f>IFERROR(100/'Skjema total MA'!F87*G87,0)</f>
        <v>0</v>
      </c>
      <c r="J87" s="292">
        <f t="shared" ref="J87:K111" si="11">SUM(B87,F87)</f>
        <v>612565.39625999995</v>
      </c>
      <c r="K87" s="217">
        <f t="shared" si="11"/>
        <v>0</v>
      </c>
      <c r="L87" s="406">
        <f t="shared" si="10"/>
        <v>-100</v>
      </c>
      <c r="M87" s="11">
        <f>IFERROR(100/'Skjema total MA'!I87*K87,0)</f>
        <v>0</v>
      </c>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v>612565.39625999995</v>
      </c>
      <c r="G89" s="129"/>
      <c r="H89" s="150">
        <f t="shared" si="8"/>
        <v>-100</v>
      </c>
      <c r="I89" s="27">
        <f>IFERROR(100/'Skjema total MA'!F89*G89,0)</f>
        <v>0</v>
      </c>
      <c r="J89" s="273">
        <f t="shared" si="11"/>
        <v>612565.39625999995</v>
      </c>
      <c r="K89" s="44">
        <f t="shared" si="11"/>
        <v>0</v>
      </c>
      <c r="L89" s="240">
        <f t="shared" si="10"/>
        <v>-100</v>
      </c>
      <c r="M89" s="27">
        <f>IFERROR(100/'Skjema total MA'!I89*K89,0)</f>
        <v>0</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v>612565.39625999995</v>
      </c>
      <c r="G107" s="129"/>
      <c r="H107" s="150">
        <f t="shared" si="8"/>
        <v>-100</v>
      </c>
      <c r="I107" s="27">
        <f>IFERROR(100/'Skjema total MA'!F107*G107,0)</f>
        <v>0</v>
      </c>
      <c r="J107" s="273">
        <f t="shared" si="11"/>
        <v>612565.39625999995</v>
      </c>
      <c r="K107" s="44">
        <f t="shared" si="11"/>
        <v>0</v>
      </c>
      <c r="L107" s="240">
        <f t="shared" si="10"/>
        <v>-100</v>
      </c>
      <c r="M107" s="27">
        <f>IFERROR(100/'Skjema total MA'!I107*K107,0)</f>
        <v>0</v>
      </c>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v>452809.40763999999</v>
      </c>
      <c r="G109" s="215"/>
      <c r="H109" s="150">
        <f t="shared" si="8"/>
        <v>-100</v>
      </c>
      <c r="I109" s="27">
        <f>IFERROR(100/'Skjema total MA'!F109*G109,0)</f>
        <v>0</v>
      </c>
      <c r="J109" s="273">
        <f t="shared" si="11"/>
        <v>452809.40763999999</v>
      </c>
      <c r="K109" s="44">
        <f t="shared" si="11"/>
        <v>0</v>
      </c>
      <c r="L109" s="240">
        <f t="shared" si="10"/>
        <v>-100</v>
      </c>
      <c r="M109" s="27">
        <f>IFERROR(100/'Skjema total MA'!I109*K109,0)</f>
        <v>0</v>
      </c>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v>16383.03</v>
      </c>
      <c r="G111" s="143"/>
      <c r="H111" s="155">
        <f t="shared" si="8"/>
        <v>-100</v>
      </c>
      <c r="I111" s="11">
        <f>IFERROR(100/'Skjema total MA'!F111*G111,0)</f>
        <v>0</v>
      </c>
      <c r="J111" s="292">
        <f t="shared" si="11"/>
        <v>16383.03</v>
      </c>
      <c r="K111" s="217">
        <f t="shared" si="11"/>
        <v>0</v>
      </c>
      <c r="L111" s="406">
        <f t="shared" si="10"/>
        <v>-100</v>
      </c>
      <c r="M111" s="11">
        <f>IFERROR(100/'Skjema total MA'!I111*K111,0)</f>
        <v>0</v>
      </c>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v>16383.03</v>
      </c>
      <c r="G113" s="129"/>
      <c r="H113" s="150">
        <f t="shared" ref="H113:H125" si="12">IF(F113=0, "    ---- ", IF(ABS(ROUND(100/F113*G113-100,1))&lt;999,ROUND(100/F113*G113-100,1),IF(ROUND(100/F113*G113-100,1)&gt;999,999,-999)))</f>
        <v>-100</v>
      </c>
      <c r="I113" s="27">
        <f>IFERROR(100/'Skjema total MA'!F113*G113,0)</f>
        <v>0</v>
      </c>
      <c r="J113" s="273">
        <f t="shared" ref="J113:K125" si="13">SUM(B113,F113)</f>
        <v>16383.03</v>
      </c>
      <c r="K113" s="44">
        <f t="shared" si="13"/>
        <v>0</v>
      </c>
      <c r="L113" s="240">
        <f t="shared" ref="L113:L125" si="14">IF(J113=0, "    ---- ", IF(ABS(ROUND(100/J113*K113-100,1))&lt;999,ROUND(100/J113*K113-100,1),IF(ROUND(100/J113*K113-100,1)&gt;999,999,-999)))</f>
        <v>-100</v>
      </c>
      <c r="M113" s="27">
        <f>IFERROR(100/'Skjema total MA'!I113*K113,0)</f>
        <v>0</v>
      </c>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v>16383.03</v>
      </c>
      <c r="G117" s="215"/>
      <c r="H117" s="150">
        <f t="shared" si="12"/>
        <v>-100</v>
      </c>
      <c r="I117" s="27">
        <f>IFERROR(100/'Skjema total MA'!F117*G117,0)</f>
        <v>0</v>
      </c>
      <c r="J117" s="273">
        <f t="shared" si="13"/>
        <v>16383.03</v>
      </c>
      <c r="K117" s="44">
        <f t="shared" si="13"/>
        <v>0</v>
      </c>
      <c r="L117" s="240">
        <f t="shared" si="14"/>
        <v>-100</v>
      </c>
      <c r="M117" s="27">
        <f>IFERROR(100/'Skjema total MA'!I117*K117,0)</f>
        <v>0</v>
      </c>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v>43448.46</v>
      </c>
      <c r="G119" s="143"/>
      <c r="H119" s="155">
        <f t="shared" si="12"/>
        <v>-100</v>
      </c>
      <c r="I119" s="11">
        <f>IFERROR(100/'Skjema total MA'!F119*G119,0)</f>
        <v>0</v>
      </c>
      <c r="J119" s="292">
        <f t="shared" si="13"/>
        <v>43448.46</v>
      </c>
      <c r="K119" s="217">
        <f t="shared" si="13"/>
        <v>0</v>
      </c>
      <c r="L119" s="406">
        <f t="shared" si="14"/>
        <v>-100</v>
      </c>
      <c r="M119" s="11">
        <f>IFERROR(100/'Skjema total MA'!I119*K119,0)</f>
        <v>0</v>
      </c>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v>43448.46</v>
      </c>
      <c r="G121" s="129"/>
      <c r="H121" s="150">
        <f t="shared" si="12"/>
        <v>-100</v>
      </c>
      <c r="I121" s="27">
        <f>IFERROR(100/'Skjema total MA'!F121*G121,0)</f>
        <v>0</v>
      </c>
      <c r="J121" s="273">
        <f t="shared" si="13"/>
        <v>43448.46</v>
      </c>
      <c r="K121" s="44">
        <f t="shared" si="13"/>
        <v>0</v>
      </c>
      <c r="L121" s="240">
        <f t="shared" si="14"/>
        <v>-100</v>
      </c>
      <c r="M121" s="27">
        <f>IFERROR(100/'Skjema total MA'!I121*K121,0)</f>
        <v>0</v>
      </c>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v>43448.46</v>
      </c>
      <c r="G125" s="215"/>
      <c r="H125" s="150">
        <f t="shared" si="12"/>
        <v>-100</v>
      </c>
      <c r="I125" s="27">
        <f>IFERROR(100/'Skjema total MA'!F125*G125,0)</f>
        <v>0</v>
      </c>
      <c r="J125" s="273">
        <f t="shared" si="13"/>
        <v>43448.46</v>
      </c>
      <c r="K125" s="44">
        <f t="shared" si="13"/>
        <v>0</v>
      </c>
      <c r="L125" s="240">
        <f t="shared" si="14"/>
        <v>-100</v>
      </c>
      <c r="M125" s="27">
        <f>IFERROR(100/'Skjema total MA'!I125*K125,0)</f>
        <v>0</v>
      </c>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87" priority="12">
      <formula>kvartal &lt; 4</formula>
    </cfRule>
  </conditionalFormatting>
  <conditionalFormatting sqref="A69:A74">
    <cfRule type="expression" dxfId="286" priority="10">
      <formula>kvartal &lt; 4</formula>
    </cfRule>
  </conditionalFormatting>
  <conditionalFormatting sqref="A80:A85">
    <cfRule type="expression" dxfId="285" priority="9">
      <formula>kvartal &lt; 4</formula>
    </cfRule>
  </conditionalFormatting>
  <conditionalFormatting sqref="A90:A95">
    <cfRule type="expression" dxfId="284" priority="6">
      <formula>kvartal &lt; 4</formula>
    </cfRule>
  </conditionalFormatting>
  <conditionalFormatting sqref="A101:A106">
    <cfRule type="expression" dxfId="283" priority="5">
      <formula>kvartal &lt; 4</formula>
    </cfRule>
  </conditionalFormatting>
  <conditionalFormatting sqref="A115">
    <cfRule type="expression" dxfId="282" priority="4">
      <formula>kvartal &lt; 4</formula>
    </cfRule>
  </conditionalFormatting>
  <conditionalFormatting sqref="A123">
    <cfRule type="expression" dxfId="281"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129</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3505.6479199999999</v>
      </c>
      <c r="C7" s="290">
        <v>3037.92229</v>
      </c>
      <c r="D7" s="332">
        <f>IF(B7=0, "    ---- ", IF(ABS(ROUND(100/B7*C7-100,1))&lt;999,ROUND(100/B7*C7-100,1),IF(ROUND(100/B7*C7-100,1)&gt;999,999,-999)))</f>
        <v>-13.3</v>
      </c>
      <c r="E7" s="11">
        <f>IFERROR(100/'Skjema total MA'!C7*C7,0)</f>
        <v>7.1588183449301707E-2</v>
      </c>
      <c r="F7" s="289">
        <v>497707.90045999998</v>
      </c>
      <c r="G7" s="290">
        <v>507851.98952</v>
      </c>
      <c r="H7" s="332">
        <f>IF(F7=0, "    ---- ", IF(ABS(ROUND(100/F7*G7-100,1))&lt;999,ROUND(100/F7*G7-100,1),IF(ROUND(100/F7*G7-100,1)&gt;999,999,-999)))</f>
        <v>2</v>
      </c>
      <c r="I7" s="144">
        <f>IFERROR(100/'Skjema total MA'!F7*G7,0)</f>
        <v>6.5967622789449951</v>
      </c>
      <c r="J7" s="291">
        <f t="shared" ref="J7:K12" si="0">SUM(B7,F7)</f>
        <v>501213.54837999999</v>
      </c>
      <c r="K7" s="292">
        <f t="shared" si="0"/>
        <v>510889.91181000002</v>
      </c>
      <c r="L7" s="405">
        <f>IF(J7=0, "    ---- ", IF(ABS(ROUND(100/J7*K7-100,1))&lt;999,ROUND(100/J7*K7-100,1),IF(ROUND(100/J7*K7-100,1)&gt;999,999,-999)))</f>
        <v>1.9</v>
      </c>
      <c r="M7" s="11">
        <f>IFERROR(100/'Skjema total MA'!I7*K7,0)</f>
        <v>4.2780531553602277</v>
      </c>
    </row>
    <row r="8" spans="1:14" ht="15.75" x14ac:dyDescent="0.2">
      <c r="A8" s="21" t="s">
        <v>25</v>
      </c>
      <c r="B8" s="267">
        <v>3834.3756100000001</v>
      </c>
      <c r="C8" s="268">
        <v>3466.4669199999998</v>
      </c>
      <c r="D8" s="150">
        <f t="shared" ref="D8:D10" si="1">IF(B8=0, "    ---- ", IF(ABS(ROUND(100/B8*C8-100,1))&lt;999,ROUND(100/B8*C8-100,1),IF(ROUND(100/B8*C8-100,1)&gt;999,999,-999)))</f>
        <v>-9.6</v>
      </c>
      <c r="E8" s="27">
        <f>IFERROR(100/'Skjema total MA'!C8*C8,0)</f>
        <v>0.12857115959027235</v>
      </c>
      <c r="F8" s="271"/>
      <c r="G8" s="272"/>
      <c r="H8" s="150"/>
      <c r="I8" s="160"/>
      <c r="J8" s="215">
        <f t="shared" si="0"/>
        <v>3834.3756100000001</v>
      </c>
      <c r="K8" s="273">
        <f t="shared" si="0"/>
        <v>3466.4669199999998</v>
      </c>
      <c r="L8" s="150">
        <f t="shared" ref="L8:L9" si="2">IF(J8=0, "    ---- ", IF(ABS(ROUND(100/J8*K8-100,1))&lt;999,ROUND(100/J8*K8-100,1),IF(ROUND(100/J8*K8-100,1)&gt;999,999,-999)))</f>
        <v>-9.6</v>
      </c>
      <c r="M8" s="27">
        <f>IFERROR(100/'Skjema total MA'!I8*K8,0)</f>
        <v>0.12857115959027235</v>
      </c>
    </row>
    <row r="9" spans="1:14" ht="15.75" x14ac:dyDescent="0.2">
      <c r="A9" s="21" t="s">
        <v>24</v>
      </c>
      <c r="B9" s="267">
        <v>1503.8249699999999</v>
      </c>
      <c r="C9" s="268">
        <v>1338.17984</v>
      </c>
      <c r="D9" s="150">
        <f t="shared" si="1"/>
        <v>-11</v>
      </c>
      <c r="E9" s="27">
        <f>IFERROR(100/'Skjema total MA'!C9*C9,0)</f>
        <v>0.15115410445885646</v>
      </c>
      <c r="F9" s="271"/>
      <c r="G9" s="272"/>
      <c r="H9" s="150"/>
      <c r="I9" s="160"/>
      <c r="J9" s="215">
        <f t="shared" si="0"/>
        <v>1503.8249699999999</v>
      </c>
      <c r="K9" s="273">
        <f t="shared" si="0"/>
        <v>1338.17984</v>
      </c>
      <c r="L9" s="150">
        <f t="shared" si="2"/>
        <v>-11</v>
      </c>
      <c r="M9" s="27">
        <f>IFERROR(100/'Skjema total MA'!I9*K9,0)</f>
        <v>0.15115410445885646</v>
      </c>
    </row>
    <row r="10" spans="1:14" ht="15.75" x14ac:dyDescent="0.2">
      <c r="A10" s="13" t="s">
        <v>347</v>
      </c>
      <c r="B10" s="293">
        <v>356805.85109000001</v>
      </c>
      <c r="C10" s="294">
        <v>312929.37409</v>
      </c>
      <c r="D10" s="155">
        <f t="shared" si="1"/>
        <v>-12.3</v>
      </c>
      <c r="E10" s="11">
        <f>IFERROR(100/'Skjema total MA'!C10*C10,0)</f>
        <v>2.2561770767799949</v>
      </c>
      <c r="F10" s="293">
        <v>3912278.8254499999</v>
      </c>
      <c r="G10" s="294">
        <v>4887693.2836600002</v>
      </c>
      <c r="H10" s="155">
        <f t="shared" ref="H10:H12" si="3">IF(F10=0, "    ---- ", IF(ABS(ROUND(100/F10*G10-100,1))&lt;999,ROUND(100/F10*G10-100,1),IF(ROUND(100/F10*G10-100,1)&gt;999,999,-999)))</f>
        <v>24.9</v>
      </c>
      <c r="I10" s="144">
        <f>IFERROR(100/'Skjema total MA'!F10*G10,0)</f>
        <v>6.2711799866542215</v>
      </c>
      <c r="J10" s="291">
        <f t="shared" si="0"/>
        <v>4269084.6765400004</v>
      </c>
      <c r="K10" s="292">
        <f t="shared" si="0"/>
        <v>5200622.6577500002</v>
      </c>
      <c r="L10" s="406">
        <f t="shared" ref="L10:L12" si="4">IF(J10=0, "    ---- ", IF(ABS(ROUND(100/J10*K10-100,1))&lt;999,ROUND(100/J10*K10-100,1),IF(ROUND(100/J10*K10-100,1)&gt;999,999,-999)))</f>
        <v>21.8</v>
      </c>
      <c r="M10" s="11">
        <f>IFERROR(100/'Skjema total MA'!I10*K10,0)</f>
        <v>5.6646191250561131</v>
      </c>
    </row>
    <row r="11" spans="1:14" s="43" customFormat="1" ht="15.75" x14ac:dyDescent="0.2">
      <c r="A11" s="13" t="s">
        <v>348</v>
      </c>
      <c r="B11" s="293"/>
      <c r="C11" s="294"/>
      <c r="D11" s="155"/>
      <c r="E11" s="11"/>
      <c r="F11" s="293">
        <v>30753.532500000001</v>
      </c>
      <c r="G11" s="294">
        <v>35510.108399999997</v>
      </c>
      <c r="H11" s="155">
        <f t="shared" si="3"/>
        <v>15.5</v>
      </c>
      <c r="I11" s="144">
        <f>IFERROR(100/'Skjema total MA'!F11*G11,0)</f>
        <v>21.237982190732499</v>
      </c>
      <c r="J11" s="291">
        <f t="shared" si="0"/>
        <v>30753.532500000001</v>
      </c>
      <c r="K11" s="292">
        <f t="shared" si="0"/>
        <v>35510.108399999997</v>
      </c>
      <c r="L11" s="406">
        <f t="shared" si="4"/>
        <v>15.5</v>
      </c>
      <c r="M11" s="11">
        <f>IFERROR(100/'Skjema total MA'!I11*K11,0)</f>
        <v>18.377409590019806</v>
      </c>
      <c r="N11" s="127"/>
    </row>
    <row r="12" spans="1:14" s="43" customFormat="1" ht="15.75" x14ac:dyDescent="0.2">
      <c r="A12" s="41" t="s">
        <v>349</v>
      </c>
      <c r="B12" s="295"/>
      <c r="C12" s="296"/>
      <c r="D12" s="153"/>
      <c r="E12" s="36"/>
      <c r="F12" s="295">
        <v>6063.3551699999998</v>
      </c>
      <c r="G12" s="296">
        <v>6417.6710700000003</v>
      </c>
      <c r="H12" s="153">
        <f t="shared" si="3"/>
        <v>5.8</v>
      </c>
      <c r="I12" s="153">
        <f>IFERROR(100/'Skjema total MA'!F12*G12,0)</f>
        <v>4.2992328636423043</v>
      </c>
      <c r="J12" s="297">
        <f t="shared" si="0"/>
        <v>6063.3551699999998</v>
      </c>
      <c r="K12" s="298">
        <f t="shared" si="0"/>
        <v>6417.6710700000003</v>
      </c>
      <c r="L12" s="407">
        <f t="shared" si="4"/>
        <v>5.8</v>
      </c>
      <c r="M12" s="36">
        <f>IFERROR(100/'Skjema total MA'!I12*K12,0)</f>
        <v>4.2134535773978543</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5642.3406500000001</v>
      </c>
      <c r="C22" s="293">
        <v>2856.58419</v>
      </c>
      <c r="D22" s="332">
        <f t="shared" ref="D22:D35" si="5">IF(B22=0, "    ---- ", IF(ABS(ROUND(100/B22*C22-100,1))&lt;999,ROUND(100/B22*C22-100,1),IF(ROUND(100/B22*C22-100,1)&gt;999,999,-999)))</f>
        <v>-49.4</v>
      </c>
      <c r="E22" s="11">
        <f>IFERROR(100/'Skjema total MA'!C22*C22,0)</f>
        <v>0.16427247216252608</v>
      </c>
      <c r="F22" s="301">
        <v>219616.24025999999</v>
      </c>
      <c r="G22" s="301">
        <v>232225.34061000001</v>
      </c>
      <c r="H22" s="332">
        <f t="shared" ref="H22:H35" si="6">IF(F22=0, "    ---- ", IF(ABS(ROUND(100/F22*G22-100,1))&lt;999,ROUND(100/F22*G22-100,1),IF(ROUND(100/F22*G22-100,1)&gt;999,999,-999)))</f>
        <v>5.7</v>
      </c>
      <c r="I22" s="11">
        <f>IFERROR(100/'Skjema total MA'!F22*G22,0)</f>
        <v>35.761916299512272</v>
      </c>
      <c r="J22" s="299">
        <f t="shared" ref="J22:K35" si="7">SUM(B22,F22)</f>
        <v>225258.58090999999</v>
      </c>
      <c r="K22" s="299">
        <f t="shared" si="7"/>
        <v>235081.92480000001</v>
      </c>
      <c r="L22" s="405">
        <f t="shared" ref="L22:L35" si="8">IF(J22=0, "    ---- ", IF(ABS(ROUND(100/J22*K22-100,1))&lt;999,ROUND(100/J22*K22-100,1),IF(ROUND(100/J22*K22-100,1)&gt;999,999,-999)))</f>
        <v>4.4000000000000004</v>
      </c>
      <c r="M22" s="24">
        <f>IFERROR(100/'Skjema total MA'!I22*K22,0)</f>
        <v>9.843083830104332</v>
      </c>
    </row>
    <row r="23" spans="1:14" ht="15.75" x14ac:dyDescent="0.2">
      <c r="A23" s="487" t="s">
        <v>350</v>
      </c>
      <c r="B23" s="267">
        <v>5637.3406500000001</v>
      </c>
      <c r="C23" s="267">
        <v>2855.6307999999999</v>
      </c>
      <c r="D23" s="150">
        <f t="shared" si="5"/>
        <v>-49.3</v>
      </c>
      <c r="E23" s="11">
        <f>IFERROR(100/'Skjema total MA'!C23*C23,0)</f>
        <v>0.27825310599338005</v>
      </c>
      <c r="F23" s="276">
        <v>4798.5579699999998</v>
      </c>
      <c r="G23" s="276">
        <v>5343.21324</v>
      </c>
      <c r="H23" s="150">
        <f t="shared" si="6"/>
        <v>11.4</v>
      </c>
      <c r="I23" s="395">
        <f>IFERROR(100/'Skjema total MA'!F23*G23,0)</f>
        <v>15.690987444199644</v>
      </c>
      <c r="J23" s="276">
        <f t="shared" ref="J23:J26" si="9">SUM(B23,F23)</f>
        <v>10435.89862</v>
      </c>
      <c r="K23" s="276">
        <f t="shared" ref="K23:K26" si="10">SUM(C23,G23)</f>
        <v>8198.8440399999999</v>
      </c>
      <c r="L23" s="150">
        <f t="shared" si="8"/>
        <v>-21.4</v>
      </c>
      <c r="M23" s="23">
        <f>IFERROR(100/'Skjema total MA'!I23*K23,0)</f>
        <v>0.77323971904309985</v>
      </c>
    </row>
    <row r="24" spans="1:14" ht="15.75" x14ac:dyDescent="0.2">
      <c r="A24" s="487" t="s">
        <v>351</v>
      </c>
      <c r="B24" s="267">
        <v>5</v>
      </c>
      <c r="C24" s="267">
        <v>0.95338999999999996</v>
      </c>
      <c r="D24" s="150">
        <f t="shared" si="5"/>
        <v>-80.900000000000006</v>
      </c>
      <c r="E24" s="11">
        <f>IFERROR(100/'Skjema total MA'!C24*C24,0)</f>
        <v>5.2829206215783651E-3</v>
      </c>
      <c r="F24" s="276">
        <v>161.70083</v>
      </c>
      <c r="G24" s="276">
        <v>2.9103830456733698E-14</v>
      </c>
      <c r="H24" s="150">
        <f t="shared" si="6"/>
        <v>-100</v>
      </c>
      <c r="I24" s="395">
        <f>IFERROR(100/'Skjema total MA'!F24*G24,0)</f>
        <v>9.3770849851908274E-16</v>
      </c>
      <c r="J24" s="276">
        <f t="shared" si="9"/>
        <v>166.70083</v>
      </c>
      <c r="K24" s="276">
        <f t="shared" si="10"/>
        <v>0.95339000000002905</v>
      </c>
      <c r="L24" s="150">
        <f t="shared" si="8"/>
        <v>-99.4</v>
      </c>
      <c r="M24" s="23">
        <f>IFERROR(100/'Skjema total MA'!I24*K24,0)</f>
        <v>4.5076764215590676E-3</v>
      </c>
    </row>
    <row r="25" spans="1:14" ht="15.75" x14ac:dyDescent="0.2">
      <c r="A25" s="487" t="s">
        <v>352</v>
      </c>
      <c r="B25" s="267"/>
      <c r="C25" s="267"/>
      <c r="D25" s="150"/>
      <c r="E25" s="11"/>
      <c r="F25" s="276">
        <v>5299.5219399999996</v>
      </c>
      <c r="G25" s="276">
        <v>5712.6657299999997</v>
      </c>
      <c r="H25" s="150">
        <f t="shared" si="6"/>
        <v>7.8</v>
      </c>
      <c r="I25" s="395">
        <f>IFERROR(100/'Skjema total MA'!F25*G25,0)</f>
        <v>44.254493058154196</v>
      </c>
      <c r="J25" s="276">
        <f t="shared" si="9"/>
        <v>5299.5219399999996</v>
      </c>
      <c r="K25" s="276">
        <f t="shared" si="10"/>
        <v>5712.6657299999997</v>
      </c>
      <c r="L25" s="150">
        <f t="shared" si="8"/>
        <v>7.8</v>
      </c>
      <c r="M25" s="23">
        <f>IFERROR(100/'Skjema total MA'!I25*K25,0)</f>
        <v>27.73991325128814</v>
      </c>
    </row>
    <row r="26" spans="1:14" ht="15.75" x14ac:dyDescent="0.2">
      <c r="A26" s="487" t="s">
        <v>353</v>
      </c>
      <c r="B26" s="267"/>
      <c r="C26" s="267"/>
      <c r="D26" s="150"/>
      <c r="E26" s="11"/>
      <c r="F26" s="276">
        <v>209356.45952</v>
      </c>
      <c r="G26" s="276">
        <v>221169.46163999999</v>
      </c>
      <c r="H26" s="150">
        <f t="shared" si="6"/>
        <v>5.6</v>
      </c>
      <c r="I26" s="395">
        <f>IFERROR(100/'Skjema total MA'!F26*G26,0)</f>
        <v>36.904645638818529</v>
      </c>
      <c r="J26" s="276">
        <f t="shared" si="9"/>
        <v>209356.45952</v>
      </c>
      <c r="K26" s="276">
        <f t="shared" si="10"/>
        <v>221169.46163999999</v>
      </c>
      <c r="L26" s="150">
        <f t="shared" si="8"/>
        <v>5.6</v>
      </c>
      <c r="M26" s="23">
        <f>IFERROR(100/'Skjema total MA'!I26*K26,0)</f>
        <v>36.904645638818529</v>
      </c>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v>2498572.99823</v>
      </c>
      <c r="C29" s="217">
        <v>2301807.9043200002</v>
      </c>
      <c r="D29" s="155">
        <f t="shared" si="5"/>
        <v>-7.9</v>
      </c>
      <c r="E29" s="11">
        <f>IFERROR(100/'Skjema total MA'!C29*C29,0)</f>
        <v>5.0249958485154949</v>
      </c>
      <c r="F29" s="291">
        <v>3491800.5231400002</v>
      </c>
      <c r="G29" s="291">
        <v>4124748.5498500001</v>
      </c>
      <c r="H29" s="155">
        <f t="shared" si="6"/>
        <v>18.100000000000001</v>
      </c>
      <c r="I29" s="11">
        <f>IFERROR(100/'Skjema total MA'!F29*G29,0)</f>
        <v>16.573335372640646</v>
      </c>
      <c r="J29" s="217">
        <f t="shared" si="7"/>
        <v>5990373.5213700002</v>
      </c>
      <c r="K29" s="217">
        <f t="shared" si="7"/>
        <v>6426556.4541699998</v>
      </c>
      <c r="L29" s="406">
        <f t="shared" si="8"/>
        <v>7.3</v>
      </c>
      <c r="M29" s="24">
        <f>IFERROR(100/'Skjema total MA'!I29*K29,0)</f>
        <v>9.0905362224386437</v>
      </c>
      <c r="N29" s="132"/>
    </row>
    <row r="30" spans="1:14" s="3" customFormat="1" ht="15.75" x14ac:dyDescent="0.2">
      <c r="A30" s="487" t="s">
        <v>350</v>
      </c>
      <c r="B30" s="267">
        <v>1433411.4113434099</v>
      </c>
      <c r="C30" s="267">
        <v>1320528.8455090499</v>
      </c>
      <c r="D30" s="150">
        <f t="shared" si="5"/>
        <v>-7.9</v>
      </c>
      <c r="E30" s="11">
        <f>IFERROR(100/'Skjema total MA'!C30*C30,0)</f>
        <v>6.7551319973180712</v>
      </c>
      <c r="F30" s="276">
        <v>557040.72519999905</v>
      </c>
      <c r="G30" s="276">
        <v>588215.00400999899</v>
      </c>
      <c r="H30" s="150">
        <f t="shared" si="6"/>
        <v>5.6</v>
      </c>
      <c r="I30" s="395">
        <f>IFERROR(100/'Skjema total MA'!F30*G30,0)</f>
        <v>17.131566158894771</v>
      </c>
      <c r="J30" s="276">
        <f t="shared" ref="J30:J33" si="11">SUM(B30,F30)</f>
        <v>1990452.136543409</v>
      </c>
      <c r="K30" s="276">
        <f t="shared" ref="K30:K33" si="12">SUM(C30,G30)</f>
        <v>1908743.8495190488</v>
      </c>
      <c r="L30" s="150">
        <f t="shared" si="8"/>
        <v>-4.0999999999999996</v>
      </c>
      <c r="M30" s="23">
        <f>IFERROR(100/'Skjema total MA'!I30*K30,0)</f>
        <v>8.3053705282782122</v>
      </c>
      <c r="N30" s="132"/>
    </row>
    <row r="31" spans="1:14" s="3" customFormat="1" ht="15.75" x14ac:dyDescent="0.2">
      <c r="A31" s="487" t="s">
        <v>351</v>
      </c>
      <c r="B31" s="267">
        <v>1065161.5868865901</v>
      </c>
      <c r="C31" s="267">
        <v>981279.05881095096</v>
      </c>
      <c r="D31" s="150">
        <f t="shared" si="5"/>
        <v>-7.9</v>
      </c>
      <c r="E31" s="11">
        <f>IFERROR(100/'Skjema total MA'!C31*C31,0)</f>
        <v>4.1212352633747118</v>
      </c>
      <c r="F31" s="276">
        <v>756681.94432999904</v>
      </c>
      <c r="G31" s="276">
        <v>770762.72016999905</v>
      </c>
      <c r="H31" s="150">
        <f t="shared" si="6"/>
        <v>1.9</v>
      </c>
      <c r="I31" s="395">
        <f>IFERROR(100/'Skjema total MA'!F31*G31,0)</f>
        <v>10.702837747504141</v>
      </c>
      <c r="J31" s="276">
        <f t="shared" si="11"/>
        <v>1821843.5312165893</v>
      </c>
      <c r="K31" s="276">
        <f t="shared" si="12"/>
        <v>1752041.7789809499</v>
      </c>
      <c r="L31" s="150">
        <f t="shared" si="8"/>
        <v>-3.8</v>
      </c>
      <c r="M31" s="23">
        <f>IFERROR(100/'Skjema total MA'!I31*K31,0)</f>
        <v>5.6495982662593134</v>
      </c>
      <c r="N31" s="132"/>
    </row>
    <row r="32" spans="1:14" ht="15.75" x14ac:dyDescent="0.2">
      <c r="A32" s="487" t="s">
        <v>352</v>
      </c>
      <c r="B32" s="267"/>
      <c r="C32" s="267"/>
      <c r="D32" s="150"/>
      <c r="E32" s="11"/>
      <c r="F32" s="276">
        <v>498372.96189999999</v>
      </c>
      <c r="G32" s="276">
        <v>586112.60742999997</v>
      </c>
      <c r="H32" s="150">
        <f t="shared" si="6"/>
        <v>17.600000000000001</v>
      </c>
      <c r="I32" s="395">
        <f>IFERROR(100/'Skjema total MA'!F32*G32,0)</f>
        <v>10.202305401712977</v>
      </c>
      <c r="J32" s="276">
        <f t="shared" si="11"/>
        <v>498372.96189999999</v>
      </c>
      <c r="K32" s="276">
        <f t="shared" si="12"/>
        <v>586112.60742999997</v>
      </c>
      <c r="L32" s="150">
        <f t="shared" si="8"/>
        <v>17.600000000000001</v>
      </c>
      <c r="M32" s="23">
        <f>IFERROR(100/'Skjema total MA'!I32*K32,0)</f>
        <v>7.2447717479037825</v>
      </c>
    </row>
    <row r="33" spans="1:14" ht="15.75" x14ac:dyDescent="0.2">
      <c r="A33" s="487" t="s">
        <v>353</v>
      </c>
      <c r="B33" s="267"/>
      <c r="C33" s="267"/>
      <c r="D33" s="150"/>
      <c r="E33" s="11"/>
      <c r="F33" s="276">
        <v>1679704.8917100001</v>
      </c>
      <c r="G33" s="276">
        <v>2179658.2182399998</v>
      </c>
      <c r="H33" s="150">
        <f t="shared" si="6"/>
        <v>29.8</v>
      </c>
      <c r="I33" s="395">
        <f>IFERROR(100/'Skjema total MA'!F33*G33,0)</f>
        <v>25.61904320750385</v>
      </c>
      <c r="J33" s="276">
        <f t="shared" si="11"/>
        <v>1679704.8917100001</v>
      </c>
      <c r="K33" s="276">
        <f t="shared" si="12"/>
        <v>2179658.2182399998</v>
      </c>
      <c r="L33" s="150">
        <f t="shared" si="8"/>
        <v>29.8</v>
      </c>
      <c r="M33" s="23">
        <f>IFERROR(100/'Skjema total MA'!I33*K33,0)</f>
        <v>25.61904320750385</v>
      </c>
    </row>
    <row r="34" spans="1:14" ht="15.75" x14ac:dyDescent="0.2">
      <c r="A34" s="13" t="s">
        <v>348</v>
      </c>
      <c r="B34" s="217"/>
      <c r="C34" s="292"/>
      <c r="D34" s="155"/>
      <c r="E34" s="11"/>
      <c r="F34" s="291">
        <v>30699.61</v>
      </c>
      <c r="G34" s="292">
        <v>31634.923040000001</v>
      </c>
      <c r="H34" s="155">
        <f t="shared" si="6"/>
        <v>3</v>
      </c>
      <c r="I34" s="11">
        <f>IFERROR(100/'Skjema total MA'!F34*G34,0)</f>
        <v>-2554.9226553938242</v>
      </c>
      <c r="J34" s="217">
        <f t="shared" si="7"/>
        <v>30699.61</v>
      </c>
      <c r="K34" s="217">
        <f t="shared" si="7"/>
        <v>31634.923040000001</v>
      </c>
      <c r="L34" s="406">
        <f t="shared" si="8"/>
        <v>3</v>
      </c>
      <c r="M34" s="24">
        <f>IFERROR(100/'Skjema total MA'!I34*K34,0)</f>
        <v>172.87903629376069</v>
      </c>
    </row>
    <row r="35" spans="1:14" ht="15.75" x14ac:dyDescent="0.2">
      <c r="A35" s="13" t="s">
        <v>349</v>
      </c>
      <c r="B35" s="217">
        <v>23.832709999999999</v>
      </c>
      <c r="C35" s="292">
        <v>0</v>
      </c>
      <c r="D35" s="155">
        <f t="shared" si="5"/>
        <v>-100</v>
      </c>
      <c r="E35" s="11">
        <f>IFERROR(100/'Skjema total MA'!C35*C35,0)</f>
        <v>0</v>
      </c>
      <c r="F35" s="291">
        <v>7410.7248</v>
      </c>
      <c r="G35" s="292">
        <v>11178.831099999999</v>
      </c>
      <c r="H35" s="155">
        <f t="shared" si="6"/>
        <v>50.8</v>
      </c>
      <c r="I35" s="11">
        <f>IFERROR(100/'Skjema total MA'!F35*G35,0)</f>
        <v>10.855899325322826</v>
      </c>
      <c r="J35" s="217">
        <f t="shared" si="7"/>
        <v>7434.5575099999996</v>
      </c>
      <c r="K35" s="217">
        <f t="shared" si="7"/>
        <v>11178.831099999999</v>
      </c>
      <c r="L35" s="406">
        <f t="shared" si="8"/>
        <v>50.4</v>
      </c>
      <c r="M35" s="24">
        <f>IFERROR(100/'Skjema total MA'!I35*K35,0)</f>
        <v>43.49164504083042</v>
      </c>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c r="D47" s="405"/>
      <c r="E47" s="11"/>
      <c r="F47" s="129"/>
      <c r="G47" s="33"/>
      <c r="H47" s="143"/>
      <c r="I47" s="143"/>
      <c r="J47" s="37"/>
      <c r="K47" s="37"/>
      <c r="L47" s="143"/>
      <c r="M47" s="143"/>
      <c r="N47" s="132"/>
    </row>
    <row r="48" spans="1:14" s="3" customFormat="1" ht="15.75" x14ac:dyDescent="0.2">
      <c r="A48" s="38" t="s">
        <v>358</v>
      </c>
      <c r="B48" s="267"/>
      <c r="C48" s="268"/>
      <c r="D48" s="240"/>
      <c r="E48" s="27"/>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v>612732.98424000002</v>
      </c>
      <c r="C66" s="335">
        <v>666881.96541000006</v>
      </c>
      <c r="D66" s="332">
        <f t="shared" ref="D66:D111" si="13">IF(B66=0, "    ---- ", IF(ABS(ROUND(100/B66*C66-100,1))&lt;999,ROUND(100/B66*C66-100,1),IF(ROUND(100/B66*C66-100,1)&gt;999,999,-999)))</f>
        <v>8.8000000000000007</v>
      </c>
      <c r="E66" s="11">
        <f>IFERROR(100/'Skjema total MA'!C66*C66,0)</f>
        <v>9.7310604403212171</v>
      </c>
      <c r="F66" s="334">
        <v>3875450.6484899996</v>
      </c>
      <c r="G66" s="334">
        <v>4400103.98068</v>
      </c>
      <c r="H66" s="332">
        <f t="shared" ref="H66:H111" si="14">IF(F66=0, "    ---- ", IF(ABS(ROUND(100/F66*G66-100,1))&lt;999,ROUND(100/F66*G66-100,1),IF(ROUND(100/F66*G66-100,1)&gt;999,999,-999)))</f>
        <v>13.5</v>
      </c>
      <c r="I66" s="11">
        <f>IFERROR(100/'Skjema total MA'!F66*G66,0)</f>
        <v>12.044138970984012</v>
      </c>
      <c r="J66" s="292">
        <f t="shared" ref="J66:K86" si="15">SUM(B66,F66)</f>
        <v>4488183.6327299997</v>
      </c>
      <c r="K66" s="299">
        <f t="shared" si="15"/>
        <v>5066985.9460899998</v>
      </c>
      <c r="L66" s="406">
        <f t="shared" ref="L66:L111" si="16">IF(J66=0, "    ---- ", IF(ABS(ROUND(100/J66*K66-100,1))&lt;999,ROUND(100/J66*K66-100,1),IF(ROUND(100/J66*K66-100,1)&gt;999,999,-999)))</f>
        <v>12.9</v>
      </c>
      <c r="M66" s="11">
        <f>IFERROR(100/'Skjema total MA'!I66*K66,0)</f>
        <v>11.678774140570953</v>
      </c>
    </row>
    <row r="67" spans="1:14" x14ac:dyDescent="0.2">
      <c r="A67" s="397" t="s">
        <v>9</v>
      </c>
      <c r="B67" s="44">
        <v>123557.04025000001</v>
      </c>
      <c r="C67" s="129">
        <v>150505.05910000001</v>
      </c>
      <c r="D67" s="150">
        <f t="shared" si="13"/>
        <v>21.8</v>
      </c>
      <c r="E67" s="27">
        <f>IFERROR(100/'Skjema total MA'!C67*C67,0)</f>
        <v>3.5770676780459612</v>
      </c>
      <c r="F67" s="215"/>
      <c r="G67" s="129"/>
      <c r="H67" s="150"/>
      <c r="I67" s="27"/>
      <c r="J67" s="273">
        <f t="shared" si="15"/>
        <v>123557.04025000001</v>
      </c>
      <c r="K67" s="44">
        <f t="shared" si="15"/>
        <v>150505.05910000001</v>
      </c>
      <c r="L67" s="240">
        <f t="shared" si="16"/>
        <v>21.8</v>
      </c>
      <c r="M67" s="27">
        <f>IFERROR(100/'Skjema total MA'!I67*K67,0)</f>
        <v>3.5770676780459612</v>
      </c>
    </row>
    <row r="68" spans="1:14" x14ac:dyDescent="0.2">
      <c r="A68" s="21" t="s">
        <v>10</v>
      </c>
      <c r="B68" s="277">
        <v>38321.17669</v>
      </c>
      <c r="C68" s="278">
        <v>28013.142199999998</v>
      </c>
      <c r="D68" s="150">
        <f t="shared" si="13"/>
        <v>-26.9</v>
      </c>
      <c r="E68" s="27">
        <f>IFERROR(100/'Skjema total MA'!C68*C68,0)</f>
        <v>96.007285206801143</v>
      </c>
      <c r="F68" s="277">
        <v>3629780.0950699998</v>
      </c>
      <c r="G68" s="278">
        <v>4111638.7686800002</v>
      </c>
      <c r="H68" s="150">
        <f t="shared" si="14"/>
        <v>13.3</v>
      </c>
      <c r="I68" s="27">
        <f>IFERROR(100/'Skjema total MA'!F68*G68,0)</f>
        <v>11.777732522966467</v>
      </c>
      <c r="J68" s="273">
        <f t="shared" si="15"/>
        <v>3668101.2717599999</v>
      </c>
      <c r="K68" s="44">
        <f t="shared" si="15"/>
        <v>4139651.9108800003</v>
      </c>
      <c r="L68" s="240">
        <f t="shared" si="16"/>
        <v>12.9</v>
      </c>
      <c r="M68" s="27">
        <f>IFERROR(100/'Skjema total MA'!I68*K68,0)</f>
        <v>11.848073117074762</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v>262641.18575</v>
      </c>
      <c r="C75" s="129">
        <v>284809.02461000002</v>
      </c>
      <c r="D75" s="150">
        <f t="shared" si="13"/>
        <v>8.4</v>
      </c>
      <c r="E75" s="27">
        <f>IFERROR(100/'Skjema total MA'!C75*C75,0)</f>
        <v>48.520626100529398</v>
      </c>
      <c r="F75" s="215">
        <v>245670.55342000001</v>
      </c>
      <c r="G75" s="129">
        <v>288465.212</v>
      </c>
      <c r="H75" s="150">
        <f t="shared" si="14"/>
        <v>17.399999999999999</v>
      </c>
      <c r="I75" s="27">
        <f>IFERROR(100/'Skjema total MA'!F75*G75,0)</f>
        <v>17.774888676812534</v>
      </c>
      <c r="J75" s="273">
        <f t="shared" si="15"/>
        <v>508311.73917000002</v>
      </c>
      <c r="K75" s="44">
        <f t="shared" si="15"/>
        <v>573274.23661000002</v>
      </c>
      <c r="L75" s="240">
        <f t="shared" si="16"/>
        <v>12.8</v>
      </c>
      <c r="M75" s="27">
        <f>IFERROR(100/'Skjema total MA'!I75*K75,0)</f>
        <v>25.941583355430105</v>
      </c>
      <c r="N75" s="132"/>
    </row>
    <row r="76" spans="1:14" s="3" customFormat="1" x14ac:dyDescent="0.2">
      <c r="A76" s="21" t="s">
        <v>333</v>
      </c>
      <c r="B76" s="215">
        <v>188213.58155</v>
      </c>
      <c r="C76" s="129">
        <v>203554.7395</v>
      </c>
      <c r="D76" s="150">
        <f t="shared" ref="D76" si="17">IF(B76=0, "    ---- ", IF(ABS(ROUND(100/B76*C76-100,1))&lt;999,ROUND(100/B76*C76-100,1),IF(ROUND(100/B76*C76-100,1)&gt;999,999,-999)))</f>
        <v>8.1999999999999993</v>
      </c>
      <c r="E76" s="27">
        <f>IFERROR(100/'Skjema total MA'!C77*C76,0)</f>
        <v>4.9150345716496844</v>
      </c>
      <c r="F76" s="215"/>
      <c r="G76" s="129"/>
      <c r="H76" s="150"/>
      <c r="I76" s="27"/>
      <c r="J76" s="273">
        <f t="shared" ref="J76" si="18">SUM(B76,F76)</f>
        <v>188213.58155</v>
      </c>
      <c r="K76" s="44">
        <f t="shared" ref="K76" si="19">SUM(C76,G76)</f>
        <v>203554.7395</v>
      </c>
      <c r="L76" s="240">
        <f t="shared" ref="L76" si="20">IF(J76=0, "    ---- ", IF(ABS(ROUND(100/J76*K76-100,1))&lt;999,ROUND(100/J76*K76-100,1),IF(ROUND(100/J76*K76-100,1)&gt;999,999,-999)))</f>
        <v>8.1999999999999993</v>
      </c>
      <c r="M76" s="27">
        <f>IFERROR(100/'Skjema total MA'!I77*K76,0)</f>
        <v>0.52136978640404996</v>
      </c>
      <c r="N76" s="132"/>
    </row>
    <row r="77" spans="1:14" ht="15.75" x14ac:dyDescent="0.2">
      <c r="A77" s="21" t="s">
        <v>364</v>
      </c>
      <c r="B77" s="215">
        <v>161878.21694000001</v>
      </c>
      <c r="C77" s="215">
        <v>178518.20130000002</v>
      </c>
      <c r="D77" s="150">
        <f t="shared" si="13"/>
        <v>10.3</v>
      </c>
      <c r="E77" s="27">
        <f>IFERROR(100/'Skjema total MA'!C77*C77,0)</f>
        <v>4.310502094981767</v>
      </c>
      <c r="F77" s="215">
        <v>3622030.80773</v>
      </c>
      <c r="G77" s="129">
        <v>4104254.4784900001</v>
      </c>
      <c r="H77" s="150">
        <f t="shared" si="14"/>
        <v>13.3</v>
      </c>
      <c r="I77" s="27">
        <f>IFERROR(100/'Skjema total MA'!F77*G77,0)</f>
        <v>11.759763278462007</v>
      </c>
      <c r="J77" s="273">
        <f t="shared" si="15"/>
        <v>3783909.0246700002</v>
      </c>
      <c r="K77" s="44">
        <f t="shared" si="15"/>
        <v>4282772.6797900004</v>
      </c>
      <c r="L77" s="240">
        <f t="shared" si="16"/>
        <v>13.2</v>
      </c>
      <c r="M77" s="27">
        <f>IFERROR(100/'Skjema total MA'!I77*K77,0)</f>
        <v>10.969571540137062</v>
      </c>
    </row>
    <row r="78" spans="1:14" x14ac:dyDescent="0.2">
      <c r="A78" s="21" t="s">
        <v>9</v>
      </c>
      <c r="B78" s="215">
        <v>123557.04025000001</v>
      </c>
      <c r="C78" s="129">
        <v>150505.05910000001</v>
      </c>
      <c r="D78" s="150">
        <f t="shared" si="13"/>
        <v>21.8</v>
      </c>
      <c r="E78" s="27">
        <f>IFERROR(100/'Skjema total MA'!C78*C78,0)</f>
        <v>3.6598754539151321</v>
      </c>
      <c r="F78" s="215"/>
      <c r="G78" s="129"/>
      <c r="H78" s="150"/>
      <c r="I78" s="27"/>
      <c r="J78" s="273">
        <f t="shared" si="15"/>
        <v>123557.04025000001</v>
      </c>
      <c r="K78" s="44">
        <f t="shared" si="15"/>
        <v>150505.05910000001</v>
      </c>
      <c r="L78" s="240">
        <f t="shared" si="16"/>
        <v>21.8</v>
      </c>
      <c r="M78" s="27">
        <f>IFERROR(100/'Skjema total MA'!I78*K78,0)</f>
        <v>3.6598754539151321</v>
      </c>
    </row>
    <row r="79" spans="1:14" x14ac:dyDescent="0.2">
      <c r="A79" s="38" t="s">
        <v>396</v>
      </c>
      <c r="B79" s="277">
        <v>38321.17669</v>
      </c>
      <c r="C79" s="278">
        <v>28013.142199999998</v>
      </c>
      <c r="D79" s="150">
        <f t="shared" si="13"/>
        <v>-26.9</v>
      </c>
      <c r="E79" s="27">
        <f>IFERROR(100/'Skjema total MA'!C79*C79,0)</f>
        <v>96.03032342010934</v>
      </c>
      <c r="F79" s="277">
        <v>3622030.80773</v>
      </c>
      <c r="G79" s="278">
        <v>4104254.4784900001</v>
      </c>
      <c r="H79" s="150">
        <f t="shared" si="14"/>
        <v>13.3</v>
      </c>
      <c r="I79" s="27">
        <f>IFERROR(100/'Skjema total MA'!F79*G79,0)</f>
        <v>11.759763278462007</v>
      </c>
      <c r="J79" s="273">
        <f t="shared" si="15"/>
        <v>3660351.9844200001</v>
      </c>
      <c r="K79" s="44">
        <f t="shared" si="15"/>
        <v>4132267.6206900002</v>
      </c>
      <c r="L79" s="240">
        <f t="shared" si="16"/>
        <v>12.9</v>
      </c>
      <c r="M79" s="27">
        <f>IFERROR(100/'Skjema total MA'!I79*K79,0)</f>
        <v>11.830140281583335</v>
      </c>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v>7749.2873399999999</v>
      </c>
      <c r="G86" s="129">
        <v>7384.2901899999997</v>
      </c>
      <c r="H86" s="150">
        <f t="shared" si="14"/>
        <v>-4.7</v>
      </c>
      <c r="I86" s="27">
        <f>IFERROR(100/'Skjema total MA'!F86*G86,0)</f>
        <v>78.149078768370103</v>
      </c>
      <c r="J86" s="273">
        <f t="shared" si="15"/>
        <v>7749.2873399999999</v>
      </c>
      <c r="K86" s="44">
        <f t="shared" si="15"/>
        <v>7384.2901899999997</v>
      </c>
      <c r="L86" s="240">
        <f t="shared" si="16"/>
        <v>-4.7</v>
      </c>
      <c r="M86" s="27">
        <f>IFERROR(100/'Skjema total MA'!I86*K86,0)</f>
        <v>7.0559284350135121</v>
      </c>
    </row>
    <row r="87" spans="1:13" ht="15.75" x14ac:dyDescent="0.2">
      <c r="A87" s="13" t="s">
        <v>347</v>
      </c>
      <c r="B87" s="335">
        <v>17945789.156429999</v>
      </c>
      <c r="C87" s="335">
        <v>16903087.39285</v>
      </c>
      <c r="D87" s="155">
        <f t="shared" si="13"/>
        <v>-5.8</v>
      </c>
      <c r="E87" s="11">
        <f>IFERROR(100/'Skjema total MA'!C87*C87,0)</f>
        <v>4.2311463772828928</v>
      </c>
      <c r="F87" s="334">
        <v>44578188.461619996</v>
      </c>
      <c r="G87" s="334">
        <v>55655534.945919998</v>
      </c>
      <c r="H87" s="155">
        <f t="shared" si="14"/>
        <v>24.8</v>
      </c>
      <c r="I87" s="11">
        <f>IFERROR(100/'Skjema total MA'!F87*G87,0)</f>
        <v>11.023122168919185</v>
      </c>
      <c r="J87" s="292">
        <f t="shared" ref="J87:K111" si="21">SUM(B87,F87)</f>
        <v>62523977.618049994</v>
      </c>
      <c r="K87" s="217">
        <f t="shared" si="21"/>
        <v>72558622.338770002</v>
      </c>
      <c r="L87" s="406">
        <f t="shared" si="16"/>
        <v>16</v>
      </c>
      <c r="M87" s="11">
        <f>IFERROR(100/'Skjema total MA'!I87*K87,0)</f>
        <v>8.0229349388547018</v>
      </c>
    </row>
    <row r="88" spans="1:13" x14ac:dyDescent="0.2">
      <c r="A88" s="21" t="s">
        <v>9</v>
      </c>
      <c r="B88" s="215">
        <v>12579762.3375</v>
      </c>
      <c r="C88" s="129">
        <v>12152236.67812</v>
      </c>
      <c r="D88" s="150">
        <f t="shared" si="13"/>
        <v>-3.4</v>
      </c>
      <c r="E88" s="27">
        <f>IFERROR(100/'Skjema total MA'!C88*C88,0)</f>
        <v>3.1762524511688963</v>
      </c>
      <c r="F88" s="215">
        <v>0</v>
      </c>
      <c r="G88" s="129">
        <v>0</v>
      </c>
      <c r="H88" s="150" t="str">
        <f t="shared" si="14"/>
        <v xml:space="preserve">    ---- </v>
      </c>
      <c r="I88" s="27">
        <f>IFERROR(100/'Skjema total MA'!F88*G88,0)</f>
        <v>0</v>
      </c>
      <c r="J88" s="273">
        <f t="shared" si="21"/>
        <v>12579762.3375</v>
      </c>
      <c r="K88" s="44">
        <f t="shared" si="21"/>
        <v>12152236.67812</v>
      </c>
      <c r="L88" s="240">
        <f t="shared" si="16"/>
        <v>-3.4</v>
      </c>
      <c r="M88" s="27">
        <f>IFERROR(100/'Skjema total MA'!I88*K88,0)</f>
        <v>3.1762524511688963</v>
      </c>
    </row>
    <row r="89" spans="1:13" x14ac:dyDescent="0.2">
      <c r="A89" s="21" t="s">
        <v>10</v>
      </c>
      <c r="B89" s="215">
        <v>1819108.74538</v>
      </c>
      <c r="C89" s="129">
        <v>660961.54394999996</v>
      </c>
      <c r="D89" s="150">
        <f t="shared" si="13"/>
        <v>-63.7</v>
      </c>
      <c r="E89" s="27">
        <f>IFERROR(100/'Skjema total MA'!C89*C89,0)</f>
        <v>30.10184353963874</v>
      </c>
      <c r="F89" s="215">
        <v>42969830.020549998</v>
      </c>
      <c r="G89" s="129">
        <v>53541895.03638</v>
      </c>
      <c r="H89" s="150">
        <f t="shared" si="14"/>
        <v>24.6</v>
      </c>
      <c r="I89" s="27">
        <f>IFERROR(100/'Skjema total MA'!F89*G89,0)</f>
        <v>10.756791154456659</v>
      </c>
      <c r="J89" s="273">
        <f t="shared" si="21"/>
        <v>44788938.765929997</v>
      </c>
      <c r="K89" s="44">
        <f t="shared" si="21"/>
        <v>54202856.580329999</v>
      </c>
      <c r="L89" s="240">
        <f t="shared" si="16"/>
        <v>21</v>
      </c>
      <c r="M89" s="27">
        <f>IFERROR(100/'Skjema total MA'!I89*K89,0)</f>
        <v>10.841754262767305</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v>2298834.5586100002</v>
      </c>
      <c r="C96" s="129">
        <v>2723966.6245800001</v>
      </c>
      <c r="D96" s="150">
        <f t="shared" si="13"/>
        <v>18.5</v>
      </c>
      <c r="E96" s="27">
        <f>IFERROR(100/'Skjema total MA'!C96*C96,0)</f>
        <v>59.448637470288404</v>
      </c>
      <c r="F96" s="215">
        <v>1608358.4410699999</v>
      </c>
      <c r="G96" s="129">
        <v>2113639.9095399999</v>
      </c>
      <c r="H96" s="150">
        <f t="shared" si="14"/>
        <v>31.4</v>
      </c>
      <c r="I96" s="27">
        <f>IFERROR(100/'Skjema total MA'!F96*G96,0)</f>
        <v>29.567967598574167</v>
      </c>
      <c r="J96" s="273">
        <f t="shared" si="21"/>
        <v>3907192.9996800004</v>
      </c>
      <c r="K96" s="44">
        <f t="shared" si="21"/>
        <v>4837606.53412</v>
      </c>
      <c r="L96" s="240">
        <f t="shared" si="16"/>
        <v>23.8</v>
      </c>
      <c r="M96" s="27">
        <f>IFERROR(100/'Skjema total MA'!I96*K96,0)</f>
        <v>41.239693979818178</v>
      </c>
    </row>
    <row r="97" spans="1:13" x14ac:dyDescent="0.2">
      <c r="A97" s="21" t="s">
        <v>331</v>
      </c>
      <c r="B97" s="215">
        <v>1248083.5149399999</v>
      </c>
      <c r="C97" s="129">
        <v>1365922.5462</v>
      </c>
      <c r="D97" s="150">
        <f t="shared" ref="D97" si="22">IF(B97=0, "    ---- ", IF(ABS(ROUND(100/B97*C97-100,1))&lt;999,ROUND(100/B97*C97-100,1),IF(ROUND(100/B97*C97-100,1)&gt;999,999,-999)))</f>
        <v>9.4</v>
      </c>
      <c r="E97" s="27">
        <f>IFERROR(100/'Skjema total MA'!C98*C97,0)</f>
        <v>0.35902819102387729</v>
      </c>
      <c r="F97" s="215"/>
      <c r="G97" s="129"/>
      <c r="H97" s="150"/>
      <c r="I97" s="27"/>
      <c r="J97" s="273">
        <f t="shared" ref="J97" si="23">SUM(B97,F97)</f>
        <v>1248083.5149399999</v>
      </c>
      <c r="K97" s="44">
        <f t="shared" ref="K97" si="24">SUM(C97,G97)</f>
        <v>1365922.5462</v>
      </c>
      <c r="L97" s="240">
        <f t="shared" ref="L97" si="25">IF(J97=0, "    ---- ", IF(ABS(ROUND(100/J97*K97-100,1))&lt;999,ROUND(100/J97*K97-100,1),IF(ROUND(100/J97*K97-100,1)&gt;999,999,-999)))</f>
        <v>9.4</v>
      </c>
      <c r="M97" s="27">
        <f>IFERROR(100/'Skjema total MA'!I98*K97,0)</f>
        <v>0.15556994155324622</v>
      </c>
    </row>
    <row r="98" spans="1:13" ht="15.75" x14ac:dyDescent="0.2">
      <c r="A98" s="21" t="s">
        <v>364</v>
      </c>
      <c r="B98" s="215">
        <v>14398871.08288</v>
      </c>
      <c r="C98" s="215">
        <v>12813198.222070001</v>
      </c>
      <c r="D98" s="150">
        <f t="shared" si="13"/>
        <v>-11</v>
      </c>
      <c r="E98" s="27">
        <f>IFERROR(100/'Skjema total MA'!C98*C98,0)</f>
        <v>3.367906468560899</v>
      </c>
      <c r="F98" s="277">
        <v>42893784.637699999</v>
      </c>
      <c r="G98" s="277">
        <v>53464265.524460003</v>
      </c>
      <c r="H98" s="150">
        <f t="shared" si="14"/>
        <v>24.6</v>
      </c>
      <c r="I98" s="27">
        <f>IFERROR(100/'Skjema total MA'!F98*G98,0)</f>
        <v>10.745248588207239</v>
      </c>
      <c r="J98" s="273">
        <f t="shared" si="21"/>
        <v>57292655.720579997</v>
      </c>
      <c r="K98" s="44">
        <f t="shared" si="21"/>
        <v>66277463.746530004</v>
      </c>
      <c r="L98" s="240">
        <f t="shared" si="16"/>
        <v>15.7</v>
      </c>
      <c r="M98" s="27">
        <f>IFERROR(100/'Skjema total MA'!I98*K98,0)</f>
        <v>7.5485840613947603</v>
      </c>
    </row>
    <row r="99" spans="1:13" x14ac:dyDescent="0.2">
      <c r="A99" s="21" t="s">
        <v>9</v>
      </c>
      <c r="B99" s="277">
        <v>12579762.3375</v>
      </c>
      <c r="C99" s="278">
        <v>12152236.67812</v>
      </c>
      <c r="D99" s="150">
        <f t="shared" si="13"/>
        <v>-3.4</v>
      </c>
      <c r="E99" s="27">
        <f>IFERROR(100/'Skjema total MA'!C99*C99,0)</f>
        <v>3.2127169912743105</v>
      </c>
      <c r="F99" s="215"/>
      <c r="G99" s="129"/>
      <c r="H99" s="150"/>
      <c r="I99" s="27"/>
      <c r="J99" s="273">
        <f t="shared" si="21"/>
        <v>12579762.3375</v>
      </c>
      <c r="K99" s="44">
        <f t="shared" si="21"/>
        <v>12152236.67812</v>
      </c>
      <c r="L99" s="240">
        <f t="shared" si="16"/>
        <v>-3.4</v>
      </c>
      <c r="M99" s="27">
        <f>IFERROR(100/'Skjema total MA'!I99*K99,0)</f>
        <v>3.2127169912743105</v>
      </c>
    </row>
    <row r="100" spans="1:13" x14ac:dyDescent="0.2">
      <c r="A100" s="38" t="s">
        <v>396</v>
      </c>
      <c r="B100" s="277">
        <v>1819108.74538</v>
      </c>
      <c r="C100" s="278">
        <v>660961.54394999996</v>
      </c>
      <c r="D100" s="150">
        <f t="shared" si="13"/>
        <v>-63.7</v>
      </c>
      <c r="E100" s="27">
        <f>IFERROR(100/'Skjema total MA'!C100*C100,0)</f>
        <v>30.10184353963874</v>
      </c>
      <c r="F100" s="215">
        <v>42893784.637699999</v>
      </c>
      <c r="G100" s="215">
        <v>53464265.524460003</v>
      </c>
      <c r="H100" s="150">
        <f t="shared" si="14"/>
        <v>24.6</v>
      </c>
      <c r="I100" s="27">
        <f>IFERROR(100/'Skjema total MA'!F100*G100,0)</f>
        <v>10.745248588207239</v>
      </c>
      <c r="J100" s="273">
        <f t="shared" si="21"/>
        <v>44712893.383079998</v>
      </c>
      <c r="K100" s="44">
        <f t="shared" si="21"/>
        <v>54125227.068410002</v>
      </c>
      <c r="L100" s="240">
        <f t="shared" si="16"/>
        <v>21.1</v>
      </c>
      <c r="M100" s="27">
        <f>IFERROR(100/'Skjema total MA'!I100*K100,0)</f>
        <v>10.830294332928705</v>
      </c>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v>76045.382849999907</v>
      </c>
      <c r="G107" s="129">
        <v>77629.511919999903</v>
      </c>
      <c r="H107" s="150">
        <f t="shared" si="14"/>
        <v>2.1</v>
      </c>
      <c r="I107" s="27">
        <f>IFERROR(100/'Skjema total MA'!F107*G107,0)</f>
        <v>41.342728201937007</v>
      </c>
      <c r="J107" s="273">
        <f t="shared" si="21"/>
        <v>76045.382849999907</v>
      </c>
      <c r="K107" s="44">
        <f t="shared" si="21"/>
        <v>77629.511919999903</v>
      </c>
      <c r="L107" s="240">
        <f t="shared" si="16"/>
        <v>2.1</v>
      </c>
      <c r="M107" s="27">
        <f>IFERROR(100/'Skjema total MA'!I107*K107,0)</f>
        <v>1.7135747043388105</v>
      </c>
    </row>
    <row r="108" spans="1:13" ht="15.75" x14ac:dyDescent="0.2">
      <c r="A108" s="21" t="s">
        <v>366</v>
      </c>
      <c r="B108" s="215">
        <v>9660812.6390899997</v>
      </c>
      <c r="C108" s="215">
        <v>9307679.3265000004</v>
      </c>
      <c r="D108" s="150">
        <f t="shared" si="13"/>
        <v>-3.7</v>
      </c>
      <c r="E108" s="27">
        <f>IFERROR(100/'Skjema total MA'!C108*C108,0)</f>
        <v>2.833746228380178</v>
      </c>
      <c r="F108" s="215"/>
      <c r="G108" s="215"/>
      <c r="H108" s="150"/>
      <c r="I108" s="27"/>
      <c r="J108" s="273">
        <f t="shared" si="21"/>
        <v>9660812.6390899997</v>
      </c>
      <c r="K108" s="44">
        <f t="shared" si="21"/>
        <v>9307679.3265000004</v>
      </c>
      <c r="L108" s="240">
        <f t="shared" si="16"/>
        <v>-3.7</v>
      </c>
      <c r="M108" s="27">
        <f>IFERROR(100/'Skjema total MA'!I108*K108,0)</f>
        <v>2.6705523250140639</v>
      </c>
    </row>
    <row r="109" spans="1:13" ht="15.75" x14ac:dyDescent="0.2">
      <c r="A109" s="38" t="s">
        <v>404</v>
      </c>
      <c r="B109" s="215">
        <v>398165.84742000001</v>
      </c>
      <c r="C109" s="215">
        <v>407653.45844000002</v>
      </c>
      <c r="D109" s="150">
        <f t="shared" si="13"/>
        <v>2.4</v>
      </c>
      <c r="E109" s="27">
        <f>IFERROR(100/'Skjema total MA'!C109*C109,0)</f>
        <v>20.134640577073402</v>
      </c>
      <c r="F109" s="215">
        <v>17228077.614190001</v>
      </c>
      <c r="G109" s="215">
        <v>21824473.066330001</v>
      </c>
      <c r="H109" s="150">
        <f t="shared" si="14"/>
        <v>26.7</v>
      </c>
      <c r="I109" s="27">
        <f>IFERROR(100/'Skjema total MA'!F109*G109,0)</f>
        <v>11.687131096625999</v>
      </c>
      <c r="J109" s="273">
        <f t="shared" si="21"/>
        <v>17626243.461610001</v>
      </c>
      <c r="K109" s="44">
        <f t="shared" si="21"/>
        <v>22232126.524769999</v>
      </c>
      <c r="L109" s="240">
        <f t="shared" si="16"/>
        <v>26.1</v>
      </c>
      <c r="M109" s="27">
        <f>IFERROR(100/'Skjema total MA'!I109*K109,0)</f>
        <v>11.777737060875774</v>
      </c>
    </row>
    <row r="110" spans="1:13" ht="15.75" x14ac:dyDescent="0.2">
      <c r="A110" s="21" t="s">
        <v>367</v>
      </c>
      <c r="B110" s="215">
        <v>755700.11806000001</v>
      </c>
      <c r="C110" s="215">
        <v>1031571.08407</v>
      </c>
      <c r="D110" s="150">
        <f t="shared" si="13"/>
        <v>36.5</v>
      </c>
      <c r="E110" s="27">
        <f>IFERROR(100/'Skjema total MA'!C110*C110,0)</f>
        <v>51.447407822505781</v>
      </c>
      <c r="F110" s="215"/>
      <c r="G110" s="215"/>
      <c r="H110" s="150"/>
      <c r="I110" s="27"/>
      <c r="J110" s="273">
        <f t="shared" si="21"/>
        <v>755700.11806000001</v>
      </c>
      <c r="K110" s="44">
        <f t="shared" si="21"/>
        <v>1031571.08407</v>
      </c>
      <c r="L110" s="240">
        <f t="shared" si="16"/>
        <v>36.5</v>
      </c>
      <c r="M110" s="27">
        <f>IFERROR(100/'Skjema total MA'!I110*K110,0)</f>
        <v>51.447407822505781</v>
      </c>
    </row>
    <row r="111" spans="1:13" ht="15.75" x14ac:dyDescent="0.2">
      <c r="A111" s="13" t="s">
        <v>348</v>
      </c>
      <c r="B111" s="291">
        <v>38487.617310000001</v>
      </c>
      <c r="C111" s="143">
        <v>16971.748250000001</v>
      </c>
      <c r="D111" s="155">
        <f t="shared" si="13"/>
        <v>-55.9</v>
      </c>
      <c r="E111" s="11">
        <f>IFERROR(100/'Skjema total MA'!C111*C111,0)</f>
        <v>3.908031037912199</v>
      </c>
      <c r="F111" s="291">
        <v>3579793.6391699999</v>
      </c>
      <c r="G111" s="143">
        <v>3344132.1032099999</v>
      </c>
      <c r="H111" s="155">
        <f t="shared" si="14"/>
        <v>-6.6</v>
      </c>
      <c r="I111" s="11">
        <f>IFERROR(100/'Skjema total MA'!F111*G111,0)</f>
        <v>9.1049208835008599</v>
      </c>
      <c r="J111" s="292">
        <f t="shared" si="21"/>
        <v>3618281.25648</v>
      </c>
      <c r="K111" s="217">
        <f t="shared" si="21"/>
        <v>3361103.85146</v>
      </c>
      <c r="L111" s="406">
        <f t="shared" si="16"/>
        <v>-7.1</v>
      </c>
      <c r="M111" s="11">
        <f>IFERROR(100/'Skjema total MA'!I111*K111,0)</f>
        <v>9.0441913563954763</v>
      </c>
    </row>
    <row r="112" spans="1:13" x14ac:dyDescent="0.2">
      <c r="A112" s="21" t="s">
        <v>9</v>
      </c>
      <c r="B112" s="215">
        <v>27308.43348</v>
      </c>
      <c r="C112" s="129">
        <v>3281.98713</v>
      </c>
      <c r="D112" s="150">
        <f t="shared" ref="D112:D126" si="26">IF(B112=0, "    ---- ", IF(ABS(ROUND(100/B112*C112-100,1))&lt;999,ROUND(100/B112*C112-100,1),IF(ROUND(100/B112*C112-100,1)&gt;999,999,-999)))</f>
        <v>-88</v>
      </c>
      <c r="E112" s="27">
        <f>IFERROR(100/'Skjema total MA'!C112*C112,0)</f>
        <v>1.3674601572770217</v>
      </c>
      <c r="F112" s="215"/>
      <c r="G112" s="129"/>
      <c r="H112" s="150"/>
      <c r="I112" s="27"/>
      <c r="J112" s="273">
        <f t="shared" ref="J112:K126" si="27">SUM(B112,F112)</f>
        <v>27308.43348</v>
      </c>
      <c r="K112" s="44">
        <f t="shared" si="27"/>
        <v>3281.98713</v>
      </c>
      <c r="L112" s="240">
        <f t="shared" ref="L112:L126" si="28">IF(J112=0, "    ---- ", IF(ABS(ROUND(100/J112*K112-100,1))&lt;999,ROUND(100/J112*K112-100,1),IF(ROUND(100/J112*K112-100,1)&gt;999,999,-999)))</f>
        <v>-88</v>
      </c>
      <c r="M112" s="27">
        <f>IFERROR(100/'Skjema total MA'!I112*K112,0)</f>
        <v>1.3563523131683737</v>
      </c>
    </row>
    <row r="113" spans="1:14" x14ac:dyDescent="0.2">
      <c r="A113" s="21" t="s">
        <v>10</v>
      </c>
      <c r="B113" s="215"/>
      <c r="C113" s="129"/>
      <c r="D113" s="150"/>
      <c r="E113" s="27"/>
      <c r="F113" s="215">
        <v>3579793.6391699999</v>
      </c>
      <c r="G113" s="129">
        <v>3344132.1032099999</v>
      </c>
      <c r="H113" s="150">
        <f t="shared" ref="H113:H125" si="29">IF(F113=0, "    ---- ", IF(ABS(ROUND(100/F113*G113-100,1))&lt;999,ROUND(100/F113*G113-100,1),IF(ROUND(100/F113*G113-100,1)&gt;999,999,-999)))</f>
        <v>-6.6</v>
      </c>
      <c r="I113" s="27">
        <f>IFERROR(100/'Skjema total MA'!F113*G113,0)</f>
        <v>9.1074613776724824</v>
      </c>
      <c r="J113" s="273">
        <f t="shared" si="27"/>
        <v>3579793.6391699999</v>
      </c>
      <c r="K113" s="44">
        <f t="shared" si="27"/>
        <v>3344132.1032099999</v>
      </c>
      <c r="L113" s="240">
        <f t="shared" si="28"/>
        <v>-6.6</v>
      </c>
      <c r="M113" s="27">
        <f>IFERROR(100/'Skjema total MA'!I113*K113,0)</f>
        <v>9.1074613776724824</v>
      </c>
    </row>
    <row r="114" spans="1:14" x14ac:dyDescent="0.2">
      <c r="A114" s="21" t="s">
        <v>26</v>
      </c>
      <c r="B114" s="215">
        <v>11179.116830000001</v>
      </c>
      <c r="C114" s="129">
        <v>13689.761119999999</v>
      </c>
      <c r="D114" s="150">
        <f t="shared" si="26"/>
        <v>22.5</v>
      </c>
      <c r="E114" s="27">
        <f>IFERROR(100/'Skjema total MA'!C114*C114,0)</f>
        <v>7.0466727406428706</v>
      </c>
      <c r="F114" s="215"/>
      <c r="G114" s="129"/>
      <c r="H114" s="150"/>
      <c r="I114" s="27"/>
      <c r="J114" s="273">
        <f t="shared" si="27"/>
        <v>11179.116830000001</v>
      </c>
      <c r="K114" s="44">
        <f t="shared" si="27"/>
        <v>13689.761119999999</v>
      </c>
      <c r="L114" s="240">
        <f t="shared" si="28"/>
        <v>22.5</v>
      </c>
      <c r="M114" s="27">
        <f>IFERROR(100/'Skjema total MA'!I114*K114,0)</f>
        <v>6.7586220203409395</v>
      </c>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44">
        <v>27000.502950000002</v>
      </c>
      <c r="C116" s="215">
        <v>733.70699999999999</v>
      </c>
      <c r="D116" s="150">
        <f t="shared" si="26"/>
        <v>-97.3</v>
      </c>
      <c r="E116" s="27">
        <f>IFERROR(100/'Skjema total MA'!C116*C116,0)</f>
        <v>1.1035605680288063</v>
      </c>
      <c r="F116" s="215"/>
      <c r="G116" s="215"/>
      <c r="H116" s="150"/>
      <c r="I116" s="27"/>
      <c r="J116" s="273">
        <f t="shared" si="27"/>
        <v>27000.502950000002</v>
      </c>
      <c r="K116" s="44">
        <f t="shared" si="27"/>
        <v>733.70699999999999</v>
      </c>
      <c r="L116" s="240">
        <f t="shared" si="28"/>
        <v>-97.3</v>
      </c>
      <c r="M116" s="27">
        <f>IFERROR(100/'Skjema total MA'!I116*K116,0)</f>
        <v>1.0718724762954386</v>
      </c>
    </row>
    <row r="117" spans="1:14" ht="15.75" x14ac:dyDescent="0.2">
      <c r="A117" s="38" t="s">
        <v>404</v>
      </c>
      <c r="B117" s="44"/>
      <c r="C117" s="215"/>
      <c r="D117" s="150"/>
      <c r="E117" s="27"/>
      <c r="F117" s="215">
        <v>2265051.3229200002</v>
      </c>
      <c r="G117" s="215">
        <v>2315036.6956600002</v>
      </c>
      <c r="H117" s="150">
        <f t="shared" si="29"/>
        <v>2.2000000000000002</v>
      </c>
      <c r="I117" s="27">
        <f>IFERROR(100/'Skjema total MA'!F117*G117,0)</f>
        <v>11.422115503935922</v>
      </c>
      <c r="J117" s="273">
        <f t="shared" si="27"/>
        <v>2265051.3229200002</v>
      </c>
      <c r="K117" s="44">
        <f t="shared" si="27"/>
        <v>2315036.6956600002</v>
      </c>
      <c r="L117" s="240">
        <f t="shared" si="28"/>
        <v>2.2000000000000002</v>
      </c>
      <c r="M117" s="27">
        <f>IFERROR(100/'Skjema total MA'!I117*K117,0)</f>
        <v>11.422115503935922</v>
      </c>
    </row>
    <row r="118" spans="1:14" ht="15.75" x14ac:dyDescent="0.2">
      <c r="A118" s="21" t="s">
        <v>367</v>
      </c>
      <c r="B118" s="44"/>
      <c r="C118" s="215"/>
      <c r="D118" s="150"/>
      <c r="E118" s="27"/>
      <c r="F118" s="215"/>
      <c r="G118" s="215"/>
      <c r="H118" s="150"/>
      <c r="I118" s="27"/>
      <c r="J118" s="273"/>
      <c r="K118" s="44"/>
      <c r="L118" s="240"/>
      <c r="M118" s="27"/>
    </row>
    <row r="119" spans="1:14" ht="15.75" x14ac:dyDescent="0.2">
      <c r="A119" s="13" t="s">
        <v>349</v>
      </c>
      <c r="B119" s="217">
        <v>232739.92763999998</v>
      </c>
      <c r="C119" s="291">
        <f>SUM(C120:C122)</f>
        <v>38158.993979999999</v>
      </c>
      <c r="D119" s="155">
        <f t="shared" si="26"/>
        <v>-83.6</v>
      </c>
      <c r="E119" s="11">
        <f>IFERROR(100/'Skjema total MA'!C119*C119,0)</f>
        <v>9.068254748085673</v>
      </c>
      <c r="F119" s="291">
        <v>3715519.5946599999</v>
      </c>
      <c r="G119" s="143">
        <v>3678022.7499899999</v>
      </c>
      <c r="H119" s="155">
        <f t="shared" si="29"/>
        <v>-1</v>
      </c>
      <c r="I119" s="11">
        <f>IFERROR(100/'Skjema total MA'!F119*G119,0)</f>
        <v>9.4646670054399831</v>
      </c>
      <c r="J119" s="292">
        <f t="shared" si="27"/>
        <v>3948259.5222999998</v>
      </c>
      <c r="K119" s="217">
        <f t="shared" si="27"/>
        <v>3716181.7439699997</v>
      </c>
      <c r="L119" s="406">
        <f t="shared" si="28"/>
        <v>-5.9</v>
      </c>
      <c r="M119" s="11">
        <f>IFERROR(100/'Skjema total MA'!I119*K119,0)</f>
        <v>9.4604204795782429</v>
      </c>
    </row>
    <row r="120" spans="1:14" x14ac:dyDescent="0.2">
      <c r="A120" s="21" t="s">
        <v>9</v>
      </c>
      <c r="B120" s="44">
        <v>658.12110999999993</v>
      </c>
      <c r="C120" s="215">
        <v>531.72731999999996</v>
      </c>
      <c r="D120" s="150">
        <f t="shared" si="26"/>
        <v>-19.2</v>
      </c>
      <c r="E120" s="27">
        <f>IFERROR(100/'Skjema total MA'!C120*C120,0)</f>
        <v>0.19462628012926758</v>
      </c>
      <c r="F120" s="215"/>
      <c r="G120" s="129"/>
      <c r="H120" s="150"/>
      <c r="I120" s="27"/>
      <c r="J120" s="273">
        <f t="shared" si="27"/>
        <v>658.12110999999993</v>
      </c>
      <c r="K120" s="44">
        <f t="shared" si="27"/>
        <v>531.72731999999996</v>
      </c>
      <c r="L120" s="240">
        <f t="shared" si="28"/>
        <v>-19.2</v>
      </c>
      <c r="M120" s="27">
        <f>IFERROR(100/'Skjema total MA'!I120*K120,0)</f>
        <v>0.19462628012926758</v>
      </c>
    </row>
    <row r="121" spans="1:14" x14ac:dyDescent="0.2">
      <c r="A121" s="21" t="s">
        <v>10</v>
      </c>
      <c r="B121" s="215">
        <v>5962.0209800000002</v>
      </c>
      <c r="C121" s="129">
        <v>4542.6450299999997</v>
      </c>
      <c r="D121" s="150">
        <f t="shared" si="26"/>
        <v>-23.8</v>
      </c>
      <c r="E121" s="27">
        <f>IFERROR(100/'Skjema total MA'!C121*C121,0)</f>
        <v>100</v>
      </c>
      <c r="F121" s="215">
        <v>3715519.5946599999</v>
      </c>
      <c r="G121" s="129">
        <v>3678022.7499899999</v>
      </c>
      <c r="H121" s="150">
        <f t="shared" si="29"/>
        <v>-1</v>
      </c>
      <c r="I121" s="27">
        <f>IFERROR(100/'Skjema total MA'!F121*G121,0)</f>
        <v>9.4646670054399831</v>
      </c>
      <c r="J121" s="273">
        <f t="shared" si="27"/>
        <v>3721481.61564</v>
      </c>
      <c r="K121" s="44">
        <f t="shared" si="27"/>
        <v>3682565.3950199997</v>
      </c>
      <c r="L121" s="240">
        <f t="shared" si="28"/>
        <v>-1</v>
      </c>
      <c r="M121" s="27">
        <f>IFERROR(100/'Skjema total MA'!I121*K121,0)</f>
        <v>9.4752489886526341</v>
      </c>
    </row>
    <row r="122" spans="1:14" x14ac:dyDescent="0.2">
      <c r="A122" s="21" t="s">
        <v>26</v>
      </c>
      <c r="B122" s="215">
        <v>226119.78555</v>
      </c>
      <c r="C122" s="129">
        <v>33084.621630000001</v>
      </c>
      <c r="D122" s="150">
        <f t="shared" si="26"/>
        <v>-85.4</v>
      </c>
      <c r="E122" s="27">
        <f>IFERROR(100/'Skjema total MA'!C122*C122,0)</f>
        <v>23.127910365927203</v>
      </c>
      <c r="F122" s="215"/>
      <c r="G122" s="129"/>
      <c r="H122" s="150"/>
      <c r="I122" s="27"/>
      <c r="J122" s="273">
        <f t="shared" si="27"/>
        <v>226119.78555</v>
      </c>
      <c r="K122" s="44">
        <f t="shared" si="27"/>
        <v>33084.621630000001</v>
      </c>
      <c r="L122" s="240">
        <f t="shared" si="28"/>
        <v>-85.4</v>
      </c>
      <c r="M122" s="27">
        <f>IFERROR(100/'Skjema total MA'!I122*K122,0)</f>
        <v>23.127910365927203</v>
      </c>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v>861.87797</v>
      </c>
      <c r="C125" s="215">
        <v>716.13138000000004</v>
      </c>
      <c r="D125" s="150">
        <f t="shared" si="26"/>
        <v>-16.899999999999999</v>
      </c>
      <c r="E125" s="27">
        <f>IFERROR(100/'Skjema total MA'!C125*C125,0)</f>
        <v>90.097281929028497</v>
      </c>
      <c r="F125" s="215">
        <v>1734390.1970899999</v>
      </c>
      <c r="G125" s="215">
        <v>1793966.1226600001</v>
      </c>
      <c r="H125" s="150">
        <f t="shared" si="29"/>
        <v>3.4</v>
      </c>
      <c r="I125" s="27">
        <f>IFERROR(100/'Skjema total MA'!F125*G125,0)</f>
        <v>9.8129877052344092</v>
      </c>
      <c r="J125" s="273">
        <f t="shared" si="27"/>
        <v>1735252.0750599999</v>
      </c>
      <c r="K125" s="44">
        <f t="shared" si="27"/>
        <v>1794682.25404</v>
      </c>
      <c r="L125" s="240">
        <f t="shared" si="28"/>
        <v>3.4</v>
      </c>
      <c r="M125" s="27">
        <f>IFERROR(100/'Skjema total MA'!I125*K125,0)</f>
        <v>9.8164781417573597</v>
      </c>
    </row>
    <row r="126" spans="1:14" ht="15.75" x14ac:dyDescent="0.2">
      <c r="A126" s="10" t="s">
        <v>367</v>
      </c>
      <c r="B126" s="45">
        <v>121.40765</v>
      </c>
      <c r="C126" s="45">
        <v>0</v>
      </c>
      <c r="D126" s="151">
        <f t="shared" si="26"/>
        <v>-100</v>
      </c>
      <c r="E126" s="396">
        <f>IFERROR(100/'Skjema total MA'!C126*C126,0)</f>
        <v>0</v>
      </c>
      <c r="F126" s="45"/>
      <c r="G126" s="45"/>
      <c r="H126" s="151"/>
      <c r="I126" s="22"/>
      <c r="J126" s="274">
        <f t="shared" si="27"/>
        <v>121.40765</v>
      </c>
      <c r="K126" s="45">
        <f t="shared" si="27"/>
        <v>0</v>
      </c>
      <c r="L126" s="241">
        <f t="shared" si="28"/>
        <v>-100</v>
      </c>
      <c r="M126" s="22">
        <f>IFERROR(100/'Skjema total MA'!I126*K126,0)</f>
        <v>0</v>
      </c>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80" priority="12">
      <formula>kvartal &lt; 4</formula>
    </cfRule>
  </conditionalFormatting>
  <conditionalFormatting sqref="A69:A74">
    <cfRule type="expression" dxfId="279" priority="10">
      <formula>kvartal &lt; 4</formula>
    </cfRule>
  </conditionalFormatting>
  <conditionalFormatting sqref="A80:A85">
    <cfRule type="expression" dxfId="278" priority="9">
      <formula>kvartal &lt; 4</formula>
    </cfRule>
  </conditionalFormatting>
  <conditionalFormatting sqref="A90:A95">
    <cfRule type="expression" dxfId="277" priority="6">
      <formula>kvartal &lt; 4</formula>
    </cfRule>
  </conditionalFormatting>
  <conditionalFormatting sqref="A101:A106">
    <cfRule type="expression" dxfId="276" priority="5">
      <formula>kvartal &lt; 4</formula>
    </cfRule>
  </conditionalFormatting>
  <conditionalFormatting sqref="A115">
    <cfRule type="expression" dxfId="275" priority="4">
      <formula>kvartal &lt; 4</formula>
    </cfRule>
  </conditionalFormatting>
  <conditionalFormatting sqref="A123">
    <cfRule type="expression" dxfId="274"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130</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625231.96400000004</v>
      </c>
      <c r="C7" s="290">
        <v>969247.04480000003</v>
      </c>
      <c r="D7" s="332">
        <f>IF(B7=0, "    ---- ", IF(ABS(ROUND(100/B7*C7-100,1))&lt;999,ROUND(100/B7*C7-100,1),IF(ROUND(100/B7*C7-100,1)&gt;999,999,-999)))</f>
        <v>55</v>
      </c>
      <c r="E7" s="11">
        <f>IFERROR(100/'Skjema total MA'!C7*C7,0)</f>
        <v>22.840161342914389</v>
      </c>
      <c r="F7" s="289">
        <v>828882.55700000003</v>
      </c>
      <c r="G7" s="290">
        <v>897284.67520000006</v>
      </c>
      <c r="H7" s="332">
        <f>IF(F7=0, "    ---- ", IF(ABS(ROUND(100/F7*G7-100,1))&lt;999,ROUND(100/F7*G7-100,1),IF(ROUND(100/F7*G7-100,1)&gt;999,999,-999)))</f>
        <v>8.3000000000000007</v>
      </c>
      <c r="I7" s="144">
        <f>IFERROR(100/'Skjema total MA'!F7*G7,0)</f>
        <v>11.655312612695132</v>
      </c>
      <c r="J7" s="291">
        <f t="shared" ref="J7:K12" si="0">SUM(B7,F7)</f>
        <v>1454114.5210000002</v>
      </c>
      <c r="K7" s="292">
        <f t="shared" si="0"/>
        <v>1866531.7200000002</v>
      </c>
      <c r="L7" s="405">
        <f>IF(J7=0, "    ---- ", IF(ABS(ROUND(100/J7*K7-100,1))&lt;999,ROUND(100/J7*K7-100,1),IF(ROUND(100/J7*K7-100,1)&gt;999,999,-999)))</f>
        <v>28.4</v>
      </c>
      <c r="M7" s="11">
        <f>IFERROR(100/'Skjema total MA'!I7*K7,0)</f>
        <v>15.62982891174336</v>
      </c>
    </row>
    <row r="8" spans="1:14" ht="15.75" x14ac:dyDescent="0.2">
      <c r="A8" s="21" t="s">
        <v>25</v>
      </c>
      <c r="B8" s="267">
        <v>222178.473</v>
      </c>
      <c r="C8" s="268">
        <v>277175.43868999998</v>
      </c>
      <c r="D8" s="150">
        <f t="shared" ref="D8:D10" si="1">IF(B8=0, "    ---- ", IF(ABS(ROUND(100/B8*C8-100,1))&lt;999,ROUND(100/B8*C8-100,1),IF(ROUND(100/B8*C8-100,1)&gt;999,999,-999)))</f>
        <v>24.8</v>
      </c>
      <c r="E8" s="27">
        <f>IFERROR(100/'Skjema total MA'!C8*C8,0)</f>
        <v>10.280429147241289</v>
      </c>
      <c r="F8" s="271"/>
      <c r="G8" s="272"/>
      <c r="H8" s="150"/>
      <c r="I8" s="160"/>
      <c r="J8" s="215">
        <f t="shared" si="0"/>
        <v>222178.473</v>
      </c>
      <c r="K8" s="273">
        <f t="shared" si="0"/>
        <v>277175.43868999998</v>
      </c>
      <c r="L8" s="150">
        <f t="shared" ref="L8:L9" si="2">IF(J8=0, "    ---- ", IF(ABS(ROUND(100/J8*K8-100,1))&lt;999,ROUND(100/J8*K8-100,1),IF(ROUND(100/J8*K8-100,1)&gt;999,999,-999)))</f>
        <v>24.8</v>
      </c>
      <c r="M8" s="27">
        <f>IFERROR(100/'Skjema total MA'!I8*K8,0)</f>
        <v>10.280429147241289</v>
      </c>
    </row>
    <row r="9" spans="1:14" ht="15.75" x14ac:dyDescent="0.2">
      <c r="A9" s="21" t="s">
        <v>24</v>
      </c>
      <c r="B9" s="267">
        <v>59576.911</v>
      </c>
      <c r="C9" s="268">
        <v>121828.92516993301</v>
      </c>
      <c r="D9" s="150">
        <f t="shared" si="1"/>
        <v>104.5</v>
      </c>
      <c r="E9" s="27">
        <f>IFERROR(100/'Skjema total MA'!C9*C9,0)</f>
        <v>13.761186300076274</v>
      </c>
      <c r="F9" s="271"/>
      <c r="G9" s="272"/>
      <c r="H9" s="150"/>
      <c r="I9" s="160"/>
      <c r="J9" s="215">
        <f t="shared" si="0"/>
        <v>59576.911</v>
      </c>
      <c r="K9" s="273">
        <f t="shared" si="0"/>
        <v>121828.92516993301</v>
      </c>
      <c r="L9" s="150">
        <f t="shared" si="2"/>
        <v>104.5</v>
      </c>
      <c r="M9" s="27">
        <f>IFERROR(100/'Skjema total MA'!I9*K9,0)</f>
        <v>13.761186300076274</v>
      </c>
    </row>
    <row r="10" spans="1:14" ht="15.75" x14ac:dyDescent="0.2">
      <c r="A10" s="13" t="s">
        <v>347</v>
      </c>
      <c r="B10" s="293">
        <v>4281438.4419999998</v>
      </c>
      <c r="C10" s="294">
        <v>4872979.2612500004</v>
      </c>
      <c r="D10" s="155">
        <f t="shared" si="1"/>
        <v>13.8</v>
      </c>
      <c r="E10" s="11">
        <f>IFERROR(100/'Skjema total MA'!C10*C10,0)</f>
        <v>35.133499809112038</v>
      </c>
      <c r="F10" s="293">
        <v>9983828.1349999998</v>
      </c>
      <c r="G10" s="294">
        <v>13929818.497780001</v>
      </c>
      <c r="H10" s="155">
        <f t="shared" ref="H10:H12" si="3">IF(F10=0, "    ---- ", IF(ABS(ROUND(100/F10*G10-100,1))&lt;999,ROUND(100/F10*G10-100,1),IF(ROUND(100/F10*G10-100,1)&gt;999,999,-999)))</f>
        <v>39.5</v>
      </c>
      <c r="I10" s="144">
        <f>IFERROR(100/'Skjema total MA'!F10*G10,0)</f>
        <v>17.872725212329513</v>
      </c>
      <c r="J10" s="291">
        <f t="shared" si="0"/>
        <v>14265266.577</v>
      </c>
      <c r="K10" s="292">
        <f t="shared" si="0"/>
        <v>18802797.759029999</v>
      </c>
      <c r="L10" s="406">
        <f t="shared" ref="L10:L12" si="4">IF(J10=0, "    ---- ", IF(ABS(ROUND(100/J10*K10-100,1))&lt;999,ROUND(100/J10*K10-100,1),IF(ROUND(100/J10*K10-100,1)&gt;999,999,-999)))</f>
        <v>31.8</v>
      </c>
      <c r="M10" s="11">
        <f>IFERROR(100/'Skjema total MA'!I10*K10,0)</f>
        <v>20.480372216899962</v>
      </c>
    </row>
    <row r="11" spans="1:14" s="43" customFormat="1" ht="15.75" x14ac:dyDescent="0.2">
      <c r="A11" s="13" t="s">
        <v>348</v>
      </c>
      <c r="B11" s="293"/>
      <c r="C11" s="294"/>
      <c r="D11" s="155"/>
      <c r="E11" s="11"/>
      <c r="F11" s="293">
        <v>24052.868999999999</v>
      </c>
      <c r="G11" s="294">
        <v>29244.699209999999</v>
      </c>
      <c r="H11" s="155">
        <f t="shared" si="3"/>
        <v>21.6</v>
      </c>
      <c r="I11" s="144">
        <f>IFERROR(100/'Skjema total MA'!F11*G11,0)</f>
        <v>17.490749225516552</v>
      </c>
      <c r="J11" s="291">
        <f t="shared" si="0"/>
        <v>24052.868999999999</v>
      </c>
      <c r="K11" s="292">
        <f t="shared" si="0"/>
        <v>29244.699209999999</v>
      </c>
      <c r="L11" s="406">
        <f t="shared" si="4"/>
        <v>21.6</v>
      </c>
      <c r="M11" s="11">
        <f>IFERROR(100/'Skjema total MA'!I11*K11,0)</f>
        <v>15.134896510738296</v>
      </c>
      <c r="N11" s="127"/>
    </row>
    <row r="12" spans="1:14" s="43" customFormat="1" ht="15.75" x14ac:dyDescent="0.2">
      <c r="A12" s="41" t="s">
        <v>349</v>
      </c>
      <c r="B12" s="295"/>
      <c r="C12" s="296"/>
      <c r="D12" s="153"/>
      <c r="E12" s="36"/>
      <c r="F12" s="295">
        <v>15278.293</v>
      </c>
      <c r="G12" s="296">
        <v>68457.748449999999</v>
      </c>
      <c r="H12" s="153">
        <f t="shared" si="3"/>
        <v>348.1</v>
      </c>
      <c r="I12" s="153">
        <f>IFERROR(100/'Skjema total MA'!F12*G12,0)</f>
        <v>45.860219181846915</v>
      </c>
      <c r="J12" s="297">
        <f t="shared" si="0"/>
        <v>15278.293</v>
      </c>
      <c r="K12" s="298">
        <f t="shared" si="0"/>
        <v>68457.748449999999</v>
      </c>
      <c r="L12" s="407">
        <f t="shared" si="4"/>
        <v>348.1</v>
      </c>
      <c r="M12" s="36">
        <f>IFERROR(100/'Skjema total MA'!I12*K12,0)</f>
        <v>44.945205505406946</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4786.3630000000003</v>
      </c>
      <c r="C22" s="293">
        <v>10227.66734</v>
      </c>
      <c r="D22" s="332">
        <f t="shared" ref="D22:D37" si="5">IF(B22=0, "    ---- ", IF(ABS(ROUND(100/B22*C22-100,1))&lt;999,ROUND(100/B22*C22-100,1),IF(ROUND(100/B22*C22-100,1)&gt;999,999,-999)))</f>
        <v>113.7</v>
      </c>
      <c r="E22" s="11">
        <f>IFERROR(100/'Skjema total MA'!C22*C22,0)</f>
        <v>0.58815847412420463</v>
      </c>
      <c r="F22" s="301">
        <v>189697.364</v>
      </c>
      <c r="G22" s="301">
        <v>189385.11872</v>
      </c>
      <c r="H22" s="332">
        <f t="shared" ref="H22:H35" si="6">IF(F22=0, "    ---- ", IF(ABS(ROUND(100/F22*G22-100,1))&lt;999,ROUND(100/F22*G22-100,1),IF(ROUND(100/F22*G22-100,1)&gt;999,999,-999)))</f>
        <v>-0.2</v>
      </c>
      <c r="I22" s="11">
        <f>IFERROR(100/'Skjema total MA'!F22*G22,0)</f>
        <v>29.164667155821096</v>
      </c>
      <c r="J22" s="299">
        <f t="shared" ref="J22:K35" si="7">SUM(B22,F22)</f>
        <v>194483.72700000001</v>
      </c>
      <c r="K22" s="299">
        <f t="shared" si="7"/>
        <v>199612.78606000001</v>
      </c>
      <c r="L22" s="405">
        <f t="shared" ref="L22:L35" si="8">IF(J22=0, "    ---- ", IF(ABS(ROUND(100/J22*K22-100,1))&lt;999,ROUND(100/J22*K22-100,1),IF(ROUND(100/J22*K22-100,1)&gt;999,999,-999)))</f>
        <v>2.6</v>
      </c>
      <c r="M22" s="24">
        <f>IFERROR(100/'Skjema total MA'!I22*K22,0)</f>
        <v>8.3579602660683214</v>
      </c>
    </row>
    <row r="23" spans="1:14" ht="15.75" x14ac:dyDescent="0.2">
      <c r="A23" s="487" t="s">
        <v>350</v>
      </c>
      <c r="B23" s="267">
        <v>666.88499999999999</v>
      </c>
      <c r="C23" s="267">
        <v>797.55197891334797</v>
      </c>
      <c r="D23" s="150">
        <f t="shared" si="5"/>
        <v>19.600000000000001</v>
      </c>
      <c r="E23" s="11">
        <f>IFERROR(100/'Skjema total MA'!C23*C23,0)</f>
        <v>7.7713587948346055E-2</v>
      </c>
      <c r="F23" s="276">
        <v>23616.096000000001</v>
      </c>
      <c r="G23" s="276">
        <v>16375.9500300001</v>
      </c>
      <c r="H23" s="150">
        <f t="shared" si="6"/>
        <v>-30.7</v>
      </c>
      <c r="I23" s="395">
        <f>IFERROR(100/'Skjema total MA'!F23*G23,0)</f>
        <v>48.089944152700959</v>
      </c>
      <c r="J23" s="276">
        <f t="shared" ref="J23:J26" si="9">SUM(B23,F23)</f>
        <v>24282.981</v>
      </c>
      <c r="K23" s="276">
        <f t="shared" ref="K23:K26" si="10">SUM(C23,G23)</f>
        <v>17173.502008913449</v>
      </c>
      <c r="L23" s="150">
        <f t="shared" si="8"/>
        <v>-29.3</v>
      </c>
      <c r="M23" s="23">
        <f>IFERROR(100/'Skjema total MA'!I23*K23,0)</f>
        <v>1.6196470872689446</v>
      </c>
    </row>
    <row r="24" spans="1:14" ht="15.75" x14ac:dyDescent="0.2">
      <c r="A24" s="487" t="s">
        <v>351</v>
      </c>
      <c r="B24" s="267">
        <v>4119.4780000000001</v>
      </c>
      <c r="C24" s="267">
        <v>4626.8129310866498</v>
      </c>
      <c r="D24" s="150">
        <f t="shared" si="5"/>
        <v>12.3</v>
      </c>
      <c r="E24" s="11">
        <f>IFERROR(100/'Skjema total MA'!C24*C24,0)</f>
        <v>25.638076176405356</v>
      </c>
      <c r="F24" s="276">
        <v>0</v>
      </c>
      <c r="G24" s="276">
        <v>2923.7183199999999</v>
      </c>
      <c r="H24" s="150" t="str">
        <f t="shared" si="6"/>
        <v xml:space="preserve">    ---- </v>
      </c>
      <c r="I24" s="395">
        <f>IFERROR(100/'Skjema total MA'!F24*G24,0)</f>
        <v>94.200504638578167</v>
      </c>
      <c r="J24" s="276">
        <f t="shared" si="9"/>
        <v>4119.4780000000001</v>
      </c>
      <c r="K24" s="276">
        <f t="shared" si="10"/>
        <v>7550.5312510866497</v>
      </c>
      <c r="L24" s="150">
        <f t="shared" si="8"/>
        <v>83.3</v>
      </c>
      <c r="M24" s="23">
        <f>IFERROR(100/'Skjema total MA'!I24*K24,0)</f>
        <v>35.699295871329824</v>
      </c>
    </row>
    <row r="25" spans="1:14" ht="15.75" x14ac:dyDescent="0.2">
      <c r="A25" s="487" t="s">
        <v>352</v>
      </c>
      <c r="B25" s="267"/>
      <c r="C25" s="267"/>
      <c r="D25" s="150"/>
      <c r="E25" s="11"/>
      <c r="F25" s="276">
        <v>156.35</v>
      </c>
      <c r="G25" s="276">
        <v>1078.2526</v>
      </c>
      <c r="H25" s="150">
        <f t="shared" si="6"/>
        <v>589.6</v>
      </c>
      <c r="I25" s="395">
        <f>IFERROR(100/'Skjema total MA'!F25*G25,0)</f>
        <v>8.3529344192237058</v>
      </c>
      <c r="J25" s="276">
        <f t="shared" si="9"/>
        <v>156.35</v>
      </c>
      <c r="K25" s="276">
        <f t="shared" si="10"/>
        <v>1078.2526</v>
      </c>
      <c r="L25" s="150">
        <f t="shared" si="8"/>
        <v>589.6</v>
      </c>
      <c r="M25" s="23">
        <f>IFERROR(100/'Skjema total MA'!I25*K25,0)</f>
        <v>5.2358452254436205</v>
      </c>
    </row>
    <row r="26" spans="1:14" ht="15.75" x14ac:dyDescent="0.2">
      <c r="A26" s="487" t="s">
        <v>353</v>
      </c>
      <c r="B26" s="267"/>
      <c r="C26" s="267"/>
      <c r="D26" s="150"/>
      <c r="E26" s="11"/>
      <c r="F26" s="276">
        <v>165924.91800000001</v>
      </c>
      <c r="G26" s="276">
        <v>169007.19777</v>
      </c>
      <c r="H26" s="150">
        <f t="shared" si="6"/>
        <v>1.9</v>
      </c>
      <c r="I26" s="395">
        <f>IFERROR(100/'Skjema total MA'!F26*G26,0)</f>
        <v>28.200777349016889</v>
      </c>
      <c r="J26" s="276">
        <f t="shared" si="9"/>
        <v>165924.91800000001</v>
      </c>
      <c r="K26" s="276">
        <f t="shared" si="10"/>
        <v>169007.19777</v>
      </c>
      <c r="L26" s="150">
        <f t="shared" si="8"/>
        <v>1.9</v>
      </c>
      <c r="M26" s="23">
        <f>IFERROR(100/'Skjema total MA'!I26*K26,0)</f>
        <v>28.200777349016889</v>
      </c>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190738.45800000001</v>
      </c>
      <c r="C28" s="273">
        <v>243301.64387</v>
      </c>
      <c r="D28" s="150">
        <f t="shared" si="5"/>
        <v>27.6</v>
      </c>
      <c r="E28" s="11">
        <f>IFERROR(100/'Skjema total MA'!C28*C28,0)</f>
        <v>11.586716024805874</v>
      </c>
      <c r="F28" s="215"/>
      <c r="G28" s="273"/>
      <c r="H28" s="150"/>
      <c r="I28" s="27"/>
      <c r="J28" s="44">
        <f t="shared" si="7"/>
        <v>190738.45800000001</v>
      </c>
      <c r="K28" s="44">
        <f t="shared" si="7"/>
        <v>243301.64387</v>
      </c>
      <c r="L28" s="240">
        <f t="shared" si="8"/>
        <v>27.6</v>
      </c>
      <c r="M28" s="23">
        <f>IFERROR(100/'Skjema total MA'!I28*K28,0)</f>
        <v>11.586716024805874</v>
      </c>
    </row>
    <row r="29" spans="1:14" s="3" customFormat="1" ht="15.75" x14ac:dyDescent="0.2">
      <c r="A29" s="13" t="s">
        <v>347</v>
      </c>
      <c r="B29" s="217">
        <v>7910754.0820000004</v>
      </c>
      <c r="C29" s="217">
        <v>7152415.4913100004</v>
      </c>
      <c r="D29" s="155">
        <f t="shared" si="5"/>
        <v>-9.6</v>
      </c>
      <c r="E29" s="11">
        <f>IFERROR(100/'Skjema total MA'!C29*C29,0)</f>
        <v>15.614186606639667</v>
      </c>
      <c r="F29" s="291">
        <v>5977126.3329999996</v>
      </c>
      <c r="G29" s="291">
        <v>8524489.4415300004</v>
      </c>
      <c r="H29" s="155">
        <f t="shared" si="6"/>
        <v>42.6</v>
      </c>
      <c r="I29" s="11">
        <f>IFERROR(100/'Skjema total MA'!F29*G29,0)</f>
        <v>34.251596354921709</v>
      </c>
      <c r="J29" s="217">
        <f t="shared" si="7"/>
        <v>13887880.414999999</v>
      </c>
      <c r="K29" s="217">
        <f t="shared" si="7"/>
        <v>15676904.932840001</v>
      </c>
      <c r="L29" s="406">
        <f t="shared" si="8"/>
        <v>12.9</v>
      </c>
      <c r="M29" s="24">
        <f>IFERROR(100/'Skjema total MA'!I29*K29,0)</f>
        <v>22.175401891200639</v>
      </c>
      <c r="N29" s="132"/>
    </row>
    <row r="30" spans="1:14" s="3" customFormat="1" ht="15.75" x14ac:dyDescent="0.2">
      <c r="A30" s="487" t="s">
        <v>350</v>
      </c>
      <c r="B30" s="267">
        <v>1102206.9099999999</v>
      </c>
      <c r="C30" s="267">
        <v>1051629.2379099601</v>
      </c>
      <c r="D30" s="150">
        <f t="shared" si="5"/>
        <v>-4.5999999999999996</v>
      </c>
      <c r="E30" s="11">
        <f>IFERROR(100/'Skjema total MA'!C30*C30,0)</f>
        <v>5.3795828379518005</v>
      </c>
      <c r="F30" s="276">
        <v>498789.08599999902</v>
      </c>
      <c r="G30" s="276">
        <v>1045847.18721</v>
      </c>
      <c r="H30" s="150">
        <f t="shared" si="6"/>
        <v>109.7</v>
      </c>
      <c r="I30" s="395">
        <f>IFERROR(100/'Skjema total MA'!F30*G30,0)</f>
        <v>30.459951136298375</v>
      </c>
      <c r="J30" s="276">
        <f t="shared" ref="J30:J33" si="11">SUM(B30,F30)</f>
        <v>1600995.9959999989</v>
      </c>
      <c r="K30" s="276">
        <f t="shared" ref="K30:K33" si="12">SUM(C30,G30)</f>
        <v>2097476.4251199602</v>
      </c>
      <c r="L30" s="150">
        <f t="shared" si="8"/>
        <v>31</v>
      </c>
      <c r="M30" s="23">
        <f>IFERROR(100/'Skjema total MA'!I30*K30,0)</f>
        <v>9.1265880905597179</v>
      </c>
      <c r="N30" s="132"/>
    </row>
    <row r="31" spans="1:14" s="3" customFormat="1" ht="15.75" x14ac:dyDescent="0.2">
      <c r="A31" s="487" t="s">
        <v>351</v>
      </c>
      <c r="B31" s="267">
        <v>6808547.1720000003</v>
      </c>
      <c r="C31" s="267">
        <v>6100783.2534000399</v>
      </c>
      <c r="D31" s="150">
        <f t="shared" si="5"/>
        <v>-10.4</v>
      </c>
      <c r="E31" s="11">
        <f>IFERROR(100/'Skjema total MA'!C31*C31,0)</f>
        <v>25.622439256560192</v>
      </c>
      <c r="F31" s="276">
        <v>1390415.8419999999</v>
      </c>
      <c r="G31" s="276">
        <v>2234486.0986100002</v>
      </c>
      <c r="H31" s="150">
        <f t="shared" si="6"/>
        <v>60.7</v>
      </c>
      <c r="I31" s="395">
        <f>IFERROR(100/'Skjema total MA'!F31*G31,0)</f>
        <v>31.028151124384447</v>
      </c>
      <c r="J31" s="276">
        <f t="shared" si="11"/>
        <v>8198963.0140000004</v>
      </c>
      <c r="K31" s="276">
        <f t="shared" si="12"/>
        <v>8335269.3520100396</v>
      </c>
      <c r="L31" s="150">
        <f t="shared" si="8"/>
        <v>1.7</v>
      </c>
      <c r="M31" s="23">
        <f>IFERROR(100/'Skjema total MA'!I31*K31,0)</f>
        <v>26.877739928844662</v>
      </c>
      <c r="N31" s="132"/>
    </row>
    <row r="32" spans="1:14" ht="15.75" x14ac:dyDescent="0.2">
      <c r="A32" s="487" t="s">
        <v>352</v>
      </c>
      <c r="B32" s="267"/>
      <c r="C32" s="267"/>
      <c r="D32" s="150"/>
      <c r="E32" s="11"/>
      <c r="F32" s="276">
        <v>1836835.9750000001</v>
      </c>
      <c r="G32" s="276">
        <v>2153558.3695</v>
      </c>
      <c r="H32" s="150">
        <f t="shared" si="6"/>
        <v>17.2</v>
      </c>
      <c r="I32" s="395">
        <f>IFERROR(100/'Skjema total MA'!F32*G32,0)</f>
        <v>37.486414568685234</v>
      </c>
      <c r="J32" s="276">
        <f t="shared" si="11"/>
        <v>1836835.9750000001</v>
      </c>
      <c r="K32" s="276">
        <f t="shared" si="12"/>
        <v>2153558.3695</v>
      </c>
      <c r="L32" s="150">
        <f t="shared" si="8"/>
        <v>17.2</v>
      </c>
      <c r="M32" s="23">
        <f>IFERROR(100/'Skjema total MA'!I32*K32,0)</f>
        <v>26.619524362779899</v>
      </c>
    </row>
    <row r="33" spans="1:14" ht="15.75" x14ac:dyDescent="0.2">
      <c r="A33" s="487" t="s">
        <v>353</v>
      </c>
      <c r="B33" s="267"/>
      <c r="C33" s="267"/>
      <c r="D33" s="150"/>
      <c r="E33" s="11"/>
      <c r="F33" s="276">
        <v>2251085.4300000002</v>
      </c>
      <c r="G33" s="276">
        <v>3090597.78621</v>
      </c>
      <c r="H33" s="150">
        <f t="shared" si="6"/>
        <v>37.299999999999997</v>
      </c>
      <c r="I33" s="395">
        <f>IFERROR(100/'Skjema total MA'!F33*G33,0)</f>
        <v>36.325951270407622</v>
      </c>
      <c r="J33" s="276">
        <f t="shared" si="11"/>
        <v>2251085.4300000002</v>
      </c>
      <c r="K33" s="276">
        <f t="shared" si="12"/>
        <v>3090597.78621</v>
      </c>
      <c r="L33" s="150">
        <f t="shared" si="8"/>
        <v>37.299999999999997</v>
      </c>
      <c r="M33" s="23">
        <f>IFERROR(100/'Skjema total MA'!I33*K33,0)</f>
        <v>36.325951270407622</v>
      </c>
    </row>
    <row r="34" spans="1:14" ht="15.75" x14ac:dyDescent="0.2">
      <c r="A34" s="13" t="s">
        <v>348</v>
      </c>
      <c r="B34" s="217">
        <v>7550.7030000000004</v>
      </c>
      <c r="C34" s="292">
        <v>5953.5119999999997</v>
      </c>
      <c r="D34" s="155">
        <f t="shared" si="5"/>
        <v>-21.2</v>
      </c>
      <c r="E34" s="11">
        <f>IFERROR(100/'Skjema total MA'!C34*C34,0)</f>
        <v>30.472897228478409</v>
      </c>
      <c r="F34" s="291">
        <v>8195.6880000000001</v>
      </c>
      <c r="G34" s="292">
        <v>20908.369299999998</v>
      </c>
      <c r="H34" s="155">
        <f t="shared" si="6"/>
        <v>155.1</v>
      </c>
      <c r="I34" s="11">
        <f>IFERROR(100/'Skjema total MA'!F34*G34,0)</f>
        <v>-1688.6169232770389</v>
      </c>
      <c r="J34" s="217">
        <f t="shared" si="7"/>
        <v>15746.391</v>
      </c>
      <c r="K34" s="217">
        <f t="shared" si="7"/>
        <v>26861.881299999997</v>
      </c>
      <c r="L34" s="406">
        <f t="shared" si="8"/>
        <v>70.599999999999994</v>
      </c>
      <c r="M34" s="24">
        <f>IFERROR(100/'Skjema total MA'!I34*K34,0)</f>
        <v>146.79524101606256</v>
      </c>
    </row>
    <row r="35" spans="1:14" ht="15.75" x14ac:dyDescent="0.2">
      <c r="A35" s="13" t="s">
        <v>349</v>
      </c>
      <c r="B35" s="217">
        <v>0</v>
      </c>
      <c r="C35" s="292">
        <v>112.68678</v>
      </c>
      <c r="D35" s="155" t="str">
        <f t="shared" si="5"/>
        <v xml:space="preserve">    ---- </v>
      </c>
      <c r="E35" s="11">
        <f>IFERROR(100/'Skjema total MA'!C35*C35,0)</f>
        <v>-0.14583261925310917</v>
      </c>
      <c r="F35" s="291">
        <v>13391.159</v>
      </c>
      <c r="G35" s="292">
        <v>48151.80543</v>
      </c>
      <c r="H35" s="155">
        <f t="shared" si="6"/>
        <v>259.60000000000002</v>
      </c>
      <c r="I35" s="11">
        <f>IFERROR(100/'Skjema total MA'!F35*G35,0)</f>
        <v>46.760805973767063</v>
      </c>
      <c r="J35" s="217">
        <f t="shared" si="7"/>
        <v>13391.159</v>
      </c>
      <c r="K35" s="217">
        <f t="shared" si="7"/>
        <v>48264.492209999997</v>
      </c>
      <c r="L35" s="406">
        <f t="shared" si="8"/>
        <v>260.39999999999998</v>
      </c>
      <c r="M35" s="24">
        <f>IFERROR(100/'Skjema total MA'!I35*K35,0)</f>
        <v>187.77474536432032</v>
      </c>
    </row>
    <row r="36" spans="1:14" ht="15.75" x14ac:dyDescent="0.2">
      <c r="A36" s="12" t="s">
        <v>276</v>
      </c>
      <c r="B36" s="217">
        <v>68.897999999999996</v>
      </c>
      <c r="C36" s="292">
        <v>67.744</v>
      </c>
      <c r="D36" s="155">
        <f t="shared" si="5"/>
        <v>-1.7</v>
      </c>
      <c r="E36" s="11">
        <f>IFERROR(100/'Skjema total MA'!C36*C36,0)</f>
        <v>4.2346775484077455</v>
      </c>
      <c r="F36" s="302"/>
      <c r="G36" s="303"/>
      <c r="H36" s="155"/>
      <c r="I36" s="412"/>
      <c r="J36" s="217">
        <f t="shared" ref="J36:J37" si="13">SUM(B36,F36)</f>
        <v>68.897999999999996</v>
      </c>
      <c r="K36" s="217">
        <f t="shared" ref="K36:K37" si="14">SUM(C36,G36)</f>
        <v>67.744</v>
      </c>
      <c r="L36" s="406"/>
      <c r="M36" s="24">
        <f>IFERROR(100/'Skjema total MA'!I36*K36,0)</f>
        <v>4.2346775484077455</v>
      </c>
    </row>
    <row r="37" spans="1:14" ht="15.75" x14ac:dyDescent="0.2">
      <c r="A37" s="12" t="s">
        <v>355</v>
      </c>
      <c r="B37" s="217">
        <v>429750.12800000003</v>
      </c>
      <c r="C37" s="292">
        <v>409307.54758000001</v>
      </c>
      <c r="D37" s="155">
        <f t="shared" si="5"/>
        <v>-4.8</v>
      </c>
      <c r="E37" s="11">
        <f>IFERROR(100/'Skjema total MA'!C37*C37,0)</f>
        <v>14.908960327208558</v>
      </c>
      <c r="F37" s="302"/>
      <c r="G37" s="304"/>
      <c r="H37" s="155"/>
      <c r="I37" s="412"/>
      <c r="J37" s="217">
        <f t="shared" si="13"/>
        <v>429750.12800000003</v>
      </c>
      <c r="K37" s="217">
        <f t="shared" si="14"/>
        <v>409307.54758000001</v>
      </c>
      <c r="L37" s="406"/>
      <c r="M37" s="24">
        <f>IFERROR(100/'Skjema total MA'!I37*K37,0)</f>
        <v>14.908960327208558</v>
      </c>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773910.52899999998</v>
      </c>
      <c r="C47" s="294">
        <v>840839.20402000006</v>
      </c>
      <c r="D47" s="405">
        <f t="shared" ref="D47:D57" si="15">IF(B47=0, "    ---- ", IF(ABS(ROUND(100/B47*C47-100,1))&lt;999,ROUND(100/B47*C47-100,1),IF(ROUND(100/B47*C47-100,1)&gt;999,999,-999)))</f>
        <v>8.6</v>
      </c>
      <c r="E47" s="11">
        <f>IFERROR(100/'Skjema total MA'!C47*C47,0)</f>
        <v>15.767841153049746</v>
      </c>
      <c r="F47" s="129"/>
      <c r="G47" s="33"/>
      <c r="H47" s="143"/>
      <c r="I47" s="143"/>
      <c r="J47" s="37"/>
      <c r="K47" s="37"/>
      <c r="L47" s="143"/>
      <c r="M47" s="143"/>
      <c r="N47" s="132"/>
    </row>
    <row r="48" spans="1:14" s="3" customFormat="1" ht="15.75" x14ac:dyDescent="0.2">
      <c r="A48" s="38" t="s">
        <v>358</v>
      </c>
      <c r="B48" s="267">
        <v>267907.76199999999</v>
      </c>
      <c r="C48" s="268">
        <v>344633.28644</v>
      </c>
      <c r="D48" s="240">
        <f t="shared" si="15"/>
        <v>28.6</v>
      </c>
      <c r="E48" s="27">
        <f>IFERROR(100/'Skjema total MA'!C48*C48,0)</f>
        <v>11.474027965371596</v>
      </c>
      <c r="F48" s="129"/>
      <c r="G48" s="33"/>
      <c r="H48" s="129"/>
      <c r="I48" s="129"/>
      <c r="J48" s="33"/>
      <c r="K48" s="33"/>
      <c r="L48" s="143"/>
      <c r="M48" s="143"/>
      <c r="N48" s="132"/>
    </row>
    <row r="49" spans="1:14" s="3" customFormat="1" ht="15.75" x14ac:dyDescent="0.2">
      <c r="A49" s="38" t="s">
        <v>359</v>
      </c>
      <c r="B49" s="44">
        <v>506002.76699999999</v>
      </c>
      <c r="C49" s="273">
        <v>496205.91758000001</v>
      </c>
      <c r="D49" s="240">
        <f>IF(B49=0, "    ---- ", IF(ABS(ROUND(100/B49*C49-100,1))&lt;999,ROUND(100/B49*C49-100,1),IF(ROUND(100/B49*C49-100,1)&gt;999,999,-999)))</f>
        <v>-1.9</v>
      </c>
      <c r="E49" s="27">
        <f>IFERROR(100/'Skjema total MA'!C49*C49,0)</f>
        <v>21.305294245545866</v>
      </c>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11118.513000000001</v>
      </c>
      <c r="C53" s="294">
        <v>48137.605000000003</v>
      </c>
      <c r="D53" s="406">
        <f t="shared" si="15"/>
        <v>333</v>
      </c>
      <c r="E53" s="11">
        <f>IFERROR(100/'Skjema total MA'!C53*C53,0)</f>
        <v>26.017414201713809</v>
      </c>
      <c r="F53" s="129"/>
      <c r="G53" s="33"/>
      <c r="H53" s="129"/>
      <c r="I53" s="129"/>
      <c r="J53" s="33"/>
      <c r="K53" s="33"/>
      <c r="L53" s="143"/>
      <c r="M53" s="143"/>
      <c r="N53" s="132"/>
    </row>
    <row r="54" spans="1:14" s="3" customFormat="1" ht="15.75" x14ac:dyDescent="0.2">
      <c r="A54" s="38" t="s">
        <v>358</v>
      </c>
      <c r="B54" s="267">
        <v>11118.513000000001</v>
      </c>
      <c r="C54" s="268">
        <v>48137.605000000003</v>
      </c>
      <c r="D54" s="240">
        <f t="shared" si="15"/>
        <v>333</v>
      </c>
      <c r="E54" s="27">
        <f>IFERROR(100/'Skjema total MA'!C54*C54,0)</f>
        <v>26.151123354738701</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v>30.934999999999999</v>
      </c>
      <c r="C56" s="294">
        <v>21.222000000000001</v>
      </c>
      <c r="D56" s="406">
        <f t="shared" si="15"/>
        <v>-31.4</v>
      </c>
      <c r="E56" s="11">
        <f>IFERROR(100/'Skjema total MA'!C56*C56,0)</f>
        <v>1.906517282266532E-2</v>
      </c>
      <c r="F56" s="129"/>
      <c r="G56" s="33"/>
      <c r="H56" s="129"/>
      <c r="I56" s="129"/>
      <c r="J56" s="33"/>
      <c r="K56" s="33"/>
      <c r="L56" s="143"/>
      <c r="M56" s="143"/>
      <c r="N56" s="132"/>
    </row>
    <row r="57" spans="1:14" s="3" customFormat="1" ht="15.75" x14ac:dyDescent="0.2">
      <c r="A57" s="38" t="s">
        <v>358</v>
      </c>
      <c r="B57" s="267">
        <v>30.934999999999999</v>
      </c>
      <c r="C57" s="268">
        <v>21.222000000000001</v>
      </c>
      <c r="D57" s="240">
        <f t="shared" si="15"/>
        <v>-31.4</v>
      </c>
      <c r="E57" s="27">
        <f>IFERROR(100/'Skjema total MA'!C57*C57,0)</f>
        <v>1.906517282266532E-2</v>
      </c>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v>2727117.5120000001</v>
      </c>
      <c r="C66" s="335">
        <v>3228168.39414</v>
      </c>
      <c r="D66" s="332">
        <f t="shared" ref="D66:D111" si="16">IF(B66=0, "    ---- ", IF(ABS(ROUND(100/B66*C66-100,1))&lt;999,ROUND(100/B66*C66-100,1),IF(ROUND(100/B66*C66-100,1)&gt;999,999,-999)))</f>
        <v>18.399999999999999</v>
      </c>
      <c r="E66" s="11">
        <f>IFERROR(100/'Skjema total MA'!C66*C66,0)</f>
        <v>47.105040148443599</v>
      </c>
      <c r="F66" s="334">
        <v>8820448.165000001</v>
      </c>
      <c r="G66" s="334">
        <v>11860243.295939999</v>
      </c>
      <c r="H66" s="332">
        <f t="shared" ref="H66:H111" si="17">IF(F66=0, "    ---- ", IF(ABS(ROUND(100/F66*G66-100,1))&lt;999,ROUND(100/F66*G66-100,1),IF(ROUND(100/F66*G66-100,1)&gt;999,999,-999)))</f>
        <v>34.5</v>
      </c>
      <c r="I66" s="11">
        <f>IFERROR(100/'Skjema total MA'!F66*G66,0)</f>
        <v>32.464327914338753</v>
      </c>
      <c r="J66" s="292">
        <f t="shared" ref="J66:K86" si="18">SUM(B66,F66)</f>
        <v>11547565.677000001</v>
      </c>
      <c r="K66" s="299">
        <f t="shared" si="18"/>
        <v>15088411.690079998</v>
      </c>
      <c r="L66" s="406">
        <f t="shared" ref="L66:L111" si="19">IF(J66=0, "    ---- ", IF(ABS(ROUND(100/J66*K66-100,1))&lt;999,ROUND(100/J66*K66-100,1),IF(ROUND(100/J66*K66-100,1)&gt;999,999,-999)))</f>
        <v>30.7</v>
      </c>
      <c r="M66" s="11">
        <f>IFERROR(100/'Skjema total MA'!I66*K66,0)</f>
        <v>34.776917509386919</v>
      </c>
    </row>
    <row r="67" spans="1:14" x14ac:dyDescent="0.2">
      <c r="A67" s="397" t="s">
        <v>9</v>
      </c>
      <c r="B67" s="44">
        <v>1536953.064</v>
      </c>
      <c r="C67" s="129">
        <v>1735795.57406</v>
      </c>
      <c r="D67" s="150">
        <f t="shared" si="16"/>
        <v>12.9</v>
      </c>
      <c r="E67" s="27">
        <f>IFERROR(100/'Skjema total MA'!C67*C67,0)</f>
        <v>41.25481416235835</v>
      </c>
      <c r="F67" s="215"/>
      <c r="G67" s="129"/>
      <c r="H67" s="150"/>
      <c r="I67" s="27"/>
      <c r="J67" s="273">
        <f t="shared" si="18"/>
        <v>1536953.064</v>
      </c>
      <c r="K67" s="44">
        <f t="shared" si="18"/>
        <v>1735795.57406</v>
      </c>
      <c r="L67" s="240">
        <f t="shared" si="19"/>
        <v>12.9</v>
      </c>
      <c r="M67" s="27">
        <f>IFERROR(100/'Skjema total MA'!I67*K67,0)</f>
        <v>41.25481416235835</v>
      </c>
    </row>
    <row r="68" spans="1:14" x14ac:dyDescent="0.2">
      <c r="A68" s="21" t="s">
        <v>10</v>
      </c>
      <c r="B68" s="277"/>
      <c r="C68" s="278"/>
      <c r="D68" s="150"/>
      <c r="E68" s="27"/>
      <c r="F68" s="277">
        <v>7862463.4610000001</v>
      </c>
      <c r="G68" s="278">
        <v>10525827.952989999</v>
      </c>
      <c r="H68" s="150">
        <f t="shared" si="17"/>
        <v>33.9</v>
      </c>
      <c r="I68" s="27">
        <f>IFERROR(100/'Skjema total MA'!F68*G68,0)</f>
        <v>30.151088942300081</v>
      </c>
      <c r="J68" s="273">
        <f t="shared" si="18"/>
        <v>7862463.4610000001</v>
      </c>
      <c r="K68" s="44">
        <f t="shared" si="18"/>
        <v>10525827.952989999</v>
      </c>
      <c r="L68" s="240">
        <f t="shared" si="19"/>
        <v>33.9</v>
      </c>
      <c r="M68" s="27">
        <f>IFERROR(100/'Skjema total MA'!I68*K68,0)</f>
        <v>30.125909590853514</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v>220970.962</v>
      </c>
      <c r="C75" s="129">
        <v>302176.44425</v>
      </c>
      <c r="D75" s="150">
        <f t="shared" si="16"/>
        <v>36.700000000000003</v>
      </c>
      <c r="E75" s="27">
        <f>IFERROR(100/'Skjema total MA'!C75*C75,0)</f>
        <v>51.479373899470602</v>
      </c>
      <c r="F75" s="215">
        <v>957984.70400000003</v>
      </c>
      <c r="G75" s="129">
        <v>1334415.34295</v>
      </c>
      <c r="H75" s="150">
        <f t="shared" si="17"/>
        <v>39.299999999999997</v>
      </c>
      <c r="I75" s="27">
        <f>IFERROR(100/'Skjema total MA'!F75*G75,0)</f>
        <v>82.225111323187448</v>
      </c>
      <c r="J75" s="273">
        <f t="shared" si="18"/>
        <v>1178955.666</v>
      </c>
      <c r="K75" s="44">
        <f t="shared" si="18"/>
        <v>1636591.7871999999</v>
      </c>
      <c r="L75" s="240">
        <f t="shared" si="19"/>
        <v>38.799999999999997</v>
      </c>
      <c r="M75" s="27">
        <f>IFERROR(100/'Skjema total MA'!I75*K75,0)</f>
        <v>74.058416644569888</v>
      </c>
      <c r="N75" s="132"/>
    </row>
    <row r="76" spans="1:14" s="3" customFormat="1" x14ac:dyDescent="0.2">
      <c r="A76" s="21" t="s">
        <v>333</v>
      </c>
      <c r="B76" s="215">
        <v>969193.48600000003</v>
      </c>
      <c r="C76" s="129">
        <v>1190196.37583</v>
      </c>
      <c r="D76" s="150">
        <f t="shared" ref="D76" si="20">IF(B76=0, "    ---- ", IF(ABS(ROUND(100/B76*C76-100,1))&lt;999,ROUND(100/B76*C76-100,1),IF(ROUND(100/B76*C76-100,1)&gt;999,999,-999)))</f>
        <v>22.8</v>
      </c>
      <c r="E76" s="27">
        <f>IFERROR(100/'Skjema total MA'!C77*C76,0)</f>
        <v>28.738492400746146</v>
      </c>
      <c r="F76" s="215"/>
      <c r="G76" s="129"/>
      <c r="H76" s="150"/>
      <c r="I76" s="27"/>
      <c r="J76" s="273">
        <f t="shared" ref="J76" si="21">SUM(B76,F76)</f>
        <v>969193.48600000003</v>
      </c>
      <c r="K76" s="44">
        <f t="shared" ref="K76" si="22">SUM(C76,G76)</f>
        <v>1190196.37583</v>
      </c>
      <c r="L76" s="240">
        <f t="shared" ref="L76" si="23">IF(J76=0, "    ---- ", IF(ABS(ROUND(100/J76*K76-100,1))&lt;999,ROUND(100/J76*K76-100,1),IF(ROUND(100/J76*K76-100,1)&gt;999,999,-999)))</f>
        <v>22.8</v>
      </c>
      <c r="M76" s="27">
        <f>IFERROR(100/'Skjema total MA'!I77*K76,0)</f>
        <v>3.0484794005268618</v>
      </c>
      <c r="N76" s="132"/>
    </row>
    <row r="77" spans="1:14" ht="15.75" x14ac:dyDescent="0.2">
      <c r="A77" s="21" t="s">
        <v>364</v>
      </c>
      <c r="B77" s="215">
        <v>1485739.2720000001</v>
      </c>
      <c r="C77" s="215">
        <v>1669358.5160600001</v>
      </c>
      <c r="D77" s="150">
        <f t="shared" si="16"/>
        <v>12.4</v>
      </c>
      <c r="E77" s="27">
        <f>IFERROR(100/'Skjema total MA'!C77*C77,0)</f>
        <v>40.308345750469329</v>
      </c>
      <c r="F77" s="215">
        <v>7862463.4610000001</v>
      </c>
      <c r="G77" s="129">
        <v>10525827.952989999</v>
      </c>
      <c r="H77" s="150">
        <f t="shared" si="17"/>
        <v>33.9</v>
      </c>
      <c r="I77" s="27">
        <f>IFERROR(100/'Skjema total MA'!F77*G77,0)</f>
        <v>30.159251987347812</v>
      </c>
      <c r="J77" s="273">
        <f t="shared" si="18"/>
        <v>9348202.7330000009</v>
      </c>
      <c r="K77" s="44">
        <f t="shared" si="18"/>
        <v>12195186.469049999</v>
      </c>
      <c r="L77" s="240">
        <f t="shared" si="19"/>
        <v>30.5</v>
      </c>
      <c r="M77" s="27">
        <f>IFERROR(100/'Skjema total MA'!I77*K77,0)</f>
        <v>31.235832583137466</v>
      </c>
    </row>
    <row r="78" spans="1:14" x14ac:dyDescent="0.2">
      <c r="A78" s="21" t="s">
        <v>9</v>
      </c>
      <c r="B78" s="215">
        <v>1485739.2720000001</v>
      </c>
      <c r="C78" s="129">
        <v>1669358.5160600001</v>
      </c>
      <c r="D78" s="150">
        <f t="shared" si="16"/>
        <v>12.4</v>
      </c>
      <c r="E78" s="27">
        <f>IFERROR(100/'Skjema total MA'!C78*C78,0)</f>
        <v>40.594278313613074</v>
      </c>
      <c r="F78" s="215"/>
      <c r="G78" s="129"/>
      <c r="H78" s="150"/>
      <c r="I78" s="27"/>
      <c r="J78" s="273">
        <f t="shared" si="18"/>
        <v>1485739.2720000001</v>
      </c>
      <c r="K78" s="44">
        <f t="shared" si="18"/>
        <v>1669358.5160600001</v>
      </c>
      <c r="L78" s="240">
        <f t="shared" si="19"/>
        <v>12.4</v>
      </c>
      <c r="M78" s="27">
        <f>IFERROR(100/'Skjema total MA'!I78*K78,0)</f>
        <v>40.594278313613074</v>
      </c>
    </row>
    <row r="79" spans="1:14" x14ac:dyDescent="0.2">
      <c r="A79" s="38" t="s">
        <v>396</v>
      </c>
      <c r="B79" s="277"/>
      <c r="C79" s="278"/>
      <c r="D79" s="150"/>
      <c r="E79" s="27"/>
      <c r="F79" s="277">
        <v>7862463.4610000001</v>
      </c>
      <c r="G79" s="278">
        <v>10525827.952989999</v>
      </c>
      <c r="H79" s="150">
        <f t="shared" si="17"/>
        <v>33.9</v>
      </c>
      <c r="I79" s="27">
        <f>IFERROR(100/'Skjema total MA'!F79*G79,0)</f>
        <v>30.159251987347812</v>
      </c>
      <c r="J79" s="273">
        <f t="shared" si="18"/>
        <v>7862463.4610000001</v>
      </c>
      <c r="K79" s="44">
        <f t="shared" si="18"/>
        <v>10525827.952989999</v>
      </c>
      <c r="L79" s="240">
        <f t="shared" si="19"/>
        <v>33.9</v>
      </c>
      <c r="M79" s="27">
        <f>IFERROR(100/'Skjema total MA'!I79*K79,0)</f>
        <v>30.134065044628045</v>
      </c>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v>51213.792000000001</v>
      </c>
      <c r="C86" s="129">
        <v>66437.058000000005</v>
      </c>
      <c r="D86" s="150">
        <f t="shared" si="16"/>
        <v>29.7</v>
      </c>
      <c r="E86" s="27">
        <f>IFERROR(100/'Skjema total MA'!C86*C86,0)</f>
        <v>69.78336504972269</v>
      </c>
      <c r="F86" s="215"/>
      <c r="G86" s="129"/>
      <c r="H86" s="150"/>
      <c r="I86" s="27"/>
      <c r="J86" s="273">
        <f t="shared" si="18"/>
        <v>51213.792000000001</v>
      </c>
      <c r="K86" s="44">
        <f t="shared" si="18"/>
        <v>66437.058000000005</v>
      </c>
      <c r="L86" s="240">
        <f t="shared" si="19"/>
        <v>29.7</v>
      </c>
      <c r="M86" s="27">
        <f>IFERROR(100/'Skjema total MA'!I86*K86,0)</f>
        <v>63.482760647146499</v>
      </c>
    </row>
    <row r="87" spans="1:13" ht="15.75" x14ac:dyDescent="0.2">
      <c r="A87" s="13" t="s">
        <v>347</v>
      </c>
      <c r="B87" s="335">
        <v>171135879.22300002</v>
      </c>
      <c r="C87" s="335">
        <v>173535453.27556002</v>
      </c>
      <c r="D87" s="155">
        <f t="shared" si="16"/>
        <v>1.4</v>
      </c>
      <c r="E87" s="11">
        <f>IFERROR(100/'Skjema total MA'!C87*C87,0)</f>
        <v>43.439040891879884</v>
      </c>
      <c r="F87" s="334">
        <v>127688429.11299999</v>
      </c>
      <c r="G87" s="334">
        <v>174219541.69468001</v>
      </c>
      <c r="H87" s="155">
        <f t="shared" si="17"/>
        <v>36.4</v>
      </c>
      <c r="I87" s="11">
        <f>IFERROR(100/'Skjema total MA'!F87*G87,0)</f>
        <v>34.505881475753412</v>
      </c>
      <c r="J87" s="292">
        <f t="shared" ref="J87:K111" si="24">SUM(B87,F87)</f>
        <v>298824308.33600003</v>
      </c>
      <c r="K87" s="217">
        <f t="shared" si="24"/>
        <v>347754994.97024</v>
      </c>
      <c r="L87" s="406">
        <f t="shared" si="19"/>
        <v>16.399999999999999</v>
      </c>
      <c r="M87" s="11">
        <f>IFERROR(100/'Skjema total MA'!I87*K87,0)</f>
        <v>38.451883585683788</v>
      </c>
    </row>
    <row r="88" spans="1:13" x14ac:dyDescent="0.2">
      <c r="A88" s="21" t="s">
        <v>9</v>
      </c>
      <c r="B88" s="215">
        <v>163045573.46638</v>
      </c>
      <c r="C88" s="129">
        <v>163273139.95919001</v>
      </c>
      <c r="D88" s="150">
        <f t="shared" si="16"/>
        <v>0.1</v>
      </c>
      <c r="E88" s="27">
        <f>IFERROR(100/'Skjema total MA'!C88*C88,0)</f>
        <v>42.675000885980815</v>
      </c>
      <c r="F88" s="215"/>
      <c r="G88" s="129"/>
      <c r="H88" s="150"/>
      <c r="I88" s="27"/>
      <c r="J88" s="273">
        <f t="shared" si="24"/>
        <v>163045573.46638</v>
      </c>
      <c r="K88" s="44">
        <f t="shared" si="24"/>
        <v>163273139.95919001</v>
      </c>
      <c r="L88" s="240">
        <f t="shared" si="19"/>
        <v>0.1</v>
      </c>
      <c r="M88" s="27">
        <f>IFERROR(100/'Skjema total MA'!I88*K88,0)</f>
        <v>42.675000885980815</v>
      </c>
    </row>
    <row r="89" spans="1:13" x14ac:dyDescent="0.2">
      <c r="A89" s="21" t="s">
        <v>10</v>
      </c>
      <c r="B89" s="215">
        <v>48558.375619999999</v>
      </c>
      <c r="C89" s="129">
        <v>47612.933470000004</v>
      </c>
      <c r="D89" s="150">
        <f t="shared" si="16"/>
        <v>-1.9</v>
      </c>
      <c r="E89" s="27">
        <f>IFERROR(100/'Skjema total MA'!C89*C89,0)</f>
        <v>2.1684121971937138</v>
      </c>
      <c r="F89" s="215">
        <v>124345061.366</v>
      </c>
      <c r="G89" s="129">
        <v>169184770.39708</v>
      </c>
      <c r="H89" s="150">
        <f t="shared" si="17"/>
        <v>36.1</v>
      </c>
      <c r="I89" s="27">
        <f>IFERROR(100/'Skjema total MA'!F89*G89,0)</f>
        <v>33.989929576447331</v>
      </c>
      <c r="J89" s="273">
        <f t="shared" si="24"/>
        <v>124393619.74161999</v>
      </c>
      <c r="K89" s="44">
        <f t="shared" si="24"/>
        <v>169232383.33055001</v>
      </c>
      <c r="L89" s="240">
        <f t="shared" si="19"/>
        <v>36</v>
      </c>
      <c r="M89" s="27">
        <f>IFERROR(100/'Skjema total MA'!I89*K89,0)</f>
        <v>33.850170067200736</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v>1230959.2009999999</v>
      </c>
      <c r="C96" s="129">
        <v>1858083.9328300001</v>
      </c>
      <c r="D96" s="150">
        <f t="shared" si="16"/>
        <v>50.9</v>
      </c>
      <c r="E96" s="27">
        <f>IFERROR(100/'Skjema total MA'!C96*C96,0)</f>
        <v>40.551362529711596</v>
      </c>
      <c r="F96" s="215">
        <v>3343367.747</v>
      </c>
      <c r="G96" s="129">
        <v>5034771.2976000002</v>
      </c>
      <c r="H96" s="150">
        <f t="shared" si="17"/>
        <v>50.6</v>
      </c>
      <c r="I96" s="27">
        <f>IFERROR(100/'Skjema total MA'!F96*G96,0)</f>
        <v>70.432032401425829</v>
      </c>
      <c r="J96" s="273">
        <f t="shared" si="24"/>
        <v>4574326.9479999999</v>
      </c>
      <c r="K96" s="44">
        <f t="shared" si="24"/>
        <v>6892855.2304300005</v>
      </c>
      <c r="L96" s="240">
        <f t="shared" si="19"/>
        <v>50.7</v>
      </c>
      <c r="M96" s="27">
        <f>IFERROR(100/'Skjema total MA'!I96*K96,0)</f>
        <v>58.760306020181815</v>
      </c>
    </row>
    <row r="97" spans="1:13" x14ac:dyDescent="0.2">
      <c r="A97" s="21" t="s">
        <v>331</v>
      </c>
      <c r="B97" s="215">
        <v>6810788.1799999997</v>
      </c>
      <c r="C97" s="129">
        <v>8356616.4500700003</v>
      </c>
      <c r="D97" s="150">
        <f t="shared" ref="D97" si="25">IF(B97=0, "    ---- ", IF(ABS(ROUND(100/B97*C97-100,1))&lt;999,ROUND(100/B97*C97-100,1),IF(ROUND(100/B97*C97-100,1)&gt;999,999,-999)))</f>
        <v>22.7</v>
      </c>
      <c r="E97" s="27">
        <f>IFERROR(100/'Skjema total MA'!C98*C97,0)</f>
        <v>2.1965087958286809</v>
      </c>
      <c r="F97" s="215"/>
      <c r="G97" s="129"/>
      <c r="H97" s="150"/>
      <c r="I97" s="27"/>
      <c r="J97" s="273">
        <f t="shared" ref="J97" si="26">SUM(B97,F97)</f>
        <v>6810788.1799999997</v>
      </c>
      <c r="K97" s="44">
        <f t="shared" ref="K97" si="27">SUM(C97,G97)</f>
        <v>8356616.4500700003</v>
      </c>
      <c r="L97" s="240">
        <f t="shared" ref="L97" si="28">IF(J97=0, "    ---- ", IF(ABS(ROUND(100/J97*K97-100,1))&lt;999,ROUND(100/J97*K97-100,1),IF(ROUND(100/J97*K97-100,1)&gt;999,999,-999)))</f>
        <v>22.7</v>
      </c>
      <c r="M97" s="27">
        <f>IFERROR(100/'Skjema total MA'!I98*K97,0)</f>
        <v>0.95176577642487548</v>
      </c>
    </row>
    <row r="98" spans="1:13" ht="15.75" x14ac:dyDescent="0.2">
      <c r="A98" s="21" t="s">
        <v>364</v>
      </c>
      <c r="B98" s="215">
        <v>159806096.51038</v>
      </c>
      <c r="C98" s="215">
        <v>160104384.56866002</v>
      </c>
      <c r="D98" s="150">
        <f t="shared" si="16"/>
        <v>0.2</v>
      </c>
      <c r="E98" s="27">
        <f>IFERROR(100/'Skjema total MA'!C98*C98,0)</f>
        <v>42.082904134346578</v>
      </c>
      <c r="F98" s="277">
        <v>124345061.366</v>
      </c>
      <c r="G98" s="277">
        <v>169184770.39708</v>
      </c>
      <c r="H98" s="150">
        <f t="shared" si="17"/>
        <v>36.1</v>
      </c>
      <c r="I98" s="27">
        <f>IFERROR(100/'Skjema total MA'!F98*G98,0)</f>
        <v>34.002756746441833</v>
      </c>
      <c r="J98" s="273">
        <f t="shared" si="24"/>
        <v>284151157.87637997</v>
      </c>
      <c r="K98" s="44">
        <f t="shared" si="24"/>
        <v>329289154.96574003</v>
      </c>
      <c r="L98" s="240">
        <f t="shared" si="19"/>
        <v>15.9</v>
      </c>
      <c r="M98" s="27">
        <f>IFERROR(100/'Skjema total MA'!I98*K98,0)</f>
        <v>37.503952720198548</v>
      </c>
    </row>
    <row r="99" spans="1:13" x14ac:dyDescent="0.2">
      <c r="A99" s="21" t="s">
        <v>9</v>
      </c>
      <c r="B99" s="277">
        <v>159757538.13438001</v>
      </c>
      <c r="C99" s="278">
        <v>160056771.63519001</v>
      </c>
      <c r="D99" s="150">
        <f t="shared" si="16"/>
        <v>0.2</v>
      </c>
      <c r="E99" s="27">
        <f>IFERROR(100/'Skjema total MA'!C99*C99,0)</f>
        <v>42.314606226089275</v>
      </c>
      <c r="F99" s="215"/>
      <c r="G99" s="129"/>
      <c r="H99" s="150"/>
      <c r="I99" s="27"/>
      <c r="J99" s="273">
        <f t="shared" si="24"/>
        <v>159757538.13438001</v>
      </c>
      <c r="K99" s="44">
        <f t="shared" si="24"/>
        <v>160056771.63519001</v>
      </c>
      <c r="L99" s="240">
        <f t="shared" si="19"/>
        <v>0.2</v>
      </c>
      <c r="M99" s="27">
        <f>IFERROR(100/'Skjema total MA'!I99*K99,0)</f>
        <v>42.314606226089275</v>
      </c>
    </row>
    <row r="100" spans="1:13" x14ac:dyDescent="0.2">
      <c r="A100" s="38" t="s">
        <v>396</v>
      </c>
      <c r="B100" s="277">
        <v>48558.375999999997</v>
      </c>
      <c r="C100" s="278">
        <v>47612.933470000004</v>
      </c>
      <c r="D100" s="150">
        <f t="shared" si="16"/>
        <v>-1.9</v>
      </c>
      <c r="E100" s="27">
        <f>IFERROR(100/'Skjema total MA'!C100*C100,0)</f>
        <v>2.1684121971937138</v>
      </c>
      <c r="F100" s="215">
        <v>124345061.366</v>
      </c>
      <c r="G100" s="215">
        <v>169184770.39708</v>
      </c>
      <c r="H100" s="150">
        <f t="shared" si="17"/>
        <v>36.1</v>
      </c>
      <c r="I100" s="27">
        <f>IFERROR(100/'Skjema total MA'!F100*G100,0)</f>
        <v>34.002756746441833</v>
      </c>
      <c r="J100" s="273">
        <f t="shared" si="24"/>
        <v>124393619.742</v>
      </c>
      <c r="K100" s="44">
        <f t="shared" si="24"/>
        <v>169232383.33055001</v>
      </c>
      <c r="L100" s="240">
        <f t="shared" si="19"/>
        <v>36</v>
      </c>
      <c r="M100" s="27">
        <f>IFERROR(100/'Skjema total MA'!I100*K100,0)</f>
        <v>33.862888368418552</v>
      </c>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v>3288035.3319999999</v>
      </c>
      <c r="C107" s="129">
        <v>3216368.324</v>
      </c>
      <c r="D107" s="150">
        <f t="shared" si="16"/>
        <v>-2.2000000000000002</v>
      </c>
      <c r="E107" s="27">
        <f>IFERROR(100/'Skjema total MA'!C107*C107,0)</f>
        <v>74.06726357624089</v>
      </c>
      <c r="F107" s="215"/>
      <c r="G107" s="129"/>
      <c r="H107" s="150"/>
      <c r="I107" s="27"/>
      <c r="J107" s="273">
        <f t="shared" si="24"/>
        <v>3288035.3319999999</v>
      </c>
      <c r="K107" s="44">
        <f t="shared" si="24"/>
        <v>3216368.324</v>
      </c>
      <c r="L107" s="240">
        <f t="shared" si="19"/>
        <v>-2.2000000000000002</v>
      </c>
      <c r="M107" s="27">
        <f>IFERROR(100/'Skjema total MA'!I107*K107,0)</f>
        <v>70.997321296091727</v>
      </c>
    </row>
    <row r="108" spans="1:13" ht="15.75" x14ac:dyDescent="0.2">
      <c r="A108" s="21" t="s">
        <v>366</v>
      </c>
      <c r="B108" s="215">
        <v>142994145.14399999</v>
      </c>
      <c r="C108" s="215">
        <v>141810545.127693</v>
      </c>
      <c r="D108" s="150">
        <f t="shared" si="16"/>
        <v>-0.8</v>
      </c>
      <c r="E108" s="27">
        <f>IFERROR(100/'Skjema total MA'!C108*C108,0)</f>
        <v>43.17457481114662</v>
      </c>
      <c r="F108" s="215">
        <v>17480311.795000002</v>
      </c>
      <c r="G108" s="215">
        <v>18956402.18823</v>
      </c>
      <c r="H108" s="150">
        <f t="shared" si="17"/>
        <v>8.4</v>
      </c>
      <c r="I108" s="27">
        <f>IFERROR(100/'Skjema total MA'!F108*G108,0)</f>
        <v>94.443618566968425</v>
      </c>
      <c r="J108" s="273">
        <f t="shared" si="24"/>
        <v>160474456.93900001</v>
      </c>
      <c r="K108" s="44">
        <f t="shared" si="24"/>
        <v>160766947.31592301</v>
      </c>
      <c r="L108" s="240">
        <f t="shared" si="19"/>
        <v>0.2</v>
      </c>
      <c r="M108" s="27">
        <f>IFERROR(100/'Skjema total MA'!I108*K108,0)</f>
        <v>46.127131144020261</v>
      </c>
    </row>
    <row r="109" spans="1:13" ht="15.75" x14ac:dyDescent="0.2">
      <c r="A109" s="38" t="s">
        <v>404</v>
      </c>
      <c r="B109" s="215">
        <v>414451.8</v>
      </c>
      <c r="C109" s="215">
        <v>489128.23599999998</v>
      </c>
      <c r="D109" s="150">
        <f t="shared" si="16"/>
        <v>18</v>
      </c>
      <c r="E109" s="27">
        <f>IFERROR(100/'Skjema total MA'!C109*C109,0)</f>
        <v>24.158807006435499</v>
      </c>
      <c r="F109" s="215">
        <v>38534156.056000002</v>
      </c>
      <c r="G109" s="215">
        <v>54854010.068939999</v>
      </c>
      <c r="H109" s="150">
        <f t="shared" si="17"/>
        <v>42.4</v>
      </c>
      <c r="I109" s="27">
        <f>IFERROR(100/'Skjema total MA'!F109*G109,0)</f>
        <v>29.374638503432571</v>
      </c>
      <c r="J109" s="273">
        <f t="shared" si="24"/>
        <v>38948607.855999999</v>
      </c>
      <c r="K109" s="44">
        <f t="shared" si="24"/>
        <v>55343138.30494</v>
      </c>
      <c r="L109" s="240">
        <f t="shared" si="19"/>
        <v>42.1</v>
      </c>
      <c r="M109" s="27">
        <f>IFERROR(100/'Skjema total MA'!I109*K109,0)</f>
        <v>29.318694743529885</v>
      </c>
    </row>
    <row r="110" spans="1:13" ht="15.75" x14ac:dyDescent="0.2">
      <c r="A110" s="21" t="s">
        <v>367</v>
      </c>
      <c r="B110" s="215">
        <v>565262.94700000004</v>
      </c>
      <c r="C110" s="215">
        <v>973527.18565999996</v>
      </c>
      <c r="D110" s="150">
        <f t="shared" si="16"/>
        <v>72.2</v>
      </c>
      <c r="E110" s="27">
        <f>IFERROR(100/'Skjema total MA'!C110*C110,0)</f>
        <v>48.552592177494226</v>
      </c>
      <c r="F110" s="215"/>
      <c r="G110" s="215"/>
      <c r="H110" s="150"/>
      <c r="I110" s="27"/>
      <c r="J110" s="273">
        <f t="shared" si="24"/>
        <v>565262.94700000004</v>
      </c>
      <c r="K110" s="44">
        <f t="shared" si="24"/>
        <v>973527.18565999996</v>
      </c>
      <c r="L110" s="240">
        <f t="shared" si="19"/>
        <v>72.2</v>
      </c>
      <c r="M110" s="27">
        <f>IFERROR(100/'Skjema total MA'!I110*K110,0)</f>
        <v>48.552592177494226</v>
      </c>
    </row>
    <row r="111" spans="1:13" ht="15.75" x14ac:dyDescent="0.2">
      <c r="A111" s="13" t="s">
        <v>348</v>
      </c>
      <c r="B111" s="291">
        <v>263570.18099999998</v>
      </c>
      <c r="C111" s="143">
        <v>198460.99942000001</v>
      </c>
      <c r="D111" s="155">
        <f t="shared" si="16"/>
        <v>-24.7</v>
      </c>
      <c r="E111" s="11">
        <f>IFERROR(100/'Skjema total MA'!C111*C111,0)</f>
        <v>45.698989527990136</v>
      </c>
      <c r="F111" s="291">
        <v>3619837.8169999998</v>
      </c>
      <c r="G111" s="143">
        <v>8033775.1586600002</v>
      </c>
      <c r="H111" s="155">
        <f t="shared" si="17"/>
        <v>121.9</v>
      </c>
      <c r="I111" s="11">
        <f>IFERROR(100/'Skjema total MA'!F111*G111,0)</f>
        <v>21.873205052282739</v>
      </c>
      <c r="J111" s="292">
        <f t="shared" si="24"/>
        <v>3883407.9979999997</v>
      </c>
      <c r="K111" s="217">
        <f t="shared" si="24"/>
        <v>8232236.1580800004</v>
      </c>
      <c r="L111" s="406">
        <f t="shared" si="19"/>
        <v>112</v>
      </c>
      <c r="M111" s="11">
        <f>IFERROR(100/'Skjema total MA'!I111*K111,0)</f>
        <v>22.151627082981104</v>
      </c>
    </row>
    <row r="112" spans="1:13" x14ac:dyDescent="0.2">
      <c r="A112" s="21" t="s">
        <v>9</v>
      </c>
      <c r="B112" s="215">
        <v>9836.5310000000009</v>
      </c>
      <c r="C112" s="129">
        <v>18923.064419999999</v>
      </c>
      <c r="D112" s="150">
        <f t="shared" ref="D112:D125" si="29">IF(B112=0, "    ---- ", IF(ABS(ROUND(100/B112*C112-100,1))&lt;999,ROUND(100/B112*C112-100,1),IF(ROUND(100/B112*C112-100,1)&gt;999,999,-999)))</f>
        <v>92.4</v>
      </c>
      <c r="E112" s="27">
        <f>IFERROR(100/'Skjema total MA'!C112*C112,0)</f>
        <v>7.8844113712098602</v>
      </c>
      <c r="F112" s="215">
        <v>3112.3429999999998</v>
      </c>
      <c r="G112" s="129">
        <v>1965.529</v>
      </c>
      <c r="H112" s="150">
        <f t="shared" ref="H112:H125" si="30">IF(F112=0, "    ---- ", IF(ABS(ROUND(100/F112*G112-100,1))&lt;999,ROUND(100/F112*G112-100,1),IF(ROUND(100/F112*G112-100,1)&gt;999,999,-999)))</f>
        <v>-36.799999999999997</v>
      </c>
      <c r="I112" s="27">
        <f>IFERROR(100/'Skjema total MA'!F112*G112,0)</f>
        <v>100</v>
      </c>
      <c r="J112" s="273">
        <f t="shared" ref="J112:K125" si="31">SUM(B112,F112)</f>
        <v>12948.874</v>
      </c>
      <c r="K112" s="44">
        <f t="shared" si="31"/>
        <v>20888.593419999997</v>
      </c>
      <c r="L112" s="240">
        <f t="shared" ref="L112:L125" si="32">IF(J112=0, "    ---- ", IF(ABS(ROUND(100/J112*K112-100,1))&lt;999,ROUND(100/J112*K112-100,1),IF(ROUND(100/J112*K112-100,1)&gt;999,999,-999)))</f>
        <v>61.3</v>
      </c>
      <c r="M112" s="27">
        <f>IFERROR(100/'Skjema total MA'!I112*K112,0)</f>
        <v>8.632663956866482</v>
      </c>
    </row>
    <row r="113" spans="1:14" x14ac:dyDescent="0.2">
      <c r="A113" s="21" t="s">
        <v>10</v>
      </c>
      <c r="B113" s="215"/>
      <c r="C113" s="129"/>
      <c r="D113" s="150"/>
      <c r="E113" s="27"/>
      <c r="F113" s="215">
        <v>3615665.0129999998</v>
      </c>
      <c r="G113" s="129">
        <v>8023529.7776600001</v>
      </c>
      <c r="H113" s="150">
        <f t="shared" si="30"/>
        <v>121.9</v>
      </c>
      <c r="I113" s="27">
        <f>IFERROR(100/'Skjema total MA'!F113*G113,0)</f>
        <v>21.851405778049415</v>
      </c>
      <c r="J113" s="273">
        <f t="shared" si="31"/>
        <v>3615665.0129999998</v>
      </c>
      <c r="K113" s="44">
        <f t="shared" si="31"/>
        <v>8023529.7776600001</v>
      </c>
      <c r="L113" s="240">
        <f t="shared" si="32"/>
        <v>121.9</v>
      </c>
      <c r="M113" s="27">
        <f>IFERROR(100/'Skjema total MA'!I113*K113,0)</f>
        <v>21.851405778049415</v>
      </c>
    </row>
    <row r="114" spans="1:14" x14ac:dyDescent="0.2">
      <c r="A114" s="21" t="s">
        <v>26</v>
      </c>
      <c r="B114" s="215">
        <v>253733.65</v>
      </c>
      <c r="C114" s="129">
        <v>179537.935</v>
      </c>
      <c r="D114" s="150">
        <f t="shared" si="29"/>
        <v>-29.2</v>
      </c>
      <c r="E114" s="27">
        <f>IFERROR(100/'Skjema total MA'!C114*C114,0)</f>
        <v>92.415423569919213</v>
      </c>
      <c r="F114" s="215">
        <v>1060.461</v>
      </c>
      <c r="G114" s="129">
        <v>8279.8520000000008</v>
      </c>
      <c r="H114" s="150">
        <f t="shared" si="30"/>
        <v>680.8</v>
      </c>
      <c r="I114" s="27">
        <f>IFERROR(100/'Skjema total MA'!F114*G114,0)</f>
        <v>100</v>
      </c>
      <c r="J114" s="273">
        <f t="shared" si="31"/>
        <v>254794.111</v>
      </c>
      <c r="K114" s="44">
        <f t="shared" si="31"/>
        <v>187817.78700000001</v>
      </c>
      <c r="L114" s="240">
        <f t="shared" si="32"/>
        <v>-26.3</v>
      </c>
      <c r="M114" s="27">
        <f>IFERROR(100/'Skjema total MA'!I114*K114,0)</f>
        <v>92.725462475411277</v>
      </c>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44">
        <v>5804.5259999999998</v>
      </c>
      <c r="C116" s="215">
        <v>6943.7240000000002</v>
      </c>
      <c r="D116" s="150">
        <f t="shared" si="29"/>
        <v>19.600000000000001</v>
      </c>
      <c r="E116" s="27">
        <f>IFERROR(100/'Skjema total MA'!C116*C116,0)</f>
        <v>10.443978320603804</v>
      </c>
      <c r="F116" s="215">
        <v>4486.2449999999999</v>
      </c>
      <c r="G116" s="215">
        <v>1965.529</v>
      </c>
      <c r="H116" s="150">
        <f t="shared" si="30"/>
        <v>-56.2</v>
      </c>
      <c r="I116" s="27">
        <f>IFERROR(100/'Skjema total MA'!F116*G116,0)</f>
        <v>100</v>
      </c>
      <c r="J116" s="273">
        <f t="shared" si="31"/>
        <v>10290.771000000001</v>
      </c>
      <c r="K116" s="44">
        <f t="shared" si="31"/>
        <v>8909.2530000000006</v>
      </c>
      <c r="L116" s="240">
        <f t="shared" si="32"/>
        <v>-13.4</v>
      </c>
      <c r="M116" s="27">
        <f>IFERROR(100/'Skjema total MA'!I116*K116,0)</f>
        <v>13.015526736221087</v>
      </c>
    </row>
    <row r="117" spans="1:14" ht="15.75" x14ac:dyDescent="0.2">
      <c r="A117" s="38" t="s">
        <v>404</v>
      </c>
      <c r="B117" s="217"/>
      <c r="C117" s="291"/>
      <c r="D117" s="150"/>
      <c r="E117" s="27"/>
      <c r="F117" s="215">
        <v>262687.98800000001</v>
      </c>
      <c r="G117" s="215">
        <v>1675019.5744099801</v>
      </c>
      <c r="H117" s="150">
        <f t="shared" si="30"/>
        <v>537.6</v>
      </c>
      <c r="I117" s="27">
        <f>IFERROR(100/'Skjema total MA'!F117*G117,0)</f>
        <v>8.2643472071659385</v>
      </c>
      <c r="J117" s="273">
        <f t="shared" si="31"/>
        <v>262687.98800000001</v>
      </c>
      <c r="K117" s="44">
        <f t="shared" si="31"/>
        <v>1675019.5744099801</v>
      </c>
      <c r="L117" s="240">
        <f t="shared" si="32"/>
        <v>537.6</v>
      </c>
      <c r="M117" s="27">
        <f>IFERROR(100/'Skjema total MA'!I117*K117,0)</f>
        <v>8.2643472071659385</v>
      </c>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v>141800.807</v>
      </c>
      <c r="C119" s="291">
        <v>174591.5478</v>
      </c>
      <c r="D119" s="155">
        <f t="shared" si="29"/>
        <v>23.1</v>
      </c>
      <c r="E119" s="11">
        <f>IFERROR(100/'Skjema total MA'!C119*C119,0)</f>
        <v>41.490628215795979</v>
      </c>
      <c r="F119" s="291">
        <v>7574815.3459999999</v>
      </c>
      <c r="G119" s="143">
        <v>12789911.192</v>
      </c>
      <c r="H119" s="155">
        <f t="shared" si="30"/>
        <v>68.8</v>
      </c>
      <c r="I119" s="11">
        <f>IFERROR(100/'Skjema total MA'!F119*G119,0)</f>
        <v>32.912316940334065</v>
      </c>
      <c r="J119" s="292">
        <f t="shared" si="31"/>
        <v>7716616.1529999999</v>
      </c>
      <c r="K119" s="217">
        <f t="shared" si="31"/>
        <v>12964502.739800001</v>
      </c>
      <c r="L119" s="406">
        <f t="shared" si="32"/>
        <v>68</v>
      </c>
      <c r="M119" s="11">
        <f>IFERROR(100/'Skjema total MA'!I119*K119,0)</f>
        <v>33.004211224644102</v>
      </c>
    </row>
    <row r="120" spans="1:14" x14ac:dyDescent="0.2">
      <c r="A120" s="21" t="s">
        <v>9</v>
      </c>
      <c r="B120" s="44">
        <v>9447.2970000000005</v>
      </c>
      <c r="C120" s="215">
        <v>64625.538800000002</v>
      </c>
      <c r="D120" s="150">
        <f t="shared" si="29"/>
        <v>584.1</v>
      </c>
      <c r="E120" s="27">
        <f>IFERROR(100/'Skjema total MA'!C120*C120,0)</f>
        <v>23.65465859078607</v>
      </c>
      <c r="F120" s="215"/>
      <c r="G120" s="129"/>
      <c r="H120" s="150"/>
      <c r="I120" s="27"/>
      <c r="J120" s="273">
        <f t="shared" si="31"/>
        <v>9447.2970000000005</v>
      </c>
      <c r="K120" s="44">
        <f t="shared" si="31"/>
        <v>64625.538800000002</v>
      </c>
      <c r="L120" s="240">
        <f t="shared" si="32"/>
        <v>584.1</v>
      </c>
      <c r="M120" s="27">
        <f>IFERROR(100/'Skjema total MA'!I120*K120,0)</f>
        <v>23.65465859078607</v>
      </c>
    </row>
    <row r="121" spans="1:14" x14ac:dyDescent="0.2">
      <c r="A121" s="21" t="s">
        <v>10</v>
      </c>
      <c r="B121" s="215"/>
      <c r="C121" s="129"/>
      <c r="D121" s="150"/>
      <c r="E121" s="27"/>
      <c r="F121" s="215">
        <v>7574815.3459999999</v>
      </c>
      <c r="G121" s="129">
        <v>12789911.192</v>
      </c>
      <c r="H121" s="150">
        <f t="shared" si="30"/>
        <v>68.8</v>
      </c>
      <c r="I121" s="27">
        <f>IFERROR(100/'Skjema total MA'!F121*G121,0)</f>
        <v>32.912316940334065</v>
      </c>
      <c r="J121" s="273">
        <f t="shared" si="31"/>
        <v>7574815.3459999999</v>
      </c>
      <c r="K121" s="44">
        <f t="shared" si="31"/>
        <v>12789911.192</v>
      </c>
      <c r="L121" s="240">
        <f t="shared" si="32"/>
        <v>68.8</v>
      </c>
      <c r="M121" s="27">
        <f>IFERROR(100/'Skjema total MA'!I121*K121,0)</f>
        <v>32.908470071119226</v>
      </c>
    </row>
    <row r="122" spans="1:14" x14ac:dyDescent="0.2">
      <c r="A122" s="21" t="s">
        <v>26</v>
      </c>
      <c r="B122" s="215">
        <v>132353.51</v>
      </c>
      <c r="C122" s="129">
        <v>109966.00900000001</v>
      </c>
      <c r="D122" s="150">
        <f t="shared" si="29"/>
        <v>-16.899999999999999</v>
      </c>
      <c r="E122" s="27">
        <f>IFERROR(100/'Skjema total MA'!C122*C122,0)</f>
        <v>76.872089634072807</v>
      </c>
      <c r="F122" s="215"/>
      <c r="G122" s="129"/>
      <c r="H122" s="150"/>
      <c r="I122" s="27"/>
      <c r="J122" s="273">
        <f t="shared" si="31"/>
        <v>132353.51</v>
      </c>
      <c r="K122" s="44">
        <f t="shared" si="31"/>
        <v>109966.00900000001</v>
      </c>
      <c r="L122" s="240">
        <f t="shared" si="32"/>
        <v>-16.899999999999999</v>
      </c>
      <c r="M122" s="27">
        <f>IFERROR(100/'Skjema total MA'!I122*K122,0)</f>
        <v>76.872089634072807</v>
      </c>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v>1373.4590000000001</v>
      </c>
      <c r="C124" s="215">
        <v>8355.3919999999998</v>
      </c>
      <c r="D124" s="150">
        <f t="shared" si="29"/>
        <v>508.3</v>
      </c>
      <c r="E124" s="27">
        <f>IFERROR(100/'Skjema total MA'!C124*C124,0)</f>
        <v>15.225008323707375</v>
      </c>
      <c r="F124" s="215">
        <v>9657.9230000000007</v>
      </c>
      <c r="G124" s="215">
        <v>12602.78</v>
      </c>
      <c r="H124" s="150">
        <f t="shared" si="30"/>
        <v>30.5</v>
      </c>
      <c r="I124" s="27">
        <f>IFERROR(100/'Skjema total MA'!F124*G124,0)</f>
        <v>100</v>
      </c>
      <c r="J124" s="273">
        <f t="shared" si="31"/>
        <v>11031.382000000001</v>
      </c>
      <c r="K124" s="44">
        <f t="shared" si="31"/>
        <v>20958.171999999999</v>
      </c>
      <c r="L124" s="240">
        <f t="shared" si="32"/>
        <v>90</v>
      </c>
      <c r="M124" s="27">
        <f>IFERROR(100/'Skjema total MA'!I124*K124,0)</f>
        <v>31.057346524056747</v>
      </c>
    </row>
    <row r="125" spans="1:14" ht="15.75" x14ac:dyDescent="0.2">
      <c r="A125" s="38" t="s">
        <v>404</v>
      </c>
      <c r="B125" s="215">
        <v>0</v>
      </c>
      <c r="C125" s="215">
        <v>78.710999999999999</v>
      </c>
      <c r="D125" s="150" t="str">
        <f t="shared" si="29"/>
        <v xml:space="preserve">    ---- </v>
      </c>
      <c r="E125" s="27">
        <f>IFERROR(100/'Skjema total MA'!C125*C125,0)</f>
        <v>9.9027180709715044</v>
      </c>
      <c r="F125" s="215">
        <v>639769.88699999999</v>
      </c>
      <c r="G125" s="215">
        <v>2612099.3196800002</v>
      </c>
      <c r="H125" s="150">
        <f t="shared" si="30"/>
        <v>308.3</v>
      </c>
      <c r="I125" s="27">
        <f>IFERROR(100/'Skjema total MA'!F125*G125,0)</f>
        <v>14.288173107117801</v>
      </c>
      <c r="J125" s="273">
        <f t="shared" si="31"/>
        <v>639769.88699999999</v>
      </c>
      <c r="K125" s="44">
        <f t="shared" si="31"/>
        <v>2612178.0306800003</v>
      </c>
      <c r="L125" s="240">
        <f t="shared" si="32"/>
        <v>308.3</v>
      </c>
      <c r="M125" s="27">
        <f>IFERROR(100/'Skjema total MA'!I125*K125,0)</f>
        <v>14.287982445263255</v>
      </c>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v>1061864.5009999999</v>
      </c>
      <c r="C134" s="292">
        <v>1670318.02125</v>
      </c>
      <c r="D134" s="332">
        <f t="shared" ref="D134:D137" si="33">IF(B134=0, "    ---- ", IF(ABS(ROUND(100/B134*C134-100,1))&lt;999,ROUND(100/B134*C134-100,1),IF(ROUND(100/B134*C134-100,1)&gt;999,999,-999)))</f>
        <v>57.3</v>
      </c>
      <c r="E134" s="11">
        <f>IFERROR(100/'Skjema total MA'!C134*C134,0)</f>
        <v>2.3633148703954858</v>
      </c>
      <c r="F134" s="299"/>
      <c r="G134" s="300"/>
      <c r="H134" s="409"/>
      <c r="I134" s="24"/>
      <c r="J134" s="301">
        <f t="shared" ref="J134:K137" si="34">SUM(B134,F134)</f>
        <v>1061864.5009999999</v>
      </c>
      <c r="K134" s="301">
        <f t="shared" si="34"/>
        <v>1670318.02125</v>
      </c>
      <c r="L134" s="405">
        <f t="shared" ref="L134:L137" si="35">IF(J134=0, "    ---- ", IF(ABS(ROUND(100/J134*K134-100,1))&lt;999,ROUND(100/J134*K134-100,1),IF(ROUND(100/J134*K134-100,1)&gt;999,999,-999)))</f>
        <v>57.3</v>
      </c>
      <c r="M134" s="11">
        <f>IFERROR(100/'Skjema total MA'!I134*K134,0)</f>
        <v>2.356235789846691</v>
      </c>
      <c r="N134" s="132"/>
    </row>
    <row r="135" spans="1:14" s="3" customFormat="1" ht="15.75" x14ac:dyDescent="0.2">
      <c r="A135" s="13" t="s">
        <v>374</v>
      </c>
      <c r="B135" s="217">
        <v>16407811.461999999</v>
      </c>
      <c r="C135" s="292">
        <v>18469165.388769999</v>
      </c>
      <c r="D135" s="155">
        <f t="shared" si="33"/>
        <v>12.6</v>
      </c>
      <c r="E135" s="11">
        <f>IFERROR(100/'Skjema total MA'!C135*C135,0)</f>
        <v>2.2742251794098052</v>
      </c>
      <c r="F135" s="217"/>
      <c r="G135" s="292"/>
      <c r="H135" s="410"/>
      <c r="I135" s="24"/>
      <c r="J135" s="291">
        <f t="shared" si="34"/>
        <v>16407811.461999999</v>
      </c>
      <c r="K135" s="291">
        <f t="shared" si="34"/>
        <v>18469165.388769999</v>
      </c>
      <c r="L135" s="406">
        <f t="shared" si="35"/>
        <v>12.6</v>
      </c>
      <c r="M135" s="11">
        <f>IFERROR(100/'Skjema total MA'!I135*K135,0)</f>
        <v>2.2662605122397652</v>
      </c>
      <c r="N135" s="132"/>
    </row>
    <row r="136" spans="1:14" s="3" customFormat="1" ht="15.75" x14ac:dyDescent="0.2">
      <c r="A136" s="13" t="s">
        <v>371</v>
      </c>
      <c r="B136" s="217">
        <v>3397569.4810000001</v>
      </c>
      <c r="C136" s="292">
        <v>811916.66</v>
      </c>
      <c r="D136" s="155">
        <f t="shared" si="33"/>
        <v>-76.099999999999994</v>
      </c>
      <c r="E136" s="11">
        <f>IFERROR(100/'Skjema total MA'!C136*C136,0)</f>
        <v>89.875978432545679</v>
      </c>
      <c r="F136" s="217"/>
      <c r="G136" s="292"/>
      <c r="H136" s="410"/>
      <c r="I136" s="24"/>
      <c r="J136" s="291">
        <f t="shared" si="34"/>
        <v>3397569.4810000001</v>
      </c>
      <c r="K136" s="291">
        <f t="shared" si="34"/>
        <v>811916.66</v>
      </c>
      <c r="L136" s="406">
        <f t="shared" si="35"/>
        <v>-76.099999999999994</v>
      </c>
      <c r="M136" s="11">
        <f>IFERROR(100/'Skjema total MA'!I136*K136,0)</f>
        <v>89.875978432545679</v>
      </c>
      <c r="N136" s="132"/>
    </row>
    <row r="137" spans="1:14" s="3" customFormat="1" ht="15.75" x14ac:dyDescent="0.2">
      <c r="A137" s="41" t="s">
        <v>372</v>
      </c>
      <c r="B137" s="262">
        <v>10460.601000000001</v>
      </c>
      <c r="C137" s="298">
        <v>147.00200000000001</v>
      </c>
      <c r="D137" s="153">
        <f t="shared" si="33"/>
        <v>-98.6</v>
      </c>
      <c r="E137" s="9">
        <f>IFERROR(100/'Skjema total MA'!C137*C137,0)</f>
        <v>6.9168839580904008E-3</v>
      </c>
      <c r="F137" s="262"/>
      <c r="G137" s="298"/>
      <c r="H137" s="411"/>
      <c r="I137" s="36"/>
      <c r="J137" s="297">
        <f t="shared" si="34"/>
        <v>10460.601000000001</v>
      </c>
      <c r="K137" s="297">
        <f t="shared" si="34"/>
        <v>147.00200000000001</v>
      </c>
      <c r="L137" s="407">
        <f t="shared" si="35"/>
        <v>-98.6</v>
      </c>
      <c r="M137" s="36">
        <f>IFERROR(100/'Skjema total MA'!I137*K137,0)</f>
        <v>6.9168839580904008E-3</v>
      </c>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73" priority="12">
      <formula>kvartal &lt; 4</formula>
    </cfRule>
  </conditionalFormatting>
  <conditionalFormatting sqref="A69:A74">
    <cfRule type="expression" dxfId="272" priority="10">
      <formula>kvartal &lt; 4</formula>
    </cfRule>
  </conditionalFormatting>
  <conditionalFormatting sqref="A80:A85">
    <cfRule type="expression" dxfId="271" priority="9">
      <formula>kvartal &lt; 4</formula>
    </cfRule>
  </conditionalFormatting>
  <conditionalFormatting sqref="A90:A95">
    <cfRule type="expression" dxfId="270" priority="6">
      <formula>kvartal &lt; 4</formula>
    </cfRule>
  </conditionalFormatting>
  <conditionalFormatting sqref="A101:A106">
    <cfRule type="expression" dxfId="269" priority="5">
      <formula>kvartal &lt; 4</formula>
    </cfRule>
  </conditionalFormatting>
  <conditionalFormatting sqref="A115">
    <cfRule type="expression" dxfId="268" priority="4">
      <formula>kvartal &lt; 4</formula>
    </cfRule>
  </conditionalFormatting>
  <conditionalFormatting sqref="A123">
    <cfRule type="expression" dxfId="267"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128</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v>701</v>
      </c>
      <c r="D7" s="332" t="str">
        <f>IF(B7=0, "    ---- ", IF(ABS(ROUND(100/B7*C7-100,1))&lt;999,ROUND(100/B7*C7-100,1),IF(ROUND(100/B7*C7-100,1)&gt;999,999,-999)))</f>
        <v xml:space="preserve">    ---- </v>
      </c>
      <c r="E7" s="11">
        <f>IFERROR(100/'Skjema total MA'!C7*C7,0)</f>
        <v>1.6518959936253172E-2</v>
      </c>
      <c r="F7" s="289"/>
      <c r="G7" s="290"/>
      <c r="H7" s="332"/>
      <c r="I7" s="144"/>
      <c r="J7" s="291">
        <f t="shared" ref="J7:K7" si="0">SUM(B7,F7)</f>
        <v>0</v>
      </c>
      <c r="K7" s="292">
        <f t="shared" si="0"/>
        <v>701</v>
      </c>
      <c r="L7" s="405" t="str">
        <f>IF(J7=0, "    ---- ", IF(ABS(ROUND(100/J7*K7-100,1))&lt;999,ROUND(100/J7*K7-100,1),IF(ROUND(100/J7*K7-100,1)&gt;999,999,-999)))</f>
        <v xml:space="preserve">    ---- </v>
      </c>
      <c r="M7" s="11">
        <f>IFERROR(100/'Skjema total MA'!I7*K7,0)</f>
        <v>5.8699833224008079E-3</v>
      </c>
    </row>
    <row r="8" spans="1:14" ht="15.75" x14ac:dyDescent="0.2">
      <c r="A8" s="21" t="s">
        <v>25</v>
      </c>
      <c r="B8" s="267"/>
      <c r="C8" s="268"/>
      <c r="D8" s="150"/>
      <c r="E8" s="27"/>
      <c r="F8" s="271"/>
      <c r="G8" s="272"/>
      <c r="H8" s="150"/>
      <c r="I8" s="160"/>
      <c r="J8" s="215"/>
      <c r="K8" s="273"/>
      <c r="L8" s="406"/>
      <c r="M8" s="27"/>
    </row>
    <row r="9" spans="1:14" ht="15.75" x14ac:dyDescent="0.2">
      <c r="A9" s="21" t="s">
        <v>24</v>
      </c>
      <c r="B9" s="267"/>
      <c r="C9" s="268"/>
      <c r="D9" s="150"/>
      <c r="E9" s="27"/>
      <c r="F9" s="271"/>
      <c r="G9" s="272"/>
      <c r="H9" s="150"/>
      <c r="I9" s="160"/>
      <c r="J9" s="215"/>
      <c r="K9" s="273"/>
      <c r="L9" s="406"/>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c r="C39" s="298"/>
      <c r="D39" s="153"/>
      <c r="E39" s="36"/>
      <c r="F39" s="305"/>
      <c r="G39" s="306"/>
      <c r="H39" s="153"/>
      <c r="I39" s="36"/>
      <c r="J39" s="217"/>
      <c r="K39" s="217"/>
      <c r="L39" s="407"/>
      <c r="M39" s="36"/>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v>9341</v>
      </c>
      <c r="D47" s="405" t="str">
        <f t="shared" ref="D47:D48" si="1">IF(B47=0, "    ---- ", IF(ABS(ROUND(100/B47*C47-100,1))&lt;999,ROUND(100/B47*C47-100,1),IF(ROUND(100/B47*C47-100,1)&gt;999,999,-999)))</f>
        <v xml:space="preserve">    ---- </v>
      </c>
      <c r="E47" s="11">
        <f>IFERROR(100/'Skjema total MA'!C47*C47,0)</f>
        <v>0.17516714671065017</v>
      </c>
      <c r="F47" s="129"/>
      <c r="G47" s="33"/>
      <c r="H47" s="143"/>
      <c r="I47" s="143"/>
      <c r="J47" s="37"/>
      <c r="K47" s="37"/>
      <c r="L47" s="143"/>
      <c r="M47" s="143"/>
      <c r="N47" s="132"/>
    </row>
    <row r="48" spans="1:14" s="3" customFormat="1" ht="15.75" x14ac:dyDescent="0.2">
      <c r="A48" s="38" t="s">
        <v>358</v>
      </c>
      <c r="B48" s="267"/>
      <c r="C48" s="268">
        <v>9341</v>
      </c>
      <c r="D48" s="240" t="str">
        <f t="shared" si="1"/>
        <v xml:space="preserve">    ---- </v>
      </c>
      <c r="E48" s="27">
        <f>IFERROR(100/'Skjema total MA'!C48*C48,0)</f>
        <v>0.31099403174799167</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66" priority="12">
      <formula>kvartal &lt; 4</formula>
    </cfRule>
  </conditionalFormatting>
  <conditionalFormatting sqref="A69:A74">
    <cfRule type="expression" dxfId="265" priority="10">
      <formula>kvartal &lt; 4</formula>
    </cfRule>
  </conditionalFormatting>
  <conditionalFormatting sqref="A80:A85">
    <cfRule type="expression" dxfId="264" priority="9">
      <formula>kvartal &lt; 4</formula>
    </cfRule>
  </conditionalFormatting>
  <conditionalFormatting sqref="A90:A95">
    <cfRule type="expression" dxfId="263" priority="6">
      <formula>kvartal &lt; 4</formula>
    </cfRule>
  </conditionalFormatting>
  <conditionalFormatting sqref="A101:A106">
    <cfRule type="expression" dxfId="262" priority="5">
      <formula>kvartal &lt; 4</formula>
    </cfRule>
  </conditionalFormatting>
  <conditionalFormatting sqref="A115">
    <cfRule type="expression" dxfId="261" priority="4">
      <formula>kvartal &lt; 4</formula>
    </cfRule>
  </conditionalFormatting>
  <conditionalFormatting sqref="A123">
    <cfRule type="expression" dxfId="260"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2" sqref="A2"/>
    </sheetView>
  </sheetViews>
  <sheetFormatPr baseColWidth="10" defaultColWidth="11.42578125" defaultRowHeight="18.75" x14ac:dyDescent="0.3"/>
  <cols>
    <col min="10" max="11" width="16.7109375" customWidth="1"/>
    <col min="12" max="12" width="24.42578125" style="58" customWidth="1"/>
    <col min="13" max="14" width="15.7109375" style="58" bestFit="1" customWidth="1"/>
    <col min="15" max="15" width="22.7109375" customWidth="1"/>
    <col min="16" max="16" width="13.42578125" customWidth="1"/>
    <col min="17" max="17" width="13.7109375" customWidth="1"/>
  </cols>
  <sheetData>
    <row r="1" spans="1:15" x14ac:dyDescent="0.3">
      <c r="A1" s="57" t="s">
        <v>52</v>
      </c>
    </row>
    <row r="2" spans="1:15" x14ac:dyDescent="0.3">
      <c r="A2" s="59"/>
      <c r="B2" s="58"/>
      <c r="C2" s="58"/>
      <c r="D2" s="58"/>
      <c r="E2" s="58"/>
      <c r="F2" s="58"/>
      <c r="G2" s="58"/>
      <c r="H2" s="58"/>
      <c r="I2" s="58"/>
      <c r="J2" s="58"/>
      <c r="K2" s="58"/>
      <c r="O2" s="58"/>
    </row>
    <row r="3" spans="1:15" x14ac:dyDescent="0.3">
      <c r="A3" s="59" t="s">
        <v>32</v>
      </c>
      <c r="B3" s="58"/>
      <c r="C3" s="58"/>
      <c r="D3" s="58"/>
      <c r="E3" s="58"/>
      <c r="F3" s="58"/>
      <c r="G3" s="58"/>
      <c r="H3" s="58"/>
      <c r="I3" s="58"/>
      <c r="J3" s="58"/>
      <c r="K3" s="58"/>
      <c r="O3" s="58"/>
    </row>
    <row r="4" spans="1:15" x14ac:dyDescent="0.3">
      <c r="A4" s="58"/>
      <c r="B4" s="58"/>
      <c r="C4" s="58"/>
      <c r="D4" s="58"/>
      <c r="E4" s="58"/>
      <c r="F4" s="58"/>
      <c r="G4" s="58"/>
      <c r="H4" s="58"/>
      <c r="I4" s="58"/>
      <c r="J4" s="58"/>
      <c r="K4" s="58"/>
      <c r="L4" s="60"/>
      <c r="O4" s="58"/>
    </row>
    <row r="5" spans="1:15" x14ac:dyDescent="0.3">
      <c r="A5" s="59" t="s">
        <v>427</v>
      </c>
      <c r="B5" s="58"/>
      <c r="C5" s="58"/>
      <c r="D5" s="58"/>
      <c r="E5" s="58"/>
      <c r="F5" s="58"/>
      <c r="G5" s="58"/>
      <c r="H5" s="58"/>
      <c r="I5" s="63"/>
      <c r="J5" s="58"/>
      <c r="K5" s="58"/>
      <c r="L5" s="58" t="s">
        <v>53</v>
      </c>
      <c r="O5" s="58"/>
    </row>
    <row r="6" spans="1:15" x14ac:dyDescent="0.3">
      <c r="A6" s="58"/>
      <c r="B6" s="58"/>
      <c r="C6" s="58"/>
      <c r="D6" s="58"/>
      <c r="E6" s="58"/>
      <c r="F6" s="58"/>
      <c r="G6" s="58"/>
      <c r="H6" s="58"/>
      <c r="I6" s="58"/>
      <c r="J6" s="58"/>
      <c r="K6" s="58"/>
      <c r="L6" s="58" t="s">
        <v>0</v>
      </c>
      <c r="O6" s="58"/>
    </row>
    <row r="7" spans="1:15" x14ac:dyDescent="0.3">
      <c r="A7" s="58"/>
      <c r="B7" s="58"/>
      <c r="C7" s="58"/>
      <c r="D7" s="58"/>
      <c r="E7" s="58"/>
      <c r="F7" s="58"/>
      <c r="G7" s="58"/>
      <c r="H7" s="58"/>
      <c r="I7" s="58"/>
      <c r="J7" s="58"/>
      <c r="K7" s="58"/>
      <c r="M7" s="58">
        <v>2022</v>
      </c>
      <c r="N7" s="58">
        <v>2023</v>
      </c>
      <c r="O7" s="58"/>
    </row>
    <row r="8" spans="1:15" x14ac:dyDescent="0.3">
      <c r="A8" s="58"/>
      <c r="B8" s="58"/>
      <c r="C8" s="58"/>
      <c r="D8" s="58"/>
      <c r="E8" s="58"/>
      <c r="F8" s="58"/>
      <c r="G8" s="58"/>
      <c r="H8" s="58"/>
      <c r="I8" s="58"/>
      <c r="J8" s="58"/>
      <c r="K8" s="58"/>
      <c r="L8" s="58" t="s">
        <v>422</v>
      </c>
      <c r="M8" s="61">
        <f>'Tabel 1.1'!B9</f>
        <v>337291.24852000002</v>
      </c>
      <c r="N8" s="61">
        <f>'Tabel 1.1'!C9</f>
        <v>0</v>
      </c>
      <c r="O8" s="58"/>
    </row>
    <row r="9" spans="1:15" x14ac:dyDescent="0.3">
      <c r="A9" s="58"/>
      <c r="B9" s="58"/>
      <c r="C9" s="58"/>
      <c r="D9" s="58"/>
      <c r="E9" s="58"/>
      <c r="F9" s="58"/>
      <c r="G9" s="58"/>
      <c r="H9" s="58"/>
      <c r="I9" s="58"/>
      <c r="J9" s="58"/>
      <c r="K9" s="58"/>
      <c r="L9" s="58" t="s">
        <v>54</v>
      </c>
      <c r="M9" s="61">
        <f>'Tabel 1.1'!B10</f>
        <v>2702411</v>
      </c>
      <c r="N9" s="61">
        <f>'Tabel 1.1'!C10</f>
        <v>2668490</v>
      </c>
      <c r="O9" s="58"/>
    </row>
    <row r="10" spans="1:15" x14ac:dyDescent="0.3">
      <c r="A10" s="58"/>
      <c r="B10" s="58"/>
      <c r="C10" s="58"/>
      <c r="D10" s="58"/>
      <c r="E10" s="58"/>
      <c r="F10" s="58"/>
      <c r="G10" s="58"/>
      <c r="H10" s="58"/>
      <c r="I10" s="58"/>
      <c r="J10" s="58"/>
      <c r="K10" s="58"/>
      <c r="L10" s="58" t="s">
        <v>55</v>
      </c>
      <c r="M10" s="61">
        <f>'Tabel 1.1'!B11</f>
        <v>335934</v>
      </c>
      <c r="N10" s="61">
        <f>'Tabel 1.1'!C11</f>
        <v>419288</v>
      </c>
      <c r="O10" s="58"/>
    </row>
    <row r="11" spans="1:15" x14ac:dyDescent="0.3">
      <c r="A11" s="58"/>
      <c r="B11" s="58"/>
      <c r="C11" s="58"/>
      <c r="D11" s="58"/>
      <c r="E11" s="58"/>
      <c r="F11" s="58"/>
      <c r="G11" s="58"/>
      <c r="H11" s="58"/>
      <c r="I11" s="58"/>
      <c r="J11" s="58"/>
      <c r="K11" s="58"/>
      <c r="L11" s="58" t="s">
        <v>395</v>
      </c>
      <c r="M11" s="61">
        <f>'Tabel 1.1'!B12</f>
        <v>26920</v>
      </c>
      <c r="N11" s="61">
        <f>'Tabel 1.1'!C12</f>
        <v>42908</v>
      </c>
      <c r="O11" s="58"/>
    </row>
    <row r="12" spans="1:15" x14ac:dyDescent="0.3">
      <c r="A12" s="58"/>
      <c r="B12" s="58"/>
      <c r="C12" s="58"/>
      <c r="D12" s="58"/>
      <c r="E12" s="58"/>
      <c r="F12" s="58"/>
      <c r="G12" s="58"/>
      <c r="H12" s="58"/>
      <c r="I12" s="58"/>
      <c r="J12" s="58"/>
      <c r="K12" s="58"/>
      <c r="L12" s="58" t="s">
        <v>382</v>
      </c>
      <c r="M12" s="61">
        <f>'Tabel 1.1'!B13</f>
        <v>2472117.6320799999</v>
      </c>
      <c r="N12" s="61">
        <f>'Tabel 1.1'!C13</f>
        <v>2646203.67337</v>
      </c>
      <c r="O12" s="58"/>
    </row>
    <row r="13" spans="1:15" x14ac:dyDescent="0.3">
      <c r="A13" s="58"/>
      <c r="B13" s="58"/>
      <c r="C13" s="58"/>
      <c r="D13" s="58"/>
      <c r="E13" s="58"/>
      <c r="F13" s="58"/>
      <c r="G13" s="58"/>
      <c r="H13" s="58"/>
      <c r="I13" s="58"/>
      <c r="J13" s="58"/>
      <c r="K13" s="58"/>
      <c r="L13" s="58" t="s">
        <v>56</v>
      </c>
      <c r="M13" s="61">
        <f>'Tabel 1.1'!B14</f>
        <v>507793</v>
      </c>
      <c r="N13" s="61">
        <f>'Tabel 1.1'!C14</f>
        <v>558666</v>
      </c>
      <c r="O13" s="58"/>
    </row>
    <row r="14" spans="1:15" x14ac:dyDescent="0.3">
      <c r="A14" s="58"/>
      <c r="B14" s="58"/>
      <c r="C14" s="58"/>
      <c r="D14" s="58"/>
      <c r="E14" s="58"/>
      <c r="F14" s="58"/>
      <c r="G14" s="58"/>
      <c r="H14" s="58"/>
      <c r="I14" s="58"/>
      <c r="J14" s="58"/>
      <c r="K14" s="58"/>
      <c r="L14" s="58" t="s">
        <v>57</v>
      </c>
      <c r="M14" s="61">
        <f>'Tabel 1.1'!B15</f>
        <v>6370.085</v>
      </c>
      <c r="N14" s="61">
        <f>'Tabel 1.1'!C15</f>
        <v>6433.6</v>
      </c>
      <c r="O14" s="58"/>
    </row>
    <row r="15" spans="1:15" x14ac:dyDescent="0.3">
      <c r="A15" s="58"/>
      <c r="B15" s="58"/>
      <c r="C15" s="58"/>
      <c r="D15" s="58"/>
      <c r="E15" s="58"/>
      <c r="F15" s="58"/>
      <c r="G15" s="58"/>
      <c r="H15" s="58"/>
      <c r="I15" s="58"/>
      <c r="J15" s="58"/>
      <c r="K15" s="58"/>
      <c r="L15" s="58" t="s">
        <v>58</v>
      </c>
      <c r="M15" s="61">
        <f>'Tabel 1.1'!B16</f>
        <v>1802206.75</v>
      </c>
      <c r="N15" s="61">
        <f>'Tabel 1.1'!C16</f>
        <v>1932975.6639999999</v>
      </c>
      <c r="O15" s="58"/>
    </row>
    <row r="16" spans="1:15" x14ac:dyDescent="0.3">
      <c r="A16" s="58"/>
      <c r="B16" s="58"/>
      <c r="C16" s="58"/>
      <c r="D16" s="58"/>
      <c r="E16" s="58"/>
      <c r="F16" s="58"/>
      <c r="G16" s="58"/>
      <c r="H16" s="58"/>
      <c r="I16" s="58"/>
      <c r="J16" s="58"/>
      <c r="K16" s="58"/>
      <c r="L16" s="58" t="s">
        <v>59</v>
      </c>
      <c r="M16" s="61">
        <f>'Tabel 1.1'!B17</f>
        <v>625492</v>
      </c>
      <c r="N16" s="61">
        <f>'Tabel 1.1'!C17</f>
        <v>709364</v>
      </c>
      <c r="O16" s="58"/>
    </row>
    <row r="17" spans="1:15" x14ac:dyDescent="0.3">
      <c r="A17" s="58"/>
      <c r="B17" s="58"/>
      <c r="C17" s="58"/>
      <c r="D17" s="58"/>
      <c r="E17" s="58"/>
      <c r="F17" s="58"/>
      <c r="G17" s="58"/>
      <c r="H17" s="58"/>
      <c r="I17" s="58"/>
      <c r="J17" s="58"/>
      <c r="K17" s="58"/>
      <c r="L17" s="58" t="s">
        <v>60</v>
      </c>
      <c r="M17" s="61">
        <f>'Tabel 1.1'!B18</f>
        <v>37716.661089999994</v>
      </c>
      <c r="N17" s="61">
        <f>'Tabel 1.1'!C18</f>
        <v>0</v>
      </c>
      <c r="O17" s="58"/>
    </row>
    <row r="18" spans="1:15" x14ac:dyDescent="0.3">
      <c r="A18" s="58"/>
      <c r="B18" s="58"/>
      <c r="C18" s="58"/>
      <c r="D18" s="58"/>
      <c r="E18" s="58"/>
      <c r="F18" s="58"/>
      <c r="G18" s="58"/>
      <c r="H18" s="58"/>
      <c r="I18" s="58"/>
      <c r="J18" s="58"/>
      <c r="K18" s="58"/>
      <c r="L18" s="58" t="s">
        <v>61</v>
      </c>
      <c r="M18" s="61">
        <f>'Tabel 1.1'!B19</f>
        <v>461957.49523765099</v>
      </c>
      <c r="N18" s="61">
        <f>'Tabel 1.1'!C19</f>
        <v>512230.04208588699</v>
      </c>
      <c r="O18" s="58"/>
    </row>
    <row r="19" spans="1:15" x14ac:dyDescent="0.3">
      <c r="A19" s="58"/>
      <c r="B19" s="58"/>
      <c r="C19" s="58"/>
      <c r="D19" s="58"/>
      <c r="E19" s="58"/>
      <c r="F19" s="58"/>
      <c r="G19" s="58"/>
      <c r="H19" s="58"/>
      <c r="I19" s="58"/>
      <c r="J19" s="58"/>
      <c r="K19" s="58"/>
      <c r="L19" s="58" t="s">
        <v>62</v>
      </c>
      <c r="M19" s="61">
        <f>'Tabel 1.1'!B20</f>
        <v>40116042.616570003</v>
      </c>
      <c r="N19" s="61">
        <f>'Tabel 1.1'!C20</f>
        <v>59728575.081890002</v>
      </c>
      <c r="O19" s="58"/>
    </row>
    <row r="20" spans="1:15" x14ac:dyDescent="0.3">
      <c r="A20" s="58"/>
      <c r="B20" s="58"/>
      <c r="C20" s="58"/>
      <c r="D20" s="58"/>
      <c r="E20" s="58"/>
      <c r="F20" s="58"/>
      <c r="G20" s="58"/>
      <c r="H20" s="58"/>
      <c r="I20" s="58"/>
      <c r="J20" s="58"/>
      <c r="K20" s="58"/>
      <c r="L20" s="58" t="s">
        <v>63</v>
      </c>
      <c r="M20" s="61">
        <f>'Tabel 1.1'!B21</f>
        <v>293311.63199999998</v>
      </c>
      <c r="N20" s="61">
        <f>'Tabel 1.1'!C21</f>
        <v>312830.96100000001</v>
      </c>
      <c r="O20" s="58"/>
    </row>
    <row r="21" spans="1:15" x14ac:dyDescent="0.3">
      <c r="A21" s="58"/>
      <c r="B21" s="58"/>
      <c r="C21" s="58"/>
      <c r="D21" s="58"/>
      <c r="E21" s="58"/>
      <c r="F21" s="58"/>
      <c r="G21" s="58"/>
      <c r="H21" s="58"/>
      <c r="I21" s="58"/>
      <c r="J21" s="58"/>
      <c r="K21" s="58"/>
      <c r="L21" s="58" t="s">
        <v>383</v>
      </c>
      <c r="M21" s="61">
        <f>'Tabel 1.1'!B22</f>
        <v>28431</v>
      </c>
      <c r="N21" s="61">
        <f>'Tabel 1.1'!C22</f>
        <v>29620</v>
      </c>
      <c r="O21" s="58"/>
    </row>
    <row r="22" spans="1:15" x14ac:dyDescent="0.3">
      <c r="A22" s="58"/>
      <c r="B22" s="58"/>
      <c r="C22" s="58"/>
      <c r="D22" s="58"/>
      <c r="E22" s="58"/>
      <c r="F22" s="58"/>
      <c r="G22" s="58"/>
      <c r="H22" s="58"/>
      <c r="I22" s="58"/>
      <c r="J22" s="58"/>
      <c r="K22" s="58"/>
      <c r="L22" s="58" t="s">
        <v>399</v>
      </c>
      <c r="M22" s="61">
        <f>'Tabel 1.1'!B23</f>
        <v>16353.946</v>
      </c>
      <c r="N22" s="61">
        <f>'Tabel 1.1'!C23</f>
        <v>21105.620999999999</v>
      </c>
      <c r="O22" s="58"/>
    </row>
    <row r="23" spans="1:15" x14ac:dyDescent="0.3">
      <c r="A23" s="58"/>
      <c r="B23" s="58"/>
      <c r="C23" s="58"/>
      <c r="D23" s="58"/>
      <c r="E23" s="58"/>
      <c r="F23" s="58"/>
      <c r="G23" s="58"/>
      <c r="H23" s="58"/>
      <c r="I23" s="58"/>
      <c r="J23" s="58"/>
      <c r="K23" s="58"/>
      <c r="L23" s="58" t="s">
        <v>64</v>
      </c>
      <c r="M23" s="61">
        <f>'Tabel 1.1'!B24</f>
        <v>1272563.1350929129</v>
      </c>
      <c r="N23" s="61">
        <f>'Tabel 1.1'!C24</f>
        <v>1396771.9333553389</v>
      </c>
      <c r="O23" s="58"/>
    </row>
    <row r="24" spans="1:15" x14ac:dyDescent="0.3">
      <c r="A24" s="58"/>
      <c r="B24" s="58"/>
      <c r="C24" s="58"/>
      <c r="D24" s="58"/>
      <c r="E24" s="58"/>
      <c r="F24" s="58"/>
      <c r="G24" s="58"/>
      <c r="H24" s="58"/>
      <c r="I24" s="58"/>
      <c r="J24" s="58"/>
      <c r="K24" s="58"/>
      <c r="L24" s="58" t="s">
        <v>65</v>
      </c>
      <c r="M24" s="61">
        <f>'Tabel 1.1'!B25</f>
        <v>7048000</v>
      </c>
      <c r="N24" s="61">
        <f>'Tabel 1.1'!C25</f>
        <v>9303000</v>
      </c>
      <c r="O24" s="58"/>
    </row>
    <row r="25" spans="1:15" x14ac:dyDescent="0.3">
      <c r="A25" s="58"/>
      <c r="B25" s="58"/>
      <c r="C25" s="58"/>
      <c r="D25" s="58"/>
      <c r="E25" s="58"/>
      <c r="F25" s="58"/>
      <c r="G25" s="58"/>
      <c r="H25" s="58"/>
      <c r="I25" s="58"/>
      <c r="J25" s="58"/>
      <c r="K25" s="58"/>
      <c r="L25" s="58" t="s">
        <v>376</v>
      </c>
      <c r="M25" s="61">
        <f>'Tabel 1.1'!B26</f>
        <v>338102.51378736005</v>
      </c>
      <c r="N25" s="61">
        <f>'Tabel 1.1'!C26</f>
        <v>364919.81156887702</v>
      </c>
      <c r="O25" s="58"/>
    </row>
    <row r="26" spans="1:15" s="125" customFormat="1" x14ac:dyDescent="0.3">
      <c r="A26" s="58"/>
      <c r="B26" s="58"/>
      <c r="C26" s="58"/>
      <c r="D26" s="58"/>
      <c r="E26" s="58"/>
      <c r="F26" s="58"/>
      <c r="G26" s="58"/>
      <c r="H26" s="58"/>
      <c r="I26" s="58"/>
      <c r="J26" s="58"/>
      <c r="K26" s="58"/>
      <c r="L26" s="58" t="s">
        <v>398</v>
      </c>
      <c r="M26" s="61">
        <f>'Tabel 1.1'!B27</f>
        <v>621880.97281000006</v>
      </c>
      <c r="N26" s="61">
        <f>'Tabel 1.1'!C27</f>
        <v>672776.47189000004</v>
      </c>
      <c r="O26" s="58"/>
    </row>
    <row r="27" spans="1:15" x14ac:dyDescent="0.3">
      <c r="A27" s="58"/>
      <c r="B27" s="58"/>
      <c r="C27" s="58"/>
      <c r="D27" s="58"/>
      <c r="E27" s="58"/>
      <c r="F27" s="58"/>
      <c r="G27" s="58"/>
      <c r="H27" s="58"/>
      <c r="I27" s="58"/>
      <c r="J27" s="58"/>
      <c r="K27" s="58"/>
      <c r="L27" s="58" t="s">
        <v>423</v>
      </c>
      <c r="M27" s="61">
        <f>'Tabel 1.1'!B28</f>
        <v>5192979.767</v>
      </c>
      <c r="N27" s="61">
        <f>'Tabel 1.1'!C28</f>
        <v>6718868.0755500002</v>
      </c>
      <c r="O27" s="58"/>
    </row>
    <row r="28" spans="1:15" x14ac:dyDescent="0.3">
      <c r="A28" s="58"/>
      <c r="B28" s="58"/>
      <c r="C28" s="58"/>
      <c r="D28" s="58"/>
      <c r="E28" s="58"/>
      <c r="F28" s="58"/>
      <c r="G28" s="58"/>
      <c r="H28" s="58"/>
      <c r="I28" s="58"/>
      <c r="J28" s="58"/>
      <c r="K28" s="58"/>
      <c r="L28" s="58" t="s">
        <v>67</v>
      </c>
      <c r="M28" s="61">
        <f>'Tabel 1.1'!B29</f>
        <v>0</v>
      </c>
      <c r="N28" s="61">
        <f>'Tabel 1.1'!C29</f>
        <v>10042</v>
      </c>
    </row>
    <row r="29" spans="1:15" x14ac:dyDescent="0.3">
      <c r="A29" s="58"/>
      <c r="B29" s="58"/>
      <c r="C29" s="58"/>
      <c r="D29" s="58"/>
      <c r="E29" s="58"/>
      <c r="F29" s="58"/>
      <c r="G29" s="58"/>
      <c r="H29" s="58"/>
      <c r="I29" s="58"/>
      <c r="J29" s="58"/>
      <c r="K29" s="58"/>
      <c r="L29" s="58" t="s">
        <v>68</v>
      </c>
      <c r="M29" s="61">
        <f>'Tabel 1.1'!B30</f>
        <v>636479</v>
      </c>
      <c r="N29" s="61">
        <f>'Tabel 1.1'!C30</f>
        <v>773050</v>
      </c>
    </row>
    <row r="30" spans="1:15" x14ac:dyDescent="0.3">
      <c r="A30" s="58"/>
      <c r="B30" s="58"/>
      <c r="C30" s="58"/>
      <c r="D30" s="58"/>
      <c r="E30" s="58"/>
      <c r="F30" s="58"/>
      <c r="G30" s="58"/>
      <c r="H30" s="58"/>
      <c r="I30" s="58"/>
      <c r="J30" s="58"/>
      <c r="K30" s="58"/>
      <c r="L30" s="58" t="s">
        <v>391</v>
      </c>
      <c r="M30" s="61">
        <f>'Tabel 1.1'!B31</f>
        <v>2123</v>
      </c>
      <c r="N30" s="61">
        <f>'Tabel 1.1'!C31</f>
        <v>1778.3699000000001</v>
      </c>
    </row>
    <row r="31" spans="1:15" x14ac:dyDescent="0.3">
      <c r="A31" s="59" t="s">
        <v>428</v>
      </c>
      <c r="B31" s="58"/>
      <c r="C31" s="58"/>
      <c r="D31" s="58"/>
      <c r="E31" s="58"/>
      <c r="F31" s="58"/>
      <c r="G31" s="58"/>
      <c r="H31" s="58"/>
      <c r="I31" s="63"/>
      <c r="J31" s="58"/>
      <c r="K31" s="58"/>
      <c r="L31" s="58" t="s">
        <v>402</v>
      </c>
      <c r="M31" s="61">
        <f>'Tabel 1.1'!B32</f>
        <v>3579</v>
      </c>
      <c r="N31" s="61">
        <f>'Tabel 1.1'!C32</f>
        <v>16904</v>
      </c>
    </row>
    <row r="32" spans="1:15" x14ac:dyDescent="0.3">
      <c r="B32" s="58"/>
      <c r="C32" s="58"/>
      <c r="D32" s="58"/>
      <c r="E32" s="58"/>
      <c r="F32" s="58"/>
      <c r="G32" s="58"/>
      <c r="H32" s="58"/>
      <c r="I32" s="58"/>
      <c r="J32" s="58"/>
      <c r="K32" s="58"/>
    </row>
    <row r="33" spans="1:15" x14ac:dyDescent="0.3">
      <c r="B33" s="58"/>
      <c r="C33" s="58"/>
      <c r="D33" s="58"/>
      <c r="E33" s="58"/>
      <c r="F33" s="58"/>
      <c r="G33" s="58"/>
      <c r="H33" s="58"/>
      <c r="I33" s="58"/>
      <c r="J33" s="58"/>
      <c r="K33" s="58"/>
      <c r="L33" s="58" t="s">
        <v>53</v>
      </c>
    </row>
    <row r="34" spans="1:15" x14ac:dyDescent="0.3">
      <c r="A34" s="58"/>
      <c r="B34" s="58"/>
      <c r="C34" s="58"/>
      <c r="D34" s="58"/>
      <c r="E34" s="58"/>
      <c r="F34" s="58"/>
      <c r="G34" s="58"/>
      <c r="H34" s="58"/>
      <c r="I34" s="58"/>
      <c r="J34" s="58"/>
      <c r="K34" s="58"/>
      <c r="L34" s="58" t="s">
        <v>1</v>
      </c>
    </row>
    <row r="35" spans="1:15" x14ac:dyDescent="0.3">
      <c r="A35" s="58"/>
      <c r="B35" s="58"/>
      <c r="C35" s="58"/>
      <c r="D35" s="58"/>
      <c r="E35" s="58"/>
      <c r="F35" s="58"/>
      <c r="G35" s="58"/>
      <c r="H35" s="58"/>
      <c r="I35" s="58"/>
      <c r="J35" s="58"/>
      <c r="K35" s="58"/>
      <c r="M35" s="58">
        <f>M7</f>
        <v>2022</v>
      </c>
      <c r="N35" s="58">
        <f>N7</f>
        <v>2023</v>
      </c>
    </row>
    <row r="36" spans="1:15" x14ac:dyDescent="0.3">
      <c r="A36" s="58"/>
      <c r="B36" s="58"/>
      <c r="C36" s="58"/>
      <c r="D36" s="58"/>
      <c r="E36" s="58"/>
      <c r="F36" s="58"/>
      <c r="G36" s="58"/>
      <c r="H36" s="58"/>
      <c r="I36" s="58"/>
      <c r="J36" s="58"/>
      <c r="K36" s="58"/>
      <c r="L36" s="58" t="s">
        <v>422</v>
      </c>
      <c r="M36" s="62">
        <f>'Tabel 1.1'!B36</f>
        <v>1811787.2900899998</v>
      </c>
      <c r="N36" s="62">
        <f>'Tabel 1.1'!C36</f>
        <v>0</v>
      </c>
    </row>
    <row r="37" spans="1:15" x14ac:dyDescent="0.3">
      <c r="A37" s="58"/>
      <c r="B37" s="58"/>
      <c r="C37" s="58"/>
      <c r="D37" s="58"/>
      <c r="E37" s="58"/>
      <c r="F37" s="58"/>
      <c r="G37" s="58"/>
      <c r="H37" s="58"/>
      <c r="I37" s="58"/>
      <c r="J37" s="58"/>
      <c r="K37" s="58"/>
      <c r="L37" s="58" t="s">
        <v>54</v>
      </c>
      <c r="M37" s="62">
        <f>'Tabel 1.1'!B37</f>
        <v>9504232</v>
      </c>
      <c r="N37" s="62">
        <f>'Tabel 1.1'!C37</f>
        <v>10894333</v>
      </c>
    </row>
    <row r="38" spans="1:15" x14ac:dyDescent="0.3">
      <c r="A38" s="58"/>
      <c r="B38" s="58"/>
      <c r="C38" s="58"/>
      <c r="D38" s="58"/>
      <c r="E38" s="58"/>
      <c r="F38" s="58"/>
      <c r="G38" s="58"/>
      <c r="H38" s="58"/>
      <c r="I38" s="58"/>
      <c r="J38" s="58"/>
      <c r="K38" s="58"/>
      <c r="L38" s="63" t="s">
        <v>59</v>
      </c>
      <c r="M38" s="62">
        <f>'Tabel 1.1'!B38</f>
        <v>3199959</v>
      </c>
      <c r="N38" s="62">
        <f>'Tabel 1.1'!C38</f>
        <v>3973127</v>
      </c>
    </row>
    <row r="39" spans="1:15" x14ac:dyDescent="0.3">
      <c r="A39" s="58"/>
      <c r="B39" s="58"/>
      <c r="C39" s="58"/>
      <c r="D39" s="58"/>
      <c r="E39" s="58"/>
      <c r="F39" s="58"/>
      <c r="G39" s="58"/>
      <c r="H39" s="58"/>
      <c r="I39" s="58"/>
      <c r="J39" s="58"/>
      <c r="K39" s="58"/>
      <c r="L39" s="58" t="s">
        <v>62</v>
      </c>
      <c r="M39" s="62">
        <f>'Tabel 1.1'!B39</f>
        <v>131709.47200000001</v>
      </c>
      <c r="N39" s="62">
        <f>'Tabel 1.1'!C39</f>
        <v>212341.89300000001</v>
      </c>
    </row>
    <row r="40" spans="1:15" x14ac:dyDescent="0.3">
      <c r="A40" s="58"/>
      <c r="B40" s="58"/>
      <c r="C40" s="58"/>
      <c r="D40" s="58"/>
      <c r="E40" s="58"/>
      <c r="F40" s="58"/>
      <c r="G40" s="58"/>
      <c r="H40" s="58"/>
      <c r="I40" s="58"/>
      <c r="J40" s="58"/>
      <c r="K40" s="58"/>
      <c r="L40" s="63" t="s">
        <v>64</v>
      </c>
      <c r="M40" s="62">
        <f>'Tabel 1.1'!B40</f>
        <v>10389567.608209999</v>
      </c>
      <c r="N40" s="62">
        <f>'Tabel 1.1'!C40</f>
        <v>11926469.427130001</v>
      </c>
    </row>
    <row r="41" spans="1:15" x14ac:dyDescent="0.3">
      <c r="A41" s="58"/>
      <c r="B41" s="58"/>
      <c r="C41" s="58"/>
      <c r="D41" s="58"/>
      <c r="E41" s="58"/>
      <c r="F41" s="58"/>
      <c r="G41" s="58"/>
      <c r="H41" s="58"/>
      <c r="I41" s="58"/>
      <c r="J41" s="58"/>
      <c r="K41" s="58"/>
      <c r="L41" s="63" t="s">
        <v>69</v>
      </c>
      <c r="M41" s="62">
        <f>'Tabel 1.1'!B41</f>
        <v>82933.019990000015</v>
      </c>
      <c r="N41" s="62">
        <f>'Tabel 1.1'!C41</f>
        <v>0</v>
      </c>
      <c r="O41" s="58"/>
    </row>
    <row r="42" spans="1:15" x14ac:dyDescent="0.3">
      <c r="A42" s="58"/>
      <c r="B42" s="58"/>
      <c r="C42" s="58"/>
      <c r="D42" s="58"/>
      <c r="E42" s="58"/>
      <c r="F42" s="58"/>
      <c r="G42" s="58"/>
      <c r="H42" s="58"/>
      <c r="I42" s="58"/>
      <c r="J42" s="58"/>
      <c r="K42" s="58"/>
      <c r="L42" s="58" t="s">
        <v>398</v>
      </c>
      <c r="M42" s="62">
        <f>'Tabel 1.1'!B42</f>
        <v>4592774.7892099991</v>
      </c>
      <c r="N42" s="62">
        <f>'Tabel 1.1'!C42</f>
        <v>5140181.3108099997</v>
      </c>
      <c r="O42" s="58"/>
    </row>
    <row r="43" spans="1:15" x14ac:dyDescent="0.3">
      <c r="A43" s="58"/>
      <c r="B43" s="58"/>
      <c r="C43" s="58"/>
      <c r="D43" s="58"/>
      <c r="E43" s="58"/>
      <c r="F43" s="58"/>
      <c r="G43" s="58"/>
      <c r="H43" s="58"/>
      <c r="I43" s="58"/>
      <c r="J43" s="58"/>
      <c r="K43" s="58"/>
      <c r="L43" s="58" t="s">
        <v>423</v>
      </c>
      <c r="M43" s="62">
        <f>'Tabel 1.1'!B43</f>
        <v>9839028.0860000011</v>
      </c>
      <c r="N43" s="62">
        <f>'Tabel 1.1'!C43</f>
        <v>12946913.08986</v>
      </c>
      <c r="O43" s="58"/>
    </row>
    <row r="44" spans="1:15" x14ac:dyDescent="0.3">
      <c r="A44" s="58"/>
      <c r="B44" s="58"/>
      <c r="C44" s="58"/>
      <c r="D44" s="58"/>
      <c r="E44" s="58"/>
      <c r="F44" s="58"/>
      <c r="G44" s="58"/>
      <c r="H44" s="58"/>
      <c r="I44" s="58"/>
      <c r="J44" s="58"/>
      <c r="K44" s="58"/>
      <c r="L44" s="63"/>
      <c r="M44" s="62"/>
      <c r="N44" s="62"/>
      <c r="O44" s="58"/>
    </row>
    <row r="45" spans="1:15" x14ac:dyDescent="0.3">
      <c r="A45" s="58"/>
      <c r="B45" s="58"/>
      <c r="C45" s="58"/>
      <c r="D45" s="58"/>
      <c r="E45" s="58"/>
      <c r="F45" s="58"/>
      <c r="G45" s="58"/>
      <c r="H45" s="58"/>
      <c r="I45" s="58"/>
      <c r="J45" s="58"/>
      <c r="K45" s="58"/>
      <c r="M45" s="61"/>
      <c r="N45" s="61"/>
      <c r="O45" s="58"/>
    </row>
    <row r="46" spans="1:15" x14ac:dyDescent="0.3">
      <c r="A46" s="58"/>
      <c r="B46" s="58"/>
      <c r="C46" s="58"/>
      <c r="D46" s="58"/>
      <c r="E46" s="58"/>
      <c r="F46" s="58"/>
      <c r="G46" s="58"/>
      <c r="H46" s="58"/>
      <c r="I46" s="58"/>
      <c r="J46" s="58"/>
      <c r="K46" s="58"/>
      <c r="M46" s="61"/>
      <c r="N46" s="61"/>
      <c r="O46" s="58"/>
    </row>
    <row r="47" spans="1:15" x14ac:dyDescent="0.3">
      <c r="A47" s="58"/>
      <c r="B47" s="58"/>
      <c r="C47" s="58"/>
      <c r="D47" s="58"/>
      <c r="E47" s="58"/>
      <c r="F47" s="58"/>
      <c r="G47" s="58"/>
      <c r="H47" s="58"/>
      <c r="I47" s="58"/>
      <c r="J47" s="58"/>
      <c r="K47" s="58"/>
      <c r="M47" s="61"/>
      <c r="N47" s="61"/>
      <c r="O47" s="58"/>
    </row>
    <row r="48" spans="1:15" x14ac:dyDescent="0.3">
      <c r="A48" s="58"/>
      <c r="B48" s="58"/>
      <c r="C48" s="58"/>
      <c r="D48" s="58"/>
      <c r="E48" s="58"/>
      <c r="F48" s="58"/>
      <c r="G48" s="58"/>
      <c r="H48" s="58"/>
      <c r="I48" s="58"/>
      <c r="J48" s="58"/>
      <c r="K48" s="58"/>
      <c r="M48" s="61"/>
      <c r="N48" s="61"/>
      <c r="O48" s="58"/>
    </row>
    <row r="49" spans="1:15" x14ac:dyDescent="0.3">
      <c r="A49" s="58"/>
      <c r="B49" s="58"/>
      <c r="C49" s="58"/>
      <c r="D49" s="58"/>
      <c r="E49" s="58"/>
      <c r="F49" s="58"/>
      <c r="G49" s="58"/>
      <c r="H49" s="58"/>
      <c r="I49" s="58"/>
      <c r="J49" s="58"/>
      <c r="K49" s="58"/>
      <c r="O49" s="58"/>
    </row>
    <row r="50" spans="1:15" x14ac:dyDescent="0.3">
      <c r="A50" s="58"/>
      <c r="B50" s="58"/>
      <c r="C50" s="58"/>
      <c r="D50" s="58"/>
      <c r="E50" s="58"/>
      <c r="F50" s="58"/>
      <c r="G50" s="58"/>
      <c r="H50" s="58"/>
      <c r="I50" s="58"/>
      <c r="J50" s="58"/>
      <c r="K50" s="58"/>
      <c r="O50" s="58"/>
    </row>
    <row r="51" spans="1:15" x14ac:dyDescent="0.3">
      <c r="A51" s="58"/>
      <c r="B51" s="58"/>
      <c r="C51" s="58"/>
      <c r="D51" s="58"/>
      <c r="E51" s="58"/>
      <c r="F51" s="58"/>
      <c r="G51" s="58"/>
      <c r="H51" s="58"/>
      <c r="I51" s="58"/>
      <c r="J51" s="58"/>
      <c r="K51" s="58"/>
      <c r="O51" s="58"/>
    </row>
    <row r="52" spans="1:15" x14ac:dyDescent="0.3">
      <c r="A52" s="58"/>
      <c r="B52" s="58"/>
      <c r="C52" s="58"/>
      <c r="D52" s="58"/>
      <c r="E52" s="58"/>
      <c r="F52" s="58"/>
      <c r="G52" s="58"/>
      <c r="H52" s="58"/>
      <c r="I52" s="58"/>
      <c r="J52" s="58"/>
      <c r="K52" s="58"/>
      <c r="L52" s="58" t="s">
        <v>71</v>
      </c>
      <c r="O52" s="58"/>
    </row>
    <row r="53" spans="1:15" x14ac:dyDescent="0.3">
      <c r="A53" s="58"/>
      <c r="B53" s="58"/>
      <c r="C53" s="58"/>
      <c r="D53" s="58"/>
      <c r="E53" s="58"/>
      <c r="F53" s="58"/>
      <c r="G53" s="58"/>
      <c r="H53" s="58"/>
      <c r="I53" s="58"/>
      <c r="J53" s="58"/>
      <c r="K53" s="58"/>
      <c r="L53" s="58" t="s">
        <v>0</v>
      </c>
      <c r="O53" s="58"/>
    </row>
    <row r="54" spans="1:15" x14ac:dyDescent="0.3">
      <c r="A54" s="58"/>
      <c r="B54" s="58"/>
      <c r="C54" s="58"/>
      <c r="D54" s="58"/>
      <c r="E54" s="58"/>
      <c r="F54" s="58"/>
      <c r="G54" s="58"/>
      <c r="H54" s="58"/>
      <c r="I54" s="58"/>
      <c r="J54" s="58"/>
      <c r="K54" s="58"/>
      <c r="M54" s="58">
        <f>M7</f>
        <v>2022</v>
      </c>
      <c r="N54" s="58">
        <f>N7</f>
        <v>2023</v>
      </c>
      <c r="O54" s="58"/>
    </row>
    <row r="55" spans="1:15" x14ac:dyDescent="0.3">
      <c r="A55" s="58"/>
      <c r="B55" s="58"/>
      <c r="C55" s="58"/>
      <c r="D55" s="58"/>
      <c r="E55" s="58"/>
      <c r="F55" s="58"/>
      <c r="G55" s="58"/>
      <c r="H55" s="58"/>
      <c r="I55" s="58"/>
      <c r="J55" s="58"/>
      <c r="K55" s="58"/>
      <c r="L55" s="58" t="s">
        <v>422</v>
      </c>
      <c r="M55" s="61">
        <f>'Tabel 1.1'!G9</f>
        <v>1511060.2339999999</v>
      </c>
      <c r="N55" s="61">
        <f>'Tabel 1.1'!H9</f>
        <v>0</v>
      </c>
      <c r="O55" s="58"/>
    </row>
    <row r="56" spans="1:15" x14ac:dyDescent="0.3">
      <c r="A56" s="59" t="s">
        <v>429</v>
      </c>
      <c r="B56" s="58"/>
      <c r="C56" s="58"/>
      <c r="D56" s="58"/>
      <c r="E56" s="58"/>
      <c r="F56" s="58"/>
      <c r="G56" s="58"/>
      <c r="H56" s="58"/>
      <c r="I56" s="63"/>
      <c r="J56" s="58"/>
      <c r="K56" s="58"/>
      <c r="L56" s="58" t="s">
        <v>54</v>
      </c>
      <c r="M56" s="61">
        <f>'Tabel 1.1'!G10</f>
        <v>189898877.81169999</v>
      </c>
      <c r="N56" s="61">
        <f>'Tabel 1.1'!H10</f>
        <v>183219364</v>
      </c>
      <c r="O56" s="58"/>
    </row>
    <row r="57" spans="1:15" x14ac:dyDescent="0.3">
      <c r="A57" s="58"/>
      <c r="B57" s="58"/>
      <c r="C57" s="58"/>
      <c r="D57" s="58"/>
      <c r="E57" s="58"/>
      <c r="F57" s="58"/>
      <c r="G57" s="58"/>
      <c r="H57" s="58"/>
      <c r="I57" s="58"/>
      <c r="J57" s="58"/>
      <c r="K57" s="58"/>
      <c r="L57" s="58" t="s">
        <v>55</v>
      </c>
      <c r="M57" s="61">
        <f>'Tabel 1.1'!G11</f>
        <v>0</v>
      </c>
      <c r="N57" s="61">
        <f>'Tabel 1.1'!H11</f>
        <v>0</v>
      </c>
      <c r="O57" s="58"/>
    </row>
    <row r="58" spans="1:15" x14ac:dyDescent="0.3">
      <c r="A58" s="58"/>
      <c r="B58" s="58"/>
      <c r="C58" s="58"/>
      <c r="D58" s="58"/>
      <c r="E58" s="58"/>
      <c r="F58" s="58"/>
      <c r="G58" s="58"/>
      <c r="H58" s="58"/>
      <c r="I58" s="58"/>
      <c r="J58" s="58"/>
      <c r="K58" s="58"/>
      <c r="L58" s="58" t="s">
        <v>395</v>
      </c>
      <c r="M58" s="61">
        <f>'Tabel 1.1'!G12</f>
        <v>0</v>
      </c>
      <c r="N58" s="61">
        <f>'Tabel 1.1'!H12</f>
        <v>0</v>
      </c>
      <c r="O58" s="58"/>
    </row>
    <row r="59" spans="1:15" x14ac:dyDescent="0.3">
      <c r="A59" s="58"/>
      <c r="B59" s="58"/>
      <c r="C59" s="58"/>
      <c r="D59" s="58"/>
      <c r="E59" s="58"/>
      <c r="F59" s="58"/>
      <c r="G59" s="58"/>
      <c r="H59" s="58"/>
      <c r="I59" s="58"/>
      <c r="J59" s="58"/>
      <c r="K59" s="58"/>
      <c r="L59" s="58" t="s">
        <v>382</v>
      </c>
      <c r="M59" s="61">
        <f>'Tabel 1.1'!G13</f>
        <v>4663711.9526500003</v>
      </c>
      <c r="N59" s="61">
        <f>'Tabel 1.1'!H13</f>
        <v>5178287.9737800006</v>
      </c>
      <c r="O59" s="58"/>
    </row>
    <row r="60" spans="1:15" x14ac:dyDescent="0.3">
      <c r="A60" s="58"/>
      <c r="B60" s="58"/>
      <c r="C60" s="58"/>
      <c r="D60" s="58"/>
      <c r="E60" s="58"/>
      <c r="F60" s="58"/>
      <c r="G60" s="58"/>
      <c r="H60" s="58"/>
      <c r="I60" s="58"/>
      <c r="J60" s="58"/>
      <c r="K60" s="58"/>
      <c r="L60" s="58" t="s">
        <v>56</v>
      </c>
      <c r="M60" s="61">
        <f>'Tabel 1.1'!G14</f>
        <v>1264435</v>
      </c>
      <c r="N60" s="61">
        <f>'Tabel 1.1'!H14</f>
        <v>1615536</v>
      </c>
      <c r="O60" s="58"/>
    </row>
    <row r="61" spans="1:15" x14ac:dyDescent="0.3">
      <c r="A61" s="58"/>
      <c r="B61" s="58"/>
      <c r="C61" s="58"/>
      <c r="D61" s="58"/>
      <c r="E61" s="58"/>
      <c r="F61" s="58"/>
      <c r="G61" s="58"/>
      <c r="H61" s="58"/>
      <c r="I61" s="58"/>
      <c r="J61" s="58"/>
      <c r="K61" s="58"/>
      <c r="L61" s="58" t="s">
        <v>58</v>
      </c>
      <c r="M61" s="61">
        <f>'Tabel 1.1'!G15</f>
        <v>0</v>
      </c>
      <c r="N61" s="61">
        <f>'Tabel 1.1'!H15</f>
        <v>0</v>
      </c>
      <c r="O61" s="58"/>
    </row>
    <row r="62" spans="1:15" x14ac:dyDescent="0.3">
      <c r="A62" s="58"/>
      <c r="B62" s="58"/>
      <c r="C62" s="58"/>
      <c r="D62" s="58"/>
      <c r="E62" s="58"/>
      <c r="F62" s="58"/>
      <c r="G62" s="58"/>
      <c r="H62" s="58"/>
      <c r="I62" s="58"/>
      <c r="J62" s="58"/>
      <c r="K62" s="58"/>
      <c r="L62" s="58" t="s">
        <v>59</v>
      </c>
      <c r="M62" s="61">
        <f>'Tabel 1.1'!G17</f>
        <v>8716977</v>
      </c>
      <c r="N62" s="61">
        <f>'Tabel 1.1'!H17</f>
        <v>11976354</v>
      </c>
      <c r="O62" s="58"/>
    </row>
    <row r="63" spans="1:15" x14ac:dyDescent="0.3">
      <c r="A63" s="58"/>
      <c r="B63" s="58"/>
      <c r="C63" s="58"/>
      <c r="D63" s="58"/>
      <c r="E63" s="58"/>
      <c r="F63" s="58"/>
      <c r="G63" s="58"/>
      <c r="H63" s="58"/>
      <c r="I63" s="58"/>
      <c r="J63" s="58"/>
      <c r="K63" s="58"/>
      <c r="L63" s="58" t="s">
        <v>60</v>
      </c>
      <c r="M63" s="61">
        <f>'Tabel 1.1'!G18</f>
        <v>1519.5954100000001</v>
      </c>
      <c r="N63" s="61">
        <f>'Tabel 1.1'!H18</f>
        <v>0</v>
      </c>
      <c r="O63" s="58"/>
    </row>
    <row r="64" spans="1:15" x14ac:dyDescent="0.3">
      <c r="A64" s="58"/>
      <c r="B64" s="58"/>
      <c r="C64" s="58"/>
      <c r="D64" s="58"/>
      <c r="E64" s="58"/>
      <c r="F64" s="58"/>
      <c r="G64" s="58"/>
      <c r="H64" s="58"/>
      <c r="I64" s="58"/>
      <c r="J64" s="58"/>
      <c r="K64" s="58"/>
      <c r="L64" s="58" t="s">
        <v>61</v>
      </c>
      <c r="M64" s="61">
        <f>'Tabel 1.1'!G19</f>
        <v>0</v>
      </c>
      <c r="N64" s="61">
        <f>'Tabel 1.1'!H19</f>
        <v>0</v>
      </c>
      <c r="O64" s="58"/>
    </row>
    <row r="65" spans="1:15" x14ac:dyDescent="0.3">
      <c r="A65" s="58"/>
      <c r="B65" s="58"/>
      <c r="C65" s="58"/>
      <c r="D65" s="58"/>
      <c r="E65" s="58"/>
      <c r="F65" s="58"/>
      <c r="G65" s="58"/>
      <c r="H65" s="58"/>
      <c r="I65" s="58"/>
      <c r="J65" s="58"/>
      <c r="K65" s="58"/>
      <c r="L65" s="58" t="s">
        <v>62</v>
      </c>
      <c r="M65" s="61">
        <f>'Tabel 1.1'!G20</f>
        <v>639219292.35275996</v>
      </c>
      <c r="N65" s="61">
        <f>'Tabel 1.1'!H20</f>
        <v>701899868.41477001</v>
      </c>
      <c r="O65" s="58"/>
    </row>
    <row r="66" spans="1:15" x14ac:dyDescent="0.3">
      <c r="A66" s="58"/>
      <c r="B66" s="58"/>
      <c r="C66" s="58"/>
      <c r="D66" s="58"/>
      <c r="E66" s="58"/>
      <c r="F66" s="58"/>
      <c r="G66" s="58"/>
      <c r="H66" s="58"/>
      <c r="I66" s="58"/>
      <c r="J66" s="58"/>
      <c r="K66" s="58"/>
      <c r="L66" s="58" t="s">
        <v>63</v>
      </c>
      <c r="M66" s="61">
        <f>'Tabel 1.1'!G21</f>
        <v>99044.30799999999</v>
      </c>
      <c r="N66" s="61">
        <f>'Tabel 1.1'!H21</f>
        <v>127284.87</v>
      </c>
      <c r="O66" s="58"/>
    </row>
    <row r="67" spans="1:15" x14ac:dyDescent="0.3">
      <c r="A67" s="58"/>
      <c r="B67" s="58"/>
      <c r="C67" s="58"/>
      <c r="D67" s="58"/>
      <c r="E67" s="58"/>
      <c r="F67" s="58"/>
      <c r="G67" s="58"/>
      <c r="H67" s="58"/>
      <c r="I67" s="58"/>
      <c r="J67" s="58"/>
      <c r="K67" s="58"/>
      <c r="L67" s="58" t="s">
        <v>394</v>
      </c>
      <c r="M67" s="61">
        <f>'Tabel 1.1'!G22</f>
        <v>0</v>
      </c>
      <c r="N67" s="61">
        <f>'Tabel 1.1'!H22</f>
        <v>0</v>
      </c>
      <c r="O67" s="58"/>
    </row>
    <row r="68" spans="1:15" x14ac:dyDescent="0.3">
      <c r="A68" s="58"/>
      <c r="B68" s="58"/>
      <c r="C68" s="58"/>
      <c r="D68" s="58"/>
      <c r="E68" s="58"/>
      <c r="F68" s="58"/>
      <c r="G68" s="58"/>
      <c r="H68" s="58"/>
      <c r="I68" s="58"/>
      <c r="J68" s="58"/>
      <c r="K68" s="58"/>
      <c r="L68" s="58" t="s">
        <v>399</v>
      </c>
      <c r="M68" s="61">
        <f>'Tabel 1.1'!G23</f>
        <v>0</v>
      </c>
      <c r="N68" s="61">
        <f>'Tabel 1.1'!H23</f>
        <v>0</v>
      </c>
      <c r="O68" s="58"/>
    </row>
    <row r="69" spans="1:15" x14ac:dyDescent="0.3">
      <c r="A69" s="58"/>
      <c r="B69" s="58"/>
      <c r="C69" s="58"/>
      <c r="D69" s="58"/>
      <c r="E69" s="58"/>
      <c r="F69" s="58"/>
      <c r="G69" s="58"/>
      <c r="H69" s="58"/>
      <c r="I69" s="58"/>
      <c r="J69" s="58"/>
      <c r="K69" s="58"/>
      <c r="L69" s="58" t="s">
        <v>64</v>
      </c>
      <c r="M69" s="61">
        <f>'Tabel 1.1'!G24</f>
        <v>54880190.000008784</v>
      </c>
      <c r="N69" s="61">
        <f>'Tabel 1.1'!H24</f>
        <v>54295670.000003412</v>
      </c>
      <c r="O69" s="58"/>
    </row>
    <row r="70" spans="1:15" x14ac:dyDescent="0.3">
      <c r="A70" s="58"/>
      <c r="B70" s="58"/>
      <c r="C70" s="58"/>
      <c r="D70" s="58"/>
      <c r="E70" s="58"/>
      <c r="F70" s="58"/>
      <c r="G70" s="58"/>
      <c r="H70" s="58"/>
      <c r="I70" s="58"/>
      <c r="J70" s="58"/>
      <c r="K70" s="58"/>
      <c r="L70" s="58" t="s">
        <v>65</v>
      </c>
      <c r="M70" s="61">
        <f>'Tabel 1.1'!G25</f>
        <v>85289000</v>
      </c>
      <c r="N70" s="61">
        <f>'Tabel 1.1'!H25</f>
        <v>91739000</v>
      </c>
      <c r="O70" s="58"/>
    </row>
    <row r="71" spans="1:15" x14ac:dyDescent="0.3">
      <c r="A71" s="58"/>
      <c r="B71" s="58"/>
      <c r="C71" s="58"/>
      <c r="D71" s="58"/>
      <c r="E71" s="58"/>
      <c r="F71" s="58"/>
      <c r="G71" s="58"/>
      <c r="H71" s="58"/>
      <c r="I71" s="58"/>
      <c r="J71" s="58"/>
      <c r="K71" s="58"/>
      <c r="L71" s="58" t="s">
        <v>398</v>
      </c>
      <c r="M71" s="61">
        <f>'Tabel 1.1'!G27</f>
        <v>20801168.00575</v>
      </c>
      <c r="N71" s="61">
        <f>'Tabel 1.1'!H27</f>
        <v>19517824.671259999</v>
      </c>
      <c r="O71" s="58"/>
    </row>
    <row r="72" spans="1:15" x14ac:dyDescent="0.3">
      <c r="A72" s="58"/>
      <c r="B72" s="58"/>
      <c r="C72" s="58"/>
      <c r="D72" s="58"/>
      <c r="E72" s="58"/>
      <c r="F72" s="58"/>
      <c r="G72" s="58"/>
      <c r="H72" s="58"/>
      <c r="I72" s="58"/>
      <c r="J72" s="58"/>
      <c r="K72" s="58"/>
      <c r="L72" s="58" t="s">
        <v>423</v>
      </c>
      <c r="M72" s="61">
        <f>'Tabel 1.1'!G28</f>
        <v>200165633.33700004</v>
      </c>
      <c r="N72" s="61">
        <f>'Tabel 1.1'!H28</f>
        <v>204439320.96447003</v>
      </c>
      <c r="O72" s="58"/>
    </row>
    <row r="73" spans="1:15" x14ac:dyDescent="0.3">
      <c r="A73" s="58"/>
      <c r="B73" s="58"/>
      <c r="C73" s="58"/>
      <c r="D73" s="58"/>
      <c r="E73" s="58"/>
      <c r="F73" s="58"/>
      <c r="G73" s="58"/>
      <c r="H73" s="58"/>
      <c r="I73" s="58"/>
      <c r="J73" s="58"/>
      <c r="K73" s="58"/>
      <c r="L73" s="58" t="s">
        <v>93</v>
      </c>
      <c r="M73" s="61">
        <f>'Tabel 1.1'!G29</f>
        <v>0</v>
      </c>
      <c r="N73" s="61">
        <f>'Tabel 1.1'!H29</f>
        <v>0</v>
      </c>
      <c r="O73" s="58"/>
    </row>
    <row r="74" spans="1:15" x14ac:dyDescent="0.3">
      <c r="A74" s="58"/>
      <c r="B74" s="58"/>
      <c r="C74" s="58"/>
      <c r="D74" s="58"/>
      <c r="E74" s="58"/>
      <c r="F74" s="58"/>
      <c r="G74" s="58"/>
      <c r="H74" s="58"/>
      <c r="I74" s="58"/>
      <c r="J74" s="58"/>
      <c r="K74" s="58"/>
      <c r="L74" s="58" t="s">
        <v>94</v>
      </c>
      <c r="M74" s="61">
        <f>'Tabel 1.1'!G30</f>
        <v>0</v>
      </c>
      <c r="N74" s="61">
        <f>'Tabel 1.1'!H30</f>
        <v>0</v>
      </c>
      <c r="O74" s="58"/>
    </row>
    <row r="75" spans="1:15" x14ac:dyDescent="0.3">
      <c r="A75" s="58"/>
      <c r="B75" s="58"/>
      <c r="C75" s="58"/>
      <c r="D75" s="58"/>
      <c r="E75" s="58"/>
      <c r="F75" s="58"/>
      <c r="G75" s="58"/>
      <c r="H75" s="58"/>
      <c r="I75" s="58"/>
      <c r="J75" s="58"/>
      <c r="K75" s="58"/>
      <c r="L75" s="58" t="s">
        <v>392</v>
      </c>
      <c r="M75" s="61">
        <f>'Tabel 1.1'!G31</f>
        <v>0</v>
      </c>
      <c r="N75" s="61">
        <f>'Tabel 1.1'!H31</f>
        <v>0</v>
      </c>
      <c r="O75" s="58"/>
    </row>
    <row r="76" spans="1:15" x14ac:dyDescent="0.3">
      <c r="A76" s="58"/>
      <c r="B76" s="58"/>
      <c r="C76" s="58"/>
      <c r="D76" s="58"/>
      <c r="E76" s="58"/>
      <c r="F76" s="58"/>
      <c r="G76" s="58"/>
      <c r="H76" s="58"/>
      <c r="I76" s="58"/>
      <c r="J76" s="58"/>
      <c r="K76" s="58"/>
      <c r="L76" s="58" t="s">
        <v>402</v>
      </c>
      <c r="M76" s="61">
        <f>'Tabel 1.1'!G32</f>
        <v>3017</v>
      </c>
      <c r="N76" s="61">
        <f>'Tabel 1.1'!H32</f>
        <v>13865</v>
      </c>
      <c r="O76" s="58"/>
    </row>
    <row r="77" spans="1:15" x14ac:dyDescent="0.3">
      <c r="A77" s="58"/>
      <c r="B77" s="58"/>
      <c r="C77" s="58"/>
      <c r="D77" s="58"/>
      <c r="E77" s="58"/>
      <c r="F77" s="58"/>
      <c r="G77" s="58"/>
      <c r="H77" s="58"/>
      <c r="I77" s="58"/>
      <c r="J77" s="58"/>
      <c r="K77" s="58"/>
      <c r="O77" s="58"/>
    </row>
    <row r="78" spans="1:15" x14ac:dyDescent="0.3">
      <c r="A78" s="58"/>
      <c r="B78" s="58"/>
      <c r="C78" s="58"/>
      <c r="D78" s="58"/>
      <c r="E78" s="58"/>
      <c r="F78" s="58"/>
      <c r="G78" s="58"/>
      <c r="H78" s="58"/>
      <c r="I78" s="58"/>
      <c r="J78" s="58"/>
      <c r="K78" s="58"/>
      <c r="L78" s="58" t="s">
        <v>71</v>
      </c>
      <c r="O78" s="58"/>
    </row>
    <row r="79" spans="1:15" x14ac:dyDescent="0.3">
      <c r="A79" s="58"/>
      <c r="B79" s="58"/>
      <c r="C79" s="58"/>
      <c r="D79" s="58"/>
      <c r="E79" s="58"/>
      <c r="F79" s="58"/>
      <c r="G79" s="58"/>
      <c r="H79" s="58"/>
      <c r="I79" s="58"/>
      <c r="J79" s="58"/>
      <c r="K79" s="58"/>
      <c r="L79" s="58" t="s">
        <v>1</v>
      </c>
      <c r="O79" s="58"/>
    </row>
    <row r="80" spans="1:15" x14ac:dyDescent="0.3">
      <c r="A80" s="59" t="s">
        <v>430</v>
      </c>
      <c r="B80" s="58"/>
      <c r="C80" s="58"/>
      <c r="D80" s="58"/>
      <c r="E80" s="58"/>
      <c r="F80" s="58"/>
      <c r="G80" s="58"/>
      <c r="H80" s="58"/>
      <c r="I80" s="63"/>
      <c r="J80" s="58"/>
      <c r="K80" s="58"/>
      <c r="M80" s="58">
        <f>M7</f>
        <v>2022</v>
      </c>
      <c r="N80" s="58">
        <f>N7</f>
        <v>2023</v>
      </c>
      <c r="O80" s="58"/>
    </row>
    <row r="81" spans="1:15" x14ac:dyDescent="0.3">
      <c r="B81" s="58"/>
      <c r="C81" s="58"/>
      <c r="D81" s="58"/>
      <c r="E81" s="58"/>
      <c r="F81" s="58"/>
      <c r="G81" s="58"/>
      <c r="H81" s="58"/>
      <c r="I81" s="58"/>
      <c r="J81" s="58"/>
      <c r="K81" s="58"/>
      <c r="L81" s="58" t="s">
        <v>422</v>
      </c>
      <c r="M81" s="61">
        <f>'Tabel 1.1'!G36</f>
        <v>26046630.689800002</v>
      </c>
      <c r="N81" s="61">
        <f>'Tabel 1.1'!H36</f>
        <v>0</v>
      </c>
      <c r="O81" s="58"/>
    </row>
    <row r="82" spans="1:15" x14ac:dyDescent="0.3">
      <c r="A82" s="58"/>
      <c r="B82" s="58"/>
      <c r="C82" s="58"/>
      <c r="D82" s="58"/>
      <c r="E82" s="58"/>
      <c r="F82" s="58"/>
      <c r="G82" s="58"/>
      <c r="H82" s="58"/>
      <c r="I82" s="58"/>
      <c r="J82" s="58"/>
      <c r="K82" s="58"/>
      <c r="L82" s="58" t="s">
        <v>54</v>
      </c>
      <c r="M82" s="61">
        <f>'Tabel 1.1'!G37</f>
        <v>128365139</v>
      </c>
      <c r="N82" s="61">
        <f>'Tabel 1.1'!H37</f>
        <v>155131325</v>
      </c>
      <c r="O82" s="58"/>
    </row>
    <row r="83" spans="1:15" x14ac:dyDescent="0.3">
      <c r="A83" s="58"/>
      <c r="B83" s="58"/>
      <c r="C83" s="58"/>
      <c r="D83" s="58"/>
      <c r="E83" s="58"/>
      <c r="F83" s="58"/>
      <c r="G83" s="58"/>
      <c r="H83" s="58"/>
      <c r="I83" s="58"/>
      <c r="J83" s="58"/>
      <c r="K83" s="58"/>
      <c r="L83" s="63" t="s">
        <v>59</v>
      </c>
      <c r="M83" s="61">
        <f>'Tabel 1.1'!G38</f>
        <v>40928356</v>
      </c>
      <c r="N83" s="61">
        <f>'Tabel 1.1'!H38</f>
        <v>55439027</v>
      </c>
      <c r="O83" s="58"/>
    </row>
    <row r="84" spans="1:15" x14ac:dyDescent="0.3">
      <c r="A84" s="58"/>
      <c r="B84" s="58"/>
      <c r="C84" s="58"/>
      <c r="D84" s="58"/>
      <c r="E84" s="58"/>
      <c r="F84" s="58"/>
      <c r="G84" s="58"/>
      <c r="H84" s="58"/>
      <c r="I84" s="58"/>
      <c r="J84" s="58"/>
      <c r="K84" s="58"/>
      <c r="L84" s="58" t="s">
        <v>62</v>
      </c>
      <c r="M84" s="61">
        <f>'Tabel 1.1'!G39</f>
        <v>2548669.2979299999</v>
      </c>
      <c r="N84" s="61">
        <f>'Tabel 1.1'!H39</f>
        <v>2854115.91493</v>
      </c>
      <c r="O84" s="58"/>
    </row>
    <row r="85" spans="1:15" x14ac:dyDescent="0.3">
      <c r="B85" s="58"/>
      <c r="C85" s="58"/>
      <c r="D85" s="58"/>
      <c r="E85" s="58"/>
      <c r="F85" s="58"/>
      <c r="G85" s="58"/>
      <c r="H85" s="58"/>
      <c r="I85" s="58"/>
      <c r="J85" s="58"/>
      <c r="K85" s="58"/>
      <c r="L85" s="58" t="s">
        <v>64</v>
      </c>
      <c r="M85" s="61">
        <f>'Tabel 1.1'!G40</f>
        <v>112327400</v>
      </c>
      <c r="N85" s="61">
        <f>'Tabel 1.1'!H40</f>
        <v>135812760</v>
      </c>
      <c r="O85" s="58"/>
    </row>
    <row r="86" spans="1:15" x14ac:dyDescent="0.3">
      <c r="B86" s="58"/>
      <c r="C86" s="58"/>
      <c r="D86" s="58"/>
      <c r="E86" s="58"/>
      <c r="F86" s="58"/>
      <c r="G86" s="58"/>
      <c r="H86" s="58"/>
      <c r="I86" s="58"/>
      <c r="J86" s="58"/>
      <c r="K86" s="58"/>
      <c r="L86" s="58" t="s">
        <v>69</v>
      </c>
      <c r="M86" s="61">
        <f>'Tabel 1.1'!G41</f>
        <v>2698313.8461000002</v>
      </c>
      <c r="N86" s="61">
        <f>'Tabel 1.1'!H41</f>
        <v>0</v>
      </c>
      <c r="O86" s="58"/>
    </row>
    <row r="87" spans="1:15" x14ac:dyDescent="0.3">
      <c r="B87" s="58"/>
      <c r="C87" s="58"/>
      <c r="D87" s="58"/>
      <c r="E87" s="58"/>
      <c r="F87" s="58"/>
      <c r="G87" s="58"/>
      <c r="H87" s="58"/>
      <c r="I87" s="58"/>
      <c r="J87" s="58"/>
      <c r="K87" s="58"/>
      <c r="L87" s="58" t="s">
        <v>398</v>
      </c>
      <c r="M87" s="61">
        <f>'Tabel 1.1'!G42</f>
        <v>51982267.810209997</v>
      </c>
      <c r="N87" s="61">
        <f>'Tabel 1.1'!H42</f>
        <v>64667976.779430002</v>
      </c>
      <c r="O87" s="58"/>
    </row>
    <row r="88" spans="1:15" x14ac:dyDescent="0.3">
      <c r="B88" s="58"/>
      <c r="C88" s="58"/>
      <c r="D88" s="58"/>
      <c r="E88" s="58"/>
      <c r="F88" s="58"/>
      <c r="G88" s="58"/>
      <c r="H88" s="58"/>
      <c r="I88" s="58"/>
      <c r="J88" s="58"/>
      <c r="K88" s="58"/>
      <c r="L88" s="58" t="s">
        <v>423</v>
      </c>
      <c r="M88" s="61">
        <f>'Tabel 1.1'!G43</f>
        <v>143649383.581</v>
      </c>
      <c r="N88" s="61">
        <f>'Tabel 1.1'!H43</f>
        <v>196673849.63398999</v>
      </c>
      <c r="O88" s="58"/>
    </row>
    <row r="89" spans="1:15" x14ac:dyDescent="0.3">
      <c r="B89" s="58"/>
      <c r="C89" s="58"/>
      <c r="D89" s="58"/>
      <c r="E89" s="58"/>
      <c r="F89" s="58"/>
      <c r="G89" s="58"/>
      <c r="H89" s="58"/>
      <c r="I89" s="58"/>
      <c r="J89" s="58"/>
      <c r="K89" s="58"/>
      <c r="M89" s="61"/>
      <c r="O89" s="58"/>
    </row>
    <row r="90" spans="1:15" x14ac:dyDescent="0.3">
      <c r="B90" s="58"/>
      <c r="C90" s="58"/>
      <c r="D90" s="58"/>
      <c r="E90" s="58"/>
      <c r="F90" s="58"/>
      <c r="G90" s="58"/>
      <c r="H90" s="58"/>
      <c r="I90" s="58"/>
      <c r="J90" s="58"/>
      <c r="K90" s="58"/>
      <c r="O90" s="58"/>
    </row>
    <row r="91" spans="1:15" x14ac:dyDescent="0.3">
      <c r="A91" s="58"/>
      <c r="B91" s="58"/>
      <c r="C91" s="58"/>
      <c r="D91" s="58"/>
      <c r="E91" s="58"/>
      <c r="F91" s="58"/>
      <c r="G91" s="58"/>
      <c r="H91" s="58"/>
      <c r="I91" s="58"/>
      <c r="J91" s="58"/>
      <c r="K91" s="58"/>
      <c r="O91" s="58"/>
    </row>
    <row r="92" spans="1:15" ht="18.75" customHeight="1" x14ac:dyDescent="0.3">
      <c r="A92" s="58"/>
      <c r="B92" s="58"/>
      <c r="C92" s="58"/>
      <c r="D92" s="58"/>
      <c r="E92" s="58"/>
      <c r="F92" s="58"/>
      <c r="G92" s="58"/>
      <c r="H92" s="58"/>
      <c r="I92" s="58"/>
      <c r="J92" s="58"/>
      <c r="K92" s="58"/>
      <c r="O92" s="58"/>
    </row>
    <row r="93" spans="1:15" ht="18.75" customHeight="1" x14ac:dyDescent="0.3">
      <c r="A93" s="58"/>
      <c r="B93" s="58"/>
      <c r="C93" s="58"/>
      <c r="D93" s="58"/>
      <c r="E93" s="58"/>
      <c r="F93" s="58"/>
      <c r="G93" s="58"/>
      <c r="H93" s="58"/>
      <c r="I93" s="58"/>
      <c r="J93" s="58"/>
      <c r="K93" s="58"/>
      <c r="O93" s="58"/>
    </row>
    <row r="94" spans="1:15" ht="18.75" customHeight="1" x14ac:dyDescent="0.3">
      <c r="A94" s="58"/>
      <c r="B94" s="58"/>
      <c r="C94" s="58"/>
      <c r="D94" s="58"/>
      <c r="E94" s="58"/>
      <c r="F94" s="58"/>
      <c r="G94" s="58"/>
      <c r="H94" s="58"/>
      <c r="I94" s="58"/>
      <c r="J94" s="58"/>
      <c r="K94" s="58"/>
      <c r="O94" s="58"/>
    </row>
    <row r="95" spans="1:15" ht="18.75" customHeight="1" x14ac:dyDescent="0.3">
      <c r="A95" s="58"/>
      <c r="B95" s="58"/>
      <c r="C95" s="58"/>
      <c r="D95" s="58"/>
      <c r="E95" s="58"/>
      <c r="F95" s="58"/>
      <c r="G95" s="58"/>
      <c r="H95" s="58"/>
      <c r="I95" s="58"/>
      <c r="J95" s="58"/>
      <c r="K95" s="58"/>
      <c r="O95" s="58"/>
    </row>
    <row r="96" spans="1:15" ht="18.75" customHeight="1" x14ac:dyDescent="0.3">
      <c r="A96" s="58"/>
      <c r="B96" s="58"/>
      <c r="C96" s="58"/>
      <c r="D96" s="58"/>
      <c r="E96" s="58"/>
      <c r="F96" s="58"/>
      <c r="G96" s="58"/>
      <c r="H96" s="58"/>
      <c r="I96" s="58"/>
      <c r="J96" s="58"/>
      <c r="K96" s="58"/>
      <c r="O96" s="58"/>
    </row>
    <row r="97" spans="1:17" ht="18.75" customHeight="1" x14ac:dyDescent="0.3">
      <c r="A97" s="58"/>
      <c r="B97" s="58"/>
      <c r="C97" s="58"/>
      <c r="D97" s="58"/>
      <c r="E97" s="58"/>
      <c r="F97" s="58"/>
      <c r="G97" s="58"/>
      <c r="H97" s="58"/>
      <c r="I97" s="58"/>
      <c r="J97" s="58"/>
      <c r="K97" s="58"/>
      <c r="O97" s="58"/>
      <c r="Q97" s="58"/>
    </row>
    <row r="98" spans="1:17" ht="18.75" customHeight="1" x14ac:dyDescent="0.3">
      <c r="A98" s="58"/>
      <c r="B98" s="58"/>
      <c r="C98" s="58"/>
      <c r="D98" s="58"/>
      <c r="E98" s="58"/>
      <c r="F98" s="58"/>
      <c r="G98" s="58"/>
      <c r="H98" s="58"/>
      <c r="I98" s="58"/>
      <c r="J98" s="58"/>
      <c r="K98" s="58"/>
      <c r="O98" s="58"/>
      <c r="Q98" s="58"/>
    </row>
    <row r="99" spans="1:17" ht="18.75" customHeight="1" x14ac:dyDescent="0.3">
      <c r="A99" s="58"/>
      <c r="B99" s="58"/>
      <c r="C99" s="58"/>
      <c r="D99" s="58"/>
      <c r="E99" s="58"/>
      <c r="F99" s="58"/>
      <c r="G99" s="58"/>
      <c r="H99" s="58"/>
      <c r="I99" s="58"/>
      <c r="J99" s="58"/>
      <c r="K99" s="58"/>
      <c r="O99" s="58"/>
      <c r="Q99" s="58"/>
    </row>
    <row r="100" spans="1:17" ht="18.75" customHeight="1" x14ac:dyDescent="0.3">
      <c r="A100" s="58"/>
      <c r="B100" s="58"/>
      <c r="C100" s="58"/>
      <c r="D100" s="58"/>
      <c r="E100" s="58"/>
      <c r="F100" s="58"/>
      <c r="G100" s="58"/>
      <c r="H100" s="58"/>
      <c r="I100" s="58"/>
      <c r="J100" s="58"/>
      <c r="K100" s="58"/>
      <c r="O100" s="58"/>
      <c r="Q100" s="58"/>
    </row>
    <row r="101" spans="1:17" ht="18.75" customHeight="1" x14ac:dyDescent="0.3">
      <c r="A101" s="58"/>
      <c r="B101" s="58"/>
      <c r="C101" s="58"/>
      <c r="D101" s="58"/>
      <c r="E101" s="58"/>
      <c r="F101" s="58"/>
      <c r="G101" s="58"/>
      <c r="H101" s="58"/>
      <c r="I101" s="58"/>
      <c r="J101" s="58"/>
      <c r="K101" s="58"/>
      <c r="O101" s="58"/>
      <c r="Q101" s="58"/>
    </row>
    <row r="102" spans="1:17" ht="18.75" customHeight="1" x14ac:dyDescent="0.3">
      <c r="A102" s="58"/>
      <c r="B102" s="58"/>
      <c r="C102" s="58"/>
      <c r="D102" s="58"/>
      <c r="E102" s="58"/>
      <c r="F102" s="58"/>
      <c r="G102" s="58"/>
      <c r="H102" s="58"/>
      <c r="I102" s="58"/>
      <c r="J102" s="58"/>
      <c r="K102" s="58"/>
      <c r="L102" s="63" t="s">
        <v>72</v>
      </c>
      <c r="O102" s="58"/>
      <c r="Q102" s="58"/>
    </row>
    <row r="103" spans="1:17" ht="18.75" customHeight="1" x14ac:dyDescent="0.3">
      <c r="A103" s="58"/>
      <c r="B103" s="58"/>
      <c r="C103" s="58"/>
      <c r="D103" s="58"/>
      <c r="E103" s="58"/>
      <c r="F103" s="58"/>
      <c r="G103" s="58"/>
      <c r="H103" s="58"/>
      <c r="I103" s="58"/>
      <c r="J103" s="58"/>
      <c r="K103" s="58"/>
      <c r="L103" s="58" t="s">
        <v>0</v>
      </c>
      <c r="O103" s="58"/>
      <c r="Q103" s="58"/>
    </row>
    <row r="104" spans="1:17" ht="18.75" customHeight="1" x14ac:dyDescent="0.3">
      <c r="A104" s="58"/>
      <c r="B104" s="58"/>
      <c r="C104" s="58"/>
      <c r="D104" s="58"/>
      <c r="E104" s="58"/>
      <c r="F104" s="58"/>
      <c r="G104" s="58"/>
      <c r="H104" s="58"/>
      <c r="I104" s="58"/>
      <c r="J104" s="58"/>
      <c r="K104" s="58"/>
      <c r="M104" s="58">
        <f>M7</f>
        <v>2022</v>
      </c>
      <c r="N104" s="58">
        <f>N7</f>
        <v>2023</v>
      </c>
      <c r="O104" s="58"/>
      <c r="Q104" s="58"/>
    </row>
    <row r="105" spans="1:17" ht="18.75" customHeight="1" x14ac:dyDescent="0.3">
      <c r="A105" s="58"/>
      <c r="B105" s="58"/>
      <c r="C105" s="58"/>
      <c r="D105" s="58"/>
      <c r="E105" s="58"/>
      <c r="F105" s="58"/>
      <c r="G105" s="58"/>
      <c r="H105" s="58"/>
      <c r="I105" s="58"/>
      <c r="J105" s="58"/>
      <c r="K105" s="58"/>
      <c r="L105" s="58" t="s">
        <v>422</v>
      </c>
      <c r="M105" s="61">
        <f>'Storebrand Danica Pensjon'!B11-'Storebrand Danica Pensjon'!B12+'Storebrand Danica Pensjon'!B34-'Storebrand Danica Pensjon'!B35+'Storebrand Danica Pensjon'!B38-'Storebrand Danica Pensjon'!B39+'Storebrand Danica Pensjon'!B111-'Storebrand Danica Pensjon'!B119+'Storebrand Danica Pensjon'!B136-'Storebrand Danica Pensjon'!B137</f>
        <v>4710.6449899999971</v>
      </c>
      <c r="N105" s="61">
        <f>'Storebrand Danica Pensjon'!C11-'Storebrand Danica Pensjon'!C12+'Storebrand Danica Pensjon'!C34-'Storebrand Danica Pensjon'!C35+'Storebrand Danica Pensjon'!C38-'Storebrand Danica Pensjon'!C39+'Storebrand Danica Pensjon'!C111-'Storebrand Danica Pensjon'!C119+'Storebrand Danica Pensjon'!C136-'Storebrand Danica Pensjon'!C137</f>
        <v>0</v>
      </c>
      <c r="O105" s="58"/>
      <c r="Q105" s="58"/>
    </row>
    <row r="106" spans="1:17" ht="18.75" customHeight="1" x14ac:dyDescent="0.3">
      <c r="A106" s="59" t="s">
        <v>431</v>
      </c>
      <c r="B106" s="58"/>
      <c r="C106" s="58"/>
      <c r="D106" s="58"/>
      <c r="E106" s="58"/>
      <c r="F106" s="58"/>
      <c r="G106" s="58"/>
      <c r="H106" s="63"/>
      <c r="I106" s="58"/>
      <c r="J106" s="58"/>
      <c r="K106" s="58"/>
      <c r="L106" s="58" t="s">
        <v>54</v>
      </c>
      <c r="M106" s="61">
        <f>'DNB Livsforsikring'!B11-'DNB Livsforsikring'!B12+'DNB Livsforsikring'!B34-'DNB Livsforsikring'!B35+'DNB Livsforsikring'!B38-'DNB Livsforsikring'!B39+'DNB Livsforsikring'!B111-'DNB Livsforsikring'!B119+'DNB Livsforsikring'!B136-'DNB Livsforsikring'!B137</f>
        <v>130297</v>
      </c>
      <c r="N106" s="61">
        <f>'DNB Livsforsikring'!C11-'DNB Livsforsikring'!C12+'DNB Livsforsikring'!C34-'DNB Livsforsikring'!C35+'DNB Livsforsikring'!C38-'DNB Livsforsikring'!C39+'DNB Livsforsikring'!C111-'DNB Livsforsikring'!C119+'DNB Livsforsikring'!C136-'DNB Livsforsikring'!C137</f>
        <v>150113</v>
      </c>
      <c r="O106" s="58"/>
      <c r="Q106" s="58"/>
    </row>
    <row r="107" spans="1:17" ht="18.75" customHeight="1" x14ac:dyDescent="0.3">
      <c r="A107" s="58"/>
      <c r="B107" s="58"/>
      <c r="C107" s="58"/>
      <c r="D107" s="58"/>
      <c r="E107" s="58"/>
      <c r="F107" s="58"/>
      <c r="G107" s="58"/>
      <c r="H107" s="58"/>
      <c r="I107" s="58"/>
      <c r="J107" s="58"/>
      <c r="K107" s="58"/>
      <c r="L107" s="63" t="s">
        <v>59</v>
      </c>
      <c r="M107" s="61">
        <f>'Gjensidige Pensjon'!B11-'Gjensidige Pensjon'!B12+'Gjensidige Pensjon'!B34-'Gjensidige Pensjon'!B35+'Gjensidige Pensjon'!B38-'Gjensidige Pensjon'!B39+'Gjensidige Pensjon'!B111-'Gjensidige Pensjon'!B119+'Gjensidige Pensjon'!B136-'Gjensidige Pensjon'!B137</f>
        <v>64683</v>
      </c>
      <c r="N107" s="61">
        <f>'Gjensidige Pensjon'!C11-'Gjensidige Pensjon'!C12+'Gjensidige Pensjon'!C34-'Gjensidige Pensjon'!C35+'Gjensidige Pensjon'!C38-'Gjensidige Pensjon'!C39+'Gjensidige Pensjon'!C111-'Gjensidige Pensjon'!C119+'Gjensidige Pensjon'!C136-'Gjensidige Pensjon'!C137</f>
        <v>50691</v>
      </c>
      <c r="O107" s="58"/>
      <c r="Q107" s="58"/>
    </row>
    <row r="108" spans="1:17" ht="18.75" customHeight="1" x14ac:dyDescent="0.3">
      <c r="A108" s="58"/>
      <c r="B108" s="58"/>
      <c r="C108" s="58"/>
      <c r="D108" s="58"/>
      <c r="E108" s="58"/>
      <c r="F108" s="58"/>
      <c r="G108" s="58"/>
      <c r="H108" s="58"/>
      <c r="I108" s="58"/>
      <c r="J108" s="58"/>
      <c r="K108" s="58"/>
      <c r="L108" s="63" t="s">
        <v>62</v>
      </c>
      <c r="M108" s="61">
        <f>KLP!B11-KLP!B12+KLP!B34-KLP!B35+KLP!B38-KLP!B39+KLP!B111-KLP!B119+KLP!B136-KLP!B137</f>
        <v>-4649242.2290000003</v>
      </c>
      <c r="N108" s="61">
        <f>KLP!C11-KLP!C12+KLP!C34-KLP!C35+KLP!C38-KLP!C39+KLP!C111-KLP!C119+KLP!C136-KLP!C137</f>
        <v>-2033658.524</v>
      </c>
      <c r="O108" s="58"/>
      <c r="Q108" s="58"/>
    </row>
    <row r="109" spans="1:17" ht="18.75" customHeight="1" x14ac:dyDescent="0.3">
      <c r="A109" s="58"/>
      <c r="B109" s="58"/>
      <c r="C109" s="58"/>
      <c r="D109" s="58"/>
      <c r="E109" s="58"/>
      <c r="F109" s="58"/>
      <c r="G109" s="58"/>
      <c r="H109" s="58"/>
      <c r="I109" s="58"/>
      <c r="J109" s="58"/>
      <c r="K109" s="58"/>
      <c r="L109" s="58" t="s">
        <v>64</v>
      </c>
      <c r="M109" s="61">
        <f>'Nordea Liv '!B11-'Nordea Liv '!B12+'Nordea Liv '!B34-'Nordea Liv '!B35+'Nordea Liv '!B38-'Nordea Liv '!B39+'Nordea Liv '!B111-'Nordea Liv '!B119+'Nordea Liv '!B136-'Nordea Liv '!B137</f>
        <v>-2551.8921399998189</v>
      </c>
      <c r="N109" s="61">
        <f>'Nordea Liv '!C11-'Nordea Liv '!C12+'Nordea Liv '!C34-'Nordea Liv '!C35+'Nordea Liv '!C38-'Nordea Liv '!C39+'Nordea Liv '!C111-'Nordea Liv '!C119+'Nordea Liv '!C136-'Nordea Liv '!C137</f>
        <v>-77105.449699999765</v>
      </c>
      <c r="O109" s="58"/>
      <c r="Q109" s="58"/>
    </row>
    <row r="110" spans="1:17" ht="18.75" customHeight="1" x14ac:dyDescent="0.3">
      <c r="A110" s="58"/>
      <c r="B110" s="58"/>
      <c r="C110" s="58"/>
      <c r="D110" s="58"/>
      <c r="E110" s="58"/>
      <c r="F110" s="58"/>
      <c r="G110" s="58"/>
      <c r="H110" s="58"/>
      <c r="I110" s="58"/>
      <c r="J110" s="58"/>
      <c r="K110" s="58"/>
      <c r="L110" s="58" t="s">
        <v>398</v>
      </c>
      <c r="M110" s="61">
        <f>'Sparebank 1 Fors'!B11-'Sparebank 1 Fors'!B12+'Sparebank 1 Fors'!B34-'Sparebank 1 Fors'!B35+'Sparebank 1 Fors'!B38-'Sparebank 1 Fors'!B39+'Sparebank 1 Fors'!B111-'Sparebank 1 Fors'!B119+'Sparebank 1 Fors'!B136-'Sparebank 1 Fors'!B137</f>
        <v>-194276.14304</v>
      </c>
      <c r="N110" s="61">
        <f>'Sparebank 1 Fors'!C11-'Sparebank 1 Fors'!C12+'Sparebank 1 Fors'!C34-'Sparebank 1 Fors'!C35+'Sparebank 1 Fors'!C38-'Sparebank 1 Fors'!C39+'Sparebank 1 Fors'!C111-'Sparebank 1 Fors'!C119+'Sparebank 1 Fors'!C136-'Sparebank 1 Fors'!C137</f>
        <v>-21187.245729999999</v>
      </c>
      <c r="O110" s="58"/>
      <c r="Q110" s="58"/>
    </row>
    <row r="111" spans="1:17" ht="18.75" customHeight="1" x14ac:dyDescent="0.3">
      <c r="A111" s="58"/>
      <c r="B111" s="58"/>
      <c r="C111" s="58"/>
      <c r="D111" s="58"/>
      <c r="E111" s="58"/>
      <c r="F111" s="58"/>
      <c r="G111" s="58"/>
      <c r="H111" s="58"/>
      <c r="I111" s="58"/>
      <c r="J111" s="58"/>
      <c r="K111" s="58"/>
      <c r="L111" s="58" t="s">
        <v>423</v>
      </c>
      <c r="M111" s="61">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3516428.9570000004</v>
      </c>
      <c r="N111" s="61">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841479.93484000012</v>
      </c>
      <c r="O111" s="58"/>
      <c r="Q111" s="58"/>
    </row>
    <row r="112" spans="1:17" ht="18.75" customHeight="1" x14ac:dyDescent="0.3">
      <c r="A112" s="58"/>
      <c r="B112" s="58"/>
      <c r="C112" s="58"/>
      <c r="D112" s="58"/>
      <c r="E112" s="58"/>
      <c r="F112" s="58"/>
      <c r="G112" s="58"/>
      <c r="H112" s="58"/>
      <c r="I112" s="58"/>
      <c r="J112" s="58"/>
      <c r="K112" s="58"/>
      <c r="M112" s="61"/>
      <c r="N112" s="61"/>
      <c r="O112" s="58"/>
      <c r="Q112" s="58"/>
    </row>
    <row r="113" spans="1:17" ht="18.75" customHeight="1" x14ac:dyDescent="0.3">
      <c r="A113" s="58"/>
      <c r="B113" s="58"/>
      <c r="C113" s="58"/>
      <c r="D113" s="58"/>
      <c r="E113" s="58"/>
      <c r="F113" s="58"/>
      <c r="G113" s="58"/>
      <c r="H113" s="58"/>
      <c r="I113" s="58"/>
      <c r="J113" s="58"/>
      <c r="K113" s="58"/>
      <c r="M113" s="61"/>
      <c r="N113" s="61"/>
      <c r="O113" s="58"/>
      <c r="Q113" s="58"/>
    </row>
    <row r="114" spans="1:17" ht="18.75" customHeight="1" x14ac:dyDescent="0.3">
      <c r="A114" s="58"/>
      <c r="B114" s="58"/>
      <c r="C114" s="58"/>
      <c r="D114" s="58"/>
      <c r="E114" s="58"/>
      <c r="F114" s="58"/>
      <c r="G114" s="58"/>
      <c r="H114" s="58"/>
      <c r="I114" s="58"/>
      <c r="J114" s="58"/>
      <c r="K114" s="58"/>
      <c r="M114" s="61"/>
      <c r="N114" s="61"/>
      <c r="O114" s="58"/>
      <c r="Q114" s="58"/>
    </row>
    <row r="115" spans="1:17" ht="18.75" customHeight="1" x14ac:dyDescent="0.3">
      <c r="A115" s="58"/>
      <c r="B115" s="58"/>
      <c r="C115" s="58"/>
      <c r="D115" s="58"/>
      <c r="E115" s="58"/>
      <c r="F115" s="58"/>
      <c r="G115" s="58"/>
      <c r="H115" s="58"/>
      <c r="I115" s="58"/>
      <c r="J115" s="58"/>
      <c r="K115" s="58"/>
      <c r="M115" s="61"/>
      <c r="N115" s="61"/>
      <c r="O115" s="58"/>
      <c r="Q115" s="58"/>
    </row>
    <row r="116" spans="1:17" ht="18.75" customHeight="1" x14ac:dyDescent="0.3">
      <c r="A116" s="58"/>
      <c r="B116" s="58"/>
      <c r="C116" s="58"/>
      <c r="D116" s="58"/>
      <c r="E116" s="58"/>
      <c r="F116" s="58"/>
      <c r="G116" s="58"/>
      <c r="H116" s="58"/>
      <c r="I116" s="58"/>
      <c r="J116" s="58"/>
      <c r="K116" s="58"/>
      <c r="M116" s="61"/>
      <c r="N116" s="61"/>
      <c r="O116" s="58"/>
      <c r="Q116" s="58"/>
    </row>
    <row r="117" spans="1:17" ht="18.75" customHeight="1" x14ac:dyDescent="0.3">
      <c r="A117" s="58"/>
      <c r="B117" s="58"/>
      <c r="C117" s="58"/>
      <c r="D117" s="58"/>
      <c r="E117" s="58"/>
      <c r="F117" s="58"/>
      <c r="G117" s="58"/>
      <c r="H117" s="58"/>
      <c r="I117" s="58"/>
      <c r="J117" s="58"/>
      <c r="K117" s="58"/>
      <c r="M117" s="61"/>
      <c r="N117" s="61"/>
      <c r="O117" s="58"/>
    </row>
    <row r="118" spans="1:17" ht="18.75" customHeight="1" x14ac:dyDescent="0.3">
      <c r="A118" s="58"/>
      <c r="B118" s="58"/>
      <c r="C118" s="58"/>
      <c r="D118" s="58"/>
      <c r="E118" s="58"/>
      <c r="F118" s="58"/>
      <c r="G118" s="58"/>
      <c r="H118" s="58"/>
      <c r="I118" s="58"/>
      <c r="J118" s="58"/>
      <c r="K118" s="58"/>
      <c r="M118" s="61"/>
      <c r="N118" s="61"/>
      <c r="O118" s="58"/>
    </row>
    <row r="119" spans="1:17" ht="18.75" customHeight="1" x14ac:dyDescent="0.3">
      <c r="A119" s="58"/>
      <c r="B119" s="58"/>
      <c r="C119" s="58"/>
      <c r="D119" s="58"/>
      <c r="E119" s="58"/>
      <c r="F119" s="58"/>
      <c r="G119" s="58"/>
      <c r="H119" s="58"/>
      <c r="I119" s="58"/>
      <c r="J119" s="58"/>
      <c r="K119" s="58"/>
      <c r="O119" s="58"/>
    </row>
    <row r="120" spans="1:17" ht="18.75" customHeight="1" x14ac:dyDescent="0.3">
      <c r="A120" s="58"/>
      <c r="B120" s="58"/>
      <c r="C120" s="58"/>
      <c r="D120" s="58"/>
      <c r="E120" s="58"/>
      <c r="F120" s="58"/>
      <c r="G120" s="58"/>
      <c r="H120" s="58"/>
      <c r="I120" s="58"/>
      <c r="J120" s="58"/>
      <c r="K120" s="58"/>
      <c r="O120" s="58"/>
    </row>
    <row r="121" spans="1:17" ht="18.75" customHeight="1" x14ac:dyDescent="0.3">
      <c r="A121" s="58"/>
      <c r="B121" s="58"/>
      <c r="C121" s="58"/>
      <c r="D121" s="58"/>
      <c r="E121" s="58"/>
      <c r="F121" s="58"/>
      <c r="G121" s="58"/>
      <c r="H121" s="58"/>
      <c r="I121" s="58"/>
      <c r="J121" s="58"/>
      <c r="K121" s="58"/>
      <c r="O121" s="58"/>
    </row>
    <row r="122" spans="1:17" ht="18.75" customHeight="1" x14ac:dyDescent="0.3">
      <c r="A122" s="58"/>
      <c r="B122" s="58"/>
      <c r="C122" s="58"/>
      <c r="D122" s="58"/>
      <c r="E122" s="58"/>
      <c r="F122" s="58"/>
      <c r="G122" s="58"/>
      <c r="H122" s="58"/>
      <c r="I122" s="58"/>
      <c r="J122" s="58"/>
      <c r="K122" s="58"/>
      <c r="O122" s="58"/>
    </row>
    <row r="123" spans="1:17" x14ac:dyDescent="0.3">
      <c r="A123" s="58"/>
      <c r="B123" s="58"/>
      <c r="C123" s="58"/>
      <c r="D123" s="58"/>
      <c r="E123" s="58"/>
      <c r="F123" s="58"/>
      <c r="G123" s="58"/>
      <c r="H123" s="58"/>
      <c r="I123" s="58"/>
      <c r="J123" s="58"/>
      <c r="K123" s="58"/>
      <c r="O123" s="58"/>
    </row>
    <row r="124" spans="1:17" x14ac:dyDescent="0.3">
      <c r="A124" s="58"/>
      <c r="B124" s="58"/>
      <c r="C124" s="58"/>
      <c r="D124" s="58"/>
      <c r="E124" s="58"/>
      <c r="F124" s="58"/>
      <c r="G124" s="58"/>
      <c r="H124" s="58"/>
      <c r="I124" s="58"/>
      <c r="J124" s="58"/>
      <c r="K124" s="58"/>
      <c r="O124" s="58"/>
    </row>
    <row r="125" spans="1:17" x14ac:dyDescent="0.3">
      <c r="A125" s="58"/>
      <c r="B125" s="58"/>
      <c r="C125" s="58"/>
      <c r="D125" s="58"/>
      <c r="E125" s="58"/>
      <c r="F125" s="58"/>
      <c r="G125" s="58"/>
      <c r="H125" s="58"/>
      <c r="I125" s="58"/>
      <c r="J125" s="58"/>
      <c r="K125" s="58"/>
      <c r="L125" s="63" t="s">
        <v>73</v>
      </c>
      <c r="O125" s="58"/>
    </row>
    <row r="126" spans="1:17" x14ac:dyDescent="0.3">
      <c r="A126" s="58"/>
      <c r="B126" s="58"/>
      <c r="C126" s="58"/>
      <c r="D126" s="58"/>
      <c r="E126" s="58"/>
      <c r="F126" s="58"/>
      <c r="G126" s="58"/>
      <c r="H126" s="58"/>
      <c r="I126" s="58"/>
      <c r="J126" s="58"/>
      <c r="K126" s="58"/>
      <c r="L126" s="58" t="s">
        <v>1</v>
      </c>
      <c r="O126" s="58"/>
    </row>
    <row r="127" spans="1:17" x14ac:dyDescent="0.3">
      <c r="A127" s="58"/>
      <c r="B127" s="58"/>
      <c r="C127" s="58"/>
      <c r="D127" s="58"/>
      <c r="E127" s="58"/>
      <c r="F127" s="58"/>
      <c r="G127" s="58"/>
      <c r="H127" s="58"/>
      <c r="I127" s="58"/>
      <c r="J127" s="58"/>
      <c r="K127" s="58"/>
      <c r="M127" s="58">
        <f>M7</f>
        <v>2022</v>
      </c>
      <c r="N127" s="58">
        <f>N7</f>
        <v>2023</v>
      </c>
      <c r="O127" s="58"/>
    </row>
    <row r="128" spans="1:17" x14ac:dyDescent="0.3">
      <c r="A128" s="58"/>
      <c r="B128" s="58"/>
      <c r="C128" s="58"/>
      <c r="D128" s="58"/>
      <c r="E128" s="58"/>
      <c r="F128" s="58"/>
      <c r="G128" s="58"/>
      <c r="H128" s="58"/>
      <c r="I128" s="58"/>
      <c r="J128" s="58"/>
      <c r="K128" s="58"/>
      <c r="L128" s="58" t="s">
        <v>422</v>
      </c>
      <c r="M128" s="61">
        <f>'Storebrand Danica Pensjon'!F11-'Storebrand Danica Pensjon'!F12+'Storebrand Danica Pensjon'!F34-'Storebrand Danica Pensjon'!F35+'Storebrand Danica Pensjon'!F38-'Storebrand Danica Pensjon'!F39+'Storebrand Danica Pensjon'!F111-'Storebrand Danica Pensjon'!F119+'Storebrand Danica Pensjon'!F136-'Storebrand Danica Pensjon'!F137</f>
        <v>-414494.57355999993</v>
      </c>
      <c r="N128" s="61">
        <f>'Storebrand Danica Pensjon'!G11-'Storebrand Danica Pensjon'!G12+'Storebrand Danica Pensjon'!G34-'Storebrand Danica Pensjon'!G35+'Storebrand Danica Pensjon'!G38-'Storebrand Danica Pensjon'!G39+'Storebrand Danica Pensjon'!G111-'Storebrand Danica Pensjon'!G119+'Storebrand Danica Pensjon'!G136-'Storebrand Danica Pensjon'!G137</f>
        <v>0</v>
      </c>
      <c r="O128" s="58"/>
    </row>
    <row r="129" spans="1:15" x14ac:dyDescent="0.3">
      <c r="A129" s="58"/>
      <c r="B129" s="58"/>
      <c r="C129" s="58"/>
      <c r="D129" s="58"/>
      <c r="E129" s="58"/>
      <c r="F129" s="58"/>
      <c r="G129" s="58"/>
      <c r="H129" s="58"/>
      <c r="I129" s="58"/>
      <c r="J129" s="58"/>
      <c r="K129" s="58"/>
      <c r="L129" s="58" t="s">
        <v>54</v>
      </c>
      <c r="M129" s="61">
        <f>'DNB Livsforsikring'!F11-'DNB Livsforsikring'!F12+'DNB Livsforsikring'!F34-'DNB Livsforsikring'!F35+'DNB Livsforsikring'!F38-'DNB Livsforsikring'!F39+'DNB Livsforsikring'!F111-'DNB Livsforsikring'!F119+'DNB Livsforsikring'!F136-'DNB Livsforsikring'!F137</f>
        <v>-440667.45500000007</v>
      </c>
      <c r="N129" s="61">
        <f>'DNB Livsforsikring'!G11-'DNB Livsforsikring'!G12+'DNB Livsforsikring'!G34-'DNB Livsforsikring'!G35+'DNB Livsforsikring'!G38-'DNB Livsforsikring'!G39+'DNB Livsforsikring'!G111-'DNB Livsforsikring'!G119+'DNB Livsforsikring'!G136-'DNB Livsforsikring'!G137</f>
        <v>-1469788</v>
      </c>
      <c r="O129" s="58"/>
    </row>
    <row r="130" spans="1:15" x14ac:dyDescent="0.3">
      <c r="A130" s="59" t="s">
        <v>432</v>
      </c>
      <c r="B130" s="58"/>
      <c r="C130" s="58"/>
      <c r="D130" s="58"/>
      <c r="E130" s="58"/>
      <c r="F130" s="58"/>
      <c r="G130" s="58"/>
      <c r="H130" s="63"/>
      <c r="I130" s="58"/>
      <c r="J130" s="58"/>
      <c r="K130" s="58"/>
      <c r="L130" s="63" t="s">
        <v>59</v>
      </c>
      <c r="M130" s="61">
        <f>'Gjensidige Pensjon'!F11-'Gjensidige Pensjon'!F12+'Gjensidige Pensjon'!F34-'Gjensidige Pensjon'!F35+'Gjensidige Pensjon'!F38-'Gjensidige Pensjon'!F39+'Gjensidige Pensjon'!F111-'Gjensidige Pensjon'!F119+'Gjensidige Pensjon'!F136-'Gjensidige Pensjon'!F137</f>
        <v>1855585</v>
      </c>
      <c r="N130" s="61">
        <f>'Gjensidige Pensjon'!G11-'Gjensidige Pensjon'!G12+'Gjensidige Pensjon'!G34-'Gjensidige Pensjon'!G35+'Gjensidige Pensjon'!G38-'Gjensidige Pensjon'!G39+'Gjensidige Pensjon'!G111-'Gjensidige Pensjon'!G119+'Gjensidige Pensjon'!G136-'Gjensidige Pensjon'!G137</f>
        <v>2542151</v>
      </c>
      <c r="O130" s="58"/>
    </row>
    <row r="131" spans="1:15" x14ac:dyDescent="0.3">
      <c r="B131" s="58"/>
      <c r="C131" s="58"/>
      <c r="D131" s="58"/>
      <c r="E131" s="58"/>
      <c r="F131" s="58"/>
      <c r="G131" s="58"/>
      <c r="H131" s="58"/>
      <c r="I131" s="58"/>
      <c r="J131" s="58"/>
      <c r="K131" s="58"/>
      <c r="L131" s="58" t="s">
        <v>62</v>
      </c>
      <c r="M131" s="61">
        <f>KLP!F11-KLP!F12+KLP!F34-KLP!F35+KLP!F38-KLP!F39+KLP!F111-KLP!F119+KLP!F136-KLP!F137</f>
        <v>376440.52899999998</v>
      </c>
      <c r="N131" s="61">
        <f>KLP!G11-KLP!G12+KLP!G34-KLP!G35+KLP!G38-KLP!G39+KLP!G111-KLP!G119+KLP!G136-KLP!G137</f>
        <v>0</v>
      </c>
      <c r="O131" s="58"/>
    </row>
    <row r="132" spans="1:15" x14ac:dyDescent="0.3">
      <c r="A132" s="58"/>
      <c r="B132" s="58"/>
      <c r="C132" s="58"/>
      <c r="D132" s="58"/>
      <c r="E132" s="58"/>
      <c r="F132" s="58"/>
      <c r="G132" s="58"/>
      <c r="H132" s="58"/>
      <c r="I132" s="58"/>
      <c r="J132" s="58"/>
      <c r="K132" s="58"/>
      <c r="L132" s="58" t="s">
        <v>64</v>
      </c>
      <c r="M132" s="61">
        <f>'Nordea Liv '!F11-'Nordea Liv '!F12+'Nordea Liv '!F34-'Nordea Liv '!F35+'Nordea Liv '!F38-'Nordea Liv '!F39+'Nordea Liv '!F111-'Nordea Liv '!F119+'Nordea Liv '!F136-'Nordea Liv '!F137</f>
        <v>616541.34781999979</v>
      </c>
      <c r="N132" s="61">
        <f>'Nordea Liv '!G11-'Nordea Liv '!G12+'Nordea Liv '!G34-'Nordea Liv '!G35+'Nordea Liv '!G38-'Nordea Liv '!G39+'Nordea Liv '!G111-'Nordea Liv '!G119+'Nordea Liv '!G136-'Nordea Liv '!G137</f>
        <v>1816566.3781899996</v>
      </c>
      <c r="O132" s="58"/>
    </row>
    <row r="133" spans="1:15" x14ac:dyDescent="0.3">
      <c r="A133" s="58"/>
      <c r="B133" s="58"/>
      <c r="C133" s="58"/>
      <c r="D133" s="58"/>
      <c r="E133" s="58"/>
      <c r="F133" s="58"/>
      <c r="G133" s="58"/>
      <c r="H133" s="58"/>
      <c r="I133" s="58"/>
      <c r="J133" s="58"/>
      <c r="K133" s="58"/>
      <c r="L133" s="58" t="s">
        <v>69</v>
      </c>
      <c r="M133" s="61">
        <f>'SHB Liv'!F11-'SHB Liv'!F12+'SHB Liv'!F34-'SHB Liv'!F35+'SHB Liv'!F38-'SHB Liv'!F39+'SHB Liv'!F111-'SHB Liv'!F119+'SHB Liv'!F136-'SHB Liv'!F137</f>
        <v>-20941.514959999997</v>
      </c>
      <c r="N133" s="61">
        <f>'SHB Liv'!G11-'SHB Liv'!G12+'SHB Liv'!G34-'SHB Liv'!G35+'SHB Liv'!G38-'SHB Liv'!G39+'SHB Liv'!G111-'SHB Liv'!G119+'SHB Liv'!G136-'SHB Liv'!G137</f>
        <v>0</v>
      </c>
      <c r="O133" s="58"/>
    </row>
    <row r="134" spans="1:15" x14ac:dyDescent="0.3">
      <c r="A134" s="58"/>
      <c r="B134" s="58"/>
      <c r="C134" s="58"/>
      <c r="D134" s="58"/>
      <c r="E134" s="58"/>
      <c r="F134" s="58"/>
      <c r="G134" s="58"/>
      <c r="H134" s="58"/>
      <c r="I134" s="58"/>
      <c r="J134" s="58"/>
      <c r="K134" s="58"/>
      <c r="L134" s="58" t="s">
        <v>398</v>
      </c>
      <c r="M134" s="61">
        <f>'Sparebank 1 Fors'!F11-'Sparebank 1 Fors'!F12+'Sparebank 1 Fors'!F34-'Sparebank 1 Fors'!F35+'Sparebank 1 Fors'!F38-'Sparebank 1 Fors'!F39+'Sparebank 1 Fors'!F111-'Sparebank 1 Fors'!F119+'Sparebank 1 Fors'!F136-'Sparebank 1 Fors'!F137</f>
        <v>-87746.892959999852</v>
      </c>
      <c r="N134" s="61">
        <f>'Sparebank 1 Fors'!G11-'Sparebank 1 Fors'!G12+'Sparebank 1 Fors'!G34-'Sparebank 1 Fors'!G35+'Sparebank 1 Fors'!G38-'Sparebank 1 Fors'!G39+'Sparebank 1 Fors'!G111-'Sparebank 1 Fors'!G119+'Sparebank 1 Fors'!G136-'Sparebank 1 Fors'!G137</f>
        <v>-284342.11751000024</v>
      </c>
      <c r="O134" s="58"/>
    </row>
    <row r="135" spans="1:15" x14ac:dyDescent="0.3">
      <c r="A135" s="58"/>
      <c r="B135" s="58"/>
      <c r="C135" s="58"/>
      <c r="D135" s="58"/>
      <c r="E135" s="58"/>
      <c r="F135" s="58"/>
      <c r="G135" s="58"/>
      <c r="H135" s="58"/>
      <c r="I135" s="58"/>
      <c r="J135" s="58"/>
      <c r="K135" s="58"/>
      <c r="L135" s="58" t="s">
        <v>423</v>
      </c>
      <c r="M135" s="61">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-3951398.4240000001</v>
      </c>
      <c r="N135" s="61">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-4822592.5187099995</v>
      </c>
      <c r="O135" s="58"/>
    </row>
    <row r="136" spans="1:15" x14ac:dyDescent="0.3">
      <c r="A136" s="58"/>
      <c r="B136" s="58"/>
      <c r="C136" s="58"/>
      <c r="D136" s="58"/>
      <c r="E136" s="58"/>
      <c r="F136" s="58"/>
      <c r="G136" s="58"/>
      <c r="H136" s="58"/>
      <c r="I136" s="58"/>
      <c r="J136" s="58"/>
      <c r="K136" s="58"/>
      <c r="O136" s="58"/>
    </row>
    <row r="137" spans="1:15" x14ac:dyDescent="0.3">
      <c r="A137" s="58"/>
      <c r="B137" s="58"/>
      <c r="C137" s="58"/>
      <c r="D137" s="58"/>
      <c r="E137" s="58"/>
      <c r="F137" s="58"/>
      <c r="G137" s="58"/>
      <c r="H137" s="58"/>
      <c r="I137" s="58"/>
      <c r="J137" s="58"/>
      <c r="K137" s="58"/>
      <c r="O137" s="58"/>
    </row>
    <row r="138" spans="1:15" x14ac:dyDescent="0.3">
      <c r="A138" s="58"/>
      <c r="B138" s="58"/>
      <c r="C138" s="58"/>
      <c r="D138" s="58"/>
      <c r="E138" s="58"/>
      <c r="F138" s="58"/>
      <c r="G138" s="58"/>
      <c r="H138" s="58"/>
      <c r="I138" s="58"/>
      <c r="J138" s="58"/>
      <c r="K138" s="58"/>
      <c r="O138" s="58"/>
    </row>
    <row r="139" spans="1:15" x14ac:dyDescent="0.3">
      <c r="A139" s="58"/>
      <c r="B139" s="58"/>
      <c r="C139" s="58"/>
      <c r="D139" s="58"/>
      <c r="E139" s="58"/>
      <c r="F139" s="58"/>
      <c r="G139" s="58"/>
      <c r="H139" s="58"/>
      <c r="I139" s="58"/>
      <c r="J139" s="58"/>
      <c r="K139" s="58"/>
      <c r="O139" s="58"/>
    </row>
    <row r="140" spans="1:15" x14ac:dyDescent="0.3">
      <c r="A140" s="58"/>
      <c r="B140" s="58"/>
      <c r="C140" s="58"/>
      <c r="D140" s="58"/>
      <c r="E140" s="58"/>
      <c r="F140" s="58"/>
      <c r="G140" s="58"/>
      <c r="H140" s="58"/>
      <c r="I140" s="58"/>
      <c r="J140" s="58"/>
      <c r="K140" s="58"/>
      <c r="O140" s="58"/>
    </row>
    <row r="141" spans="1:15" x14ac:dyDescent="0.3">
      <c r="A141" s="58"/>
      <c r="B141" s="58"/>
      <c r="C141" s="58"/>
      <c r="D141" s="58"/>
      <c r="E141" s="58"/>
      <c r="F141" s="58"/>
      <c r="G141" s="58"/>
      <c r="H141" s="58"/>
      <c r="I141" s="58"/>
      <c r="J141" s="58"/>
      <c r="K141" s="58"/>
      <c r="O141" s="58"/>
    </row>
    <row r="142" spans="1:15" x14ac:dyDescent="0.3">
      <c r="A142" s="58"/>
      <c r="B142" s="58"/>
      <c r="C142" s="58"/>
      <c r="D142" s="58"/>
      <c r="E142" s="58"/>
      <c r="F142" s="58"/>
      <c r="G142" s="58"/>
      <c r="H142" s="58"/>
      <c r="I142" s="58"/>
      <c r="J142" s="58"/>
      <c r="K142" s="58"/>
      <c r="O142" s="58"/>
    </row>
    <row r="143" spans="1:15" x14ac:dyDescent="0.3">
      <c r="A143" s="58"/>
      <c r="B143" s="58"/>
      <c r="C143" s="58"/>
      <c r="D143" s="58"/>
      <c r="E143" s="58"/>
      <c r="F143" s="58"/>
      <c r="G143" s="58"/>
      <c r="H143" s="58"/>
      <c r="I143" s="58"/>
      <c r="J143" s="58"/>
      <c r="K143" s="58"/>
      <c r="O143" s="58"/>
    </row>
    <row r="144" spans="1:15" x14ac:dyDescent="0.3">
      <c r="A144" s="58"/>
      <c r="B144" s="58"/>
      <c r="C144" s="58"/>
      <c r="D144" s="58"/>
      <c r="E144" s="58"/>
      <c r="F144" s="58"/>
      <c r="G144" s="58"/>
      <c r="H144" s="58"/>
      <c r="I144" s="58"/>
      <c r="J144" s="58"/>
      <c r="K144" s="58"/>
      <c r="O144" s="58"/>
    </row>
    <row r="145" spans="1:15" x14ac:dyDescent="0.3">
      <c r="A145" s="58"/>
      <c r="B145" s="58"/>
      <c r="C145" s="58"/>
      <c r="D145" s="58"/>
      <c r="E145" s="58"/>
      <c r="F145" s="58"/>
      <c r="G145" s="58"/>
      <c r="H145" s="58"/>
      <c r="I145" s="58"/>
      <c r="J145" s="58"/>
      <c r="K145" s="58"/>
      <c r="O145" s="58"/>
    </row>
    <row r="146" spans="1:15" x14ac:dyDescent="0.3">
      <c r="A146" s="58"/>
      <c r="B146" s="58"/>
      <c r="C146" s="58"/>
      <c r="D146" s="58"/>
      <c r="E146" s="58"/>
      <c r="F146" s="58"/>
      <c r="G146" s="58"/>
      <c r="H146" s="58"/>
      <c r="I146" s="58"/>
      <c r="J146" s="58"/>
      <c r="K146" s="58"/>
      <c r="O146" s="58"/>
    </row>
    <row r="147" spans="1:15" x14ac:dyDescent="0.3">
      <c r="A147" s="58"/>
      <c r="B147" s="58"/>
      <c r="C147" s="58"/>
      <c r="D147" s="58"/>
      <c r="E147" s="58"/>
      <c r="F147" s="58"/>
      <c r="G147" s="58"/>
      <c r="H147" s="58"/>
      <c r="I147" s="58"/>
      <c r="J147" s="58"/>
      <c r="K147" s="58"/>
      <c r="O147" s="58"/>
    </row>
    <row r="148" spans="1:15" x14ac:dyDescent="0.3">
      <c r="A148" s="58"/>
      <c r="B148" s="58"/>
      <c r="C148" s="58"/>
      <c r="D148" s="58"/>
      <c r="E148" s="58"/>
      <c r="F148" s="58"/>
      <c r="G148" s="58"/>
      <c r="H148" s="58"/>
      <c r="I148" s="58"/>
      <c r="J148" s="58"/>
      <c r="K148" s="58"/>
      <c r="O148" s="58"/>
    </row>
    <row r="149" spans="1:15" x14ac:dyDescent="0.3">
      <c r="A149" s="58"/>
      <c r="B149" s="58"/>
      <c r="C149" s="58"/>
      <c r="D149" s="58"/>
      <c r="E149" s="58"/>
      <c r="F149" s="58"/>
      <c r="G149" s="58"/>
      <c r="H149" s="58"/>
      <c r="I149" s="58"/>
      <c r="J149" s="58"/>
      <c r="K149" s="58"/>
      <c r="O149" s="58"/>
    </row>
    <row r="150" spans="1:15" x14ac:dyDescent="0.3">
      <c r="A150" s="58"/>
      <c r="B150" s="58"/>
      <c r="C150" s="58"/>
      <c r="D150" s="58"/>
      <c r="E150" s="58"/>
      <c r="F150" s="58"/>
      <c r="G150" s="58"/>
      <c r="H150" s="58"/>
      <c r="I150" s="58"/>
      <c r="J150" s="58"/>
      <c r="K150" s="58"/>
      <c r="O150" s="58"/>
    </row>
    <row r="151" spans="1:15" x14ac:dyDescent="0.3">
      <c r="A151" s="58"/>
      <c r="B151" s="58"/>
      <c r="C151" s="58"/>
      <c r="D151" s="58"/>
      <c r="E151" s="58"/>
      <c r="F151" s="58"/>
      <c r="G151" s="58"/>
      <c r="H151" s="58"/>
      <c r="I151" s="58"/>
      <c r="J151" s="58"/>
      <c r="K151" s="58"/>
      <c r="O151" s="58"/>
    </row>
    <row r="152" spans="1:15" x14ac:dyDescent="0.3">
      <c r="A152" s="58"/>
      <c r="B152" s="58"/>
      <c r="C152" s="58"/>
      <c r="D152" s="58"/>
      <c r="E152" s="58"/>
      <c r="F152" s="58"/>
      <c r="G152" s="58"/>
      <c r="H152" s="58"/>
      <c r="I152" s="58"/>
      <c r="J152" s="58"/>
      <c r="K152" s="58"/>
      <c r="O152" s="58"/>
    </row>
    <row r="153" spans="1:15" x14ac:dyDescent="0.3">
      <c r="A153" s="58"/>
      <c r="B153" s="58"/>
      <c r="C153" s="58"/>
      <c r="D153" s="58"/>
      <c r="E153" s="58"/>
      <c r="F153" s="58"/>
      <c r="G153" s="58"/>
      <c r="H153" s="58"/>
      <c r="I153" s="58"/>
      <c r="J153" s="58"/>
      <c r="K153" s="58"/>
      <c r="O153" s="58"/>
    </row>
    <row r="154" spans="1:15" x14ac:dyDescent="0.3">
      <c r="O154" s="58"/>
    </row>
    <row r="155" spans="1:15" x14ac:dyDescent="0.3">
      <c r="O155" s="58"/>
    </row>
    <row r="156" spans="1:15" x14ac:dyDescent="0.3">
      <c r="O156" s="58"/>
    </row>
    <row r="157" spans="1:15" x14ac:dyDescent="0.3">
      <c r="O157" s="58"/>
    </row>
    <row r="158" spans="1:15" x14ac:dyDescent="0.3">
      <c r="O158" s="58"/>
    </row>
    <row r="159" spans="1:15" x14ac:dyDescent="0.3">
      <c r="O159" s="58"/>
    </row>
    <row r="160" spans="1:15" x14ac:dyDescent="0.3">
      <c r="O160" s="58"/>
    </row>
    <row r="161" spans="1:15" x14ac:dyDescent="0.3">
      <c r="O161" s="58"/>
    </row>
    <row r="162" spans="1:15" x14ac:dyDescent="0.3">
      <c r="O162" s="58"/>
    </row>
    <row r="163" spans="1:15" x14ac:dyDescent="0.3">
      <c r="O163" s="58"/>
    </row>
    <row r="164" spans="1:15" x14ac:dyDescent="0.3">
      <c r="O164" s="58"/>
    </row>
    <row r="165" spans="1:15" x14ac:dyDescent="0.3">
      <c r="O165" s="58"/>
    </row>
    <row r="166" spans="1:15" x14ac:dyDescent="0.3">
      <c r="O166" s="58"/>
    </row>
    <row r="167" spans="1:15" x14ac:dyDescent="0.3">
      <c r="O167" s="58"/>
    </row>
    <row r="168" spans="1:15" x14ac:dyDescent="0.3">
      <c r="O168" s="58"/>
    </row>
    <row r="169" spans="1:15" x14ac:dyDescent="0.3">
      <c r="O169" s="58"/>
    </row>
    <row r="170" spans="1:15" x14ac:dyDescent="0.3">
      <c r="A170" s="58"/>
      <c r="B170" s="58"/>
      <c r="C170" s="58"/>
      <c r="D170" s="58"/>
      <c r="E170" s="58"/>
      <c r="F170" s="58"/>
      <c r="G170" s="58"/>
      <c r="H170" s="58"/>
      <c r="I170" s="58"/>
      <c r="J170" s="58"/>
      <c r="K170" s="58"/>
      <c r="O170" s="58"/>
    </row>
    <row r="171" spans="1:15" x14ac:dyDescent="0.3">
      <c r="A171" s="58"/>
      <c r="B171" s="58"/>
      <c r="C171" s="58"/>
      <c r="D171" s="58"/>
      <c r="E171" s="58"/>
      <c r="F171" s="58"/>
      <c r="G171" s="58"/>
      <c r="H171" s="58"/>
      <c r="I171" s="58"/>
      <c r="J171" s="58"/>
      <c r="K171" s="58"/>
      <c r="O171" s="58"/>
    </row>
    <row r="172" spans="1:15" x14ac:dyDescent="0.3">
      <c r="A172" s="58"/>
      <c r="B172" s="58"/>
      <c r="C172" s="58"/>
      <c r="D172" s="58"/>
      <c r="E172" s="58"/>
      <c r="F172" s="58"/>
      <c r="G172" s="58"/>
      <c r="H172" s="58"/>
      <c r="I172" s="58"/>
      <c r="J172" s="58"/>
      <c r="K172" s="58"/>
      <c r="O172" s="58"/>
    </row>
    <row r="173" spans="1:15" x14ac:dyDescent="0.3">
      <c r="A173" s="58"/>
      <c r="B173" s="58"/>
      <c r="C173" s="58"/>
      <c r="D173" s="58"/>
      <c r="E173" s="58"/>
      <c r="F173" s="58"/>
      <c r="G173" s="58"/>
      <c r="H173" s="58"/>
      <c r="I173" s="58"/>
      <c r="J173" s="58"/>
      <c r="K173" s="58"/>
      <c r="O173" s="58"/>
    </row>
    <row r="174" spans="1:15" x14ac:dyDescent="0.3">
      <c r="A174" s="58"/>
      <c r="B174" s="58"/>
      <c r="C174" s="58"/>
      <c r="D174" s="58"/>
      <c r="E174" s="58"/>
      <c r="F174" s="58"/>
      <c r="G174" s="58"/>
      <c r="H174" s="58"/>
      <c r="I174" s="58"/>
      <c r="J174" s="58"/>
      <c r="K174" s="58"/>
      <c r="O174" s="58"/>
    </row>
    <row r="175" spans="1:15" x14ac:dyDescent="0.3">
      <c r="A175" s="58"/>
      <c r="B175" s="58"/>
      <c r="C175" s="58"/>
      <c r="D175" s="58"/>
      <c r="E175" s="58"/>
      <c r="F175" s="58"/>
      <c r="G175" s="58"/>
      <c r="H175" s="58"/>
      <c r="I175" s="58"/>
      <c r="J175" s="58"/>
      <c r="K175" s="58"/>
      <c r="O175" s="58"/>
    </row>
    <row r="176" spans="1:15" x14ac:dyDescent="0.3">
      <c r="A176" s="58"/>
      <c r="B176" s="58"/>
      <c r="C176" s="58"/>
      <c r="D176" s="58"/>
      <c r="E176" s="58"/>
      <c r="F176" s="58"/>
      <c r="G176" s="58"/>
      <c r="H176" s="58"/>
      <c r="I176" s="58"/>
      <c r="J176" s="58"/>
      <c r="K176" s="58"/>
      <c r="O176" s="58"/>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94</v>
      </c>
      <c r="D1" s="26"/>
      <c r="E1" s="26"/>
      <c r="F1" s="26"/>
      <c r="G1" s="26"/>
      <c r="H1" s="26"/>
      <c r="I1" s="26"/>
      <c r="J1" s="26"/>
      <c r="K1" s="26"/>
      <c r="L1" s="26"/>
      <c r="M1" s="26"/>
    </row>
    <row r="2" spans="1:14" ht="15.75" x14ac:dyDescent="0.25">
      <c r="A2" s="149" t="s">
        <v>28</v>
      </c>
      <c r="B2" s="727"/>
      <c r="C2" s="727"/>
      <c r="D2" s="727"/>
      <c r="E2" s="282"/>
      <c r="F2" s="727"/>
      <c r="G2" s="727"/>
      <c r="H2" s="727"/>
      <c r="I2" s="282"/>
      <c r="J2" s="727"/>
      <c r="K2" s="727"/>
      <c r="L2" s="727"/>
      <c r="M2" s="282"/>
    </row>
    <row r="3" spans="1:14" ht="15.75" x14ac:dyDescent="0.25">
      <c r="A3" s="147"/>
      <c r="B3" s="282"/>
      <c r="C3" s="282"/>
      <c r="D3" s="282"/>
      <c r="E3" s="282"/>
      <c r="F3" s="282"/>
      <c r="G3" s="282"/>
      <c r="H3" s="282"/>
      <c r="I3" s="282"/>
      <c r="J3" s="282"/>
      <c r="K3" s="282"/>
      <c r="L3" s="282"/>
      <c r="M3" s="282"/>
    </row>
    <row r="4" spans="1:14" x14ac:dyDescent="0.2">
      <c r="A4" s="128"/>
      <c r="B4" s="723" t="s">
        <v>0</v>
      </c>
      <c r="C4" s="724"/>
      <c r="D4" s="724"/>
      <c r="E4" s="284"/>
      <c r="F4" s="723" t="s">
        <v>1</v>
      </c>
      <c r="G4" s="724"/>
      <c r="H4" s="724"/>
      <c r="I4" s="287"/>
      <c r="J4" s="723" t="s">
        <v>2</v>
      </c>
      <c r="K4" s="724"/>
      <c r="L4" s="724"/>
      <c r="M4" s="287"/>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c r="C7" s="290"/>
      <c r="D7" s="332"/>
      <c r="E7" s="11"/>
      <c r="F7" s="289"/>
      <c r="G7" s="290"/>
      <c r="H7" s="332"/>
      <c r="I7" s="144"/>
      <c r="J7" s="291"/>
      <c r="K7" s="292"/>
      <c r="L7" s="405"/>
      <c r="M7" s="11"/>
    </row>
    <row r="8" spans="1:14" ht="15.75" x14ac:dyDescent="0.2">
      <c r="A8" s="21" t="s">
        <v>25</v>
      </c>
      <c r="B8" s="267"/>
      <c r="C8" s="268"/>
      <c r="D8" s="150"/>
      <c r="E8" s="27"/>
      <c r="F8" s="271"/>
      <c r="G8" s="272"/>
      <c r="H8" s="150"/>
      <c r="I8" s="160"/>
      <c r="J8" s="215"/>
      <c r="K8" s="273"/>
      <c r="L8" s="240"/>
      <c r="M8" s="27"/>
    </row>
    <row r="9" spans="1:14" ht="15.75" x14ac:dyDescent="0.2">
      <c r="A9" s="21" t="s">
        <v>24</v>
      </c>
      <c r="B9" s="267"/>
      <c r="C9" s="268"/>
      <c r="D9" s="150"/>
      <c r="E9" s="27"/>
      <c r="F9" s="271"/>
      <c r="G9" s="272"/>
      <c r="H9" s="150"/>
      <c r="I9" s="160"/>
      <c r="J9" s="215"/>
      <c r="K9" s="273"/>
      <c r="L9" s="24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410"/>
      <c r="E38" s="24"/>
      <c r="F38" s="302"/>
      <c r="G38" s="303"/>
      <c r="H38" s="155"/>
      <c r="I38" s="412"/>
      <c r="J38" s="217"/>
      <c r="K38" s="217"/>
      <c r="L38" s="406"/>
      <c r="M38" s="24"/>
    </row>
    <row r="39" spans="1:14" ht="15.75" x14ac:dyDescent="0.2">
      <c r="A39" s="18" t="s">
        <v>357</v>
      </c>
      <c r="B39" s="262"/>
      <c r="C39" s="298"/>
      <c r="D39" s="411"/>
      <c r="E39" s="36"/>
      <c r="F39" s="305"/>
      <c r="G39" s="306"/>
      <c r="H39" s="153"/>
      <c r="I39" s="36"/>
      <c r="J39" s="217"/>
      <c r="K39" s="217"/>
      <c r="L39" s="407"/>
      <c r="M39" s="36"/>
    </row>
    <row r="40" spans="1:14" ht="15.75" x14ac:dyDescent="0.25">
      <c r="A40" s="47"/>
      <c r="B40" s="239"/>
      <c r="C40" s="239"/>
      <c r="D40" s="726"/>
      <c r="E40" s="728"/>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636479</v>
      </c>
      <c r="C47" s="294">
        <v>773050</v>
      </c>
      <c r="D47" s="405">
        <f t="shared" ref="D47:D57" si="0">IF(B47=0, "    ---- ", IF(ABS(ROUND(100/B47*C47-100,1))&lt;999,ROUND(100/B47*C47-100,1),IF(ROUND(100/B47*C47-100,1)&gt;999,999,-999)))</f>
        <v>21.5</v>
      </c>
      <c r="E47" s="11">
        <f>IFERROR(100/'Skjema total MA'!C47*C47,0)</f>
        <v>14.496623783820588</v>
      </c>
      <c r="F47" s="129"/>
      <c r="G47" s="33"/>
      <c r="H47" s="143"/>
      <c r="I47" s="143"/>
      <c r="J47" s="37"/>
      <c r="K47" s="37"/>
      <c r="L47" s="143"/>
      <c r="M47" s="143"/>
      <c r="N47" s="132"/>
    </row>
    <row r="48" spans="1:14" s="3" customFormat="1" ht="15.75" x14ac:dyDescent="0.2">
      <c r="A48" s="38" t="s">
        <v>358</v>
      </c>
      <c r="B48" s="267">
        <v>174253</v>
      </c>
      <c r="C48" s="268">
        <v>215437</v>
      </c>
      <c r="D48" s="240">
        <f t="shared" si="0"/>
        <v>23.6</v>
      </c>
      <c r="E48" s="27">
        <f>IFERROR(100/'Skjema total MA'!C48*C48,0)</f>
        <v>7.1726390341175552</v>
      </c>
      <c r="F48" s="129"/>
      <c r="G48" s="33"/>
      <c r="H48" s="129"/>
      <c r="I48" s="129"/>
      <c r="J48" s="33"/>
      <c r="K48" s="33"/>
      <c r="L48" s="143"/>
      <c r="M48" s="143"/>
      <c r="N48" s="132"/>
    </row>
    <row r="49" spans="1:14" s="3" customFormat="1" ht="15.75" x14ac:dyDescent="0.2">
      <c r="A49" s="38" t="s">
        <v>359</v>
      </c>
      <c r="B49" s="44">
        <v>462226</v>
      </c>
      <c r="C49" s="273">
        <v>557613</v>
      </c>
      <c r="D49" s="240">
        <f>IF(B49=0, "    ---- ", IF(ABS(ROUND(100/B49*C49-100,1))&lt;999,ROUND(100/B49*C49-100,1),IF(ROUND(100/B49*C49-100,1)&gt;999,999,-999)))</f>
        <v>20.6</v>
      </c>
      <c r="E49" s="27">
        <f>IFERROR(100/'Skjema total MA'!C49*C49,0)</f>
        <v>23.941893111797111</v>
      </c>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3351.91</v>
      </c>
      <c r="C53" s="294">
        <v>34203</v>
      </c>
      <c r="D53" s="406">
        <f t="shared" si="0"/>
        <v>920.4</v>
      </c>
      <c r="E53" s="11">
        <f>IFERROR(100/'Skjema total MA'!C53*C53,0)</f>
        <v>18.486038471195592</v>
      </c>
      <c r="F53" s="129"/>
      <c r="G53" s="33"/>
      <c r="H53" s="129"/>
      <c r="I53" s="129"/>
      <c r="J53" s="33"/>
      <c r="K53" s="33"/>
      <c r="L53" s="143"/>
      <c r="M53" s="143"/>
      <c r="N53" s="132"/>
    </row>
    <row r="54" spans="1:14" s="3" customFormat="1" ht="15.75" x14ac:dyDescent="0.2">
      <c r="A54" s="38" t="s">
        <v>358</v>
      </c>
      <c r="B54" s="267">
        <v>3351.91</v>
      </c>
      <c r="C54" s="268">
        <v>34203</v>
      </c>
      <c r="D54" s="240">
        <f t="shared" si="0"/>
        <v>920.4</v>
      </c>
      <c r="E54" s="27">
        <f>IFERROR(100/'Skjema total MA'!C54*C54,0)</f>
        <v>18.581042245498665</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v>18089.57</v>
      </c>
      <c r="C56" s="294">
        <v>15699</v>
      </c>
      <c r="D56" s="406">
        <f t="shared" si="0"/>
        <v>-13.2</v>
      </c>
      <c r="E56" s="11">
        <f>IFERROR(100/'Skjema total MA'!C56*C56,0)</f>
        <v>14.103484503959233</v>
      </c>
      <c r="F56" s="129"/>
      <c r="G56" s="33"/>
      <c r="H56" s="129"/>
      <c r="I56" s="129"/>
      <c r="J56" s="33"/>
      <c r="K56" s="33"/>
      <c r="L56" s="143"/>
      <c r="M56" s="143"/>
      <c r="N56" s="132"/>
    </row>
    <row r="57" spans="1:14" s="3" customFormat="1" ht="15.75" x14ac:dyDescent="0.2">
      <c r="A57" s="38" t="s">
        <v>358</v>
      </c>
      <c r="B57" s="267">
        <v>18089.57</v>
      </c>
      <c r="C57" s="268">
        <v>15699</v>
      </c>
      <c r="D57" s="240">
        <f t="shared" si="0"/>
        <v>-13.2</v>
      </c>
      <c r="E57" s="27">
        <f>IFERROR(100/'Skjema total MA'!C57*C57,0)</f>
        <v>14.103484503959233</v>
      </c>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c r="C98" s="215"/>
      <c r="D98" s="150"/>
      <c r="E98" s="27"/>
      <c r="F98" s="277"/>
      <c r="G98" s="277"/>
      <c r="H98" s="150"/>
      <c r="I98" s="27"/>
      <c r="J98" s="273"/>
      <c r="K98" s="44"/>
      <c r="L98" s="240"/>
      <c r="M98" s="27"/>
    </row>
    <row r="99" spans="1:13" x14ac:dyDescent="0.2">
      <c r="A99" s="21" t="s">
        <v>9</v>
      </c>
      <c r="B99" s="277"/>
      <c r="C99" s="278"/>
      <c r="D99" s="150"/>
      <c r="E99" s="27"/>
      <c r="F99" s="215"/>
      <c r="G99" s="129"/>
      <c r="H99" s="150"/>
      <c r="I99" s="27"/>
      <c r="J99" s="273"/>
      <c r="K99" s="44"/>
      <c r="L99" s="240"/>
      <c r="M99" s="27"/>
    </row>
    <row r="100" spans="1:13" x14ac:dyDescent="0.2">
      <c r="A100" s="38" t="s">
        <v>396</v>
      </c>
      <c r="B100" s="277"/>
      <c r="C100" s="278"/>
      <c r="D100" s="150"/>
      <c r="E100" s="27"/>
      <c r="F100" s="215"/>
      <c r="G100" s="215"/>
      <c r="H100" s="150"/>
      <c r="I100" s="27"/>
      <c r="J100" s="273"/>
      <c r="K100" s="44"/>
      <c r="L100" s="240"/>
      <c r="M100" s="27"/>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c r="C108" s="215"/>
      <c r="D108" s="150"/>
      <c r="E108" s="27"/>
      <c r="F108" s="215"/>
      <c r="G108" s="215"/>
      <c r="H108" s="150"/>
      <c r="I108" s="27"/>
      <c r="J108" s="273"/>
      <c r="K108" s="44"/>
      <c r="L108" s="240"/>
      <c r="M108" s="27"/>
    </row>
    <row r="109" spans="1:13" ht="15.75" x14ac:dyDescent="0.2">
      <c r="A109" s="38" t="s">
        <v>404</v>
      </c>
      <c r="B109" s="215"/>
      <c r="C109" s="215"/>
      <c r="D109" s="150"/>
      <c r="E109" s="27"/>
      <c r="F109" s="215"/>
      <c r="G109" s="215"/>
      <c r="H109" s="150"/>
      <c r="I109" s="27"/>
      <c r="J109" s="273"/>
      <c r="K109" s="44"/>
      <c r="L109" s="240"/>
      <c r="M109" s="27"/>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c r="C111" s="143"/>
      <c r="D111" s="155"/>
      <c r="E111" s="11"/>
      <c r="F111" s="291"/>
      <c r="G111" s="143"/>
      <c r="H111" s="155"/>
      <c r="I111" s="11"/>
      <c r="J111" s="292"/>
      <c r="K111" s="217"/>
      <c r="L111" s="406"/>
      <c r="M111" s="11"/>
    </row>
    <row r="112" spans="1:13"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59" priority="12">
      <formula>kvartal &lt; 4</formula>
    </cfRule>
  </conditionalFormatting>
  <conditionalFormatting sqref="A69:A74">
    <cfRule type="expression" dxfId="258" priority="10">
      <formula>kvartal &lt; 4</formula>
    </cfRule>
  </conditionalFormatting>
  <conditionalFormatting sqref="A80:A85">
    <cfRule type="expression" dxfId="257" priority="9">
      <formula>kvartal &lt; 4</formula>
    </cfRule>
  </conditionalFormatting>
  <conditionalFormatting sqref="A90:A95">
    <cfRule type="expression" dxfId="256" priority="6">
      <formula>kvartal &lt; 4</formula>
    </cfRule>
  </conditionalFormatting>
  <conditionalFormatting sqref="A101:A106">
    <cfRule type="expression" dxfId="255" priority="5">
      <formula>kvartal &lt; 4</formula>
    </cfRule>
  </conditionalFormatting>
  <conditionalFormatting sqref="A115">
    <cfRule type="expression" dxfId="254" priority="4">
      <formula>kvartal &lt; 4</formula>
    </cfRule>
  </conditionalFormatting>
  <conditionalFormatting sqref="A123">
    <cfRule type="expression" dxfId="253"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393</v>
      </c>
      <c r="D1" s="26"/>
      <c r="E1" s="26"/>
      <c r="F1" s="26"/>
      <c r="G1" s="26"/>
      <c r="H1" s="26"/>
      <c r="I1" s="26"/>
      <c r="J1" s="26"/>
      <c r="K1" s="26"/>
      <c r="L1" s="26"/>
      <c r="M1" s="26"/>
    </row>
    <row r="2" spans="1:14" ht="15.75" x14ac:dyDescent="0.25">
      <c r="A2" s="149" t="s">
        <v>28</v>
      </c>
      <c r="B2" s="727"/>
      <c r="C2" s="727"/>
      <c r="D2" s="727"/>
      <c r="E2" s="507"/>
      <c r="F2" s="727"/>
      <c r="G2" s="727"/>
      <c r="H2" s="727"/>
      <c r="I2" s="507"/>
      <c r="J2" s="727"/>
      <c r="K2" s="727"/>
      <c r="L2" s="727"/>
      <c r="M2" s="507"/>
    </row>
    <row r="3" spans="1:14" ht="15.75" x14ac:dyDescent="0.25">
      <c r="A3" s="147"/>
      <c r="B3" s="507"/>
      <c r="C3" s="507"/>
      <c r="D3" s="507"/>
      <c r="E3" s="507"/>
      <c r="F3" s="507"/>
      <c r="G3" s="507"/>
      <c r="H3" s="507"/>
      <c r="I3" s="507"/>
      <c r="J3" s="507"/>
      <c r="K3" s="507"/>
      <c r="L3" s="507"/>
      <c r="M3" s="507"/>
    </row>
    <row r="4" spans="1:14" x14ac:dyDescent="0.2">
      <c r="A4" s="128"/>
      <c r="B4" s="723" t="s">
        <v>0</v>
      </c>
      <c r="C4" s="724"/>
      <c r="D4" s="724"/>
      <c r="E4" s="504"/>
      <c r="F4" s="723" t="s">
        <v>1</v>
      </c>
      <c r="G4" s="724"/>
      <c r="H4" s="724"/>
      <c r="I4" s="505"/>
      <c r="J4" s="723" t="s">
        <v>2</v>
      </c>
      <c r="K4" s="724"/>
      <c r="L4" s="724"/>
      <c r="M4" s="505"/>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1521</v>
      </c>
      <c r="C7" s="290">
        <v>1249.2573</v>
      </c>
      <c r="D7" s="332">
        <f>IF(B7=0, "    ---- ", IF(ABS(ROUND(100/B7*C7-100,1))&lt;999,ROUND(100/B7*C7-100,1),IF(ROUND(100/B7*C7-100,1)&gt;999,999,-999)))</f>
        <v>-17.899999999999999</v>
      </c>
      <c r="E7" s="11">
        <f>IFERROR(100/'Skjema total MA'!C7*C7,0)</f>
        <v>2.9438561039617419E-2</v>
      </c>
      <c r="F7" s="289"/>
      <c r="G7" s="290"/>
      <c r="H7" s="332"/>
      <c r="I7" s="144"/>
      <c r="J7" s="291">
        <f t="shared" ref="J7:K8" si="0">SUM(B7,F7)</f>
        <v>1521</v>
      </c>
      <c r="K7" s="292">
        <f t="shared" si="0"/>
        <v>1249.2573</v>
      </c>
      <c r="L7" s="405">
        <f>IF(J7=0, "    ---- ", IF(ABS(ROUND(100/J7*K7-100,1))&lt;999,ROUND(100/J7*K7-100,1),IF(ROUND(100/J7*K7-100,1)&gt;999,999,-999)))</f>
        <v>-17.899999999999999</v>
      </c>
      <c r="M7" s="11">
        <f>IFERROR(100/'Skjema total MA'!I7*K7,0)</f>
        <v>1.0460940822236038E-2</v>
      </c>
    </row>
    <row r="8" spans="1:14" ht="15.75" x14ac:dyDescent="0.2">
      <c r="A8" s="21" t="s">
        <v>25</v>
      </c>
      <c r="B8" s="267">
        <v>1521</v>
      </c>
      <c r="C8" s="268">
        <v>1249.2573</v>
      </c>
      <c r="D8" s="150">
        <f t="shared" ref="D8" si="1">IF(B8=0, "    ---- ", IF(ABS(ROUND(100/B8*C8-100,1))&lt;999,ROUND(100/B8*C8-100,1),IF(ROUND(100/B8*C8-100,1)&gt;999,999,-999)))</f>
        <v>-17.899999999999999</v>
      </c>
      <c r="E8" s="27">
        <f>IFERROR(100/'Skjema total MA'!C8*C8,0)</f>
        <v>4.6334917769130984E-2</v>
      </c>
      <c r="F8" s="271"/>
      <c r="G8" s="272"/>
      <c r="H8" s="150"/>
      <c r="I8" s="160"/>
      <c r="J8" s="215">
        <f t="shared" si="0"/>
        <v>1521</v>
      </c>
      <c r="K8" s="273">
        <f t="shared" si="0"/>
        <v>1249.2573</v>
      </c>
      <c r="L8" s="150">
        <f t="shared" ref="L8" si="2">IF(J8=0, "    ---- ", IF(ABS(ROUND(100/J8*K8-100,1))&lt;999,ROUND(100/J8*K8-100,1),IF(ROUND(100/J8*K8-100,1)&gt;999,999,-999)))</f>
        <v>-17.899999999999999</v>
      </c>
      <c r="M8" s="27">
        <f>IFERROR(100/'Skjema total MA'!I8*K8,0)</f>
        <v>4.6334917769130984E-2</v>
      </c>
    </row>
    <row r="9" spans="1:14" ht="15.75" x14ac:dyDescent="0.2">
      <c r="A9" s="21" t="s">
        <v>24</v>
      </c>
      <c r="B9" s="267"/>
      <c r="C9" s="268"/>
      <c r="D9" s="150"/>
      <c r="E9" s="27"/>
      <c r="F9" s="271"/>
      <c r="G9" s="272"/>
      <c r="H9" s="150"/>
      <c r="I9" s="160"/>
      <c r="J9" s="215"/>
      <c r="K9" s="273"/>
      <c r="L9" s="150"/>
      <c r="M9" s="27"/>
    </row>
    <row r="10" spans="1:14" ht="15.75" x14ac:dyDescent="0.2">
      <c r="A10" s="13" t="s">
        <v>347</v>
      </c>
      <c r="B10" s="293"/>
      <c r="C10" s="294"/>
      <c r="D10" s="155"/>
      <c r="E10" s="11"/>
      <c r="F10" s="293"/>
      <c r="G10" s="294"/>
      <c r="H10" s="155"/>
      <c r="I10" s="144"/>
      <c r="J10" s="291"/>
      <c r="K10" s="292"/>
      <c r="L10" s="406"/>
      <c r="M10" s="11"/>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507"/>
      <c r="F18" s="722"/>
      <c r="G18" s="722"/>
      <c r="H18" s="722"/>
      <c r="I18" s="507"/>
      <c r="J18" s="722"/>
      <c r="K18" s="722"/>
      <c r="L18" s="722"/>
      <c r="M18" s="507"/>
    </row>
    <row r="19" spans="1:14" x14ac:dyDescent="0.2">
      <c r="A19" s="128"/>
      <c r="B19" s="723" t="s">
        <v>0</v>
      </c>
      <c r="C19" s="724"/>
      <c r="D19" s="724"/>
      <c r="E19" s="504"/>
      <c r="F19" s="723" t="s">
        <v>1</v>
      </c>
      <c r="G19" s="724"/>
      <c r="H19" s="724"/>
      <c r="I19" s="505"/>
      <c r="J19" s="723" t="s">
        <v>2</v>
      </c>
      <c r="K19" s="724"/>
      <c r="L19" s="724"/>
      <c r="M19" s="505"/>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c r="C22" s="293"/>
      <c r="D22" s="332"/>
      <c r="E22" s="11"/>
      <c r="F22" s="301"/>
      <c r="G22" s="301"/>
      <c r="H22" s="332"/>
      <c r="I22" s="11"/>
      <c r="J22" s="299"/>
      <c r="K22" s="299"/>
      <c r="L22" s="405"/>
      <c r="M22" s="24"/>
    </row>
    <row r="23" spans="1:14" ht="15.75" x14ac:dyDescent="0.2">
      <c r="A23" s="487" t="s">
        <v>350</v>
      </c>
      <c r="B23" s="267"/>
      <c r="C23" s="267"/>
      <c r="D23" s="150"/>
      <c r="E23" s="11"/>
      <c r="F23" s="276"/>
      <c r="G23" s="276"/>
      <c r="H23" s="150"/>
      <c r="I23" s="395"/>
      <c r="J23" s="276"/>
      <c r="K23" s="276"/>
      <c r="L23" s="150"/>
      <c r="M23" s="23"/>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c r="C28" s="273"/>
      <c r="D28" s="150"/>
      <c r="E28" s="11"/>
      <c r="F28" s="215"/>
      <c r="G28" s="273"/>
      <c r="H28" s="150"/>
      <c r="I28" s="27"/>
      <c r="J28" s="44"/>
      <c r="K28" s="44"/>
      <c r="L28" s="240"/>
      <c r="M28" s="23"/>
    </row>
    <row r="29" spans="1:14" s="3" customFormat="1" ht="15.75" x14ac:dyDescent="0.2">
      <c r="A29" s="13" t="s">
        <v>347</v>
      </c>
      <c r="B29" s="217"/>
      <c r="C29" s="217"/>
      <c r="D29" s="155"/>
      <c r="E29" s="11"/>
      <c r="F29" s="291"/>
      <c r="G29" s="291"/>
      <c r="H29" s="155"/>
      <c r="I29" s="11"/>
      <c r="J29" s="217"/>
      <c r="K29" s="217"/>
      <c r="L29" s="406"/>
      <c r="M29" s="24"/>
      <c r="N29" s="132"/>
    </row>
    <row r="30" spans="1:14" s="3" customFormat="1" ht="15.75" x14ac:dyDescent="0.2">
      <c r="A30" s="487" t="s">
        <v>350</v>
      </c>
      <c r="B30" s="267"/>
      <c r="C30" s="267"/>
      <c r="D30" s="150"/>
      <c r="E30" s="11"/>
      <c r="F30" s="276"/>
      <c r="G30" s="276"/>
      <c r="H30" s="150"/>
      <c r="I30" s="395"/>
      <c r="J30" s="276"/>
      <c r="K30" s="276"/>
      <c r="L30" s="150"/>
      <c r="M30" s="23"/>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410"/>
      <c r="E38" s="24"/>
      <c r="F38" s="302"/>
      <c r="G38" s="303"/>
      <c r="H38" s="155"/>
      <c r="I38" s="412"/>
      <c r="J38" s="217"/>
      <c r="K38" s="217"/>
      <c r="L38" s="406"/>
      <c r="M38" s="24"/>
    </row>
    <row r="39" spans="1:14" ht="15.75" x14ac:dyDescent="0.2">
      <c r="A39" s="18" t="s">
        <v>357</v>
      </c>
      <c r="B39" s="262"/>
      <c r="C39" s="298"/>
      <c r="D39" s="411"/>
      <c r="E39" s="36"/>
      <c r="F39" s="305"/>
      <c r="G39" s="306"/>
      <c r="H39" s="153"/>
      <c r="I39" s="36"/>
      <c r="J39" s="217"/>
      <c r="K39" s="217"/>
      <c r="L39" s="407"/>
      <c r="M39" s="36"/>
    </row>
    <row r="40" spans="1:14" ht="15.75" x14ac:dyDescent="0.25">
      <c r="A40" s="47"/>
      <c r="B40" s="239"/>
      <c r="C40" s="239"/>
      <c r="D40" s="726"/>
      <c r="E40" s="728"/>
      <c r="F40" s="726"/>
      <c r="G40" s="726"/>
      <c r="H40" s="726"/>
      <c r="I40" s="726"/>
      <c r="J40" s="726"/>
      <c r="K40" s="726"/>
      <c r="L40" s="726"/>
      <c r="M40" s="508"/>
    </row>
    <row r="41" spans="1:14" x14ac:dyDescent="0.2">
      <c r="A41" s="139"/>
    </row>
    <row r="42" spans="1:14" ht="15.75" x14ac:dyDescent="0.25">
      <c r="A42" s="131" t="s">
        <v>265</v>
      </c>
      <c r="B42" s="727"/>
      <c r="C42" s="727"/>
      <c r="D42" s="727"/>
      <c r="E42" s="507"/>
      <c r="F42" s="728"/>
      <c r="G42" s="728"/>
      <c r="H42" s="728"/>
      <c r="I42" s="508"/>
      <c r="J42" s="728"/>
      <c r="K42" s="728"/>
      <c r="L42" s="728"/>
      <c r="M42" s="508"/>
    </row>
    <row r="43" spans="1:14" ht="15.75" x14ac:dyDescent="0.25">
      <c r="A43" s="147"/>
      <c r="B43" s="506"/>
      <c r="C43" s="506"/>
      <c r="D43" s="506"/>
      <c r="E43" s="506"/>
      <c r="F43" s="508"/>
      <c r="G43" s="508"/>
      <c r="H43" s="508"/>
      <c r="I43" s="508"/>
      <c r="J43" s="508"/>
      <c r="K43" s="508"/>
      <c r="L43" s="508"/>
      <c r="M43" s="508"/>
    </row>
    <row r="44" spans="1:14" ht="15.75" x14ac:dyDescent="0.25">
      <c r="A44" s="230"/>
      <c r="B44" s="723" t="s">
        <v>0</v>
      </c>
      <c r="C44" s="724"/>
      <c r="D44" s="724"/>
      <c r="E44" s="225"/>
      <c r="F44" s="508"/>
      <c r="G44" s="508"/>
      <c r="H44" s="508"/>
      <c r="I44" s="508"/>
      <c r="J44" s="508"/>
      <c r="K44" s="508"/>
      <c r="L44" s="508"/>
      <c r="M44" s="508"/>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602</v>
      </c>
      <c r="C47" s="294">
        <v>529.11260000000004</v>
      </c>
      <c r="D47" s="405">
        <f t="shared" ref="D47:D48" si="3">IF(B47=0, "    ---- ", IF(ABS(ROUND(100/B47*C47-100,1))&lt;999,ROUND(100/B47*C47-100,1),IF(ROUND(100/B47*C47-100,1)&gt;999,999,-999)))</f>
        <v>-12.1</v>
      </c>
      <c r="E47" s="11">
        <f>IFERROR(100/'Skjema total MA'!C47*C47,0)</f>
        <v>9.9221865357727833E-3</v>
      </c>
      <c r="F47" s="129"/>
      <c r="G47" s="33"/>
      <c r="H47" s="143"/>
      <c r="I47" s="143"/>
      <c r="J47" s="37"/>
      <c r="K47" s="37"/>
      <c r="L47" s="143"/>
      <c r="M47" s="143"/>
      <c r="N47" s="132"/>
    </row>
    <row r="48" spans="1:14" s="3" customFormat="1" ht="15.75" x14ac:dyDescent="0.2">
      <c r="A48" s="38" t="s">
        <v>358</v>
      </c>
      <c r="B48" s="267">
        <v>602</v>
      </c>
      <c r="C48" s="268">
        <v>529.11260000000004</v>
      </c>
      <c r="D48" s="240">
        <f t="shared" si="3"/>
        <v>-12.1</v>
      </c>
      <c r="E48" s="27">
        <f>IFERROR(100/'Skjema total MA'!C48*C48,0)</f>
        <v>1.7615979094600411E-2</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507"/>
      <c r="F62" s="722"/>
      <c r="G62" s="722"/>
      <c r="H62" s="722"/>
      <c r="I62" s="507"/>
      <c r="J62" s="722"/>
      <c r="K62" s="722"/>
      <c r="L62" s="722"/>
      <c r="M62" s="507"/>
    </row>
    <row r="63" spans="1:14" x14ac:dyDescent="0.2">
      <c r="A63" s="128"/>
      <c r="B63" s="723" t="s">
        <v>0</v>
      </c>
      <c r="C63" s="724"/>
      <c r="D63" s="725"/>
      <c r="E63" s="503"/>
      <c r="F63" s="724" t="s">
        <v>1</v>
      </c>
      <c r="G63" s="724"/>
      <c r="H63" s="724"/>
      <c r="I63" s="505"/>
      <c r="J63" s="723" t="s">
        <v>2</v>
      </c>
      <c r="K63" s="724"/>
      <c r="L63" s="724"/>
      <c r="M63" s="505"/>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c r="D66" s="332"/>
      <c r="E66" s="11"/>
      <c r="F66" s="334"/>
      <c r="G66" s="334"/>
      <c r="H66" s="332"/>
      <c r="I66" s="11"/>
      <c r="J66" s="292"/>
      <c r="K66" s="299"/>
      <c r="L66" s="406"/>
      <c r="M66" s="11"/>
    </row>
    <row r="67" spans="1:14" x14ac:dyDescent="0.2">
      <c r="A67" s="397" t="s">
        <v>9</v>
      </c>
      <c r="B67" s="44"/>
      <c r="C67" s="129"/>
      <c r="D67" s="150"/>
      <c r="E67" s="27"/>
      <c r="F67" s="215"/>
      <c r="G67" s="129"/>
      <c r="H67" s="150"/>
      <c r="I67" s="27"/>
      <c r="J67" s="273"/>
      <c r="K67" s="44"/>
      <c r="L67" s="240"/>
      <c r="M67" s="27"/>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c r="D77" s="150"/>
      <c r="E77" s="27"/>
      <c r="F77" s="215"/>
      <c r="G77" s="129"/>
      <c r="H77" s="150"/>
      <c r="I77" s="27"/>
      <c r="J77" s="273"/>
      <c r="K77" s="44"/>
      <c r="L77" s="240"/>
      <c r="M77" s="27"/>
    </row>
    <row r="78" spans="1:14" x14ac:dyDescent="0.2">
      <c r="A78" s="21" t="s">
        <v>9</v>
      </c>
      <c r="B78" s="215"/>
      <c r="C78" s="129"/>
      <c r="D78" s="150"/>
      <c r="E78" s="27"/>
      <c r="F78" s="215"/>
      <c r="G78" s="129"/>
      <c r="H78" s="150"/>
      <c r="I78" s="27"/>
      <c r="J78" s="273"/>
      <c r="K78" s="44"/>
      <c r="L78" s="240"/>
      <c r="M78" s="27"/>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c r="D87" s="155"/>
      <c r="E87" s="11"/>
      <c r="F87" s="334"/>
      <c r="G87" s="334"/>
      <c r="H87" s="155"/>
      <c r="I87" s="11"/>
      <c r="J87" s="292"/>
      <c r="K87" s="217"/>
      <c r="L87" s="406"/>
      <c r="M87" s="11"/>
    </row>
    <row r="88" spans="1:13" x14ac:dyDescent="0.2">
      <c r="A88" s="21" t="s">
        <v>9</v>
      </c>
      <c r="B88" s="215"/>
      <c r="C88" s="129"/>
      <c r="D88" s="150"/>
      <c r="E88" s="27"/>
      <c r="F88" s="215"/>
      <c r="G88" s="129"/>
      <c r="H88" s="150"/>
      <c r="I88" s="27"/>
      <c r="J88" s="273"/>
      <c r="K88" s="44"/>
      <c r="L88" s="240"/>
      <c r="M88" s="27"/>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5" x14ac:dyDescent="0.2">
      <c r="A97" s="21" t="s">
        <v>331</v>
      </c>
      <c r="B97" s="215"/>
      <c r="C97" s="129"/>
      <c r="D97" s="150"/>
      <c r="E97" s="27"/>
      <c r="F97" s="215"/>
      <c r="G97" s="129"/>
      <c r="H97" s="150"/>
      <c r="I97" s="27"/>
      <c r="J97" s="273"/>
      <c r="K97" s="44"/>
      <c r="L97" s="240"/>
      <c r="M97" s="27"/>
    </row>
    <row r="98" spans="1:15" ht="15.75" x14ac:dyDescent="0.2">
      <c r="A98" s="21" t="s">
        <v>364</v>
      </c>
      <c r="B98" s="215"/>
      <c r="C98" s="215"/>
      <c r="D98" s="150"/>
      <c r="E98" s="27"/>
      <c r="F98" s="277"/>
      <c r="G98" s="277"/>
      <c r="H98" s="150"/>
      <c r="I98" s="27"/>
      <c r="J98" s="273"/>
      <c r="K98" s="44"/>
      <c r="L98" s="240"/>
      <c r="M98" s="27"/>
    </row>
    <row r="99" spans="1:15" x14ac:dyDescent="0.2">
      <c r="A99" s="21" t="s">
        <v>9</v>
      </c>
      <c r="B99" s="277"/>
      <c r="C99" s="278"/>
      <c r="D99" s="150"/>
      <c r="E99" s="27"/>
      <c r="F99" s="215"/>
      <c r="G99" s="129"/>
      <c r="H99" s="150"/>
      <c r="I99" s="27"/>
      <c r="J99" s="273"/>
      <c r="K99" s="44"/>
      <c r="L99" s="240"/>
      <c r="M99" s="27"/>
    </row>
    <row r="100" spans="1:15" x14ac:dyDescent="0.2">
      <c r="A100" s="38" t="s">
        <v>396</v>
      </c>
      <c r="B100" s="277"/>
      <c r="C100" s="278"/>
      <c r="D100" s="150"/>
      <c r="E100" s="27"/>
      <c r="F100" s="215"/>
      <c r="G100" s="215"/>
      <c r="H100" s="150"/>
      <c r="I100" s="27"/>
      <c r="J100" s="273"/>
      <c r="K100" s="44"/>
      <c r="L100" s="240"/>
      <c r="M100" s="27"/>
    </row>
    <row r="101" spans="1:15" ht="15.75" x14ac:dyDescent="0.2">
      <c r="A101" s="279" t="s">
        <v>362</v>
      </c>
      <c r="B101" s="307"/>
      <c r="C101" s="302"/>
      <c r="D101" s="150"/>
      <c r="E101" s="395"/>
      <c r="F101" s="307"/>
      <c r="G101" s="302"/>
      <c r="H101" s="150"/>
      <c r="I101" s="395"/>
      <c r="J101" s="307"/>
      <c r="K101" s="302"/>
      <c r="L101" s="150"/>
      <c r="M101" s="23"/>
    </row>
    <row r="102" spans="1:15" x14ac:dyDescent="0.2">
      <c r="A102" s="279" t="s">
        <v>12</v>
      </c>
      <c r="B102" s="307"/>
      <c r="C102" s="302"/>
      <c r="D102" s="150"/>
      <c r="E102" s="395"/>
      <c r="F102" s="307"/>
      <c r="G102" s="302"/>
      <c r="H102" s="150"/>
      <c r="I102" s="395"/>
      <c r="J102" s="307"/>
      <c r="K102" s="302"/>
      <c r="L102" s="150"/>
      <c r="M102" s="23"/>
    </row>
    <row r="103" spans="1:15" x14ac:dyDescent="0.2">
      <c r="A103" s="279" t="s">
        <v>13</v>
      </c>
      <c r="B103" s="307"/>
      <c r="C103" s="302"/>
      <c r="D103" s="150"/>
      <c r="E103" s="395"/>
      <c r="F103" s="307"/>
      <c r="G103" s="302"/>
      <c r="H103" s="150"/>
      <c r="I103" s="395"/>
      <c r="J103" s="307"/>
      <c r="K103" s="302"/>
      <c r="L103" s="150"/>
      <c r="M103" s="23"/>
    </row>
    <row r="104" spans="1:15" ht="15.75" x14ac:dyDescent="0.2">
      <c r="A104" s="279" t="s">
        <v>363</v>
      </c>
      <c r="B104" s="307"/>
      <c r="C104" s="302"/>
      <c r="D104" s="150"/>
      <c r="E104" s="395"/>
      <c r="F104" s="307"/>
      <c r="G104" s="302"/>
      <c r="H104" s="150"/>
      <c r="I104" s="395"/>
      <c r="J104" s="307"/>
      <c r="K104" s="302"/>
      <c r="L104" s="150"/>
      <c r="M104" s="23"/>
    </row>
    <row r="105" spans="1:15" x14ac:dyDescent="0.2">
      <c r="A105" s="279" t="s">
        <v>12</v>
      </c>
      <c r="B105" s="307"/>
      <c r="C105" s="302"/>
      <c r="D105" s="150"/>
      <c r="E105" s="395"/>
      <c r="F105" s="307"/>
      <c r="G105" s="302"/>
      <c r="H105" s="150"/>
      <c r="I105" s="395"/>
      <c r="J105" s="307"/>
      <c r="K105" s="302"/>
      <c r="L105" s="150"/>
      <c r="M105" s="23"/>
    </row>
    <row r="106" spans="1:15" x14ac:dyDescent="0.2">
      <c r="A106" s="279" t="s">
        <v>13</v>
      </c>
      <c r="B106" s="307"/>
      <c r="C106" s="302"/>
      <c r="D106" s="150"/>
      <c r="E106" s="395"/>
      <c r="F106" s="307"/>
      <c r="G106" s="302"/>
      <c r="H106" s="150"/>
      <c r="I106" s="395"/>
      <c r="J106" s="307"/>
      <c r="K106" s="302"/>
      <c r="L106" s="150"/>
      <c r="M106" s="23"/>
    </row>
    <row r="107" spans="1:15" ht="15.75" x14ac:dyDescent="0.2">
      <c r="A107" s="21" t="s">
        <v>365</v>
      </c>
      <c r="B107" s="215"/>
      <c r="C107" s="129"/>
      <c r="D107" s="150"/>
      <c r="E107" s="27"/>
      <c r="F107" s="215"/>
      <c r="G107" s="129"/>
      <c r="H107" s="150"/>
      <c r="I107" s="27"/>
      <c r="J107" s="273"/>
      <c r="K107" s="44"/>
      <c r="L107" s="240"/>
      <c r="M107" s="27"/>
    </row>
    <row r="108" spans="1:15" ht="15.75" x14ac:dyDescent="0.2">
      <c r="A108" s="21" t="s">
        <v>366</v>
      </c>
      <c r="B108" s="215"/>
      <c r="C108" s="215"/>
      <c r="D108" s="150"/>
      <c r="E108" s="27"/>
      <c r="F108" s="215"/>
      <c r="G108" s="215"/>
      <c r="H108" s="150"/>
      <c r="I108" s="27"/>
      <c r="J108" s="273"/>
      <c r="K108" s="44"/>
      <c r="L108" s="240"/>
      <c r="M108" s="27"/>
    </row>
    <row r="109" spans="1:15" ht="15.75" x14ac:dyDescent="0.2">
      <c r="A109" s="38" t="s">
        <v>404</v>
      </c>
      <c r="B109" s="215"/>
      <c r="C109" s="215"/>
      <c r="D109" s="150"/>
      <c r="E109" s="27"/>
      <c r="F109" s="215"/>
      <c r="G109" s="215"/>
      <c r="H109" s="150"/>
      <c r="I109" s="27"/>
      <c r="J109" s="273"/>
      <c r="K109" s="44"/>
      <c r="L109" s="240"/>
      <c r="M109" s="27"/>
      <c r="O109" s="3"/>
    </row>
    <row r="110" spans="1:15" ht="15.75" x14ac:dyDescent="0.2">
      <c r="A110" s="21" t="s">
        <v>367</v>
      </c>
      <c r="B110" s="215"/>
      <c r="C110" s="215"/>
      <c r="D110" s="150"/>
      <c r="E110" s="27"/>
      <c r="F110" s="215"/>
      <c r="G110" s="215"/>
      <c r="H110" s="150"/>
      <c r="I110" s="27"/>
      <c r="J110" s="273"/>
      <c r="K110" s="44"/>
      <c r="L110" s="240"/>
      <c r="M110" s="27"/>
    </row>
    <row r="111" spans="1:15" ht="15.75" x14ac:dyDescent="0.2">
      <c r="A111" s="13" t="s">
        <v>348</v>
      </c>
      <c r="B111" s="291"/>
      <c r="C111" s="143"/>
      <c r="D111" s="155"/>
      <c r="E111" s="11"/>
      <c r="F111" s="291"/>
      <c r="G111" s="143"/>
      <c r="H111" s="155"/>
      <c r="I111" s="11"/>
      <c r="J111" s="292"/>
      <c r="K111" s="217"/>
      <c r="L111" s="406"/>
      <c r="M111" s="11"/>
    </row>
    <row r="112" spans="1:15"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507"/>
      <c r="F130" s="722"/>
      <c r="G130" s="722"/>
      <c r="H130" s="722"/>
      <c r="I130" s="507"/>
      <c r="J130" s="722"/>
      <c r="K130" s="722"/>
      <c r="L130" s="722"/>
      <c r="M130" s="507"/>
    </row>
    <row r="131" spans="1:14" s="3" customFormat="1" x14ac:dyDescent="0.2">
      <c r="A131" s="128"/>
      <c r="B131" s="723" t="s">
        <v>0</v>
      </c>
      <c r="C131" s="724"/>
      <c r="D131" s="724"/>
      <c r="E131" s="504"/>
      <c r="F131" s="723" t="s">
        <v>1</v>
      </c>
      <c r="G131" s="724"/>
      <c r="H131" s="724"/>
      <c r="I131" s="505"/>
      <c r="J131" s="723" t="s">
        <v>2</v>
      </c>
      <c r="K131" s="724"/>
      <c r="L131" s="724"/>
      <c r="M131" s="505"/>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252" priority="7">
      <formula>kvartal &lt; 4</formula>
    </cfRule>
  </conditionalFormatting>
  <conditionalFormatting sqref="A69:A74">
    <cfRule type="expression" dxfId="251" priority="6">
      <formula>kvartal &lt; 4</formula>
    </cfRule>
  </conditionalFormatting>
  <conditionalFormatting sqref="A80:A85">
    <cfRule type="expression" dxfId="250" priority="5">
      <formula>kvartal &lt; 4</formula>
    </cfRule>
  </conditionalFormatting>
  <conditionalFormatting sqref="A90:A95">
    <cfRule type="expression" dxfId="249" priority="4">
      <formula>kvartal &lt; 4</formula>
    </cfRule>
  </conditionalFormatting>
  <conditionalFormatting sqref="A101:A106">
    <cfRule type="expression" dxfId="248" priority="3">
      <formula>kvartal &lt; 4</formula>
    </cfRule>
  </conditionalFormatting>
  <conditionalFormatting sqref="A115">
    <cfRule type="expression" dxfId="247" priority="2">
      <formula>kvartal &lt; 4</formula>
    </cfRule>
  </conditionalFormatting>
  <conditionalFormatting sqref="A123">
    <cfRule type="expression" dxfId="246" priority="1">
      <formula>kvartal &lt; 4</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O144"/>
  <sheetViews>
    <sheetView showGridLines="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400</v>
      </c>
      <c r="D1" s="26"/>
      <c r="E1" s="26"/>
      <c r="F1" s="26"/>
      <c r="G1" s="26"/>
      <c r="H1" s="26"/>
      <c r="I1" s="26"/>
      <c r="J1" s="26"/>
      <c r="K1" s="26"/>
      <c r="L1" s="26"/>
      <c r="M1" s="26"/>
    </row>
    <row r="2" spans="1:14" ht="15.75" x14ac:dyDescent="0.25">
      <c r="A2" s="149" t="s">
        <v>28</v>
      </c>
      <c r="B2" s="727"/>
      <c r="C2" s="727"/>
      <c r="D2" s="727"/>
      <c r="E2" s="560"/>
      <c r="F2" s="727"/>
      <c r="G2" s="727"/>
      <c r="H2" s="727"/>
      <c r="I2" s="560"/>
      <c r="J2" s="727"/>
      <c r="K2" s="727"/>
      <c r="L2" s="727"/>
      <c r="M2" s="560"/>
    </row>
    <row r="3" spans="1:14" ht="15.75" x14ac:dyDescent="0.25">
      <c r="A3" s="147"/>
      <c r="B3" s="560"/>
      <c r="C3" s="560"/>
      <c r="D3" s="560"/>
      <c r="E3" s="560"/>
      <c r="F3" s="560"/>
      <c r="G3" s="560"/>
      <c r="H3" s="560"/>
      <c r="I3" s="560"/>
      <c r="J3" s="560"/>
      <c r="K3" s="560"/>
      <c r="L3" s="560"/>
      <c r="M3" s="560"/>
    </row>
    <row r="4" spans="1:14" x14ac:dyDescent="0.2">
      <c r="A4" s="128"/>
      <c r="B4" s="723" t="s">
        <v>0</v>
      </c>
      <c r="C4" s="724"/>
      <c r="D4" s="724"/>
      <c r="E4" s="558"/>
      <c r="F4" s="723" t="s">
        <v>1</v>
      </c>
      <c r="G4" s="724"/>
      <c r="H4" s="724"/>
      <c r="I4" s="559"/>
      <c r="J4" s="723" t="s">
        <v>2</v>
      </c>
      <c r="K4" s="724"/>
      <c r="L4" s="724"/>
      <c r="M4" s="559"/>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3468</v>
      </c>
      <c r="C7" s="290">
        <v>7643</v>
      </c>
      <c r="D7" s="332">
        <f>IF(B7=0, "    ---- ", IF(ABS(ROUND(100/B7*C7-100,1))&lt;999,ROUND(100/B7*C7-100,1),IF(ROUND(100/B7*C7-100,1)&gt;999,999,-999)))</f>
        <v>120.4</v>
      </c>
      <c r="E7" s="11">
        <f>IFERROR(100/'Skjema total MA'!C7*C7,0)</f>
        <v>0.18010614949041798</v>
      </c>
      <c r="F7" s="289"/>
      <c r="G7" s="290"/>
      <c r="H7" s="332"/>
      <c r="I7" s="144"/>
      <c r="J7" s="291">
        <f t="shared" ref="J7:K10" si="0">SUM(B7,F7)</f>
        <v>3468</v>
      </c>
      <c r="K7" s="292">
        <f t="shared" si="0"/>
        <v>7643</v>
      </c>
      <c r="L7" s="405">
        <f>IF(J7=0, "    ---- ", IF(ABS(ROUND(100/J7*K7-100,1))&lt;999,ROUND(100/J7*K7-100,1),IF(ROUND(100/J7*K7-100,1)&gt;999,999,-999)))</f>
        <v>120.4</v>
      </c>
      <c r="M7" s="11">
        <f>IFERROR(100/'Skjema total MA'!I7*K7,0)</f>
        <v>6.4000403042952028E-2</v>
      </c>
    </row>
    <row r="8" spans="1:14" ht="15.75" x14ac:dyDescent="0.2">
      <c r="A8" s="21" t="s">
        <v>25</v>
      </c>
      <c r="B8" s="267">
        <v>738</v>
      </c>
      <c r="C8" s="268">
        <v>2651</v>
      </c>
      <c r="D8" s="150">
        <f t="shared" ref="D8:D10" si="1">IF(B8=0, "    ---- ", IF(ABS(ROUND(100/B8*C8-100,1))&lt;999,ROUND(100/B8*C8-100,1),IF(ROUND(100/B8*C8-100,1)&gt;999,999,-999)))</f>
        <v>259.2</v>
      </c>
      <c r="E8" s="27">
        <f>IFERROR(100/'Skjema total MA'!C8*C8,0)</f>
        <v>9.832551469258273E-2</v>
      </c>
      <c r="F8" s="271"/>
      <c r="G8" s="272"/>
      <c r="H8" s="150"/>
      <c r="I8" s="160"/>
      <c r="J8" s="215">
        <f t="shared" si="0"/>
        <v>738</v>
      </c>
      <c r="K8" s="273">
        <f t="shared" si="0"/>
        <v>2651</v>
      </c>
      <c r="L8" s="150">
        <f t="shared" ref="L8:L10" si="2">IF(J8=0, "    ---- ", IF(ABS(ROUND(100/J8*K8-100,1))&lt;999,ROUND(100/J8*K8-100,1),IF(ROUND(100/J8*K8-100,1)&gt;999,999,-999)))</f>
        <v>259.2</v>
      </c>
      <c r="M8" s="27">
        <f>IFERROR(100/'Skjema total MA'!I8*K8,0)</f>
        <v>9.832551469258273E-2</v>
      </c>
    </row>
    <row r="9" spans="1:14" ht="15.75" x14ac:dyDescent="0.2">
      <c r="A9" s="21" t="s">
        <v>24</v>
      </c>
      <c r="B9" s="267">
        <v>406</v>
      </c>
      <c r="C9" s="268">
        <v>1225</v>
      </c>
      <c r="D9" s="150">
        <f t="shared" si="1"/>
        <v>201.7</v>
      </c>
      <c r="E9" s="27">
        <f>IFERROR(100/'Skjema total MA'!C9*C9,0)</f>
        <v>0.13836987557823258</v>
      </c>
      <c r="F9" s="271"/>
      <c r="G9" s="272"/>
      <c r="H9" s="150"/>
      <c r="I9" s="160"/>
      <c r="J9" s="215">
        <f t="shared" si="0"/>
        <v>406</v>
      </c>
      <c r="K9" s="273">
        <f t="shared" si="0"/>
        <v>1225</v>
      </c>
      <c r="L9" s="150">
        <f t="shared" si="2"/>
        <v>201.7</v>
      </c>
      <c r="M9" s="27">
        <f>IFERROR(100/'Skjema total MA'!I9*K9,0)</f>
        <v>0.13836987557823258</v>
      </c>
    </row>
    <row r="10" spans="1:14" ht="15.75" x14ac:dyDescent="0.2">
      <c r="A10" s="13" t="s">
        <v>347</v>
      </c>
      <c r="B10" s="293">
        <v>2911</v>
      </c>
      <c r="C10" s="294">
        <v>5002</v>
      </c>
      <c r="D10" s="155">
        <f t="shared" si="1"/>
        <v>71.8</v>
      </c>
      <c r="E10" s="11">
        <f>IFERROR(100/'Skjema total MA'!C10*C10,0)</f>
        <v>3.6063721313703834E-2</v>
      </c>
      <c r="F10" s="293"/>
      <c r="G10" s="294"/>
      <c r="H10" s="155"/>
      <c r="I10" s="144"/>
      <c r="J10" s="291">
        <f t="shared" si="0"/>
        <v>2911</v>
      </c>
      <c r="K10" s="292">
        <f t="shared" si="0"/>
        <v>5002</v>
      </c>
      <c r="L10" s="406">
        <f t="shared" si="2"/>
        <v>71.8</v>
      </c>
      <c r="M10" s="11">
        <f>IFERROR(100/'Skjema total MA'!I10*K10,0)</f>
        <v>5.448275471650792E-3</v>
      </c>
    </row>
    <row r="11" spans="1:14" s="43" customFormat="1" ht="15.75" x14ac:dyDescent="0.2">
      <c r="A11" s="13" t="s">
        <v>348</v>
      </c>
      <c r="B11" s="293"/>
      <c r="C11" s="294"/>
      <c r="D11" s="155"/>
      <c r="E11" s="11"/>
      <c r="F11" s="293"/>
      <c r="G11" s="294"/>
      <c r="H11" s="155"/>
      <c r="I11" s="144"/>
      <c r="J11" s="291"/>
      <c r="K11" s="292"/>
      <c r="L11" s="406"/>
      <c r="M11" s="11"/>
      <c r="N11" s="127"/>
    </row>
    <row r="12" spans="1:14" s="43" customFormat="1" ht="15.75" x14ac:dyDescent="0.2">
      <c r="A12" s="41" t="s">
        <v>349</v>
      </c>
      <c r="B12" s="295"/>
      <c r="C12" s="296"/>
      <c r="D12" s="153"/>
      <c r="E12" s="36"/>
      <c r="F12" s="295"/>
      <c r="G12" s="296"/>
      <c r="H12" s="153"/>
      <c r="I12" s="153"/>
      <c r="J12" s="297"/>
      <c r="K12" s="298"/>
      <c r="L12" s="407"/>
      <c r="M12" s="36"/>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560"/>
      <c r="F18" s="722"/>
      <c r="G18" s="722"/>
      <c r="H18" s="722"/>
      <c r="I18" s="560"/>
      <c r="J18" s="722"/>
      <c r="K18" s="722"/>
      <c r="L18" s="722"/>
      <c r="M18" s="560"/>
    </row>
    <row r="19" spans="1:14" x14ac:dyDescent="0.2">
      <c r="A19" s="128"/>
      <c r="B19" s="723" t="s">
        <v>0</v>
      </c>
      <c r="C19" s="724"/>
      <c r="D19" s="724"/>
      <c r="E19" s="558"/>
      <c r="F19" s="723" t="s">
        <v>1</v>
      </c>
      <c r="G19" s="724"/>
      <c r="H19" s="724"/>
      <c r="I19" s="559"/>
      <c r="J19" s="723" t="s">
        <v>2</v>
      </c>
      <c r="K19" s="724"/>
      <c r="L19" s="724"/>
      <c r="M19" s="559"/>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111</v>
      </c>
      <c r="C22" s="293">
        <v>3103</v>
      </c>
      <c r="D22" s="332">
        <f t="shared" ref="D22:D30" si="3">IF(B22=0, "    ---- ", IF(ABS(ROUND(100/B22*C22-100,1))&lt;999,ROUND(100/B22*C22-100,1),IF(ROUND(100/B22*C22-100,1)&gt;999,999,-999)))</f>
        <v>999</v>
      </c>
      <c r="E22" s="11">
        <f>IFERROR(100/'Skjema total MA'!C22*C22,0)</f>
        <v>0.17844300997840304</v>
      </c>
      <c r="F22" s="301"/>
      <c r="G22" s="301"/>
      <c r="H22" s="332"/>
      <c r="I22" s="11"/>
      <c r="J22" s="299">
        <f t="shared" ref="J22:K30" si="4">SUM(B22,F22)</f>
        <v>111</v>
      </c>
      <c r="K22" s="299">
        <f t="shared" si="4"/>
        <v>3103</v>
      </c>
      <c r="L22" s="405">
        <f t="shared" ref="L22:L30" si="5">IF(J22=0, "    ---- ", IF(ABS(ROUND(100/J22*K22-100,1))&lt;999,ROUND(100/J22*K22-100,1),IF(ROUND(100/J22*K22-100,1)&gt;999,999,-999)))</f>
        <v>999</v>
      </c>
      <c r="M22" s="24">
        <f>IFERROR(100/'Skjema total MA'!I22*K22,0)</f>
        <v>0.12992529796069519</v>
      </c>
    </row>
    <row r="23" spans="1:14" ht="15.75" x14ac:dyDescent="0.2">
      <c r="A23" s="487" t="s">
        <v>350</v>
      </c>
      <c r="B23" s="267"/>
      <c r="C23" s="267">
        <v>3103</v>
      </c>
      <c r="D23" s="150" t="str">
        <f t="shared" si="3"/>
        <v xml:space="preserve">    ---- </v>
      </c>
      <c r="E23" s="11">
        <f>IFERROR(100/'Skjema total MA'!C23*C23,0)</f>
        <v>0.30235679902929269</v>
      </c>
      <c r="F23" s="276"/>
      <c r="G23" s="276"/>
      <c r="H23" s="150"/>
      <c r="I23" s="395"/>
      <c r="J23" s="276"/>
      <c r="K23" s="276">
        <f t="shared" si="4"/>
        <v>3103</v>
      </c>
      <c r="L23" s="150" t="str">
        <f t="shared" si="5"/>
        <v xml:space="preserve">    ---- </v>
      </c>
      <c r="M23" s="23">
        <f>IFERROR(100/'Skjema total MA'!I23*K23,0)</f>
        <v>0.29264647997752852</v>
      </c>
    </row>
    <row r="24" spans="1:14" ht="15.75" x14ac:dyDescent="0.2">
      <c r="A24" s="487" t="s">
        <v>351</v>
      </c>
      <c r="B24" s="267"/>
      <c r="C24" s="267"/>
      <c r="D24" s="150"/>
      <c r="E24" s="11"/>
      <c r="F24" s="276"/>
      <c r="G24" s="276"/>
      <c r="H24" s="150"/>
      <c r="I24" s="395"/>
      <c r="J24" s="276"/>
      <c r="K24" s="276"/>
      <c r="L24" s="150"/>
      <c r="M24" s="23"/>
    </row>
    <row r="25" spans="1:14" ht="15.75" x14ac:dyDescent="0.2">
      <c r="A25" s="487" t="s">
        <v>352</v>
      </c>
      <c r="B25" s="267"/>
      <c r="C25" s="267"/>
      <c r="D25" s="150"/>
      <c r="E25" s="11"/>
      <c r="F25" s="276"/>
      <c r="G25" s="276"/>
      <c r="H25" s="150"/>
      <c r="I25" s="395"/>
      <c r="J25" s="276"/>
      <c r="K25" s="276"/>
      <c r="L25" s="150"/>
      <c r="M25" s="23"/>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83</v>
      </c>
      <c r="C28" s="273">
        <v>747</v>
      </c>
      <c r="D28" s="150">
        <f t="shared" si="3"/>
        <v>800</v>
      </c>
      <c r="E28" s="11">
        <f>IFERROR(100/'Skjema total MA'!C28*C28,0)</f>
        <v>3.5574263835038623E-2</v>
      </c>
      <c r="F28" s="215"/>
      <c r="G28" s="273"/>
      <c r="H28" s="150"/>
      <c r="I28" s="27"/>
      <c r="J28" s="44">
        <f t="shared" si="4"/>
        <v>83</v>
      </c>
      <c r="K28" s="44">
        <f t="shared" si="4"/>
        <v>747</v>
      </c>
      <c r="L28" s="240">
        <f t="shared" si="5"/>
        <v>800</v>
      </c>
      <c r="M28" s="23">
        <f>IFERROR(100/'Skjema total MA'!I28*K28,0)</f>
        <v>3.5574263835038623E-2</v>
      </c>
    </row>
    <row r="29" spans="1:14" s="3" customFormat="1" ht="15.75" x14ac:dyDescent="0.2">
      <c r="A29" s="13" t="s">
        <v>347</v>
      </c>
      <c r="B29" s="217">
        <v>106</v>
      </c>
      <c r="C29" s="217">
        <v>2767</v>
      </c>
      <c r="D29" s="155">
        <f t="shared" si="3"/>
        <v>999</v>
      </c>
      <c r="E29" s="11">
        <f>IFERROR(100/'Skjema total MA'!C29*C29,0)</f>
        <v>6.0405403451553189E-3</v>
      </c>
      <c r="F29" s="291"/>
      <c r="G29" s="291"/>
      <c r="H29" s="155"/>
      <c r="I29" s="11"/>
      <c r="J29" s="217">
        <f t="shared" si="4"/>
        <v>106</v>
      </c>
      <c r="K29" s="217">
        <f t="shared" si="4"/>
        <v>2767</v>
      </c>
      <c r="L29" s="406">
        <f t="shared" si="5"/>
        <v>999</v>
      </c>
      <c r="M29" s="24">
        <f>IFERROR(100/'Skjema total MA'!I29*K29,0)</f>
        <v>3.9139956066466001E-3</v>
      </c>
      <c r="N29" s="132"/>
    </row>
    <row r="30" spans="1:14" s="3" customFormat="1" ht="15.75" x14ac:dyDescent="0.2">
      <c r="A30" s="487" t="s">
        <v>350</v>
      </c>
      <c r="B30" s="267"/>
      <c r="C30" s="267">
        <v>2767</v>
      </c>
      <c r="D30" s="150" t="str">
        <f t="shared" si="3"/>
        <v xml:space="preserve">    ---- </v>
      </c>
      <c r="E30" s="11">
        <f>IFERROR(100/'Skjema total MA'!C30*C30,0)</f>
        <v>1.4154518699191114E-2</v>
      </c>
      <c r="F30" s="276"/>
      <c r="G30" s="276"/>
      <c r="H30" s="150"/>
      <c r="I30" s="395"/>
      <c r="J30" s="276">
        <f t="shared" si="4"/>
        <v>0</v>
      </c>
      <c r="K30" s="276">
        <f t="shared" si="4"/>
        <v>2767</v>
      </c>
      <c r="L30" s="150" t="str">
        <f t="shared" si="5"/>
        <v xml:space="preserve">    ---- </v>
      </c>
      <c r="M30" s="23">
        <f>IFERROR(100/'Skjema total MA'!I30*K30,0)</f>
        <v>1.203983460511812E-2</v>
      </c>
      <c r="N30" s="132"/>
    </row>
    <row r="31" spans="1:14" s="3" customFormat="1" ht="15.75" x14ac:dyDescent="0.2">
      <c r="A31" s="487" t="s">
        <v>351</v>
      </c>
      <c r="B31" s="267"/>
      <c r="C31" s="267"/>
      <c r="D31" s="150"/>
      <c r="E31" s="11"/>
      <c r="F31" s="276"/>
      <c r="G31" s="276"/>
      <c r="H31" s="150"/>
      <c r="I31" s="395"/>
      <c r="J31" s="276"/>
      <c r="K31" s="276"/>
      <c r="L31" s="150"/>
      <c r="M31" s="23"/>
      <c r="N31" s="132"/>
    </row>
    <row r="32" spans="1:14" ht="15.75" x14ac:dyDescent="0.2">
      <c r="A32" s="487" t="s">
        <v>352</v>
      </c>
      <c r="B32" s="267"/>
      <c r="C32" s="267"/>
      <c r="D32" s="150"/>
      <c r="E32" s="11"/>
      <c r="F32" s="276"/>
      <c r="G32" s="276"/>
      <c r="H32" s="150"/>
      <c r="I32" s="395"/>
      <c r="J32" s="276"/>
      <c r="K32" s="276"/>
      <c r="L32" s="150"/>
      <c r="M32" s="23"/>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c r="C34" s="292"/>
      <c r="D34" s="155"/>
      <c r="E34" s="11"/>
      <c r="F34" s="291"/>
      <c r="G34" s="292"/>
      <c r="H34" s="155"/>
      <c r="I34" s="11"/>
      <c r="J34" s="217"/>
      <c r="K34" s="217"/>
      <c r="L34" s="406"/>
      <c r="M34" s="24"/>
    </row>
    <row r="35" spans="1:14" ht="15.75" x14ac:dyDescent="0.2">
      <c r="A35" s="13" t="s">
        <v>349</v>
      </c>
      <c r="B35" s="217"/>
      <c r="C35" s="292"/>
      <c r="D35" s="155"/>
      <c r="E35" s="11"/>
      <c r="F35" s="291"/>
      <c r="G35" s="292"/>
      <c r="H35" s="155"/>
      <c r="I35" s="11"/>
      <c r="J35" s="217"/>
      <c r="K35" s="217"/>
      <c r="L35" s="406"/>
      <c r="M35" s="24"/>
    </row>
    <row r="36" spans="1:14" ht="15.75" x14ac:dyDescent="0.2">
      <c r="A36" s="12" t="s">
        <v>276</v>
      </c>
      <c r="B36" s="217"/>
      <c r="C36" s="292"/>
      <c r="D36" s="155"/>
      <c r="E36" s="11"/>
      <c r="F36" s="302"/>
      <c r="G36" s="303"/>
      <c r="H36" s="155"/>
      <c r="I36" s="412"/>
      <c r="J36" s="217"/>
      <c r="K36" s="217"/>
      <c r="L36" s="406"/>
      <c r="M36" s="24"/>
    </row>
    <row r="37" spans="1:14" ht="15.75" x14ac:dyDescent="0.2">
      <c r="A37" s="12" t="s">
        <v>355</v>
      </c>
      <c r="B37" s="217"/>
      <c r="C37" s="292"/>
      <c r="D37" s="155"/>
      <c r="E37" s="11"/>
      <c r="F37" s="302"/>
      <c r="G37" s="304"/>
      <c r="H37" s="155"/>
      <c r="I37" s="412"/>
      <c r="J37" s="217"/>
      <c r="K37" s="217"/>
      <c r="L37" s="406"/>
      <c r="M37" s="24"/>
    </row>
    <row r="38" spans="1:14" ht="15.75" x14ac:dyDescent="0.2">
      <c r="A38" s="12" t="s">
        <v>356</v>
      </c>
      <c r="B38" s="217"/>
      <c r="C38" s="292"/>
      <c r="D38" s="410"/>
      <c r="E38" s="24"/>
      <c r="F38" s="302"/>
      <c r="G38" s="303"/>
      <c r="H38" s="155"/>
      <c r="I38" s="412"/>
      <c r="J38" s="217"/>
      <c r="K38" s="217"/>
      <c r="L38" s="406"/>
      <c r="M38" s="24"/>
    </row>
    <row r="39" spans="1:14" ht="15.75" x14ac:dyDescent="0.2">
      <c r="A39" s="18" t="s">
        <v>357</v>
      </c>
      <c r="B39" s="262"/>
      <c r="C39" s="298"/>
      <c r="D39" s="411"/>
      <c r="E39" s="36"/>
      <c r="F39" s="305"/>
      <c r="G39" s="306"/>
      <c r="H39" s="153"/>
      <c r="I39" s="36"/>
      <c r="J39" s="217"/>
      <c r="K39" s="217"/>
      <c r="L39" s="407"/>
      <c r="M39" s="36"/>
    </row>
    <row r="40" spans="1:14" ht="15.75" x14ac:dyDescent="0.25">
      <c r="A40" s="47"/>
      <c r="B40" s="239"/>
      <c r="C40" s="239"/>
      <c r="D40" s="726"/>
      <c r="E40" s="728"/>
      <c r="F40" s="726"/>
      <c r="G40" s="726"/>
      <c r="H40" s="726"/>
      <c r="I40" s="726"/>
      <c r="J40" s="726"/>
      <c r="K40" s="726"/>
      <c r="L40" s="726"/>
      <c r="M40" s="561"/>
    </row>
    <row r="41" spans="1:14" x14ac:dyDescent="0.2">
      <c r="A41" s="139"/>
    </row>
    <row r="42" spans="1:14" ht="15.75" x14ac:dyDescent="0.25">
      <c r="A42" s="131" t="s">
        <v>265</v>
      </c>
      <c r="B42" s="727"/>
      <c r="C42" s="727"/>
      <c r="D42" s="727"/>
      <c r="E42" s="560"/>
      <c r="F42" s="728"/>
      <c r="G42" s="728"/>
      <c r="H42" s="728"/>
      <c r="I42" s="561"/>
      <c r="J42" s="728"/>
      <c r="K42" s="728"/>
      <c r="L42" s="728"/>
      <c r="M42" s="561"/>
    </row>
    <row r="43" spans="1:14" ht="15.75" x14ac:dyDescent="0.25">
      <c r="A43" s="147"/>
      <c r="B43" s="556"/>
      <c r="C43" s="556"/>
      <c r="D43" s="556"/>
      <c r="E43" s="556"/>
      <c r="F43" s="561"/>
      <c r="G43" s="561"/>
      <c r="H43" s="561"/>
      <c r="I43" s="561"/>
      <c r="J43" s="561"/>
      <c r="K43" s="561"/>
      <c r="L43" s="561"/>
      <c r="M43" s="561"/>
    </row>
    <row r="44" spans="1:14" ht="15.75" x14ac:dyDescent="0.25">
      <c r="A44" s="230"/>
      <c r="B44" s="723" t="s">
        <v>0</v>
      </c>
      <c r="C44" s="724"/>
      <c r="D44" s="724"/>
      <c r="E44" s="225"/>
      <c r="F44" s="561"/>
      <c r="G44" s="561"/>
      <c r="H44" s="561"/>
      <c r="I44" s="561"/>
      <c r="J44" s="561"/>
      <c r="K44" s="561"/>
      <c r="L44" s="561"/>
      <c r="M44" s="561"/>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c r="C47" s="294">
        <v>138</v>
      </c>
      <c r="D47" s="405" t="str">
        <f t="shared" ref="D47:D48" si="6">IF(B47=0, "    ---- ", IF(ABS(ROUND(100/B47*C47-100,1))&lt;999,ROUND(100/B47*C47-100,1),IF(ROUND(100/B47*C47-100,1)&gt;999,999,-999)))</f>
        <v xml:space="preserve">    ---- </v>
      </c>
      <c r="E47" s="11">
        <f>IFERROR(100/'Skjema total MA'!C47*C47,0)</f>
        <v>2.5878456531495263E-3</v>
      </c>
      <c r="F47" s="129"/>
      <c r="G47" s="33"/>
      <c r="H47" s="143"/>
      <c r="I47" s="143"/>
      <c r="J47" s="37"/>
      <c r="K47" s="37"/>
      <c r="L47" s="143"/>
      <c r="M47" s="143"/>
      <c r="N47" s="132"/>
    </row>
    <row r="48" spans="1:14" s="3" customFormat="1" ht="15.75" x14ac:dyDescent="0.2">
      <c r="A48" s="38" t="s">
        <v>358</v>
      </c>
      <c r="B48" s="267"/>
      <c r="C48" s="268">
        <v>138</v>
      </c>
      <c r="D48" s="240" t="str">
        <f t="shared" si="6"/>
        <v xml:space="preserve">    ---- </v>
      </c>
      <c r="E48" s="27">
        <f>IFERROR(100/'Skjema total MA'!C48*C48,0)</f>
        <v>4.5944948486482022E-3</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560"/>
      <c r="F62" s="722"/>
      <c r="G62" s="722"/>
      <c r="H62" s="722"/>
      <c r="I62" s="560"/>
      <c r="J62" s="722"/>
      <c r="K62" s="722"/>
      <c r="L62" s="722"/>
      <c r="M62" s="560"/>
    </row>
    <row r="63" spans="1:14" x14ac:dyDescent="0.2">
      <c r="A63" s="128"/>
      <c r="B63" s="723" t="s">
        <v>0</v>
      </c>
      <c r="C63" s="724"/>
      <c r="D63" s="725"/>
      <c r="E63" s="557"/>
      <c r="F63" s="724" t="s">
        <v>1</v>
      </c>
      <c r="G63" s="724"/>
      <c r="H63" s="724"/>
      <c r="I63" s="559"/>
      <c r="J63" s="723" t="s">
        <v>2</v>
      </c>
      <c r="K63" s="724"/>
      <c r="L63" s="724"/>
      <c r="M63" s="559"/>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c r="C66" s="335">
        <v>6020</v>
      </c>
      <c r="D66" s="332" t="str">
        <f t="shared" ref="D66:D114" si="7">IF(B66=0, "    ---- ", IF(ABS(ROUND(100/B66*C66-100,1))&lt;999,ROUND(100/B66*C66-100,1),IF(ROUND(100/B66*C66-100,1)&gt;999,999,-999)))</f>
        <v xml:space="preserve">    ---- </v>
      </c>
      <c r="E66" s="11">
        <f>IFERROR(100/'Skjema total MA'!C66*C66,0)</f>
        <v>8.7843107010275881E-2</v>
      </c>
      <c r="F66" s="334"/>
      <c r="G66" s="334"/>
      <c r="H66" s="332"/>
      <c r="I66" s="11"/>
      <c r="J66" s="292"/>
      <c r="K66" s="299">
        <f t="shared" ref="J66:K78" si="8">SUM(C66,G66)</f>
        <v>6020</v>
      </c>
      <c r="L66" s="406" t="str">
        <f t="shared" ref="L66:L114" si="9">IF(J66=0, "    ---- ", IF(ABS(ROUND(100/J66*K66-100,1))&lt;999,ROUND(100/J66*K66-100,1),IF(ROUND(100/J66*K66-100,1)&gt;999,999,-999)))</f>
        <v xml:space="preserve">    ---- </v>
      </c>
      <c r="M66" s="11">
        <f>IFERROR(100/'Skjema total MA'!I66*K66,0)</f>
        <v>1.3875353331202699E-2</v>
      </c>
    </row>
    <row r="67" spans="1:14" x14ac:dyDescent="0.2">
      <c r="A67" s="397" t="s">
        <v>9</v>
      </c>
      <c r="B67" s="44"/>
      <c r="C67" s="129">
        <v>6020</v>
      </c>
      <c r="D67" s="150" t="str">
        <f t="shared" si="7"/>
        <v xml:space="preserve">    ---- </v>
      </c>
      <c r="E67" s="27">
        <f>IFERROR(100/'Skjema total MA'!C67*C67,0)</f>
        <v>0.14307789751790931</v>
      </c>
      <c r="F67" s="215"/>
      <c r="G67" s="129"/>
      <c r="H67" s="150"/>
      <c r="I67" s="27"/>
      <c r="J67" s="273"/>
      <c r="K67" s="44">
        <f t="shared" si="8"/>
        <v>6020</v>
      </c>
      <c r="L67" s="240" t="str">
        <f t="shared" si="9"/>
        <v xml:space="preserve">    ---- </v>
      </c>
      <c r="M67" s="27">
        <f>IFERROR(100/'Skjema total MA'!I67*K67,0)</f>
        <v>0.14307789751790931</v>
      </c>
    </row>
    <row r="68" spans="1:14" x14ac:dyDescent="0.2">
      <c r="A68" s="21" t="s">
        <v>10</v>
      </c>
      <c r="B68" s="277"/>
      <c r="C68" s="278"/>
      <c r="D68" s="150"/>
      <c r="E68" s="27"/>
      <c r="F68" s="277"/>
      <c r="G68" s="278"/>
      <c r="H68" s="150"/>
      <c r="I68" s="27"/>
      <c r="J68" s="273"/>
      <c r="K68" s="44"/>
      <c r="L68" s="240"/>
      <c r="M68" s="27"/>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c r="C77" s="215">
        <v>6020</v>
      </c>
      <c r="D77" s="150" t="str">
        <f t="shared" si="7"/>
        <v xml:space="preserve">    ---- </v>
      </c>
      <c r="E77" s="27">
        <f>IFERROR(100/'Skjema total MA'!C77*C77,0)</f>
        <v>0.14535897417083282</v>
      </c>
      <c r="F77" s="215"/>
      <c r="G77" s="129"/>
      <c r="H77" s="150"/>
      <c r="I77" s="27"/>
      <c r="J77" s="273">
        <f t="shared" si="8"/>
        <v>0</v>
      </c>
      <c r="K77" s="44">
        <f t="shared" si="8"/>
        <v>6020</v>
      </c>
      <c r="L77" s="240" t="str">
        <f t="shared" si="9"/>
        <v xml:space="preserve">    ---- </v>
      </c>
      <c r="M77" s="27">
        <f>IFERROR(100/'Skjema total MA'!I77*K77,0)</f>
        <v>1.5419174821779971E-2</v>
      </c>
    </row>
    <row r="78" spans="1:14" x14ac:dyDescent="0.2">
      <c r="A78" s="21" t="s">
        <v>9</v>
      </c>
      <c r="B78" s="215"/>
      <c r="C78" s="129">
        <v>6020</v>
      </c>
      <c r="D78" s="150" t="str">
        <f t="shared" si="7"/>
        <v xml:space="preserve">    ---- </v>
      </c>
      <c r="E78" s="27">
        <f>IFERROR(100/'Skjema total MA'!C78*C78,0)</f>
        <v>0.1463900972121481</v>
      </c>
      <c r="F78" s="215"/>
      <c r="G78" s="129"/>
      <c r="H78" s="150"/>
      <c r="I78" s="27"/>
      <c r="J78" s="273">
        <f t="shared" si="8"/>
        <v>0</v>
      </c>
      <c r="K78" s="44">
        <f t="shared" si="8"/>
        <v>6020</v>
      </c>
      <c r="L78" s="240" t="str">
        <f t="shared" si="9"/>
        <v xml:space="preserve">    ---- </v>
      </c>
      <c r="M78" s="27">
        <f>IFERROR(100/'Skjema total MA'!I78*K78,0)</f>
        <v>0.1463900972121481</v>
      </c>
    </row>
    <row r="79" spans="1:14" x14ac:dyDescent="0.2">
      <c r="A79" s="38" t="s">
        <v>396</v>
      </c>
      <c r="B79" s="277"/>
      <c r="C79" s="278"/>
      <c r="D79" s="150"/>
      <c r="E79" s="27"/>
      <c r="F79" s="277"/>
      <c r="G79" s="278"/>
      <c r="H79" s="150"/>
      <c r="I79" s="27"/>
      <c r="J79" s="273"/>
      <c r="K79" s="44"/>
      <c r="L79" s="240"/>
      <c r="M79" s="27"/>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c r="C87" s="335">
        <v>6096</v>
      </c>
      <c r="D87" s="155" t="str">
        <f t="shared" si="7"/>
        <v xml:space="preserve">    ---- </v>
      </c>
      <c r="E87" s="11">
        <f>IFERROR(100/'Skjema total MA'!C87*C87,0)</f>
        <v>1.5259382926001419E-3</v>
      </c>
      <c r="F87" s="334"/>
      <c r="G87" s="334"/>
      <c r="H87" s="155"/>
      <c r="I87" s="11"/>
      <c r="J87" s="292">
        <f t="shared" ref="J87:K111" si="10">SUM(B87,F87)</f>
        <v>0</v>
      </c>
      <c r="K87" s="217">
        <f t="shared" si="10"/>
        <v>6096</v>
      </c>
      <c r="L87" s="406" t="str">
        <f t="shared" si="9"/>
        <v xml:space="preserve">    ---- </v>
      </c>
      <c r="M87" s="11">
        <f>IFERROR(100/'Skjema total MA'!I87*K87,0)</f>
        <v>6.7404547951464507E-4</v>
      </c>
    </row>
    <row r="88" spans="1:13" x14ac:dyDescent="0.2">
      <c r="A88" s="21" t="s">
        <v>9</v>
      </c>
      <c r="B88" s="215"/>
      <c r="C88" s="129">
        <v>6096</v>
      </c>
      <c r="D88" s="150" t="str">
        <f t="shared" si="7"/>
        <v xml:space="preserve">    ---- </v>
      </c>
      <c r="E88" s="27">
        <f>IFERROR(100/'Skjema total MA'!C88*C88,0)</f>
        <v>1.5933227318710385E-3</v>
      </c>
      <c r="F88" s="215"/>
      <c r="G88" s="129"/>
      <c r="H88" s="150"/>
      <c r="I88" s="27"/>
      <c r="J88" s="273">
        <f t="shared" si="10"/>
        <v>0</v>
      </c>
      <c r="K88" s="44">
        <f t="shared" si="10"/>
        <v>6096</v>
      </c>
      <c r="L88" s="240" t="str">
        <f t="shared" si="9"/>
        <v xml:space="preserve">    ---- </v>
      </c>
      <c r="M88" s="27">
        <f>IFERROR(100/'Skjema total MA'!I88*K88,0)</f>
        <v>1.5933227318710385E-3</v>
      </c>
    </row>
    <row r="89" spans="1:13" x14ac:dyDescent="0.2">
      <c r="A89" s="21" t="s">
        <v>10</v>
      </c>
      <c r="B89" s="215"/>
      <c r="C89" s="129"/>
      <c r="D89" s="150"/>
      <c r="E89" s="27"/>
      <c r="F89" s="215"/>
      <c r="G89" s="129"/>
      <c r="H89" s="150"/>
      <c r="I89" s="27"/>
      <c r="J89" s="273"/>
      <c r="K89" s="44"/>
      <c r="L89" s="240"/>
      <c r="M89" s="27"/>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5" x14ac:dyDescent="0.2">
      <c r="A97" s="21" t="s">
        <v>331</v>
      </c>
      <c r="B97" s="215"/>
      <c r="C97" s="129"/>
      <c r="D97" s="150"/>
      <c r="E97" s="27"/>
      <c r="F97" s="215"/>
      <c r="G97" s="129"/>
      <c r="H97" s="150"/>
      <c r="I97" s="27"/>
      <c r="J97" s="273"/>
      <c r="K97" s="44"/>
      <c r="L97" s="240"/>
      <c r="M97" s="27"/>
    </row>
    <row r="98" spans="1:15" ht="15.75" x14ac:dyDescent="0.2">
      <c r="A98" s="21" t="s">
        <v>364</v>
      </c>
      <c r="B98" s="215"/>
      <c r="C98" s="215">
        <v>6096</v>
      </c>
      <c r="D98" s="150" t="str">
        <f t="shared" si="7"/>
        <v xml:space="preserve">    ---- </v>
      </c>
      <c r="E98" s="27">
        <f>IFERROR(100/'Skjema total MA'!C98*C98,0)</f>
        <v>1.6023132926316697E-3</v>
      </c>
      <c r="F98" s="277"/>
      <c r="G98" s="277"/>
      <c r="H98" s="150"/>
      <c r="I98" s="27"/>
      <c r="J98" s="273">
        <f t="shared" si="10"/>
        <v>0</v>
      </c>
      <c r="K98" s="44">
        <f t="shared" si="10"/>
        <v>6096</v>
      </c>
      <c r="L98" s="240" t="str">
        <f t="shared" si="9"/>
        <v xml:space="preserve">    ---- </v>
      </c>
      <c r="M98" s="27">
        <f>IFERROR(100/'Skjema total MA'!I98*K98,0)</f>
        <v>6.9429585619397915E-4</v>
      </c>
    </row>
    <row r="99" spans="1:15" x14ac:dyDescent="0.2">
      <c r="A99" s="21" t="s">
        <v>9</v>
      </c>
      <c r="B99" s="277"/>
      <c r="C99" s="278">
        <v>6096</v>
      </c>
      <c r="D99" s="150" t="str">
        <f t="shared" si="7"/>
        <v xml:space="preserve">    ---- </v>
      </c>
      <c r="E99" s="27">
        <f>IFERROR(100/'Skjema total MA'!C99*C99,0)</f>
        <v>1.6116146597169494E-3</v>
      </c>
      <c r="F99" s="215"/>
      <c r="G99" s="129"/>
      <c r="H99" s="150"/>
      <c r="I99" s="27"/>
      <c r="J99" s="273">
        <f t="shared" si="10"/>
        <v>0</v>
      </c>
      <c r="K99" s="44">
        <f t="shared" si="10"/>
        <v>6096</v>
      </c>
      <c r="L99" s="240" t="str">
        <f t="shared" si="9"/>
        <v xml:space="preserve">    ---- </v>
      </c>
      <c r="M99" s="27">
        <f>IFERROR(100/'Skjema total MA'!I99*K99,0)</f>
        <v>1.6116146597169494E-3</v>
      </c>
    </row>
    <row r="100" spans="1:15" x14ac:dyDescent="0.2">
      <c r="A100" s="38" t="s">
        <v>396</v>
      </c>
      <c r="B100" s="277"/>
      <c r="C100" s="278"/>
      <c r="D100" s="150"/>
      <c r="E100" s="27"/>
      <c r="F100" s="215"/>
      <c r="G100" s="215"/>
      <c r="H100" s="150"/>
      <c r="I100" s="27"/>
      <c r="J100" s="273"/>
      <c r="K100" s="44"/>
      <c r="L100" s="240"/>
      <c r="M100" s="27"/>
    </row>
    <row r="101" spans="1:15" ht="15.75" x14ac:dyDescent="0.2">
      <c r="A101" s="279" t="s">
        <v>362</v>
      </c>
      <c r="B101" s="307"/>
      <c r="C101" s="302"/>
      <c r="D101" s="150"/>
      <c r="E101" s="395"/>
      <c r="F101" s="307"/>
      <c r="G101" s="302"/>
      <c r="H101" s="150"/>
      <c r="I101" s="395"/>
      <c r="J101" s="307"/>
      <c r="K101" s="302"/>
      <c r="L101" s="150"/>
      <c r="M101" s="23"/>
    </row>
    <row r="102" spans="1:15" x14ac:dyDescent="0.2">
      <c r="A102" s="279" t="s">
        <v>12</v>
      </c>
      <c r="B102" s="307"/>
      <c r="C102" s="302"/>
      <c r="D102" s="150"/>
      <c r="E102" s="395"/>
      <c r="F102" s="307"/>
      <c r="G102" s="302"/>
      <c r="H102" s="150"/>
      <c r="I102" s="395"/>
      <c r="J102" s="307"/>
      <c r="K102" s="302"/>
      <c r="L102" s="150"/>
      <c r="M102" s="23"/>
    </row>
    <row r="103" spans="1:15" x14ac:dyDescent="0.2">
      <c r="A103" s="279" t="s">
        <v>13</v>
      </c>
      <c r="B103" s="307"/>
      <c r="C103" s="302"/>
      <c r="D103" s="150"/>
      <c r="E103" s="395"/>
      <c r="F103" s="307"/>
      <c r="G103" s="302"/>
      <c r="H103" s="150"/>
      <c r="I103" s="395"/>
      <c r="J103" s="307"/>
      <c r="K103" s="302"/>
      <c r="L103" s="150"/>
      <c r="M103" s="23"/>
    </row>
    <row r="104" spans="1:15" ht="15.75" x14ac:dyDescent="0.2">
      <c r="A104" s="279" t="s">
        <v>363</v>
      </c>
      <c r="B104" s="307"/>
      <c r="C104" s="302"/>
      <c r="D104" s="150"/>
      <c r="E104" s="395"/>
      <c r="F104" s="307"/>
      <c r="G104" s="302"/>
      <c r="H104" s="150"/>
      <c r="I104" s="395"/>
      <c r="J104" s="307"/>
      <c r="K104" s="302"/>
      <c r="L104" s="150"/>
      <c r="M104" s="23"/>
    </row>
    <row r="105" spans="1:15" x14ac:dyDescent="0.2">
      <c r="A105" s="279" t="s">
        <v>12</v>
      </c>
      <c r="B105" s="307"/>
      <c r="C105" s="302"/>
      <c r="D105" s="150"/>
      <c r="E105" s="395"/>
      <c r="F105" s="307"/>
      <c r="G105" s="302"/>
      <c r="H105" s="150"/>
      <c r="I105" s="395"/>
      <c r="J105" s="307"/>
      <c r="K105" s="302"/>
      <c r="L105" s="150"/>
      <c r="M105" s="23"/>
    </row>
    <row r="106" spans="1:15" x14ac:dyDescent="0.2">
      <c r="A106" s="279" t="s">
        <v>13</v>
      </c>
      <c r="B106" s="307"/>
      <c r="C106" s="302"/>
      <c r="D106" s="150"/>
      <c r="E106" s="395"/>
      <c r="F106" s="307"/>
      <c r="G106" s="302"/>
      <c r="H106" s="150"/>
      <c r="I106" s="395"/>
      <c r="J106" s="307"/>
      <c r="K106" s="302"/>
      <c r="L106" s="150"/>
      <c r="M106" s="23"/>
    </row>
    <row r="107" spans="1:15" ht="15.75" x14ac:dyDescent="0.2">
      <c r="A107" s="21" t="s">
        <v>365</v>
      </c>
      <c r="B107" s="215"/>
      <c r="C107" s="129"/>
      <c r="D107" s="150"/>
      <c r="E107" s="27"/>
      <c r="F107" s="215"/>
      <c r="G107" s="129"/>
      <c r="H107" s="150"/>
      <c r="I107" s="27"/>
      <c r="J107" s="273"/>
      <c r="K107" s="44"/>
      <c r="L107" s="240"/>
      <c r="M107" s="27"/>
    </row>
    <row r="108" spans="1:15" ht="15.75" x14ac:dyDescent="0.2">
      <c r="A108" s="21" t="s">
        <v>366</v>
      </c>
      <c r="B108" s="215"/>
      <c r="C108" s="215"/>
      <c r="D108" s="150"/>
      <c r="E108" s="27"/>
      <c r="F108" s="215"/>
      <c r="G108" s="215"/>
      <c r="H108" s="150"/>
      <c r="I108" s="27"/>
      <c r="J108" s="273"/>
      <c r="K108" s="44"/>
      <c r="L108" s="240"/>
      <c r="M108" s="27"/>
    </row>
    <row r="109" spans="1:15" ht="15.75" x14ac:dyDescent="0.2">
      <c r="A109" s="38" t="s">
        <v>404</v>
      </c>
      <c r="B109" s="215"/>
      <c r="C109" s="215"/>
      <c r="D109" s="150"/>
      <c r="E109" s="27"/>
      <c r="F109" s="215"/>
      <c r="G109" s="215"/>
      <c r="H109" s="150"/>
      <c r="I109" s="27"/>
      <c r="J109" s="273"/>
      <c r="K109" s="44"/>
      <c r="L109" s="240"/>
      <c r="M109" s="27"/>
      <c r="O109" s="3"/>
    </row>
    <row r="110" spans="1:15" ht="15.75" x14ac:dyDescent="0.2">
      <c r="A110" s="21" t="s">
        <v>367</v>
      </c>
      <c r="B110" s="215"/>
      <c r="C110" s="215"/>
      <c r="D110" s="150"/>
      <c r="E110" s="27"/>
      <c r="F110" s="215"/>
      <c r="G110" s="215"/>
      <c r="H110" s="150"/>
      <c r="I110" s="27"/>
      <c r="J110" s="273"/>
      <c r="K110" s="44"/>
      <c r="L110" s="240"/>
      <c r="M110" s="27"/>
    </row>
    <row r="111" spans="1:15" ht="15.75" x14ac:dyDescent="0.2">
      <c r="A111" s="13" t="s">
        <v>348</v>
      </c>
      <c r="B111" s="291"/>
      <c r="C111" s="143">
        <v>1045</v>
      </c>
      <c r="D111" s="155" t="str">
        <f t="shared" si="7"/>
        <v xml:space="preserve">    ---- </v>
      </c>
      <c r="E111" s="11">
        <f>IFERROR(100/'Skjema total MA'!C111*C111,0)</f>
        <v>0.24062886005973178</v>
      </c>
      <c r="F111" s="291"/>
      <c r="G111" s="143"/>
      <c r="H111" s="155"/>
      <c r="I111" s="11"/>
      <c r="J111" s="292">
        <f t="shared" si="10"/>
        <v>0</v>
      </c>
      <c r="K111" s="217">
        <f t="shared" si="10"/>
        <v>1045</v>
      </c>
      <c r="L111" s="406" t="str">
        <f t="shared" si="9"/>
        <v xml:space="preserve">    ---- </v>
      </c>
      <c r="M111" s="11">
        <f>IFERROR(100/'Skjema total MA'!I111*K111,0)</f>
        <v>2.8119273860960463E-3</v>
      </c>
    </row>
    <row r="112" spans="1:15" x14ac:dyDescent="0.2">
      <c r="A112" s="21" t="s">
        <v>9</v>
      </c>
      <c r="B112" s="215"/>
      <c r="C112" s="129"/>
      <c r="D112" s="150"/>
      <c r="E112" s="27"/>
      <c r="F112" s="215"/>
      <c r="G112" s="129"/>
      <c r="H112" s="150"/>
      <c r="I112" s="27"/>
      <c r="J112" s="273"/>
      <c r="K112" s="44"/>
      <c r="L112" s="240"/>
      <c r="M112" s="27"/>
    </row>
    <row r="113" spans="1:14" x14ac:dyDescent="0.2">
      <c r="A113" s="21" t="s">
        <v>10</v>
      </c>
      <c r="B113" s="215"/>
      <c r="C113" s="129"/>
      <c r="D113" s="150"/>
      <c r="E113" s="27"/>
      <c r="F113" s="215"/>
      <c r="G113" s="129"/>
      <c r="H113" s="150"/>
      <c r="I113" s="27"/>
      <c r="J113" s="273"/>
      <c r="K113" s="44"/>
      <c r="L113" s="240"/>
      <c r="M113" s="27"/>
    </row>
    <row r="114" spans="1:14" x14ac:dyDescent="0.2">
      <c r="A114" s="21" t="s">
        <v>26</v>
      </c>
      <c r="B114" s="215"/>
      <c r="C114" s="129">
        <v>1045</v>
      </c>
      <c r="D114" s="150" t="str">
        <f t="shared" si="7"/>
        <v xml:space="preserve">    ---- </v>
      </c>
      <c r="E114" s="27">
        <f>IFERROR(100/'Skjema total MA'!C114*C114,0)</f>
        <v>0.53790368943792055</v>
      </c>
      <c r="F114" s="215"/>
      <c r="G114" s="129"/>
      <c r="H114" s="150"/>
      <c r="I114" s="27"/>
      <c r="J114" s="273">
        <f t="shared" ref="J114:K114" si="11">SUM(B114,F114)</f>
        <v>0</v>
      </c>
      <c r="K114" s="44">
        <f t="shared" si="11"/>
        <v>1045</v>
      </c>
      <c r="L114" s="240" t="str">
        <f t="shared" si="9"/>
        <v xml:space="preserve">    ---- </v>
      </c>
      <c r="M114" s="27">
        <f>IFERROR(100/'Skjema total MA'!I114*K114,0)</f>
        <v>0.51591550424776744</v>
      </c>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c r="G117" s="215"/>
      <c r="H117" s="150"/>
      <c r="I117" s="27"/>
      <c r="J117" s="273"/>
      <c r="K117" s="44"/>
      <c r="L117" s="240"/>
      <c r="M117" s="27"/>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c r="C119" s="291"/>
      <c r="D119" s="155"/>
      <c r="E119" s="11"/>
      <c r="F119" s="291"/>
      <c r="G119" s="143"/>
      <c r="H119" s="155"/>
      <c r="I119" s="11"/>
      <c r="J119" s="292"/>
      <c r="K119" s="217"/>
      <c r="L119" s="406"/>
      <c r="M119" s="11"/>
    </row>
    <row r="120" spans="1:14" x14ac:dyDescent="0.2">
      <c r="A120" s="21" t="s">
        <v>9</v>
      </c>
      <c r="B120" s="217"/>
      <c r="C120" s="291"/>
      <c r="D120" s="150"/>
      <c r="E120" s="27"/>
      <c r="F120" s="215"/>
      <c r="G120" s="129"/>
      <c r="H120" s="150"/>
      <c r="I120" s="27"/>
      <c r="J120" s="273"/>
      <c r="K120" s="44"/>
      <c r="L120" s="240"/>
      <c r="M120" s="27"/>
    </row>
    <row r="121" spans="1:14" x14ac:dyDescent="0.2">
      <c r="A121" s="21" t="s">
        <v>10</v>
      </c>
      <c r="B121" s="215"/>
      <c r="C121" s="129"/>
      <c r="D121" s="150"/>
      <c r="E121" s="27"/>
      <c r="F121" s="215"/>
      <c r="G121" s="129"/>
      <c r="H121" s="150"/>
      <c r="I121" s="27"/>
      <c r="J121" s="273"/>
      <c r="K121" s="44"/>
      <c r="L121" s="240"/>
      <c r="M121" s="27"/>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c r="G125" s="215"/>
      <c r="H125" s="150"/>
      <c r="I125" s="27"/>
      <c r="J125" s="273"/>
      <c r="K125" s="44"/>
      <c r="L125" s="240"/>
      <c r="M125" s="27"/>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560"/>
      <c r="F130" s="722"/>
      <c r="G130" s="722"/>
      <c r="H130" s="722"/>
      <c r="I130" s="560"/>
      <c r="J130" s="722"/>
      <c r="K130" s="722"/>
      <c r="L130" s="722"/>
      <c r="M130" s="560"/>
    </row>
    <row r="131" spans="1:14" s="3" customFormat="1" x14ac:dyDescent="0.2">
      <c r="A131" s="128"/>
      <c r="B131" s="723" t="s">
        <v>0</v>
      </c>
      <c r="C131" s="724"/>
      <c r="D131" s="724"/>
      <c r="E131" s="558"/>
      <c r="F131" s="723" t="s">
        <v>1</v>
      </c>
      <c r="G131" s="724"/>
      <c r="H131" s="724"/>
      <c r="I131" s="559"/>
      <c r="J131" s="723" t="s">
        <v>2</v>
      </c>
      <c r="K131" s="724"/>
      <c r="L131" s="724"/>
      <c r="M131" s="559"/>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245" priority="7">
      <formula>kvartal &lt; 4</formula>
    </cfRule>
  </conditionalFormatting>
  <conditionalFormatting sqref="A69:A74">
    <cfRule type="expression" dxfId="244" priority="6">
      <formula>kvartal &lt; 4</formula>
    </cfRule>
  </conditionalFormatting>
  <conditionalFormatting sqref="A80:A85">
    <cfRule type="expression" dxfId="243" priority="5">
      <formula>kvartal &lt; 4</formula>
    </cfRule>
  </conditionalFormatting>
  <conditionalFormatting sqref="A90:A95">
    <cfRule type="expression" dxfId="242" priority="4">
      <formula>kvartal &lt; 4</formula>
    </cfRule>
  </conditionalFormatting>
  <conditionalFormatting sqref="A101:A106">
    <cfRule type="expression" dxfId="241" priority="3">
      <formula>kvartal &lt; 4</formula>
    </cfRule>
  </conditionalFormatting>
  <conditionalFormatting sqref="A115">
    <cfRule type="expression" dxfId="240" priority="2">
      <formula>kvartal &lt; 4</formula>
    </cfRule>
  </conditionalFormatting>
  <conditionalFormatting sqref="A123">
    <cfRule type="expression" dxfId="239" priority="1">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4"/>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57" customWidth="1"/>
    <col min="2" max="46" width="11.7109375" style="457" customWidth="1"/>
    <col min="47" max="16384" width="11.42578125" style="457"/>
  </cols>
  <sheetData>
    <row r="1" spans="1:46" ht="20.25" x14ac:dyDescent="0.3">
      <c r="A1" s="455" t="s">
        <v>277</v>
      </c>
      <c r="B1" s="434" t="s">
        <v>52</v>
      </c>
      <c r="C1" s="456"/>
      <c r="D1" s="456"/>
      <c r="E1" s="456"/>
      <c r="F1" s="456"/>
      <c r="G1" s="456"/>
      <c r="H1" s="456"/>
      <c r="I1" s="456"/>
      <c r="J1" s="456"/>
      <c r="K1" s="456"/>
      <c r="L1" s="456"/>
      <c r="M1" s="456"/>
    </row>
    <row r="2" spans="1:46" ht="20.25" x14ac:dyDescent="0.3">
      <c r="A2" s="455" t="s">
        <v>248</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row>
    <row r="3" spans="1:46" ht="18.75" x14ac:dyDescent="0.3">
      <c r="A3" s="459" t="s">
        <v>278</v>
      </c>
      <c r="B3" s="658"/>
      <c r="C3" s="460"/>
      <c r="D3" s="460"/>
      <c r="E3" s="460"/>
      <c r="F3" s="460"/>
      <c r="G3" s="460"/>
      <c r="H3" s="460"/>
      <c r="I3" s="460"/>
      <c r="J3" s="460"/>
      <c r="K3" s="460"/>
      <c r="L3" s="460"/>
      <c r="M3" s="460"/>
      <c r="N3" s="460"/>
      <c r="O3" s="460"/>
      <c r="P3" s="460"/>
      <c r="Q3" s="658"/>
      <c r="R3" s="658"/>
      <c r="S3" s="658"/>
      <c r="T3" s="460"/>
      <c r="U3" s="460"/>
      <c r="V3" s="460"/>
      <c r="W3" s="460"/>
      <c r="X3" s="460"/>
      <c r="Y3" s="460"/>
      <c r="Z3" s="460"/>
      <c r="AA3" s="460"/>
      <c r="AB3" s="460"/>
      <c r="AC3" s="658"/>
      <c r="AD3" s="658"/>
      <c r="AE3" s="658"/>
      <c r="AF3" s="460"/>
      <c r="AG3" s="460"/>
      <c r="AH3" s="460"/>
      <c r="AI3" s="460"/>
      <c r="AJ3" s="460"/>
      <c r="AK3" s="460"/>
      <c r="AL3" s="460"/>
      <c r="AM3" s="460"/>
      <c r="AN3" s="460"/>
      <c r="AO3" s="460"/>
      <c r="AP3" s="460"/>
      <c r="AQ3" s="460"/>
      <c r="AR3" s="460"/>
      <c r="AS3" s="460"/>
      <c r="AT3" s="460"/>
    </row>
    <row r="4" spans="1:46" ht="18.75" customHeight="1" x14ac:dyDescent="0.25">
      <c r="A4" s="438" t="s">
        <v>433</v>
      </c>
      <c r="B4" s="461"/>
      <c r="C4" s="461"/>
      <c r="D4" s="462"/>
      <c r="E4" s="463"/>
      <c r="F4" s="461"/>
      <c r="G4" s="462"/>
      <c r="H4" s="463"/>
      <c r="I4" s="461"/>
      <c r="J4" s="462"/>
      <c r="K4" s="463"/>
      <c r="L4" s="461"/>
      <c r="M4" s="462"/>
      <c r="N4" s="464"/>
      <c r="O4" s="464"/>
      <c r="P4" s="464"/>
      <c r="Q4" s="659"/>
      <c r="R4" s="660"/>
      <c r="S4" s="661"/>
      <c r="T4" s="465"/>
      <c r="U4" s="464"/>
      <c r="V4" s="466"/>
      <c r="W4" s="465"/>
      <c r="X4" s="464"/>
      <c r="Y4" s="466"/>
      <c r="Z4" s="465"/>
      <c r="AA4" s="464"/>
      <c r="AB4" s="466"/>
      <c r="AC4" s="659"/>
      <c r="AD4" s="660"/>
      <c r="AE4" s="661"/>
      <c r="AF4" s="465"/>
      <c r="AG4" s="464"/>
      <c r="AH4" s="466"/>
      <c r="AI4" s="465"/>
      <c r="AJ4" s="464"/>
      <c r="AK4" s="466"/>
      <c r="AL4" s="465"/>
      <c r="AM4" s="464"/>
      <c r="AN4" s="466"/>
      <c r="AO4" s="467"/>
      <c r="AP4" s="468"/>
      <c r="AQ4" s="469"/>
      <c r="AR4" s="465"/>
      <c r="AS4" s="464"/>
      <c r="AT4" s="470"/>
    </row>
    <row r="5" spans="1:46" s="430" customFormat="1" ht="18.75" customHeight="1" x14ac:dyDescent="0.3">
      <c r="A5" s="565" t="s">
        <v>97</v>
      </c>
      <c r="B5" s="735" t="s">
        <v>424</v>
      </c>
      <c r="C5" s="736"/>
      <c r="D5" s="737"/>
      <c r="E5" s="735" t="s">
        <v>169</v>
      </c>
      <c r="F5" s="736"/>
      <c r="G5" s="737"/>
      <c r="H5" s="735"/>
      <c r="I5" s="736"/>
      <c r="J5" s="737"/>
      <c r="K5" s="735" t="s">
        <v>170</v>
      </c>
      <c r="L5" s="736"/>
      <c r="M5" s="737"/>
      <c r="N5" s="735" t="s">
        <v>171</v>
      </c>
      <c r="O5" s="736"/>
      <c r="P5" s="737"/>
      <c r="Q5" s="735" t="s">
        <v>172</v>
      </c>
      <c r="R5" s="736"/>
      <c r="S5" s="737"/>
      <c r="T5" s="735"/>
      <c r="U5" s="736"/>
      <c r="V5" s="737"/>
      <c r="W5" s="643"/>
      <c r="X5" s="644"/>
      <c r="Y5" s="645"/>
      <c r="Z5" s="735" t="s">
        <v>173</v>
      </c>
      <c r="AA5" s="736"/>
      <c r="AB5" s="737"/>
      <c r="AC5" s="649"/>
      <c r="AD5" s="650"/>
      <c r="AE5" s="651"/>
      <c r="AF5" s="735" t="s">
        <v>66</v>
      </c>
      <c r="AG5" s="736"/>
      <c r="AH5" s="737"/>
      <c r="AI5" s="735" t="s">
        <v>70</v>
      </c>
      <c r="AJ5" s="736"/>
      <c r="AK5" s="737"/>
      <c r="AL5" s="735" t="s">
        <v>401</v>
      </c>
      <c r="AM5" s="736"/>
      <c r="AN5" s="737"/>
      <c r="AO5" s="738" t="s">
        <v>2</v>
      </c>
      <c r="AP5" s="739"/>
      <c r="AQ5" s="740"/>
      <c r="AR5" s="738" t="s">
        <v>279</v>
      </c>
      <c r="AS5" s="739"/>
      <c r="AT5" s="740"/>
    </row>
    <row r="6" spans="1:46" s="430" customFormat="1" ht="21" customHeight="1" x14ac:dyDescent="0.3">
      <c r="A6" s="566"/>
      <c r="B6" s="729" t="s">
        <v>174</v>
      </c>
      <c r="C6" s="730"/>
      <c r="D6" s="731"/>
      <c r="E6" s="729" t="s">
        <v>175</v>
      </c>
      <c r="F6" s="730"/>
      <c r="G6" s="731"/>
      <c r="H6" s="729" t="s">
        <v>384</v>
      </c>
      <c r="I6" s="730"/>
      <c r="J6" s="731"/>
      <c r="K6" s="729" t="s">
        <v>175</v>
      </c>
      <c r="L6" s="730"/>
      <c r="M6" s="731"/>
      <c r="N6" s="729" t="s">
        <v>176</v>
      </c>
      <c r="O6" s="730"/>
      <c r="P6" s="731"/>
      <c r="Q6" s="729" t="s">
        <v>87</v>
      </c>
      <c r="R6" s="730"/>
      <c r="S6" s="731"/>
      <c r="T6" s="729" t="s">
        <v>62</v>
      </c>
      <c r="U6" s="730"/>
      <c r="V6" s="731"/>
      <c r="W6" s="729" t="s">
        <v>64</v>
      </c>
      <c r="X6" s="730"/>
      <c r="Y6" s="731"/>
      <c r="Z6" s="729" t="s">
        <v>174</v>
      </c>
      <c r="AA6" s="730"/>
      <c r="AB6" s="731"/>
      <c r="AC6" s="729" t="s">
        <v>69</v>
      </c>
      <c r="AD6" s="730"/>
      <c r="AE6" s="731"/>
      <c r="AF6" s="729" t="s">
        <v>397</v>
      </c>
      <c r="AG6" s="730"/>
      <c r="AH6" s="731"/>
      <c r="AI6" s="729" t="s">
        <v>175</v>
      </c>
      <c r="AJ6" s="730"/>
      <c r="AK6" s="731"/>
      <c r="AL6" s="729" t="s">
        <v>175</v>
      </c>
      <c r="AM6" s="730"/>
      <c r="AN6" s="731"/>
      <c r="AO6" s="732" t="s">
        <v>280</v>
      </c>
      <c r="AP6" s="733"/>
      <c r="AQ6" s="734"/>
      <c r="AR6" s="732" t="s">
        <v>281</v>
      </c>
      <c r="AS6" s="733"/>
      <c r="AT6" s="734"/>
    </row>
    <row r="7" spans="1:46" s="430" customFormat="1" ht="18.75" customHeight="1" x14ac:dyDescent="0.3">
      <c r="A7" s="566"/>
      <c r="B7" s="566"/>
      <c r="C7" s="566"/>
      <c r="D7" s="567" t="s">
        <v>78</v>
      </c>
      <c r="E7" s="566"/>
      <c r="F7" s="566"/>
      <c r="G7" s="567" t="s">
        <v>78</v>
      </c>
      <c r="H7" s="566"/>
      <c r="I7" s="566"/>
      <c r="J7" s="567" t="s">
        <v>78</v>
      </c>
      <c r="K7" s="566"/>
      <c r="L7" s="566"/>
      <c r="M7" s="567" t="s">
        <v>78</v>
      </c>
      <c r="N7" s="566"/>
      <c r="O7" s="566"/>
      <c r="P7" s="567" t="s">
        <v>78</v>
      </c>
      <c r="Q7" s="566"/>
      <c r="R7" s="566"/>
      <c r="S7" s="567" t="s">
        <v>78</v>
      </c>
      <c r="T7" s="566"/>
      <c r="U7" s="566"/>
      <c r="V7" s="567" t="s">
        <v>78</v>
      </c>
      <c r="W7" s="566"/>
      <c r="X7" s="566"/>
      <c r="Y7" s="567" t="s">
        <v>78</v>
      </c>
      <c r="Z7" s="566"/>
      <c r="AA7" s="566"/>
      <c r="AB7" s="567" t="s">
        <v>78</v>
      </c>
      <c r="AC7" s="566"/>
      <c r="AD7" s="566"/>
      <c r="AE7" s="567" t="s">
        <v>78</v>
      </c>
      <c r="AF7" s="566"/>
      <c r="AG7" s="566"/>
      <c r="AH7" s="567" t="s">
        <v>78</v>
      </c>
      <c r="AI7" s="566"/>
      <c r="AJ7" s="566"/>
      <c r="AK7" s="567" t="s">
        <v>78</v>
      </c>
      <c r="AL7" s="566"/>
      <c r="AM7" s="566"/>
      <c r="AN7" s="567" t="s">
        <v>78</v>
      </c>
      <c r="AO7" s="566"/>
      <c r="AP7" s="566"/>
      <c r="AQ7" s="567" t="s">
        <v>78</v>
      </c>
      <c r="AR7" s="566"/>
      <c r="AS7" s="566"/>
      <c r="AT7" s="567" t="s">
        <v>78</v>
      </c>
    </row>
    <row r="8" spans="1:46" s="430" customFormat="1" ht="18.75" customHeight="1" x14ac:dyDescent="0.25">
      <c r="A8" s="568" t="s">
        <v>282</v>
      </c>
      <c r="B8" s="535">
        <v>2022</v>
      </c>
      <c r="C8" s="535">
        <v>2023</v>
      </c>
      <c r="D8" s="569" t="s">
        <v>80</v>
      </c>
      <c r="E8" s="81">
        <v>2022</v>
      </c>
      <c r="F8" s="535">
        <v>2023</v>
      </c>
      <c r="G8" s="569" t="s">
        <v>80</v>
      </c>
      <c r="H8" s="535">
        <v>2022</v>
      </c>
      <c r="I8" s="535">
        <v>2023</v>
      </c>
      <c r="J8" s="569" t="s">
        <v>80</v>
      </c>
      <c r="K8" s="535">
        <v>2022</v>
      </c>
      <c r="L8" s="535">
        <v>2023</v>
      </c>
      <c r="M8" s="569" t="s">
        <v>80</v>
      </c>
      <c r="N8" s="535">
        <v>2022</v>
      </c>
      <c r="O8" s="535">
        <v>2023</v>
      </c>
      <c r="P8" s="569" t="s">
        <v>80</v>
      </c>
      <c r="Q8" s="535">
        <v>2022</v>
      </c>
      <c r="R8" s="535">
        <v>2023</v>
      </c>
      <c r="S8" s="569" t="s">
        <v>80</v>
      </c>
      <c r="T8" s="535">
        <v>2022</v>
      </c>
      <c r="U8" s="535">
        <v>2023</v>
      </c>
      <c r="V8" s="569" t="s">
        <v>80</v>
      </c>
      <c r="W8" s="535">
        <v>2022</v>
      </c>
      <c r="X8" s="535">
        <v>2023</v>
      </c>
      <c r="Y8" s="569" t="s">
        <v>80</v>
      </c>
      <c r="Z8" s="535">
        <v>2022</v>
      </c>
      <c r="AA8" s="535">
        <v>2023</v>
      </c>
      <c r="AB8" s="569" t="s">
        <v>80</v>
      </c>
      <c r="AC8" s="535">
        <v>2022</v>
      </c>
      <c r="AD8" s="535">
        <v>2023</v>
      </c>
      <c r="AE8" s="569" t="s">
        <v>80</v>
      </c>
      <c r="AF8" s="535">
        <v>2022</v>
      </c>
      <c r="AG8" s="535">
        <v>2023</v>
      </c>
      <c r="AH8" s="569" t="s">
        <v>80</v>
      </c>
      <c r="AI8" s="535">
        <v>2022</v>
      </c>
      <c r="AJ8" s="535">
        <v>2023</v>
      </c>
      <c r="AK8" s="569" t="s">
        <v>80</v>
      </c>
      <c r="AL8" s="535">
        <v>2022</v>
      </c>
      <c r="AM8" s="535">
        <v>2023</v>
      </c>
      <c r="AN8" s="569" t="s">
        <v>80</v>
      </c>
      <c r="AO8" s="535">
        <v>2022</v>
      </c>
      <c r="AP8" s="535">
        <v>2023</v>
      </c>
      <c r="AQ8" s="569" t="s">
        <v>80</v>
      </c>
      <c r="AR8" s="535">
        <v>2022</v>
      </c>
      <c r="AS8" s="535">
        <v>2023</v>
      </c>
      <c r="AT8" s="569" t="s">
        <v>80</v>
      </c>
    </row>
    <row r="9" spans="1:46" s="430" customFormat="1" ht="18.75" customHeight="1" x14ac:dyDescent="0.3">
      <c r="A9" s="566" t="s">
        <v>283</v>
      </c>
      <c r="B9" s="570"/>
      <c r="C9" s="494"/>
      <c r="D9" s="496"/>
      <c r="E9" s="570"/>
      <c r="F9" s="494"/>
      <c r="G9" s="496"/>
      <c r="H9" s="570"/>
      <c r="I9" s="494"/>
      <c r="J9" s="496"/>
      <c r="K9" s="570"/>
      <c r="L9" s="494"/>
      <c r="M9" s="496"/>
      <c r="N9" s="570"/>
      <c r="O9" s="494"/>
      <c r="P9" s="494"/>
      <c r="Q9" s="571"/>
      <c r="R9" s="472"/>
      <c r="S9" s="496"/>
      <c r="T9" s="572"/>
      <c r="U9" s="496"/>
      <c r="V9" s="496"/>
      <c r="W9" s="570"/>
      <c r="X9" s="494"/>
      <c r="Y9" s="496"/>
      <c r="Z9" s="572"/>
      <c r="AA9" s="496"/>
      <c r="AB9" s="496"/>
      <c r="AC9" s="570"/>
      <c r="AD9" s="494"/>
      <c r="AE9" s="496"/>
      <c r="AF9" s="570"/>
      <c r="AG9" s="494"/>
      <c r="AH9" s="496"/>
      <c r="AI9" s="570"/>
      <c r="AJ9" s="494"/>
      <c r="AK9" s="496"/>
      <c r="AL9" s="570"/>
      <c r="AM9" s="494"/>
      <c r="AN9" s="496"/>
      <c r="AO9" s="496"/>
      <c r="AP9" s="496"/>
      <c r="AQ9" s="496"/>
      <c r="AR9" s="573"/>
      <c r="AS9" s="573"/>
      <c r="AT9" s="573"/>
    </row>
    <row r="10" spans="1:46" s="431" customFormat="1" ht="18.75" customHeight="1" x14ac:dyDescent="0.3">
      <c r="A10" s="564" t="s">
        <v>420</v>
      </c>
      <c r="B10" s="574"/>
      <c r="C10" s="415"/>
      <c r="D10" s="320"/>
      <c r="E10" s="574"/>
      <c r="F10" s="415"/>
      <c r="G10" s="320"/>
      <c r="H10" s="574"/>
      <c r="I10" s="415"/>
      <c r="J10" s="320"/>
      <c r="K10" s="574"/>
      <c r="L10" s="415"/>
      <c r="M10" s="320"/>
      <c r="N10" s="574"/>
      <c r="O10" s="415"/>
      <c r="P10" s="415"/>
      <c r="Q10" s="575"/>
      <c r="R10" s="473"/>
      <c r="S10" s="320"/>
      <c r="T10" s="576"/>
      <c r="U10" s="320"/>
      <c r="V10" s="320"/>
      <c r="W10" s="574"/>
      <c r="X10" s="415"/>
      <c r="Y10" s="320"/>
      <c r="Z10" s="576"/>
      <c r="AA10" s="320"/>
      <c r="AB10" s="320"/>
      <c r="AC10" s="574"/>
      <c r="AD10" s="415"/>
      <c r="AE10" s="320"/>
      <c r="AF10" s="574"/>
      <c r="AG10" s="415"/>
      <c r="AH10" s="320"/>
      <c r="AI10" s="574"/>
      <c r="AJ10" s="509"/>
      <c r="AK10" s="320"/>
      <c r="AL10" s="574"/>
      <c r="AM10" s="415"/>
      <c r="AN10" s="320"/>
      <c r="AO10" s="320"/>
      <c r="AP10" s="320"/>
      <c r="AQ10" s="320"/>
      <c r="AR10" s="577"/>
      <c r="AS10" s="577"/>
      <c r="AT10" s="577"/>
    </row>
    <row r="11" spans="1:46" s="431" customFormat="1" ht="18.75" customHeight="1" x14ac:dyDescent="0.3">
      <c r="A11" s="564" t="s">
        <v>284</v>
      </c>
      <c r="B11" s="576">
        <v>2148.2913760900001</v>
      </c>
      <c r="C11" s="320"/>
      <c r="D11" s="320">
        <f t="shared" ref="D11:D16" si="0">IF(B11=0, "    ---- ", IF(ABS(ROUND(100/B11*C11-100,1))&lt;999,ROUND(100/B11*C11-100,1),IF(ROUND(100/B11*C11-100,1)&gt;999,999,-999)))</f>
        <v>-100</v>
      </c>
      <c r="E11" s="576">
        <v>13209.484182050001</v>
      </c>
      <c r="F11" s="320">
        <v>14597.416817179999</v>
      </c>
      <c r="G11" s="320">
        <f t="shared" ref="G11:G17" si="1">IF(E11=0, "    ---- ", IF(ABS(ROUND(100/E11*F11-100,1))&lt;999,ROUND(100/E11*F11-100,1),IF(ROUND(100/E11*F11-100,1)&gt;999,999,-999)))</f>
        <v>10.5</v>
      </c>
      <c r="H11" s="576">
        <v>2870.2171797000001</v>
      </c>
      <c r="I11" s="320">
        <v>3076.8237786599998</v>
      </c>
      <c r="J11" s="320">
        <f t="shared" ref="J11:J17" si="2">IF(H11=0, "    ---- ", IF(ABS(ROUND(100/H11*I11-100,1))&lt;999,ROUND(100/H11*I11-100,1),IF(ROUND(100/H11*I11-100,1)&gt;999,999,-999)))</f>
        <v>7.2</v>
      </c>
      <c r="K11" s="576">
        <v>623.01400000000001</v>
      </c>
      <c r="L11" s="320">
        <v>672.53499999999997</v>
      </c>
      <c r="M11" s="320">
        <f t="shared" ref="M11:M17" si="3">IF(K11=0, "    ---- ", IF(ABS(ROUND(100/K11*L11-100,1))&lt;999,ROUND(100/K11*L11-100,1),IF(ROUND(100/K11*L11-100,1)&gt;999,999,-999)))</f>
        <v>7.9</v>
      </c>
      <c r="N11" s="576">
        <v>3826</v>
      </c>
      <c r="O11" s="320">
        <v>4682</v>
      </c>
      <c r="P11" s="320">
        <f t="shared" ref="P11:P16" si="4">IF(N11=0, "    ---- ", IF(ABS(ROUND(100/N11*O11-100,1))&lt;999,ROUND(100/N11*O11-100,1),IF(ROUND(100/N11*O11-100,1)&gt;999,999,-999)))</f>
        <v>22.4</v>
      </c>
      <c r="Q11" s="178">
        <v>34.252362089999998</v>
      </c>
      <c r="R11" s="320"/>
      <c r="S11" s="320">
        <f>IF(Q11=0, "    ---- ", IF(ABS(ROUND(100/Q11*R11-100,1))&lt;999,ROUND(100/Q11*R11-100,1),IF(ROUND(100/Q11*R11-100,1)&gt;999,999,-999)))</f>
        <v>-100</v>
      </c>
      <c r="T11" s="576">
        <v>40247.75207645</v>
      </c>
      <c r="U11" s="320">
        <v>59940.916974890002</v>
      </c>
      <c r="V11" s="320">
        <f t="shared" ref="V11:V17" si="5">IF(T11=0, "    ---- ", IF(ABS(ROUND(100/T11*U11-100,1))&lt;999,ROUND(100/T11*U11-100,1),IF(ROUND(100/T11*U11-100,1)&gt;999,999,-999)))</f>
        <v>48.9</v>
      </c>
      <c r="W11" s="576">
        <v>11823.878799999999</v>
      </c>
      <c r="X11" s="320">
        <v>13496.7358</v>
      </c>
      <c r="Y11" s="320">
        <f t="shared" ref="Y11:Y17" si="6">IF(W11=0, "    ---- ", IF(ABS(ROUND(100/W11*X11-100,1))&lt;999,ROUND(100/W11*X11-100,1),IF(ROUND(100/W11*X11-100,1)&gt;999,999,-999)))</f>
        <v>14.1</v>
      </c>
      <c r="Z11" s="576">
        <v>7095</v>
      </c>
      <c r="AA11" s="320">
        <v>9348</v>
      </c>
      <c r="AB11" s="320">
        <f t="shared" ref="AB11:AB17" si="7">IF(Z11=0, "    ---- ", IF(ABS(ROUND(100/Z11*AA11-100,1))&lt;999,ROUND(100/Z11*AA11-100,1),IF(ROUND(100/Z11*AA11-100,1)&gt;999,999,-999)))</f>
        <v>31.8</v>
      </c>
      <c r="AC11" s="178">
        <v>82.874316989999997</v>
      </c>
      <c r="AD11" s="320"/>
      <c r="AE11" s="320">
        <f t="shared" ref="AE11:AE16" si="8">IF(AC11=0, "    ---- ", IF(ABS(ROUND(100/AC11*AD11-100,1))&lt;999,ROUND(100/AC11*AD11-100,1),IF(ROUND(100/AC11*AD11-100,1)&gt;999,999,-999)))</f>
        <v>-100</v>
      </c>
      <c r="AF11" s="576">
        <v>5214.6557620200019</v>
      </c>
      <c r="AG11" s="320">
        <v>5812.9577826999976</v>
      </c>
      <c r="AH11" s="320">
        <f t="shared" ref="AH11:AH17" si="9">IF(AF11=0, "    ---- ", IF(ABS(ROUND(100/AF11*AG11-100,1))&lt;999,ROUND(100/AF11*AG11-100,1),IF(ROUND(100/AF11*AG11-100,1)&gt;999,999,-999)))</f>
        <v>11.5</v>
      </c>
      <c r="AI11" s="576">
        <v>15331</v>
      </c>
      <c r="AJ11" s="665">
        <v>19994.2</v>
      </c>
      <c r="AK11" s="320">
        <f t="shared" ref="AK11:AK17" si="10">IF(AI11=0, "    ---- ", IF(ABS(ROUND(100/AI11*AJ11-100,1))&lt;999,ROUND(100/AI11*AJ11-100,1),IF(ROUND(100/AI11*AJ11-100,1)&gt;999,999,-999)))</f>
        <v>30.4</v>
      </c>
      <c r="AL11" s="576">
        <v>4</v>
      </c>
      <c r="AM11" s="320">
        <v>17</v>
      </c>
      <c r="AN11" s="320">
        <f t="shared" ref="AN11:AN17" si="11">IF(AL11=0, "    ---- ", IF(ABS(ROUND(100/AL11*AM11-100,1))&lt;999,ROUND(100/AL11*AM11-100,1),IF(ROUND(100/AL11*AM11-100,1)&gt;999,999,-999)))</f>
        <v>325</v>
      </c>
      <c r="AO11" s="320">
        <f>B11+E11+H11+K11+N11+T11+W11+Z11+AF11+AI11</f>
        <v>102389.29337631</v>
      </c>
      <c r="AP11" s="320">
        <f>C11+F11+I11+L11+O11+U11+X11+AA11+AG11+AJ11</f>
        <v>131621.58615342999</v>
      </c>
      <c r="AQ11" s="320">
        <f t="shared" ref="AQ11:AQ46" si="12">IF(AO11=0, "    ---- ", IF(ABS(ROUND(100/AO11*AP11-100,1))&lt;999,ROUND(100/AO11*AP11-100,1),IF(ROUND(100/AO11*AP11-100,1)&gt;999,999,-999)))</f>
        <v>28.6</v>
      </c>
      <c r="AR11" s="419">
        <f>+B11+E11+H11+K11+N11+Q11+T11+W11+Z11+AC11+AF11+AI11+AL11</f>
        <v>102510.42005539</v>
      </c>
      <c r="AS11" s="419">
        <f>+C11+F11+I11+L11+O11+R11+U11+X11+AA11+AD11+AG11+AJ11+AM11</f>
        <v>131638.58615342999</v>
      </c>
      <c r="AT11" s="320">
        <f t="shared" ref="AT11:AT17" si="13">IF(AR11=0, "    ---- ", IF(ABS(ROUND(100/AR11*AS11-100,1))&lt;999,ROUND(100/AR11*AS11-100,1),IF(ROUND(100/AR11*AS11-100,1)&gt;999,999,-999)))</f>
        <v>28.4</v>
      </c>
    </row>
    <row r="12" spans="1:46" s="431" customFormat="1" ht="18.75" customHeight="1" x14ac:dyDescent="0.3">
      <c r="A12" s="564" t="s">
        <v>285</v>
      </c>
      <c r="B12" s="576">
        <v>-80.994227989999999</v>
      </c>
      <c r="C12" s="320"/>
      <c r="D12" s="320">
        <f t="shared" si="0"/>
        <v>-100</v>
      </c>
      <c r="E12" s="576">
        <v>-254.91724719999999</v>
      </c>
      <c r="F12" s="320">
        <v>-197.859397</v>
      </c>
      <c r="G12" s="320">
        <f t="shared" si="1"/>
        <v>-22.4</v>
      </c>
      <c r="H12" s="576">
        <v>-116.40488186</v>
      </c>
      <c r="I12" s="320">
        <v>-37.178993490000003</v>
      </c>
      <c r="J12" s="320">
        <f t="shared" si="2"/>
        <v>-68.099999999999994</v>
      </c>
      <c r="K12" s="576">
        <v>-23.111000000000001</v>
      </c>
      <c r="L12" s="320">
        <v>-24.713999999999999</v>
      </c>
      <c r="M12" s="320">
        <f t="shared" si="3"/>
        <v>6.9</v>
      </c>
      <c r="N12" s="576">
        <v>-68</v>
      </c>
      <c r="O12" s="320">
        <v>-71</v>
      </c>
      <c r="P12" s="320">
        <f t="shared" si="4"/>
        <v>4.4000000000000004</v>
      </c>
      <c r="Q12" s="178"/>
      <c r="R12" s="320"/>
      <c r="S12" s="320"/>
      <c r="T12" s="576"/>
      <c r="U12" s="320">
        <v>0</v>
      </c>
      <c r="V12" s="320" t="str">
        <f t="shared" si="5"/>
        <v xml:space="preserve">    ---- </v>
      </c>
      <c r="W12" s="576">
        <v>-68.41</v>
      </c>
      <c r="X12" s="320">
        <v>-85.3</v>
      </c>
      <c r="Y12" s="320">
        <f t="shared" si="6"/>
        <v>24.7</v>
      </c>
      <c r="Z12" s="576">
        <v>-1</v>
      </c>
      <c r="AA12" s="320">
        <v>-1</v>
      </c>
      <c r="AB12" s="320"/>
      <c r="AC12" s="178"/>
      <c r="AD12" s="320"/>
      <c r="AE12" s="320"/>
      <c r="AF12" s="576">
        <v>-4.8890000000000002</v>
      </c>
      <c r="AG12" s="320">
        <v>-5.1070000000000002</v>
      </c>
      <c r="AH12" s="320">
        <f t="shared" si="9"/>
        <v>4.5</v>
      </c>
      <c r="AI12" s="576">
        <v>-7</v>
      </c>
      <c r="AJ12" s="665">
        <v>-29.7</v>
      </c>
      <c r="AK12" s="320">
        <f t="shared" si="10"/>
        <v>324.3</v>
      </c>
      <c r="AL12" s="576">
        <v>-1</v>
      </c>
      <c r="AM12" s="320">
        <v>-3</v>
      </c>
      <c r="AN12" s="320">
        <f t="shared" si="11"/>
        <v>200</v>
      </c>
      <c r="AO12" s="320">
        <f t="shared" ref="AO12:AP46" si="14">B12+E12+H12+K12+N12+T12+W12+Z12+AF12+AI12</f>
        <v>-624.72635704999993</v>
      </c>
      <c r="AP12" s="320">
        <f t="shared" si="14"/>
        <v>-451.85939049000007</v>
      </c>
      <c r="AQ12" s="320">
        <f t="shared" si="12"/>
        <v>-27.7</v>
      </c>
      <c r="AR12" s="419">
        <f t="shared" ref="AR12:AS17" si="15">+B12+E12+H12+K12+N12+Q12+T12+W12+Z12+AC12+AF12+AI12+AL12</f>
        <v>-625.72635704999993</v>
      </c>
      <c r="AS12" s="419">
        <f t="shared" si="15"/>
        <v>-454.85939049000007</v>
      </c>
      <c r="AT12" s="320">
        <f t="shared" si="13"/>
        <v>-27.3</v>
      </c>
    </row>
    <row r="13" spans="1:46" s="431" customFormat="1" ht="18.75" customHeight="1" x14ac:dyDescent="0.3">
      <c r="A13" s="564" t="s">
        <v>405</v>
      </c>
      <c r="B13" s="576">
        <v>1956.3120925299997</v>
      </c>
      <c r="C13" s="320"/>
      <c r="D13" s="320">
        <f t="shared" si="0"/>
        <v>-100</v>
      </c>
      <c r="E13" s="576">
        <v>9811.7769809699985</v>
      </c>
      <c r="F13" s="320">
        <v>9149.2910264999991</v>
      </c>
      <c r="G13" s="320">
        <f t="shared" si="1"/>
        <v>-6.8</v>
      </c>
      <c r="H13" s="576"/>
      <c r="I13" s="320"/>
      <c r="J13" s="320" t="str">
        <f t="shared" si="2"/>
        <v xml:space="preserve">    ---- </v>
      </c>
      <c r="K13" s="576"/>
      <c r="L13" s="320"/>
      <c r="M13" s="320" t="str">
        <f t="shared" si="3"/>
        <v xml:space="preserve">    ---- </v>
      </c>
      <c r="N13" s="576">
        <v>5575</v>
      </c>
      <c r="O13" s="320">
        <v>6713</v>
      </c>
      <c r="P13" s="320">
        <f t="shared" si="4"/>
        <v>20.399999999999999</v>
      </c>
      <c r="Q13" s="178"/>
      <c r="R13" s="320"/>
      <c r="S13" s="320"/>
      <c r="T13" s="576">
        <v>385.631237</v>
      </c>
      <c r="U13" s="700">
        <v>91.457828000000006</v>
      </c>
      <c r="V13" s="320">
        <f t="shared" si="5"/>
        <v>-76.3</v>
      </c>
      <c r="W13" s="576">
        <v>5411.57</v>
      </c>
      <c r="X13" s="320">
        <v>9786.99</v>
      </c>
      <c r="Y13" s="320">
        <f t="shared" si="6"/>
        <v>80.900000000000006</v>
      </c>
      <c r="Z13" s="576">
        <v>0</v>
      </c>
      <c r="AA13" s="320"/>
      <c r="AB13" s="320"/>
      <c r="AC13" s="178">
        <v>31.653417000000001</v>
      </c>
      <c r="AD13" s="320"/>
      <c r="AE13" s="320">
        <f t="shared" si="8"/>
        <v>-100</v>
      </c>
      <c r="AF13" s="576">
        <v>3677.1436079800005</v>
      </c>
      <c r="AG13" s="320">
        <v>3427.5151758999996</v>
      </c>
      <c r="AH13" s="320">
        <f t="shared" si="9"/>
        <v>-6.8</v>
      </c>
      <c r="AI13" s="576">
        <v>7612</v>
      </c>
      <c r="AJ13" s="665">
        <v>9084.4</v>
      </c>
      <c r="AK13" s="320">
        <f t="shared" si="10"/>
        <v>19.3</v>
      </c>
      <c r="AL13" s="576"/>
      <c r="AM13" s="320">
        <v>1</v>
      </c>
      <c r="AN13" s="320" t="str">
        <f t="shared" si="11"/>
        <v xml:space="preserve">    ---- </v>
      </c>
      <c r="AO13" s="320">
        <f t="shared" si="14"/>
        <v>34429.433918480005</v>
      </c>
      <c r="AP13" s="320">
        <f t="shared" si="14"/>
        <v>38252.654030400001</v>
      </c>
      <c r="AQ13" s="320">
        <f t="shared" si="12"/>
        <v>11.1</v>
      </c>
      <c r="AR13" s="419">
        <f t="shared" si="15"/>
        <v>34461.087335479999</v>
      </c>
      <c r="AS13" s="419">
        <f t="shared" si="15"/>
        <v>38253.654030400001</v>
      </c>
      <c r="AT13" s="320">
        <f t="shared" si="13"/>
        <v>11</v>
      </c>
    </row>
    <row r="14" spans="1:46" s="431" customFormat="1" ht="18.75" customHeight="1" x14ac:dyDescent="0.3">
      <c r="A14" s="564" t="s">
        <v>286</v>
      </c>
      <c r="B14" s="657">
        <f>SUM(B11:B13)</f>
        <v>4023.6092406299995</v>
      </c>
      <c r="C14" s="536"/>
      <c r="D14" s="320">
        <f t="shared" si="0"/>
        <v>-100</v>
      </c>
      <c r="E14" s="574">
        <f>SUM(E11:E13)</f>
        <v>22766.343915819998</v>
      </c>
      <c r="F14" s="415">
        <f>SUM(F11:F13)</f>
        <v>23548.84844668</v>
      </c>
      <c r="G14" s="320">
        <f t="shared" si="1"/>
        <v>3.4</v>
      </c>
      <c r="H14" s="574">
        <f>SUM(H11:H13)</f>
        <v>2753.8122978400002</v>
      </c>
      <c r="I14" s="415">
        <f>SUM(I11:I13)</f>
        <v>3039.64478517</v>
      </c>
      <c r="J14" s="320">
        <f t="shared" si="2"/>
        <v>10.4</v>
      </c>
      <c r="K14" s="574">
        <f>SUM(K11:K13)</f>
        <v>599.90300000000002</v>
      </c>
      <c r="L14" s="415">
        <f>SUM(L11:L13)</f>
        <v>647.82099999999991</v>
      </c>
      <c r="M14" s="320">
        <f t="shared" si="3"/>
        <v>8</v>
      </c>
      <c r="N14" s="574">
        <f>SUM(N11:N13)</f>
        <v>9333</v>
      </c>
      <c r="O14" s="415">
        <f>SUM(O11:O13)</f>
        <v>11324</v>
      </c>
      <c r="P14" s="320">
        <f t="shared" si="4"/>
        <v>21.3</v>
      </c>
      <c r="Q14" s="88">
        <f>SUM(Q11:Q13)</f>
        <v>34.252362089999998</v>
      </c>
      <c r="R14" s="415"/>
      <c r="S14" s="320">
        <f>IF(Q14=0, "    ---- ", IF(ABS(ROUND(100/Q14*R14-100,1))&lt;999,ROUND(100/Q14*R14-100,1),IF(ROUND(100/Q14*R14-100,1)&gt;999,999,-999)))</f>
        <v>-100</v>
      </c>
      <c r="T14" s="574">
        <v>40633.383313450002</v>
      </c>
      <c r="U14" s="415">
        <v>60032.374802890001</v>
      </c>
      <c r="V14" s="320">
        <f t="shared" si="5"/>
        <v>47.7</v>
      </c>
      <c r="W14" s="574">
        <f>SUM(W11:W13)</f>
        <v>17167.038799999998</v>
      </c>
      <c r="X14" s="415">
        <f>SUM(X11:X13)</f>
        <v>23198.425800000001</v>
      </c>
      <c r="Y14" s="320">
        <f t="shared" si="6"/>
        <v>35.1</v>
      </c>
      <c r="Z14" s="574">
        <f>SUM(Z11:Z13)</f>
        <v>7094</v>
      </c>
      <c r="AA14" s="415">
        <f>SUM(AA11:AA13)</f>
        <v>9347</v>
      </c>
      <c r="AB14" s="320">
        <f t="shared" si="7"/>
        <v>31.8</v>
      </c>
      <c r="AC14" s="88">
        <f>SUM(AC11:AC13)</f>
        <v>114.52773399</v>
      </c>
      <c r="AD14" s="415"/>
      <c r="AE14" s="320">
        <f t="shared" si="8"/>
        <v>-100</v>
      </c>
      <c r="AF14" s="574">
        <f>SUM(AF11:AF13)</f>
        <v>8886.9103700000014</v>
      </c>
      <c r="AG14" s="415">
        <f>SUM(AG11:AG13)</f>
        <v>9235.3659585999976</v>
      </c>
      <c r="AH14" s="320">
        <f t="shared" si="9"/>
        <v>3.9</v>
      </c>
      <c r="AI14" s="574">
        <f>SUM(AI11:AI13)</f>
        <v>22936</v>
      </c>
      <c r="AJ14" s="666">
        <f>SUM(AJ11:AJ13)</f>
        <v>29048.9</v>
      </c>
      <c r="AK14" s="320">
        <f t="shared" si="10"/>
        <v>26.7</v>
      </c>
      <c r="AL14" s="574">
        <f>SUM(AL11:AL13)</f>
        <v>3</v>
      </c>
      <c r="AM14" s="415">
        <f>SUM(AM11:AM13)</f>
        <v>15</v>
      </c>
      <c r="AN14" s="320">
        <f t="shared" si="11"/>
        <v>400</v>
      </c>
      <c r="AO14" s="320">
        <f t="shared" si="14"/>
        <v>136194.00093773997</v>
      </c>
      <c r="AP14" s="320">
        <f t="shared" si="14"/>
        <v>169422.38079333998</v>
      </c>
      <c r="AQ14" s="320">
        <f t="shared" si="12"/>
        <v>24.4</v>
      </c>
      <c r="AR14" s="419">
        <f t="shared" si="15"/>
        <v>136345.78103382001</v>
      </c>
      <c r="AS14" s="419">
        <f t="shared" si="15"/>
        <v>169437.38079333998</v>
      </c>
      <c r="AT14" s="320">
        <f t="shared" si="13"/>
        <v>24.3</v>
      </c>
    </row>
    <row r="15" spans="1:46" s="431" customFormat="1" ht="18.75" customHeight="1" x14ac:dyDescent="0.3">
      <c r="A15" s="564" t="s">
        <v>287</v>
      </c>
      <c r="B15" s="657">
        <v>-80.313453915991332</v>
      </c>
      <c r="C15" s="419"/>
      <c r="D15" s="320">
        <f t="shared" si="0"/>
        <v>-100</v>
      </c>
      <c r="E15" s="178">
        <v>-397.5544376099997</v>
      </c>
      <c r="F15" s="419">
        <v>4270.9108186799995</v>
      </c>
      <c r="G15" s="320">
        <f t="shared" si="1"/>
        <v>-999</v>
      </c>
      <c r="H15" s="578">
        <v>-196.76593108000003</v>
      </c>
      <c r="I15" s="497">
        <v>201.16011458000006</v>
      </c>
      <c r="J15" s="320">
        <f t="shared" si="2"/>
        <v>-202.2</v>
      </c>
      <c r="K15" s="578">
        <v>-39.170999999999999</v>
      </c>
      <c r="L15" s="497">
        <v>27.704000000000001</v>
      </c>
      <c r="M15" s="320">
        <f t="shared" si="3"/>
        <v>-170.7</v>
      </c>
      <c r="N15" s="178">
        <v>136</v>
      </c>
      <c r="O15" s="419">
        <v>190</v>
      </c>
      <c r="P15" s="320">
        <f t="shared" si="4"/>
        <v>39.700000000000003</v>
      </c>
      <c r="Q15" s="579"/>
      <c r="R15" s="495"/>
      <c r="S15" s="320"/>
      <c r="T15" s="178">
        <v>-17580.944603599997</v>
      </c>
      <c r="U15" s="419">
        <v>25360.121276000002</v>
      </c>
      <c r="V15" s="320">
        <f t="shared" si="5"/>
        <v>-244.2</v>
      </c>
      <c r="W15" s="178">
        <v>162.03190000000001</v>
      </c>
      <c r="X15" s="419">
        <v>1008.5196999999999</v>
      </c>
      <c r="Y15" s="320">
        <f t="shared" si="6"/>
        <v>522.4</v>
      </c>
      <c r="Z15" s="178">
        <v>-3840</v>
      </c>
      <c r="AA15" s="419">
        <v>3407</v>
      </c>
      <c r="AB15" s="320">
        <f t="shared" si="7"/>
        <v>-188.7</v>
      </c>
      <c r="AC15" s="579"/>
      <c r="AD15" s="495"/>
      <c r="AE15" s="320"/>
      <c r="AF15" s="580">
        <v>-870.33901344000049</v>
      </c>
      <c r="AG15" s="474">
        <v>325.15304053999972</v>
      </c>
      <c r="AH15" s="320">
        <f t="shared" si="9"/>
        <v>-137.4</v>
      </c>
      <c r="AI15" s="178">
        <v>-4408</v>
      </c>
      <c r="AJ15" s="665">
        <v>2375.1</v>
      </c>
      <c r="AK15" s="320">
        <f t="shared" si="10"/>
        <v>-153.9</v>
      </c>
      <c r="AL15" s="178">
        <v>0</v>
      </c>
      <c r="AM15" s="419">
        <v>0</v>
      </c>
      <c r="AN15" s="320" t="str">
        <f t="shared" si="11"/>
        <v xml:space="preserve">    ---- </v>
      </c>
      <c r="AO15" s="320">
        <f t="shared" si="14"/>
        <v>-27115.056539645986</v>
      </c>
      <c r="AP15" s="320">
        <f t="shared" si="14"/>
        <v>37165.668949799998</v>
      </c>
      <c r="AQ15" s="320">
        <f t="shared" si="12"/>
        <v>-237.1</v>
      </c>
      <c r="AR15" s="419">
        <f t="shared" si="15"/>
        <v>-27115.056539645986</v>
      </c>
      <c r="AS15" s="419">
        <f t="shared" si="15"/>
        <v>37165.668949799998</v>
      </c>
      <c r="AT15" s="320">
        <f t="shared" si="13"/>
        <v>-237.1</v>
      </c>
    </row>
    <row r="16" spans="1:46" s="431" customFormat="1" ht="18.75" customHeight="1" x14ac:dyDescent="0.3">
      <c r="A16" s="564" t="s">
        <v>288</v>
      </c>
      <c r="B16" s="657">
        <v>-4062.5590824499996</v>
      </c>
      <c r="C16" s="419"/>
      <c r="D16" s="320">
        <f t="shared" si="0"/>
        <v>-100</v>
      </c>
      <c r="E16" s="178">
        <v>-18103.482132130001</v>
      </c>
      <c r="F16" s="419">
        <v>9657.7640976799958</v>
      </c>
      <c r="G16" s="320">
        <f t="shared" si="1"/>
        <v>-153.30000000000001</v>
      </c>
      <c r="H16" s="578"/>
      <c r="I16" s="497"/>
      <c r="J16" s="320" t="str">
        <f t="shared" si="2"/>
        <v xml:space="preserve">    ---- </v>
      </c>
      <c r="K16" s="578"/>
      <c r="L16" s="497"/>
      <c r="M16" s="320" t="str">
        <f t="shared" si="3"/>
        <v xml:space="preserve">    ---- </v>
      </c>
      <c r="N16" s="178">
        <v>-6791</v>
      </c>
      <c r="O16" s="419">
        <v>3616</v>
      </c>
      <c r="P16" s="415">
        <f t="shared" si="4"/>
        <v>-153.19999999999999</v>
      </c>
      <c r="Q16" s="579"/>
      <c r="R16" s="495"/>
      <c r="S16" s="581"/>
      <c r="T16" s="178">
        <v>-104.38574818000001</v>
      </c>
      <c r="U16" s="419">
        <v>122.92147643999999</v>
      </c>
      <c r="V16" s="581">
        <f t="shared" si="5"/>
        <v>-217.8</v>
      </c>
      <c r="W16" s="178">
        <v>-17732.279399999999</v>
      </c>
      <c r="X16" s="419">
        <v>9160.0419000000002</v>
      </c>
      <c r="Y16" s="320">
        <f t="shared" si="6"/>
        <v>-151.69999999999999</v>
      </c>
      <c r="Z16" s="178"/>
      <c r="AA16" s="419"/>
      <c r="AB16" s="320"/>
      <c r="AC16" s="578">
        <v>-438.47896112000001</v>
      </c>
      <c r="AD16" s="495"/>
      <c r="AE16" s="320">
        <f t="shared" si="8"/>
        <v>-100</v>
      </c>
      <c r="AF16" s="580">
        <v>-7661.5304852300014</v>
      </c>
      <c r="AG16" s="474">
        <v>4310.1644856100002</v>
      </c>
      <c r="AH16" s="320">
        <f t="shared" si="9"/>
        <v>-156.30000000000001</v>
      </c>
      <c r="AI16" s="178">
        <v>-18167</v>
      </c>
      <c r="AJ16" s="665">
        <v>12446.2</v>
      </c>
      <c r="AK16" s="320">
        <f t="shared" si="10"/>
        <v>-168.5</v>
      </c>
      <c r="AL16" s="178"/>
      <c r="AM16" s="419"/>
      <c r="AN16" s="320" t="str">
        <f t="shared" si="11"/>
        <v xml:space="preserve">    ---- </v>
      </c>
      <c r="AO16" s="320">
        <f t="shared" si="14"/>
        <v>-72622.236847990003</v>
      </c>
      <c r="AP16" s="320">
        <f t="shared" si="14"/>
        <v>39313.091959729994</v>
      </c>
      <c r="AQ16" s="320">
        <f t="shared" si="12"/>
        <v>-154.1</v>
      </c>
      <c r="AR16" s="419">
        <f t="shared" si="15"/>
        <v>-73060.715809109999</v>
      </c>
      <c r="AS16" s="419">
        <f t="shared" si="15"/>
        <v>39313.091959729994</v>
      </c>
      <c r="AT16" s="320">
        <f t="shared" si="13"/>
        <v>-153.80000000000001</v>
      </c>
    </row>
    <row r="17" spans="1:46" s="431" customFormat="1" ht="18.75" customHeight="1" x14ac:dyDescent="0.3">
      <c r="A17" s="564" t="s">
        <v>289</v>
      </c>
      <c r="B17" s="178"/>
      <c r="C17" s="419"/>
      <c r="D17" s="320"/>
      <c r="E17" s="178">
        <v>33.323694920000001</v>
      </c>
      <c r="F17" s="419">
        <v>38.111844320000003</v>
      </c>
      <c r="G17" s="320">
        <f t="shared" si="1"/>
        <v>14.4</v>
      </c>
      <c r="H17" s="578">
        <v>6.7200871600000003</v>
      </c>
      <c r="I17" s="497">
        <v>8.7215292100000017</v>
      </c>
      <c r="J17" s="320">
        <f t="shared" si="2"/>
        <v>29.8</v>
      </c>
      <c r="K17" s="578"/>
      <c r="L17" s="497"/>
      <c r="M17" s="320" t="str">
        <f t="shared" si="3"/>
        <v xml:space="preserve">    ---- </v>
      </c>
      <c r="N17" s="178">
        <v>162</v>
      </c>
      <c r="O17" s="419">
        <v>203</v>
      </c>
      <c r="P17" s="320"/>
      <c r="Q17" s="579"/>
      <c r="R17" s="495"/>
      <c r="S17" s="320"/>
      <c r="T17" s="178">
        <v>1011.93395</v>
      </c>
      <c r="U17" s="419">
        <v>1049.5898529999999</v>
      </c>
      <c r="V17" s="320">
        <f t="shared" si="5"/>
        <v>3.7</v>
      </c>
      <c r="W17" s="178">
        <v>193.55879999999999</v>
      </c>
      <c r="X17" s="419">
        <v>223.0111</v>
      </c>
      <c r="Y17" s="320">
        <f t="shared" si="6"/>
        <v>15.2</v>
      </c>
      <c r="Z17" s="178">
        <v>22</v>
      </c>
      <c r="AA17" s="419">
        <v>41</v>
      </c>
      <c r="AB17" s="320">
        <f t="shared" si="7"/>
        <v>86.4</v>
      </c>
      <c r="AC17" s="579"/>
      <c r="AD17" s="495"/>
      <c r="AE17" s="320"/>
      <c r="AF17" s="580">
        <v>233.29798516000014</v>
      </c>
      <c r="AG17" s="474">
        <v>256.14507226000006</v>
      </c>
      <c r="AH17" s="320">
        <f t="shared" si="9"/>
        <v>9.8000000000000007</v>
      </c>
      <c r="AI17" s="178">
        <v>613</v>
      </c>
      <c r="AJ17" s="665">
        <v>574.4</v>
      </c>
      <c r="AK17" s="320">
        <f t="shared" si="10"/>
        <v>-6.3</v>
      </c>
      <c r="AL17" s="178"/>
      <c r="AM17" s="419"/>
      <c r="AN17" s="320" t="str">
        <f t="shared" si="11"/>
        <v xml:space="preserve">    ---- </v>
      </c>
      <c r="AO17" s="320">
        <f t="shared" si="14"/>
        <v>2275.83451724</v>
      </c>
      <c r="AP17" s="320">
        <f t="shared" si="14"/>
        <v>2393.9793987899998</v>
      </c>
      <c r="AQ17" s="320">
        <f t="shared" si="12"/>
        <v>5.2</v>
      </c>
      <c r="AR17" s="419">
        <f t="shared" si="15"/>
        <v>2275.83451724</v>
      </c>
      <c r="AS17" s="419">
        <f t="shared" si="15"/>
        <v>2393.9793987899998</v>
      </c>
      <c r="AT17" s="320">
        <f t="shared" si="13"/>
        <v>5.2</v>
      </c>
    </row>
    <row r="18" spans="1:46" s="431" customFormat="1" ht="18.75" customHeight="1" x14ac:dyDescent="0.3">
      <c r="A18" s="564" t="s">
        <v>290</v>
      </c>
      <c r="B18" s="178"/>
      <c r="C18" s="419"/>
      <c r="D18" s="320"/>
      <c r="E18" s="178"/>
      <c r="F18" s="419"/>
      <c r="G18" s="320"/>
      <c r="H18" s="578"/>
      <c r="I18" s="497"/>
      <c r="J18" s="320"/>
      <c r="K18" s="578"/>
      <c r="L18" s="497"/>
      <c r="M18" s="320"/>
      <c r="N18" s="178"/>
      <c r="O18" s="419"/>
      <c r="P18" s="415"/>
      <c r="Q18" s="579"/>
      <c r="R18" s="495"/>
      <c r="S18" s="320"/>
      <c r="T18" s="178"/>
      <c r="U18" s="419"/>
      <c r="V18" s="320"/>
      <c r="W18" s="582"/>
      <c r="X18" s="475"/>
      <c r="Y18" s="320"/>
      <c r="Z18" s="178"/>
      <c r="AA18" s="419"/>
      <c r="AB18" s="320"/>
      <c r="AC18" s="579"/>
      <c r="AD18" s="495"/>
      <c r="AE18" s="320"/>
      <c r="AF18" s="580"/>
      <c r="AG18" s="474"/>
      <c r="AH18" s="320"/>
      <c r="AI18" s="178"/>
      <c r="AJ18" s="665"/>
      <c r="AK18" s="320"/>
      <c r="AL18" s="178"/>
      <c r="AM18" s="419"/>
      <c r="AN18" s="320"/>
      <c r="AO18" s="320"/>
      <c r="AP18" s="320"/>
      <c r="AQ18" s="320"/>
      <c r="AR18" s="495"/>
      <c r="AS18" s="495"/>
      <c r="AT18" s="577"/>
    </row>
    <row r="19" spans="1:46" s="431" customFormat="1" ht="18.75" customHeight="1" x14ac:dyDescent="0.3">
      <c r="A19" s="564" t="s">
        <v>291</v>
      </c>
      <c r="B19" s="574">
        <v>-588.48616306999998</v>
      </c>
      <c r="C19" s="415"/>
      <c r="D19" s="320">
        <f>IF(B19=0, "    ---- ", IF(ABS(ROUND(100/B19*C19-100,1))&lt;999,ROUND(100/B19*C19-100,1),IF(ROUND(100/B19*C19-100,1)&gt;999,999,-999)))</f>
        <v>-100</v>
      </c>
      <c r="E19" s="574">
        <v>-11156.613144269999</v>
      </c>
      <c r="F19" s="415">
        <v>-11812.64715803</v>
      </c>
      <c r="G19" s="320">
        <f>IF(E19=0, "    ---- ", IF(ABS(ROUND(100/E19*F19-100,1))&lt;999,ROUND(100/E19*F19-100,1),IF(ROUND(100/E19*F19-100,1)&gt;999,999,-999)))</f>
        <v>5.9</v>
      </c>
      <c r="H19" s="574">
        <v>-1182.5835278299999</v>
      </c>
      <c r="I19" s="415">
        <v>-1258.86189947</v>
      </c>
      <c r="J19" s="320">
        <f>IF(H19=0, "    ---- ", IF(ABS(ROUND(100/H19*I19-100,1))&lt;999,ROUND(100/H19*I19-100,1),IF(ROUND(100/H19*I19-100,1)&gt;999,999,-999)))</f>
        <v>6.5</v>
      </c>
      <c r="K19" s="574">
        <v>-110.401</v>
      </c>
      <c r="L19" s="415">
        <v>-106.55200000000001</v>
      </c>
      <c r="M19" s="320">
        <f>IF(K19=0, "    ---- ", IF(ABS(ROUND(100/K19*L19-100,1))&lt;999,ROUND(100/K19*L19-100,1),IF(ROUND(100/K19*L19-100,1)&gt;999,999,-999)))</f>
        <v>-3.5</v>
      </c>
      <c r="N19" s="574">
        <v>-624</v>
      </c>
      <c r="O19" s="415">
        <v>-797</v>
      </c>
      <c r="P19" s="320">
        <f>IF(N19=0, "    ---- ", IF(ABS(ROUND(100/N19*O19-100,1))&lt;999,ROUND(100/N19*O19-100,1),IF(ROUND(100/N19*O19-100,1)&gt;999,999,-999)))</f>
        <v>27.7</v>
      </c>
      <c r="Q19" s="88">
        <v>-9.1636930000000003</v>
      </c>
      <c r="R19" s="415"/>
      <c r="S19" s="320">
        <f>IF(Q19=0, "    ---- ", IF(ABS(ROUND(100/Q19*R19-100,1))&lt;999,ROUND(100/Q19*R19-100,1),IF(ROUND(100/Q19*R19-100,1)&gt;999,999,-999)))</f>
        <v>-100</v>
      </c>
      <c r="T19" s="574">
        <v>-17794.49707541</v>
      </c>
      <c r="U19" s="415">
        <v>-19375.534022880001</v>
      </c>
      <c r="V19" s="320">
        <f>IF(T19=0, "    ---- ", IF(ABS(ROUND(100/T19*U19-100,1))&lt;999,ROUND(100/T19*U19-100,1),IF(ROUND(100/T19*U19-100,1)&gt;999,999,-999)))</f>
        <v>8.9</v>
      </c>
      <c r="W19" s="574">
        <v>-7705.3923000000004</v>
      </c>
      <c r="X19" s="415">
        <v>-6696</v>
      </c>
      <c r="Y19" s="320">
        <f>IF(W19=0, "    ---- ", IF(ABS(ROUND(100/W19*X19-100,1))&lt;999,ROUND(100/W19*X19-100,1),IF(ROUND(100/W19*X19-100,1)&gt;999,999,-999)))</f>
        <v>-13.1</v>
      </c>
      <c r="Z19" s="574">
        <v>-2501</v>
      </c>
      <c r="AA19" s="415">
        <v>-2716</v>
      </c>
      <c r="AB19" s="320">
        <f>IF(Z19=0, "    ---- ", IF(ABS(ROUND(100/Z19*AA19-100,1))&lt;999,ROUND(100/Z19*AA19-100,1),IF(ROUND(100/Z19*AA19-100,1)&gt;999,999,-999)))</f>
        <v>8.6</v>
      </c>
      <c r="AC19" s="88">
        <v>-128.90018438000001</v>
      </c>
      <c r="AD19" s="415"/>
      <c r="AE19" s="320">
        <f>IF(AC19=0, "    ---- ", IF(ABS(ROUND(100/AC19*AD19-100,1))&lt;999,ROUND(100/AC19*AD19-100,1),IF(ROUND(100/AC19*AD19-100,1)&gt;999,999,-999)))</f>
        <v>-100</v>
      </c>
      <c r="AF19" s="583">
        <v>-1345.9521617400001</v>
      </c>
      <c r="AG19" s="476">
        <v>-1372.1580086200001</v>
      </c>
      <c r="AH19" s="320">
        <f>IF(AF19=0, "    ---- ", IF(ABS(ROUND(100/AF19*AG19-100,1))&lt;999,ROUND(100/AF19*AG19-100,1),IF(ROUND(100/AF19*AG19-100,1)&gt;999,999,-999)))</f>
        <v>1.9</v>
      </c>
      <c r="AI19" s="574">
        <f>-10052+30</f>
        <v>-10022</v>
      </c>
      <c r="AJ19" s="666">
        <f>-11287.7+30.9</f>
        <v>-11256.800000000001</v>
      </c>
      <c r="AK19" s="320">
        <f>IF(AI19=0, "    ---- ", IF(ABS(ROUND(100/AI19*AJ19-100,1))&lt;999,ROUND(100/AI19*AJ19-100,1),IF(ROUND(100/AI19*AJ19-100,1)&gt;999,999,-999)))</f>
        <v>12.3</v>
      </c>
      <c r="AL19" s="574">
        <v>-2</v>
      </c>
      <c r="AM19" s="415">
        <v>-6</v>
      </c>
      <c r="AN19" s="320">
        <f>IF(AL19=0, "    ---- ", IF(ABS(ROUND(100/AL19*AM19-100,1))&lt;999,ROUND(100/AL19*AM19-100,1),IF(ROUND(100/AL19*AM19-100,1)&gt;999,999,-999)))</f>
        <v>200</v>
      </c>
      <c r="AO19" s="320">
        <f t="shared" si="14"/>
        <v>-53030.925372320002</v>
      </c>
      <c r="AP19" s="320">
        <f t="shared" si="14"/>
        <v>-55391.553089000001</v>
      </c>
      <c r="AQ19" s="320">
        <f t="shared" si="12"/>
        <v>4.5</v>
      </c>
      <c r="AR19" s="419">
        <f t="shared" ref="AR19:AS21" si="16">+B19+E19+H19+K19+N19+Q19+T19+W19+Z19+AC19+AF19+AI19+AL19</f>
        <v>-53170.989249700004</v>
      </c>
      <c r="AS19" s="419">
        <f t="shared" si="16"/>
        <v>-55397.553089000001</v>
      </c>
      <c r="AT19" s="320">
        <f>IF(AR19=0, "    ---- ", IF(ABS(ROUND(100/AR19*AS19-100,1))&lt;999,ROUND(100/AR19*AS19-100,1),IF(ROUND(100/AR19*AS19-100,1)&gt;999,999,-999)))</f>
        <v>4.2</v>
      </c>
    </row>
    <row r="20" spans="1:46" s="431" customFormat="1" ht="18.75" customHeight="1" x14ac:dyDescent="0.3">
      <c r="A20" s="564" t="s">
        <v>406</v>
      </c>
      <c r="B20" s="576">
        <v>-2366.2526671000001</v>
      </c>
      <c r="C20" s="320"/>
      <c r="D20" s="320">
        <f>IF(B20=0, "    ---- ", IF(ABS(ROUND(100/B20*C20-100,1))&lt;999,ROUND(100/B20*C20-100,1),IF(ROUND(100/B20*C20-100,1)&gt;999,999,-999)))</f>
        <v>-100</v>
      </c>
      <c r="E20" s="576">
        <v>-10133.419663169998</v>
      </c>
      <c r="F20" s="320">
        <v>-10476.620303869999</v>
      </c>
      <c r="G20" s="320">
        <f>IF(E20=0, "    ---- ", IF(ABS(ROUND(100/E20*F20-100,1))&lt;999,ROUND(100/E20*F20-100,1),IF(ROUND(100/E20*F20-100,1)&gt;999,999,-999)))</f>
        <v>3.4</v>
      </c>
      <c r="H20" s="576">
        <v>97.875320930000001</v>
      </c>
      <c r="I20" s="320">
        <v>84.836548709999974</v>
      </c>
      <c r="J20" s="320">
        <f>IF(H20=0, "    ---- ", IF(ABS(ROUND(100/H20*I20-100,1))&lt;999,ROUND(100/H20*I20-100,1),IF(ROUND(100/H20*I20-100,1)&gt;999,999,-999)))</f>
        <v>-13.3</v>
      </c>
      <c r="K20" s="576"/>
      <c r="L20" s="320"/>
      <c r="M20" s="320" t="str">
        <f>IF(K20=0, "    ---- ", IF(ABS(ROUND(100/K20*L20-100,1))&lt;999,ROUND(100/K20*L20-100,1),IF(ROUND(100/K20*L20-100,1)&gt;999,999,-999)))</f>
        <v xml:space="preserve">    ---- </v>
      </c>
      <c r="N20" s="576">
        <v>-3655</v>
      </c>
      <c r="O20" s="320">
        <v>-4120</v>
      </c>
      <c r="P20" s="320">
        <f>IF(N20=0, "    ---- ", IF(ABS(ROUND(100/N20*O20-100,1))&lt;999,ROUND(100/N20*O20-100,1),IF(ROUND(100/N20*O20-100,1)&gt;999,999,-999)))</f>
        <v>12.7</v>
      </c>
      <c r="Q20" s="178"/>
      <c r="R20" s="320"/>
      <c r="S20" s="320"/>
      <c r="T20" s="576">
        <v>-4658.4329369999996</v>
      </c>
      <c r="U20" s="320">
        <v>-2125.116352</v>
      </c>
      <c r="V20" s="320">
        <f>IF(T20=0, "    ---- ", IF(ABS(ROUND(100/T20*U20-100,1))&lt;999,ROUND(100/T20*U20-100,1),IF(ROUND(100/T20*U20-100,1)&gt;999,999,-999)))</f>
        <v>-54.4</v>
      </c>
      <c r="W20" s="584">
        <v>-4798</v>
      </c>
      <c r="X20" s="477">
        <v>-8047.5250999999998</v>
      </c>
      <c r="Y20" s="320">
        <f>IF(W20=0, "    ---- ", IF(ABS(ROUND(100/W20*X20-100,1))&lt;999,ROUND(100/W20*X20-100,1),IF(ROUND(100/W20*X20-100,1)&gt;999,999,-999)))</f>
        <v>67.7</v>
      </c>
      <c r="Z20" s="584"/>
      <c r="AA20" s="477"/>
      <c r="AB20" s="320"/>
      <c r="AC20" s="178">
        <v>-52.594931959999997</v>
      </c>
      <c r="AD20" s="320"/>
      <c r="AE20" s="320">
        <f>IF(AC20=0, "    ---- ", IF(ABS(ROUND(100/AC20*AD20-100,1))&lt;999,ROUND(100/AC20*AD20-100,1),IF(ROUND(100/AC20*AD20-100,1)&gt;999,999,-999)))</f>
        <v>-100</v>
      </c>
      <c r="AF20" s="584">
        <v>-3961.7574349800002</v>
      </c>
      <c r="AG20" s="477">
        <v>-3733.7782461400002</v>
      </c>
      <c r="AH20" s="320">
        <f>IF(AF20=0, "    ---- ", IF(ABS(ROUND(100/AF20*AG20-100,1))&lt;999,ROUND(100/AF20*AG20-100,1),IF(ROUND(100/AF20*AG20-100,1)&gt;999,999,-999)))</f>
        <v>-5.8</v>
      </c>
      <c r="AI20" s="576">
        <v>-7756</v>
      </c>
      <c r="AJ20" s="665">
        <v>-13097</v>
      </c>
      <c r="AK20" s="320">
        <f>IF(AI20=0, "    ---- ", IF(ABS(ROUND(100/AI20*AJ20-100,1))&lt;999,ROUND(100/AI20*AJ20-100,1),IF(ROUND(100/AI20*AJ20-100,1)&gt;999,999,-999)))</f>
        <v>68.900000000000006</v>
      </c>
      <c r="AL20" s="576"/>
      <c r="AM20" s="320"/>
      <c r="AN20" s="320" t="str">
        <f>IF(AL20=0, "    ---- ", IF(ABS(ROUND(100/AL20*AM20-100,1))&lt;999,ROUND(100/AL20*AM20-100,1),IF(ROUND(100/AL20*AM20-100,1)&gt;999,999,-999)))</f>
        <v xml:space="preserve">    ---- </v>
      </c>
      <c r="AO20" s="320">
        <f t="shared" si="14"/>
        <v>-37230.987381319996</v>
      </c>
      <c r="AP20" s="320">
        <f t="shared" si="14"/>
        <v>-41515.203453299997</v>
      </c>
      <c r="AQ20" s="320">
        <f t="shared" si="12"/>
        <v>11.5</v>
      </c>
      <c r="AR20" s="419">
        <f t="shared" si="16"/>
        <v>-37283.58231328</v>
      </c>
      <c r="AS20" s="419">
        <f t="shared" si="16"/>
        <v>-41515.203453299997</v>
      </c>
      <c r="AT20" s="320">
        <f>IF(AR20=0, "    ---- ", IF(ABS(ROUND(100/AR20*AS20-100,1))&lt;999,ROUND(100/AR20*AS20-100,1),IF(ROUND(100/AR20*AS20-100,1)&gt;999,999,-999)))</f>
        <v>11.3</v>
      </c>
    </row>
    <row r="21" spans="1:46" s="431" customFormat="1" ht="18.75" customHeight="1" x14ac:dyDescent="0.3">
      <c r="A21" s="564" t="s">
        <v>292</v>
      </c>
      <c r="B21" s="574">
        <f>SUM(B19:B20)</f>
        <v>-2954.7388301700003</v>
      </c>
      <c r="C21" s="415"/>
      <c r="D21" s="320">
        <f>IF(B21=0, "    ---- ", IF(ABS(ROUND(100/B21*C21-100,1))&lt;999,ROUND(100/B21*C21-100,1),IF(ROUND(100/B21*C21-100,1)&gt;999,999,-999)))</f>
        <v>-100</v>
      </c>
      <c r="E21" s="574">
        <f>SUM(E19:E20)</f>
        <v>-21290.032807439995</v>
      </c>
      <c r="F21" s="415">
        <f>SUM(F19:F20)</f>
        <v>-22289.267461899999</v>
      </c>
      <c r="G21" s="320">
        <f>IF(E21=0, "    ---- ", IF(ABS(ROUND(100/E21*F21-100,1))&lt;999,ROUND(100/E21*F21-100,1),IF(ROUND(100/E21*F21-100,1)&gt;999,999,-999)))</f>
        <v>4.7</v>
      </c>
      <c r="H21" s="574">
        <f>SUM(H19:H20)</f>
        <v>-1084.7082068999998</v>
      </c>
      <c r="I21" s="415">
        <f>SUM(I19:I20)</f>
        <v>-1174.02535076</v>
      </c>
      <c r="J21" s="320">
        <f>IF(H21=0, "    ---- ", IF(ABS(ROUND(100/H21*I21-100,1))&lt;999,ROUND(100/H21*I21-100,1),IF(ROUND(100/H21*I21-100,1)&gt;999,999,-999)))</f>
        <v>8.1999999999999993</v>
      </c>
      <c r="K21" s="574">
        <f>SUM(K19:K20)</f>
        <v>-110.401</v>
      </c>
      <c r="L21" s="415">
        <f>SUM(L19:L20)</f>
        <v>-106.55200000000001</v>
      </c>
      <c r="M21" s="320">
        <f>IF(K21=0, "    ---- ", IF(ABS(ROUND(100/K21*L21-100,1))&lt;999,ROUND(100/K21*L21-100,1),IF(ROUND(100/K21*L21-100,1)&gt;999,999,-999)))</f>
        <v>-3.5</v>
      </c>
      <c r="N21" s="574">
        <f>SUM(N19:N20)</f>
        <v>-4279</v>
      </c>
      <c r="O21" s="415">
        <f>SUM(O19:O20)</f>
        <v>-4917</v>
      </c>
      <c r="P21" s="320">
        <f>IF(N21=0, "    ---- ", IF(ABS(ROUND(100/N21*O21-100,1))&lt;999,ROUND(100/N21*O21-100,1),IF(ROUND(100/N21*O21-100,1)&gt;999,999,-999)))</f>
        <v>14.9</v>
      </c>
      <c r="Q21" s="88">
        <f>SUM(Q19:Q20)</f>
        <v>-9.1636930000000003</v>
      </c>
      <c r="R21" s="415"/>
      <c r="S21" s="320">
        <f>IF(Q21=0, "    ---- ", IF(ABS(ROUND(100/Q21*R21-100,1))&lt;999,ROUND(100/Q21*R21-100,1),IF(ROUND(100/Q21*R21-100,1)&gt;999,999,-999)))</f>
        <v>-100</v>
      </c>
      <c r="T21" s="574">
        <v>-22452.930012409997</v>
      </c>
      <c r="U21" s="415">
        <v>-21500.650374880002</v>
      </c>
      <c r="V21" s="320">
        <f>IF(T21=0, "    ---- ", IF(ABS(ROUND(100/T21*U21-100,1))&lt;999,ROUND(100/T21*U21-100,1),IF(ROUND(100/T21*U21-100,1)&gt;999,999,-999)))</f>
        <v>-4.2</v>
      </c>
      <c r="W21" s="574">
        <f>SUM(W19:W20)</f>
        <v>-12503.3923</v>
      </c>
      <c r="X21" s="415">
        <f>SUM(X19:X20)</f>
        <v>-14743.525099999999</v>
      </c>
      <c r="Y21" s="320">
        <f>IF(W21=0, "    ---- ", IF(ABS(ROUND(100/W21*X21-100,1))&lt;999,ROUND(100/W21*X21-100,1),IF(ROUND(100/W21*X21-100,1)&gt;999,999,-999)))</f>
        <v>17.899999999999999</v>
      </c>
      <c r="Z21" s="574">
        <f>SUM(Z19:Z20)</f>
        <v>-2501</v>
      </c>
      <c r="AA21" s="415">
        <f>SUM(AA19:AA20)</f>
        <v>-2716</v>
      </c>
      <c r="AB21" s="320">
        <f>IF(Z21=0, "    ---- ", IF(ABS(ROUND(100/Z21*AA21-100,1))&lt;999,ROUND(100/Z21*AA21-100,1),IF(ROUND(100/Z21*AA21-100,1)&gt;999,999,-999)))</f>
        <v>8.6</v>
      </c>
      <c r="AC21" s="88">
        <f>SUM(AC19:AC20)</f>
        <v>-181.49511634000001</v>
      </c>
      <c r="AD21" s="415"/>
      <c r="AE21" s="320">
        <f>IF(AC21=0, "    ---- ", IF(ABS(ROUND(100/AC21*AD21-100,1))&lt;999,ROUND(100/AC21*AD21-100,1),IF(ROUND(100/AC21*AD21-100,1)&gt;999,999,-999)))</f>
        <v>-100</v>
      </c>
      <c r="AF21" s="574">
        <f>SUM(AF19:AF20)</f>
        <v>-5307.7095967200003</v>
      </c>
      <c r="AG21" s="415">
        <f>SUM(AG19:AG20)</f>
        <v>-5105.9362547600003</v>
      </c>
      <c r="AH21" s="320">
        <f>IF(AF21=0, "    ---- ", IF(ABS(ROUND(100/AF21*AG21-100,1))&lt;999,ROUND(100/AF21*AG21-100,1),IF(ROUND(100/AF21*AG21-100,1)&gt;999,999,-999)))</f>
        <v>-3.8</v>
      </c>
      <c r="AI21" s="574">
        <f>SUM(AI19:AI20)</f>
        <v>-17778</v>
      </c>
      <c r="AJ21" s="666">
        <f>SUM(AJ19:AJ20)</f>
        <v>-24353.800000000003</v>
      </c>
      <c r="AK21" s="320">
        <f>IF(AI21=0, "    ---- ", IF(ABS(ROUND(100/AI21*AJ21-100,1))&lt;999,ROUND(100/AI21*AJ21-100,1),IF(ROUND(100/AI21*AJ21-100,1)&gt;999,999,-999)))</f>
        <v>37</v>
      </c>
      <c r="AL21" s="574">
        <f>SUM(AL19:AL20)</f>
        <v>-2</v>
      </c>
      <c r="AM21" s="415">
        <f>SUM(AM19:AM20)</f>
        <v>-6</v>
      </c>
      <c r="AN21" s="320">
        <f>IF(AL21=0, "    ---- ", IF(ABS(ROUND(100/AL21*AM21-100,1))&lt;999,ROUND(100/AL21*AM21-100,1),IF(ROUND(100/AL21*AM21-100,1)&gt;999,999,-999)))</f>
        <v>200</v>
      </c>
      <c r="AO21" s="320">
        <f t="shared" si="14"/>
        <v>-90261.912753640005</v>
      </c>
      <c r="AP21" s="320">
        <f t="shared" si="14"/>
        <v>-96906.756542300005</v>
      </c>
      <c r="AQ21" s="320">
        <f t="shared" si="12"/>
        <v>7.4</v>
      </c>
      <c r="AR21" s="419">
        <f t="shared" si="16"/>
        <v>-90454.571562979982</v>
      </c>
      <c r="AS21" s="419">
        <f t="shared" si="16"/>
        <v>-96912.756542300005</v>
      </c>
      <c r="AT21" s="320">
        <f>IF(AR21=0, "    ---- ", IF(ABS(ROUND(100/AR21*AS21-100,1))&lt;999,ROUND(100/AR21*AS21-100,1),IF(ROUND(100/AR21*AS21-100,1)&gt;999,999,-999)))</f>
        <v>7.1</v>
      </c>
    </row>
    <row r="22" spans="1:46" s="431" customFormat="1" ht="18.75" customHeight="1" x14ac:dyDescent="0.3">
      <c r="A22" s="564" t="s">
        <v>293</v>
      </c>
      <c r="B22" s="178"/>
      <c r="C22" s="419"/>
      <c r="D22" s="320"/>
      <c r="E22" s="178"/>
      <c r="F22" s="419"/>
      <c r="G22" s="320"/>
      <c r="H22" s="579"/>
      <c r="I22" s="495"/>
      <c r="J22" s="320"/>
      <c r="K22" s="579"/>
      <c r="L22" s="495"/>
      <c r="M22" s="320"/>
      <c r="N22" s="178"/>
      <c r="O22" s="419"/>
      <c r="P22" s="320"/>
      <c r="Q22" s="579"/>
      <c r="R22" s="495"/>
      <c r="S22" s="320"/>
      <c r="T22" s="178"/>
      <c r="U22" s="419"/>
      <c r="V22" s="320"/>
      <c r="W22" s="579"/>
      <c r="X22" s="495"/>
      <c r="Y22" s="320"/>
      <c r="Z22" s="579"/>
      <c r="AA22" s="495"/>
      <c r="AB22" s="320"/>
      <c r="AC22" s="579"/>
      <c r="AD22" s="495"/>
      <c r="AE22" s="320"/>
      <c r="AF22" s="579"/>
      <c r="AG22" s="495"/>
      <c r="AH22" s="320"/>
      <c r="AI22" s="178"/>
      <c r="AJ22" s="665"/>
      <c r="AK22" s="320"/>
      <c r="AL22" s="178"/>
      <c r="AM22" s="419"/>
      <c r="AN22" s="320"/>
      <c r="AO22" s="320">
        <f t="shared" si="14"/>
        <v>0</v>
      </c>
      <c r="AP22" s="320">
        <f t="shared" si="14"/>
        <v>0</v>
      </c>
      <c r="AQ22" s="320"/>
      <c r="AR22" s="320"/>
      <c r="AS22" s="320"/>
      <c r="AT22" s="320"/>
    </row>
    <row r="23" spans="1:46" s="431" customFormat="1" ht="18.75" customHeight="1" x14ac:dyDescent="0.3">
      <c r="A23" s="564" t="s">
        <v>407</v>
      </c>
      <c r="B23" s="576">
        <v>-32.394305560000056</v>
      </c>
      <c r="C23" s="320"/>
      <c r="D23" s="320">
        <f t="shared" ref="D23:D30" si="17">IF(B23=0, "    ---- ", IF(ABS(ROUND(100/B23*C23-100,1))&lt;999,ROUND(100/B23*C23-100,1),IF(ROUND(100/B23*C23-100,1)&gt;999,999,-999)))</f>
        <v>-100</v>
      </c>
      <c r="E23" s="576">
        <v>3486.7241356</v>
      </c>
      <c r="F23" s="320">
        <v>4046.3629350300002</v>
      </c>
      <c r="G23" s="320">
        <f t="shared" ref="G23:G30" si="18">IF(E23=0, "    ---- ", IF(ABS(ROUND(100/E23*F23-100,1))&lt;999,ROUND(100/E23*F23-100,1),IF(ROUND(100/E23*F23-100,1)&gt;999,999,-999)))</f>
        <v>16.100000000000001</v>
      </c>
      <c r="H23" s="576">
        <v>-538.72775331000014</v>
      </c>
      <c r="I23" s="320">
        <v>-627.01689623999948</v>
      </c>
      <c r="J23" s="320">
        <f>IF(H23=0, "    ---- ", IF(ABS(ROUND(100/H23*I23-100,1))&lt;999,ROUND(100/H23*I23-100,1),IF(ROUND(100/H23*I23-100,1)&gt;999,999,-999)))</f>
        <v>16.399999999999999</v>
      </c>
      <c r="K23" s="576">
        <v>-253.82499999999999</v>
      </c>
      <c r="L23" s="320">
        <v>-366.81700000000001</v>
      </c>
      <c r="M23" s="320">
        <f>IF(K23=0, "    ---- ", IF(ABS(ROUND(100/K23*L23-100,1))&lt;999,ROUND(100/K23*L23-100,1),IF(ROUND(100/K23*L23-100,1)&gt;999,999,-999)))</f>
        <v>44.5</v>
      </c>
      <c r="N23" s="576">
        <v>-438</v>
      </c>
      <c r="O23" s="320">
        <v>-492</v>
      </c>
      <c r="P23" s="320">
        <f t="shared" ref="P23:P32" si="19">IF(N23=0, "    ---- ", IF(ABS(ROUND(100/N23*O23-100,1))&lt;999,ROUND(100/N23*O23-100,1),IF(ROUND(100/N23*O23-100,1)&gt;999,999,-999)))</f>
        <v>12.3</v>
      </c>
      <c r="Q23" s="178">
        <v>3.0497380000000001</v>
      </c>
      <c r="R23" s="320"/>
      <c r="S23" s="320"/>
      <c r="T23" s="576">
        <v>-24905.196044790002</v>
      </c>
      <c r="U23" s="320">
        <v>-45958.90206334</v>
      </c>
      <c r="V23" s="320">
        <f t="shared" ref="V23:V31" si="20">IF(T23=0, "    ---- ", IF(ABS(ROUND(100/T23*U23-100,1))&lt;999,ROUND(100/T23*U23-100,1),IF(ROUND(100/T23*U23-100,1)&gt;999,999,-999)))</f>
        <v>84.5</v>
      </c>
      <c r="W23" s="576">
        <v>-45.981999999999999</v>
      </c>
      <c r="X23" s="320">
        <v>164.7602</v>
      </c>
      <c r="Y23" s="320">
        <f t="shared" ref="Y23:Y30" si="21">IF(W23=0, "    ---- ", IF(ABS(ROUND(100/W23*X23-100,1))&lt;999,ROUND(100/W23*X23-100,1),IF(ROUND(100/W23*X23-100,1)&gt;999,999,-999)))</f>
        <v>-458.3</v>
      </c>
      <c r="Z23" s="576">
        <v>-5216</v>
      </c>
      <c r="AA23" s="320">
        <v>-7377</v>
      </c>
      <c r="AB23" s="320">
        <f t="shared" ref="AB23:AB30" si="22">IF(Z23=0, "    ---- ", IF(ABS(ROUND(100/Z23*AA23-100,1))&lt;999,ROUND(100/Z23*AA23-100,1),IF(ROUND(100/Z23*AA23-100,1)&gt;999,999,-999)))</f>
        <v>41.4</v>
      </c>
      <c r="AC23" s="178"/>
      <c r="AD23" s="320"/>
      <c r="AE23" s="320"/>
      <c r="AF23" s="576">
        <v>119.44939508999957</v>
      </c>
      <c r="AG23" s="320">
        <v>-159.53510894999991</v>
      </c>
      <c r="AH23" s="320">
        <f t="shared" ref="AH23:AH30" si="23">IF(AF23=0, "    ---- ", IF(ABS(ROUND(100/AF23*AG23-100,1))&lt;999,ROUND(100/AF23*AG23-100,1),IF(ROUND(100/AF23*AG23-100,1)&gt;999,999,-999)))</f>
        <v>-233.6</v>
      </c>
      <c r="AI23" s="576">
        <v>-3471</v>
      </c>
      <c r="AJ23" s="665">
        <v>-2061.6</v>
      </c>
      <c r="AK23" s="320">
        <f t="shared" ref="AK23:AK30" si="24">IF(AI23=0, "    ---- ", IF(ABS(ROUND(100/AI23*AJ23-100,1))&lt;999,ROUND(100/AI23*AJ23-100,1),IF(ROUND(100/AI23*AJ23-100,1)&gt;999,999,-999)))</f>
        <v>-40.6</v>
      </c>
      <c r="AL23" s="576"/>
      <c r="AM23" s="320">
        <v>-2</v>
      </c>
      <c r="AN23" s="320" t="str">
        <f t="shared" ref="AN23:AN30" si="25">IF(AL23=0, "    ---- ", IF(ABS(ROUND(100/AL23*AM23-100,1))&lt;999,ROUND(100/AL23*AM23-100,1),IF(ROUND(100/AL23*AM23-100,1)&gt;999,999,-999)))</f>
        <v xml:space="preserve">    ---- </v>
      </c>
      <c r="AO23" s="320">
        <f t="shared" si="14"/>
        <v>-31294.951572970003</v>
      </c>
      <c r="AP23" s="320">
        <f t="shared" si="14"/>
        <v>-52831.747933499995</v>
      </c>
      <c r="AQ23" s="320">
        <f t="shared" si="12"/>
        <v>68.8</v>
      </c>
      <c r="AR23" s="320"/>
      <c r="AS23" s="320"/>
      <c r="AT23" s="320"/>
    </row>
    <row r="24" spans="1:46" s="431" customFormat="1" ht="18.75" customHeight="1" x14ac:dyDescent="0.3">
      <c r="A24" s="564" t="s">
        <v>294</v>
      </c>
      <c r="B24" s="576"/>
      <c r="C24" s="320"/>
      <c r="D24" s="320"/>
      <c r="E24" s="576">
        <v>-4.6655946799999999</v>
      </c>
      <c r="F24" s="320">
        <v>-3.22541096</v>
      </c>
      <c r="G24" s="320">
        <f t="shared" si="18"/>
        <v>-30.9</v>
      </c>
      <c r="H24" s="576"/>
      <c r="I24" s="320"/>
      <c r="J24" s="320" t="str">
        <f>IF(H24=0, "    ---- ", IF(ABS(ROUND(100/H24*I24-100,1))&lt;999,ROUND(100/H24*I24-100,1),IF(ROUND(100/H24*I24-100,1)&gt;999,999,-999)))</f>
        <v xml:space="preserve">    ---- </v>
      </c>
      <c r="K24" s="576"/>
      <c r="L24" s="320"/>
      <c r="M24" s="320" t="str">
        <f>IF(K24=0, "    ---- ", IF(ABS(ROUND(100/K24*L24-100,1))&lt;999,ROUND(100/K24*L24-100,1),IF(ROUND(100/K24*L24-100,1)&gt;999,999,-999)))</f>
        <v xml:space="preserve">    ---- </v>
      </c>
      <c r="N24" s="576">
        <v>-2</v>
      </c>
      <c r="O24" s="320">
        <v>-1</v>
      </c>
      <c r="P24" s="320">
        <f t="shared" si="19"/>
        <v>-50</v>
      </c>
      <c r="Q24" s="178"/>
      <c r="R24" s="320"/>
      <c r="S24" s="320"/>
      <c r="T24" s="576">
        <v>0</v>
      </c>
      <c r="U24" s="320">
        <v>0</v>
      </c>
      <c r="V24" s="320" t="str">
        <f t="shared" si="20"/>
        <v xml:space="preserve">    ---- </v>
      </c>
      <c r="W24" s="576">
        <v>70</v>
      </c>
      <c r="X24" s="320">
        <v>92</v>
      </c>
      <c r="Y24" s="320">
        <f t="shared" si="21"/>
        <v>31.4</v>
      </c>
      <c r="Z24" s="576"/>
      <c r="AA24" s="320"/>
      <c r="AB24" s="320" t="str">
        <f t="shared" si="22"/>
        <v xml:space="preserve">    ---- </v>
      </c>
      <c r="AC24" s="178"/>
      <c r="AD24" s="320"/>
      <c r="AE24" s="320"/>
      <c r="AF24" s="576">
        <v>40.251987829999983</v>
      </c>
      <c r="AG24" s="320">
        <v>38.42632823000001</v>
      </c>
      <c r="AH24" s="320">
        <f t="shared" si="23"/>
        <v>-4.5</v>
      </c>
      <c r="AI24" s="576">
        <v>2418</v>
      </c>
      <c r="AJ24" s="665">
        <v>63.1</v>
      </c>
      <c r="AK24" s="320">
        <f t="shared" si="24"/>
        <v>-97.4</v>
      </c>
      <c r="AL24" s="576"/>
      <c r="AM24" s="320"/>
      <c r="AN24" s="320" t="str">
        <f t="shared" si="25"/>
        <v xml:space="preserve">    ---- </v>
      </c>
      <c r="AO24" s="320">
        <f t="shared" si="14"/>
        <v>2521.5863931499998</v>
      </c>
      <c r="AP24" s="320">
        <f t="shared" si="14"/>
        <v>189.30091727000001</v>
      </c>
      <c r="AQ24" s="320">
        <f t="shared" si="12"/>
        <v>-92.5</v>
      </c>
      <c r="AR24" s="320"/>
      <c r="AS24" s="320"/>
      <c r="AT24" s="320"/>
    </row>
    <row r="25" spans="1:46" s="431" customFormat="1" ht="18.75" customHeight="1" x14ac:dyDescent="0.3">
      <c r="A25" s="564" t="s">
        <v>295</v>
      </c>
      <c r="B25" s="576">
        <v>53.637150479999995</v>
      </c>
      <c r="C25" s="320"/>
      <c r="D25" s="320">
        <f t="shared" si="17"/>
        <v>-100</v>
      </c>
      <c r="E25" s="576">
        <v>3204.3463927899998</v>
      </c>
      <c r="F25" s="320">
        <v>-1747.64708827</v>
      </c>
      <c r="G25" s="320">
        <f t="shared" si="18"/>
        <v>-154.5</v>
      </c>
      <c r="H25" s="576">
        <v>5.9795832400000002</v>
      </c>
      <c r="I25" s="320">
        <v>-50.909107149999997</v>
      </c>
      <c r="J25" s="320"/>
      <c r="K25" s="576"/>
      <c r="L25" s="320"/>
      <c r="M25" s="320"/>
      <c r="N25" s="576">
        <v>12</v>
      </c>
      <c r="O25" s="320">
        <v>-5</v>
      </c>
      <c r="P25" s="320">
        <f t="shared" si="19"/>
        <v>-141.69999999999999</v>
      </c>
      <c r="Q25" s="178"/>
      <c r="R25" s="320"/>
      <c r="S25" s="320"/>
      <c r="T25" s="576">
        <v>0</v>
      </c>
      <c r="U25" s="320">
        <v>0</v>
      </c>
      <c r="V25" s="320" t="str">
        <f t="shared" si="20"/>
        <v xml:space="preserve">    ---- </v>
      </c>
      <c r="W25" s="576">
        <v>1488</v>
      </c>
      <c r="X25" s="320">
        <v>210</v>
      </c>
      <c r="Y25" s="320">
        <f t="shared" si="21"/>
        <v>-85.9</v>
      </c>
      <c r="Z25" s="576">
        <v>0</v>
      </c>
      <c r="AA25" s="320"/>
      <c r="AB25" s="320" t="str">
        <f t="shared" si="22"/>
        <v xml:space="preserve">    ---- </v>
      </c>
      <c r="AC25" s="178"/>
      <c r="AD25" s="320"/>
      <c r="AE25" s="320"/>
      <c r="AF25" s="576">
        <v>877.14970081000013</v>
      </c>
      <c r="AG25" s="320">
        <v>-146.54088330999988</v>
      </c>
      <c r="AH25" s="320">
        <f t="shared" si="23"/>
        <v>-116.7</v>
      </c>
      <c r="AI25" s="576">
        <v>5464</v>
      </c>
      <c r="AJ25" s="665">
        <v>-260.5</v>
      </c>
      <c r="AK25" s="320">
        <f t="shared" si="24"/>
        <v>-104.8</v>
      </c>
      <c r="AL25" s="576"/>
      <c r="AM25" s="320"/>
      <c r="AN25" s="320" t="str">
        <f t="shared" si="25"/>
        <v xml:space="preserve">    ---- </v>
      </c>
      <c r="AO25" s="320">
        <f t="shared" si="14"/>
        <v>11105.112827320001</v>
      </c>
      <c r="AP25" s="320">
        <f t="shared" si="14"/>
        <v>-2000.5970787299998</v>
      </c>
      <c r="AQ25" s="320">
        <f t="shared" si="12"/>
        <v>-118</v>
      </c>
      <c r="AR25" s="320"/>
      <c r="AS25" s="320"/>
      <c r="AT25" s="320"/>
    </row>
    <row r="26" spans="1:46" s="431" customFormat="1" ht="18.75" customHeight="1" x14ac:dyDescent="0.3">
      <c r="A26" s="564" t="s">
        <v>408</v>
      </c>
      <c r="B26" s="576"/>
      <c r="C26" s="320"/>
      <c r="D26" s="320" t="str">
        <f t="shared" si="17"/>
        <v xml:space="preserve">    ---- </v>
      </c>
      <c r="E26" s="576"/>
      <c r="G26" s="320" t="str">
        <f t="shared" si="18"/>
        <v xml:space="preserve">    ---- </v>
      </c>
      <c r="H26" s="576"/>
      <c r="I26" s="320"/>
      <c r="J26" s="320" t="str">
        <f t="shared" ref="J26" si="26">IF(H26=0, "    ---- ", IF(ABS(ROUND(100/H26*I26-100,1))&lt;999,ROUND(100/H26*I26-100,1),IF(ROUND(100/H26*I26-100,1)&gt;999,999,-999)))</f>
        <v xml:space="preserve">    ---- </v>
      </c>
      <c r="K26" s="576"/>
      <c r="L26" s="320"/>
      <c r="M26" s="320" t="str">
        <f t="shared" ref="M26" si="27">IF(K26=0, "    ---- ", IF(ABS(ROUND(100/K26*L26-100,1))&lt;999,ROUND(100/K26*L26-100,1),IF(ROUND(100/K26*L26-100,1)&gt;999,999,-999)))</f>
        <v xml:space="preserve">    ---- </v>
      </c>
      <c r="N26" s="576"/>
      <c r="O26" s="320"/>
      <c r="P26" s="320" t="str">
        <f t="shared" si="19"/>
        <v xml:space="preserve">    ---- </v>
      </c>
      <c r="Q26" s="178"/>
      <c r="R26" s="320"/>
      <c r="S26" s="320" t="str">
        <f t="shared" ref="S26" si="28">IF(Q26=0, "    ---- ", IF(ABS(ROUND(100/Q26*R26-100,1))&lt;999,ROUND(100/Q26*R26-100,1),IF(ROUND(100/Q26*R26-100,1)&gt;999,999,-999)))</f>
        <v xml:space="preserve">    ---- </v>
      </c>
      <c r="T26" s="576">
        <v>-571.21559300000001</v>
      </c>
      <c r="U26" s="320">
        <v>-448.05823700000002</v>
      </c>
      <c r="V26" s="320">
        <f t="shared" si="20"/>
        <v>-21.6</v>
      </c>
      <c r="W26" s="576"/>
      <c r="X26" s="320">
        <v>0</v>
      </c>
      <c r="Y26" s="320" t="str">
        <f t="shared" si="21"/>
        <v xml:space="preserve">    ---- </v>
      </c>
      <c r="Z26" s="576">
        <v>5182</v>
      </c>
      <c r="AA26" s="320"/>
      <c r="AB26" s="320">
        <f t="shared" si="22"/>
        <v>-100</v>
      </c>
      <c r="AC26" s="178"/>
      <c r="AD26" s="320"/>
      <c r="AE26" s="320" t="str">
        <f t="shared" ref="AE26" si="29">IF(AC26=0, "    ---- ", IF(ABS(ROUND(100/AC26*AD26-100,1))&lt;999,ROUND(100/AC26*AD26-100,1),IF(ROUND(100/AC26*AD26-100,1)&gt;999,999,-999)))</f>
        <v xml:space="preserve">    ---- </v>
      </c>
      <c r="AF26" s="576"/>
      <c r="AG26" s="320"/>
      <c r="AH26" s="320" t="str">
        <f t="shared" si="23"/>
        <v xml:space="preserve">    ---- </v>
      </c>
      <c r="AI26" s="576">
        <v>446.5</v>
      </c>
      <c r="AJ26" s="665">
        <v>-628</v>
      </c>
      <c r="AK26" s="320">
        <f t="shared" si="24"/>
        <v>-240.6</v>
      </c>
      <c r="AL26" s="576"/>
      <c r="AM26" s="320"/>
      <c r="AN26" s="320" t="str">
        <f t="shared" si="25"/>
        <v xml:space="preserve">    ---- </v>
      </c>
      <c r="AO26" s="320">
        <f t="shared" si="14"/>
        <v>5057.2844070000001</v>
      </c>
      <c r="AP26" s="320">
        <f t="shared" si="14"/>
        <v>-1076.058237</v>
      </c>
      <c r="AQ26" s="320">
        <f t="shared" si="12"/>
        <v>-121.3</v>
      </c>
      <c r="AR26" s="320"/>
      <c r="AS26" s="320"/>
      <c r="AT26" s="320"/>
    </row>
    <row r="27" spans="1:46" s="431" customFormat="1" ht="18.75" customHeight="1" x14ac:dyDescent="0.3">
      <c r="A27" s="564" t="s">
        <v>409</v>
      </c>
      <c r="B27" s="576"/>
      <c r="C27" s="320"/>
      <c r="D27" s="320" t="str">
        <f t="shared" si="17"/>
        <v xml:space="preserve">    ---- </v>
      </c>
      <c r="E27" s="576">
        <v>-7.6029485700000006</v>
      </c>
      <c r="F27" s="320">
        <v>-5.8909461399999996</v>
      </c>
      <c r="G27" s="320">
        <f t="shared" si="18"/>
        <v>-22.5</v>
      </c>
      <c r="H27" s="576"/>
      <c r="I27" s="320"/>
      <c r="J27" s="320"/>
      <c r="K27" s="576"/>
      <c r="L27" s="320"/>
      <c r="M27" s="320"/>
      <c r="N27" s="576">
        <v>1</v>
      </c>
      <c r="O27" s="320">
        <v>-1</v>
      </c>
      <c r="P27" s="320"/>
      <c r="Q27" s="178"/>
      <c r="R27" s="320"/>
      <c r="S27" s="320"/>
      <c r="T27" s="576"/>
      <c r="U27" s="320"/>
      <c r="V27" s="320" t="str">
        <f t="shared" si="20"/>
        <v xml:space="preserve">    ---- </v>
      </c>
      <c r="W27" s="576">
        <v>-4</v>
      </c>
      <c r="X27" s="320">
        <v>-4</v>
      </c>
      <c r="Y27" s="320">
        <f t="shared" si="21"/>
        <v>0</v>
      </c>
      <c r="Z27" s="576">
        <v>-102</v>
      </c>
      <c r="AA27" s="320">
        <v>-84</v>
      </c>
      <c r="AB27" s="320">
        <f t="shared" si="22"/>
        <v>-17.600000000000001</v>
      </c>
      <c r="AC27" s="178"/>
      <c r="AD27" s="320"/>
      <c r="AE27" s="320"/>
      <c r="AF27" s="576">
        <v>-4.3408920000000002</v>
      </c>
      <c r="AG27" s="320">
        <v>-3.622357</v>
      </c>
      <c r="AH27" s="320">
        <f t="shared" si="23"/>
        <v>-16.600000000000001</v>
      </c>
      <c r="AI27" s="576">
        <v>-65</v>
      </c>
      <c r="AJ27" s="665">
        <v>42.1</v>
      </c>
      <c r="AK27" s="320">
        <f t="shared" si="24"/>
        <v>-164.8</v>
      </c>
      <c r="AL27" s="576"/>
      <c r="AM27" s="320"/>
      <c r="AN27" s="320" t="str">
        <f t="shared" si="25"/>
        <v xml:space="preserve">    ---- </v>
      </c>
      <c r="AO27" s="320">
        <f t="shared" si="14"/>
        <v>-181.94384056999999</v>
      </c>
      <c r="AP27" s="320">
        <f t="shared" si="14"/>
        <v>-56.413303139999989</v>
      </c>
      <c r="AQ27" s="320">
        <f t="shared" si="12"/>
        <v>-69</v>
      </c>
      <c r="AR27" s="320"/>
      <c r="AS27" s="320"/>
      <c r="AT27" s="320"/>
    </row>
    <row r="28" spans="1:46" s="431" customFormat="1" ht="18.75" customHeight="1" x14ac:dyDescent="0.3">
      <c r="A28" s="564" t="s">
        <v>410</v>
      </c>
      <c r="B28" s="576">
        <v>0.69240699999999999</v>
      </c>
      <c r="C28" s="320"/>
      <c r="D28" s="320">
        <f t="shared" si="17"/>
        <v>-100</v>
      </c>
      <c r="E28" s="576">
        <v>-437.78348499000003</v>
      </c>
      <c r="F28" s="320">
        <v>-490.67629535000003</v>
      </c>
      <c r="G28" s="320">
        <f t="shared" si="18"/>
        <v>12.1</v>
      </c>
      <c r="H28" s="576"/>
      <c r="I28" s="320"/>
      <c r="J28" s="320" t="str">
        <f>IF(H28=0, "    ---- ", IF(ABS(ROUND(100/H28*I28-100,1))&lt;999,ROUND(100/H28*I28-100,1),IF(ROUND(100/H28*I28-100,1)&gt;999,999,-999)))</f>
        <v xml:space="preserve">    ---- </v>
      </c>
      <c r="K28" s="576">
        <v>-3.794</v>
      </c>
      <c r="L28" s="320">
        <v>-7.7830000000000004</v>
      </c>
      <c r="M28" s="320">
        <f>IF(K28=0, "    ---- ", IF(ABS(ROUND(100/K28*L28-100,1))&lt;999,ROUND(100/K28*L28-100,1),IF(ROUND(100/K28*L28-100,1)&gt;999,999,-999)))</f>
        <v>105.1</v>
      </c>
      <c r="N28" s="576"/>
      <c r="O28" s="320"/>
      <c r="P28" s="320"/>
      <c r="Q28" s="178"/>
      <c r="R28" s="320"/>
      <c r="S28" s="320"/>
      <c r="T28" s="576">
        <v>27488.469588</v>
      </c>
      <c r="U28" s="320">
        <v>343.62289099999998</v>
      </c>
      <c r="V28" s="320"/>
      <c r="W28" s="576"/>
      <c r="X28" s="320">
        <v>0</v>
      </c>
      <c r="Y28" s="320" t="str">
        <f t="shared" si="21"/>
        <v xml:space="preserve">    ---- </v>
      </c>
      <c r="Z28" s="576">
        <v>-14</v>
      </c>
      <c r="AA28" s="320">
        <v>-12</v>
      </c>
      <c r="AB28" s="320"/>
      <c r="AC28" s="178"/>
      <c r="AD28" s="320"/>
      <c r="AE28" s="320"/>
      <c r="AF28" s="576"/>
      <c r="AG28" s="320">
        <v>0</v>
      </c>
      <c r="AH28" s="320" t="str">
        <f t="shared" si="23"/>
        <v xml:space="preserve">    ---- </v>
      </c>
      <c r="AI28" s="576"/>
      <c r="AJ28" s="665"/>
      <c r="AK28" s="320" t="str">
        <f t="shared" si="24"/>
        <v xml:space="preserve">    ---- </v>
      </c>
      <c r="AL28" s="576"/>
      <c r="AM28" s="320"/>
      <c r="AN28" s="320" t="str">
        <f t="shared" si="25"/>
        <v xml:space="preserve">    ---- </v>
      </c>
      <c r="AO28" s="320">
        <f t="shared" si="14"/>
        <v>27033.584510010001</v>
      </c>
      <c r="AP28" s="320">
        <f t="shared" si="14"/>
        <v>-166.83640435000007</v>
      </c>
      <c r="AQ28" s="320">
        <f t="shared" si="12"/>
        <v>-100.6</v>
      </c>
      <c r="AR28" s="320"/>
      <c r="AS28" s="320"/>
      <c r="AT28" s="320"/>
    </row>
    <row r="29" spans="1:46" s="431" customFormat="1" ht="18.75" customHeight="1" x14ac:dyDescent="0.3">
      <c r="A29" s="564" t="s">
        <v>411</v>
      </c>
      <c r="B29" s="576"/>
      <c r="C29" s="320"/>
      <c r="D29" s="320"/>
      <c r="E29" s="576">
        <v>11.272992220000001</v>
      </c>
      <c r="F29" s="320">
        <v>7.6533812999999995</v>
      </c>
      <c r="G29" s="320">
        <f t="shared" si="18"/>
        <v>-32.1</v>
      </c>
      <c r="H29" s="576"/>
      <c r="I29" s="320"/>
      <c r="J29" s="320"/>
      <c r="K29" s="576"/>
      <c r="L29" s="320"/>
      <c r="M29" s="320"/>
      <c r="N29" s="576"/>
      <c r="O29" s="320"/>
      <c r="P29" s="320" t="str">
        <f t="shared" si="19"/>
        <v xml:space="preserve">    ---- </v>
      </c>
      <c r="Q29" s="178"/>
      <c r="R29" s="320"/>
      <c r="S29" s="320"/>
      <c r="T29" s="576"/>
      <c r="U29" s="320"/>
      <c r="V29" s="320" t="str">
        <f t="shared" si="20"/>
        <v xml:space="preserve">    ---- </v>
      </c>
      <c r="W29" s="576">
        <v>1</v>
      </c>
      <c r="X29" s="320">
        <v>1</v>
      </c>
      <c r="Y29" s="320">
        <f t="shared" si="21"/>
        <v>0</v>
      </c>
      <c r="Z29" s="576"/>
      <c r="AA29" s="320"/>
      <c r="AB29" s="320"/>
      <c r="AC29" s="178"/>
      <c r="AD29" s="320"/>
      <c r="AE29" s="320"/>
      <c r="AF29" s="576">
        <v>2.5907909999999998</v>
      </c>
      <c r="AG29" s="320">
        <v>0.733707</v>
      </c>
      <c r="AH29" s="320">
        <f t="shared" si="23"/>
        <v>-71.7</v>
      </c>
      <c r="AI29" s="576">
        <v>417.5</v>
      </c>
      <c r="AJ29" s="665">
        <v>202.3</v>
      </c>
      <c r="AK29" s="320">
        <f t="shared" si="24"/>
        <v>-51.5</v>
      </c>
      <c r="AL29" s="576"/>
      <c r="AM29" s="320"/>
      <c r="AN29" s="320" t="str">
        <f t="shared" si="25"/>
        <v xml:space="preserve">    ---- </v>
      </c>
      <c r="AO29" s="320">
        <f t="shared" si="14"/>
        <v>432.36378322000002</v>
      </c>
      <c r="AP29" s="320">
        <f t="shared" si="14"/>
        <v>211.6870883</v>
      </c>
      <c r="AQ29" s="320">
        <f t="shared" si="12"/>
        <v>-51</v>
      </c>
      <c r="AR29" s="320"/>
      <c r="AS29" s="320"/>
      <c r="AT29" s="320"/>
    </row>
    <row r="30" spans="1:46" s="431" customFormat="1" ht="18.75" customHeight="1" x14ac:dyDescent="0.3">
      <c r="A30" s="564" t="s">
        <v>296</v>
      </c>
      <c r="B30" s="576">
        <f>SUM(B23:B29)</f>
        <v>21.935251919999939</v>
      </c>
      <c r="C30" s="320"/>
      <c r="D30" s="320">
        <f t="shared" si="17"/>
        <v>-100</v>
      </c>
      <c r="E30" s="576">
        <f>SUM(E23:E29)</f>
        <v>6252.2914923699991</v>
      </c>
      <c r="F30" s="320">
        <f>SUM(F23:F29)</f>
        <v>1806.5765756100004</v>
      </c>
      <c r="G30" s="320">
        <f t="shared" si="18"/>
        <v>-71.099999999999994</v>
      </c>
      <c r="H30" s="576">
        <f>SUM(H23:H29)</f>
        <v>-532.74817007000013</v>
      </c>
      <c r="I30" s="320">
        <f>SUM(I23:I29)</f>
        <v>-677.92600338999944</v>
      </c>
      <c r="J30" s="320">
        <f>IF(H30=0, "    ---- ", IF(ABS(ROUND(100/H30*I30-100,1))&lt;999,ROUND(100/H30*I30-100,1),IF(ROUND(100/H30*I30-100,1)&gt;999,999,-999)))</f>
        <v>27.3</v>
      </c>
      <c r="K30" s="576">
        <f>SUM(K23:K29)</f>
        <v>-257.61899999999997</v>
      </c>
      <c r="L30" s="320">
        <f>SUM(L23:L29)</f>
        <v>-374.6</v>
      </c>
      <c r="M30" s="320">
        <f>IF(K30=0, "    ---- ", IF(ABS(ROUND(100/K30*L30-100,1))&lt;999,ROUND(100/K30*L30-100,1),IF(ROUND(100/K30*L30-100,1)&gt;999,999,-999)))</f>
        <v>45.4</v>
      </c>
      <c r="N30" s="576">
        <f>SUM(N23:N29)</f>
        <v>-427</v>
      </c>
      <c r="O30" s="320">
        <f>SUM(O23:O29)</f>
        <v>-499</v>
      </c>
      <c r="P30" s="320">
        <f t="shared" si="19"/>
        <v>16.899999999999999</v>
      </c>
      <c r="Q30" s="178">
        <f>SUM(Q23:Q29)</f>
        <v>3.0497380000000001</v>
      </c>
      <c r="R30" s="320"/>
      <c r="S30" s="320"/>
      <c r="T30" s="576">
        <f>SUM(T23:T28)</f>
        <v>2012.0579502099972</v>
      </c>
      <c r="U30" s="320">
        <v>-46063.337409339998</v>
      </c>
      <c r="V30" s="320">
        <f t="shared" si="20"/>
        <v>-999</v>
      </c>
      <c r="W30" s="576">
        <f>SUM(W23:W29)</f>
        <v>1509.018</v>
      </c>
      <c r="X30" s="320">
        <f>SUM(X23:X29)</f>
        <v>463.7602</v>
      </c>
      <c r="Y30" s="320">
        <f t="shared" si="21"/>
        <v>-69.3</v>
      </c>
      <c r="Z30" s="576">
        <f>SUM(Z23:Z29)</f>
        <v>-150</v>
      </c>
      <c r="AA30" s="320">
        <f>SUM(AA23:AA29)</f>
        <v>-7473</v>
      </c>
      <c r="AB30" s="320">
        <f t="shared" si="22"/>
        <v>999</v>
      </c>
      <c r="AC30" s="178"/>
      <c r="AD30" s="320"/>
      <c r="AE30" s="320"/>
      <c r="AF30" s="576">
        <f>SUM(AF23:AF29)</f>
        <v>1035.1009827299997</v>
      </c>
      <c r="AG30" s="320">
        <f>SUM(AG23:AG29)</f>
        <v>-270.53831402999981</v>
      </c>
      <c r="AH30" s="320">
        <f t="shared" si="23"/>
        <v>-126.1</v>
      </c>
      <c r="AI30" s="576">
        <f>SUM(AI23:AI29)</f>
        <v>5210</v>
      </c>
      <c r="AJ30" s="665">
        <f>SUM(AJ23:AJ29)</f>
        <v>-2642.6</v>
      </c>
      <c r="AK30" s="320">
        <f t="shared" si="24"/>
        <v>-150.69999999999999</v>
      </c>
      <c r="AL30" s="576"/>
      <c r="AM30" s="320">
        <f>SUM(AM23:AM29)</f>
        <v>-2</v>
      </c>
      <c r="AN30" s="320" t="str">
        <f t="shared" si="25"/>
        <v xml:space="preserve">    ---- </v>
      </c>
      <c r="AO30" s="320">
        <f t="shared" si="14"/>
        <v>14673.036507159997</v>
      </c>
      <c r="AP30" s="320">
        <f t="shared" si="14"/>
        <v>-55730.664951149993</v>
      </c>
      <c r="AQ30" s="320">
        <f t="shared" si="12"/>
        <v>-479.8</v>
      </c>
      <c r="AR30" s="320"/>
      <c r="AS30" s="320"/>
      <c r="AT30" s="320"/>
    </row>
    <row r="31" spans="1:46" s="431" customFormat="1" ht="18.75" customHeight="1" x14ac:dyDescent="0.3">
      <c r="A31" s="564" t="s">
        <v>297</v>
      </c>
      <c r="B31" s="576">
        <f>3277028.15882/1000</f>
        <v>3277.02815882</v>
      </c>
      <c r="C31" s="320"/>
      <c r="D31" s="320">
        <f>IF(B31=0, "    ---- ", IF(ABS(ROUND(100/B31*C31-100,1))&lt;999,ROUND(100/B31*C31-100,1),IF(ROUND(100/B31*C31-100,1)&gt;999,999,-999)))</f>
        <v>-100</v>
      </c>
      <c r="E31" s="576">
        <v>10954.91817547</v>
      </c>
      <c r="F31" s="320">
        <v>-17086.814222049998</v>
      </c>
      <c r="G31" s="320">
        <f>IF(E31=0, "    ---- ", IF(ABS(ROUND(100/E31*F31-100,1))&lt;999,ROUND(100/E31*F31-100,1),IF(ROUND(100/E31*F31-100,1)&gt;999,999,-999)))</f>
        <v>-256</v>
      </c>
      <c r="H31" s="576"/>
      <c r="I31" s="320"/>
      <c r="J31" s="320"/>
      <c r="K31" s="576"/>
      <c r="L31" s="320"/>
      <c r="M31" s="320"/>
      <c r="N31" s="576">
        <v>2232</v>
      </c>
      <c r="O31" s="320">
        <v>-9466</v>
      </c>
      <c r="P31" s="320">
        <f t="shared" si="19"/>
        <v>-524.1</v>
      </c>
      <c r="Q31" s="178"/>
      <c r="R31" s="320"/>
      <c r="S31" s="320"/>
      <c r="T31" s="576">
        <v>-354.66308099999998</v>
      </c>
      <c r="U31" s="320">
        <v>-318.524809</v>
      </c>
      <c r="V31" s="320">
        <f t="shared" si="20"/>
        <v>-10.199999999999999</v>
      </c>
      <c r="W31" s="576">
        <v>13077.849899999999</v>
      </c>
      <c r="X31" s="320">
        <v>-17746.200400000002</v>
      </c>
      <c r="Y31" s="320">
        <f>IF(W31=0, "    ---- ", IF(ABS(ROUND(100/W31*X31-100,1))&lt;999,ROUND(100/W31*X31-100,1),IF(ROUND(100/W31*X31-100,1)&gt;999,999,-999)))</f>
        <v>-235.7</v>
      </c>
      <c r="Z31" s="576"/>
      <c r="AA31" s="320"/>
      <c r="AB31" s="320"/>
      <c r="AC31" s="178">
        <v>512.93246026999998</v>
      </c>
      <c r="AD31" s="320"/>
      <c r="AE31" s="320">
        <f>IF(AC31=0, "    ---- ", IF(ABS(ROUND(100/AC31*AD31-100,1))&lt;999,ROUND(100/AC31*AD31-100,1),IF(ROUND(100/AC31*AD31-100,1)&gt;999,999,-999)))</f>
        <v>-100</v>
      </c>
      <c r="AF31" s="576">
        <v>3980.7585098899985</v>
      </c>
      <c r="AG31" s="320">
        <v>-8268.0988607899999</v>
      </c>
      <c r="AH31" s="320">
        <f>IF(AF31=0, "    ---- ", IF(ABS(ROUND(100/AF31*AG31-100,1))&lt;999,ROUND(100/AF31*AG31-100,1),IF(ROUND(100/AF31*AG31-100,1)&gt;999,999,-999)))</f>
        <v>-307.7</v>
      </c>
      <c r="AI31" s="576">
        <v>14153</v>
      </c>
      <c r="AJ31" s="665">
        <v>-17346</v>
      </c>
      <c r="AK31" s="320">
        <f>IF(AI31=0, "    ---- ", IF(ABS(ROUND(100/AI31*AJ31-100,1))&lt;999,ROUND(100/AI31*AJ31-100,1),IF(ROUND(100/AI31*AJ31-100,1)&gt;999,999,-999)))</f>
        <v>-222.6</v>
      </c>
      <c r="AL31" s="576"/>
      <c r="AM31" s="320"/>
      <c r="AN31" s="320" t="str">
        <f>IF(AL31=0, "    ---- ", IF(ABS(ROUND(100/AL31*AM31-100,1))&lt;999,ROUND(100/AL31*AM31-100,1),IF(ROUND(100/AL31*AM31-100,1)&gt;999,999,-999)))</f>
        <v xml:space="preserve">    ---- </v>
      </c>
      <c r="AO31" s="320">
        <f t="shared" si="14"/>
        <v>47320.891663179995</v>
      </c>
      <c r="AP31" s="320">
        <f t="shared" si="14"/>
        <v>-70231.638291840005</v>
      </c>
      <c r="AQ31" s="320">
        <f t="shared" si="12"/>
        <v>-248.4</v>
      </c>
      <c r="AR31" s="320"/>
      <c r="AS31" s="320"/>
      <c r="AT31" s="320"/>
    </row>
    <row r="32" spans="1:46" s="431" customFormat="1" ht="18.75" customHeight="1" x14ac:dyDescent="0.3">
      <c r="A32" s="564" t="s">
        <v>298</v>
      </c>
      <c r="B32" s="576">
        <f>-1218.567/1000</f>
        <v>-1.218567</v>
      </c>
      <c r="C32" s="320"/>
      <c r="D32" s="320">
        <f>IF(B32=0, "    ---- ", IF(ABS(ROUND(100/B32*C32-100,1))&lt;999,ROUND(100/B32*C32-100,1),IF(ROUND(100/B32*C32-100,1)&gt;999,999,-999)))</f>
        <v>-100</v>
      </c>
      <c r="E32" s="576">
        <v>-212.71513284</v>
      </c>
      <c r="F32" s="320">
        <v>-133.27163241</v>
      </c>
      <c r="G32" s="320">
        <f>IF(E32=0, "    ---- ", IF(ABS(ROUND(100/E32*F32-100,1))&lt;999,ROUND(100/E32*F32-100,1),IF(ROUND(100/E32*F32-100,1)&gt;999,999,-999)))</f>
        <v>-37.299999999999997</v>
      </c>
      <c r="H32" s="576">
        <v>0</v>
      </c>
      <c r="I32" s="320"/>
      <c r="J32" s="320"/>
      <c r="K32" s="576"/>
      <c r="L32" s="320"/>
      <c r="M32" s="320"/>
      <c r="N32" s="576">
        <v>17</v>
      </c>
      <c r="O32" s="320">
        <v>5</v>
      </c>
      <c r="P32" s="320">
        <f t="shared" si="19"/>
        <v>-70.599999999999994</v>
      </c>
      <c r="Q32" s="178"/>
      <c r="R32" s="320"/>
      <c r="S32" s="320"/>
      <c r="T32" s="576">
        <v>-962.98299999999995</v>
      </c>
      <c r="U32" s="320">
        <v>-15967.138536</v>
      </c>
      <c r="V32" s="320">
        <f>IF(T32=0, "    ---- ", IF(ABS(ROUND(100/T32*U32-100,1))&lt;999,ROUND(100/T32*U32-100,1),IF(ROUND(100/T32*U32-100,1)&gt;999,999,-999)))</f>
        <v>999</v>
      </c>
      <c r="W32" s="576">
        <v>-580.17960000000005</v>
      </c>
      <c r="X32" s="320">
        <v>-199.08940000000001</v>
      </c>
      <c r="Y32" s="320">
        <f>IF(W32=0, "    ---- ", IF(ABS(ROUND(100/W32*X32-100,1))&lt;999,ROUND(100/W32*X32-100,1),IF(ROUND(100/W32*X32-100,1)&gt;999,999,-999)))</f>
        <v>-65.7</v>
      </c>
      <c r="Z32" s="576">
        <v>-146</v>
      </c>
      <c r="AA32" s="320">
        <v>-2016</v>
      </c>
      <c r="AB32" s="320">
        <f>IF(Z32=0, "    ---- ", IF(ABS(ROUND(100/Z32*AA32-100,1))&lt;999,ROUND(100/Z32*AA32-100,1),IF(ROUND(100/Z32*AA32-100,1)&gt;999,999,-999)))</f>
        <v>999</v>
      </c>
      <c r="AC32" s="178"/>
      <c r="AD32" s="320"/>
      <c r="AE32" s="320"/>
      <c r="AF32" s="576">
        <v>222.07519632</v>
      </c>
      <c r="AG32" s="320">
        <v>141.99423793</v>
      </c>
      <c r="AH32" s="320">
        <f>IF(AF32=0, "    ---- ", IF(ABS(ROUND(100/AF32*AG32-100,1))&lt;999,ROUND(100/AF32*AG32-100,1),IF(ROUND(100/AF32*AG32-100,1)&gt;999,999,-999)))</f>
        <v>-36.1</v>
      </c>
      <c r="AI32" s="576">
        <v>-2622</v>
      </c>
      <c r="AJ32" s="665">
        <v>-322.60000000000002</v>
      </c>
      <c r="AK32" s="320">
        <f>IF(AI32=0, "    ---- ", IF(ABS(ROUND(100/AI32*AJ32-100,1))&lt;999,ROUND(100/AI32*AJ32-100,1),IF(ROUND(100/AI32*AJ32-100,1)&gt;999,999,-999)))</f>
        <v>-87.7</v>
      </c>
      <c r="AL32" s="576"/>
      <c r="AM32" s="320"/>
      <c r="AN32" s="320" t="str">
        <f>IF(AL32=0, "    ---- ", IF(ABS(ROUND(100/AL32*AM32-100,1))&lt;999,ROUND(100/AL32*AM32-100,1),IF(ROUND(100/AL32*AM32-100,1)&gt;999,999,-999)))</f>
        <v xml:space="preserve">    ---- </v>
      </c>
      <c r="AO32" s="320">
        <f t="shared" si="14"/>
        <v>-4286.02110352</v>
      </c>
      <c r="AP32" s="320">
        <f t="shared" si="14"/>
        <v>-18491.105330479997</v>
      </c>
      <c r="AQ32" s="320">
        <f t="shared" si="12"/>
        <v>331.4</v>
      </c>
      <c r="AR32" s="320"/>
      <c r="AS32" s="320"/>
      <c r="AT32" s="320"/>
    </row>
    <row r="33" spans="1:46" s="431" customFormat="1" ht="18.75" customHeight="1" x14ac:dyDescent="0.3">
      <c r="A33" s="564" t="s">
        <v>299</v>
      </c>
      <c r="B33" s="576">
        <v>-160.85714813000004</v>
      </c>
      <c r="C33" s="320"/>
      <c r="D33" s="320">
        <f>IF(B33=0, "    ---- ", IF(ABS(ROUND(100/B33*C33-100,1))&lt;999,ROUND(100/B33*C33-100,1),IF(ROUND(100/B33*C33-100,1)&gt;999,999,-999)))</f>
        <v>-100</v>
      </c>
      <c r="E33" s="576">
        <v>-936.59940688000006</v>
      </c>
      <c r="F33" s="320">
        <v>-913.82395864</v>
      </c>
      <c r="G33" s="320">
        <f>IF(E33=0, "    ---- ", IF(ABS(ROUND(100/E33*F33-100,1))&lt;999,ROUND(100/E33*F33-100,1),IF(ROUND(100/E33*F33-100,1)&gt;999,999,-999)))</f>
        <v>-2.4</v>
      </c>
      <c r="H33" s="576">
        <v>-658.28657889999999</v>
      </c>
      <c r="I33" s="320">
        <v>-709.73117945000001</v>
      </c>
      <c r="J33" s="320">
        <f>IF(H33=0, "    ---- ", IF(ABS(ROUND(100/H33*I33-100,1))&lt;999,ROUND(100/H33*I33-100,1),IF(ROUND(100/H33*I33-100,1)&gt;999,999,-999)))</f>
        <v>7.8</v>
      </c>
      <c r="K33" s="576">
        <v>-184.084</v>
      </c>
      <c r="L33" s="320">
        <v>-195.46600000000001</v>
      </c>
      <c r="M33" s="320">
        <f>IF(K33=0, "    ---- ", IF(ABS(ROUND(100/K33*L33-100,1))&lt;999,ROUND(100/K33*L33-100,1),IF(ROUND(100/K33*L33-100,1)&gt;999,999,-999)))</f>
        <v>6.2</v>
      </c>
      <c r="N33" s="576">
        <v>-241</v>
      </c>
      <c r="O33" s="320">
        <v>-359</v>
      </c>
      <c r="P33" s="320">
        <f>IF(N33=0, "    ---- ", IF(ABS(ROUND(100/N33*O33-100,1))&lt;999,ROUND(100/N33*O33-100,1),IF(ROUND(100/N33*O33-100,1)&gt;999,999,-999)))</f>
        <v>49</v>
      </c>
      <c r="Q33" s="178">
        <v>-6.5731638400000003</v>
      </c>
      <c r="R33" s="320"/>
      <c r="S33" s="320">
        <f>IF(Q33=0, "    ---- ", IF(ABS(ROUND(100/Q33*R33-100,1))&lt;999,ROUND(100/Q33*R33-100,1),IF(ROUND(100/Q33*R33-100,1)&gt;999,999,-999)))</f>
        <v>-100</v>
      </c>
      <c r="T33" s="576">
        <v>-1057.3046257400001</v>
      </c>
      <c r="U33" s="320">
        <v>-1093.22330321</v>
      </c>
      <c r="V33" s="320">
        <f>IF(T33=0, "    ---- ", IF(ABS(ROUND(100/T33*U33-100,1))&lt;999,ROUND(100/T33*U33-100,1),IF(ROUND(100/T33*U33-100,1)&gt;999,999,-999)))</f>
        <v>3.4</v>
      </c>
      <c r="W33" s="576">
        <v>-559.20010000000002</v>
      </c>
      <c r="X33" s="320">
        <v>-601.68370000000004</v>
      </c>
      <c r="Y33" s="320">
        <f>IF(W33=0, "    ---- ", IF(ABS(ROUND(100/W33*X33-100,1))&lt;999,ROUND(100/W33*X33-100,1),IF(ROUND(100/W33*X33-100,1)&gt;999,999,-999)))</f>
        <v>7.6</v>
      </c>
      <c r="Z33" s="576">
        <v>-213</v>
      </c>
      <c r="AA33" s="320">
        <v>-252</v>
      </c>
      <c r="AB33" s="320">
        <f>IF(Z33=0, "    ---- ", IF(ABS(ROUND(100/Z33*AA33-100,1))&lt;999,ROUND(100/Z33*AA33-100,1),IF(ROUND(100/Z33*AA33-100,1)&gt;999,999,-999)))</f>
        <v>18.3</v>
      </c>
      <c r="AC33" s="178">
        <v>0.25338772999999998</v>
      </c>
      <c r="AD33" s="320"/>
      <c r="AE33" s="320">
        <f>IF(AC33=0, "    ---- ", IF(ABS(ROUND(100/AC33*AD33-100,1))&lt;999,ROUND(100/AC33*AD33-100,1),IF(ROUND(100/AC33*AD33-100,1)&gt;999,999,-999)))</f>
        <v>-100</v>
      </c>
      <c r="AF33" s="576">
        <v>-574.40657650190019</v>
      </c>
      <c r="AG33" s="320">
        <v>-636.43624140110001</v>
      </c>
      <c r="AH33" s="320">
        <f>IF(AF33=0, "    ---- ", IF(ABS(ROUND(100/AF33*AG33-100,1))&lt;999,ROUND(100/AF33*AG33-100,1),IF(ROUND(100/AF33*AG33-100,1)&gt;999,999,-999)))</f>
        <v>10.8</v>
      </c>
      <c r="AI33" s="576">
        <v>-1104</v>
      </c>
      <c r="AJ33" s="665">
        <v>-1289.7</v>
      </c>
      <c r="AK33" s="320">
        <f>IF(AI33=0, "    ---- ", IF(ABS(ROUND(100/AI33*AJ33-100,1))&lt;999,ROUND(100/AI33*AJ33-100,1),IF(ROUND(100/AI33*AJ33-100,1)&gt;999,999,-999)))</f>
        <v>16.8</v>
      </c>
      <c r="AL33" s="576">
        <v>-23</v>
      </c>
      <c r="AM33" s="320">
        <v>-31</v>
      </c>
      <c r="AN33" s="320">
        <f>IF(AL33=0, "    ---- ", IF(ABS(ROUND(100/AL33*AM33-100,1))&lt;999,ROUND(100/AL33*AM33-100,1),IF(ROUND(100/AL33*AM33-100,1)&gt;999,999,-999)))</f>
        <v>34.799999999999997</v>
      </c>
      <c r="AO33" s="320">
        <f t="shared" si="14"/>
        <v>-5688.7384361519007</v>
      </c>
      <c r="AP33" s="320">
        <f t="shared" si="14"/>
        <v>-6051.0643827011008</v>
      </c>
      <c r="AQ33" s="320">
        <f t="shared" si="12"/>
        <v>6.4</v>
      </c>
      <c r="AR33" s="320"/>
      <c r="AS33" s="320"/>
      <c r="AT33" s="320"/>
    </row>
    <row r="34" spans="1:46" s="431" customFormat="1" ht="18.75" customHeight="1" x14ac:dyDescent="0.3">
      <c r="A34" s="564" t="s">
        <v>300</v>
      </c>
      <c r="B34" s="178"/>
      <c r="C34" s="419"/>
      <c r="D34" s="419"/>
      <c r="E34" s="178">
        <v>7.0510233900000001</v>
      </c>
      <c r="F34" s="419">
        <v>19.67302754</v>
      </c>
      <c r="G34" s="419">
        <f>IF(E34=0, "    ---- ", IF(ABS(ROUND(100/E34*F34-100,1))&lt;999,ROUND(100/E34*F34-100,1),IF(ROUND(100/E34*F34-100,1)&gt;999,999,-999)))</f>
        <v>179</v>
      </c>
      <c r="H34" s="576">
        <v>-9.4197322899999989</v>
      </c>
      <c r="I34" s="419">
        <v>-10.485182699999999</v>
      </c>
      <c r="J34" s="419"/>
      <c r="K34" s="178"/>
      <c r="L34" s="419"/>
      <c r="M34" s="419"/>
      <c r="N34" s="178"/>
      <c r="O34" s="419"/>
      <c r="P34" s="419"/>
      <c r="Q34" s="178"/>
      <c r="R34" s="419"/>
      <c r="S34" s="419"/>
      <c r="T34" s="178">
        <v>-1019.826385</v>
      </c>
      <c r="U34" s="419">
        <v>-1047.8074939999999</v>
      </c>
      <c r="V34" s="419">
        <f>IF(T34=0, "    ---- ", IF(ABS(ROUND(100/T34*U34-100,1))&lt;999,ROUND(100/T34*U34-100,1),IF(ROUND(100/T34*U34-100,1)&gt;999,999,-999)))</f>
        <v>2.7</v>
      </c>
      <c r="W34" s="178">
        <v>-20.11129575</v>
      </c>
      <c r="X34" s="419">
        <v>-16.297471139999999</v>
      </c>
      <c r="Y34" s="419">
        <f>IF(W34=0, "    ---- ", IF(ABS(ROUND(100/W34*X34-100,1))&lt;999,ROUND(100/W34*X34-100,1),IF(ROUND(100/W34*X34-100,1)&gt;999,999,-999)))</f>
        <v>-19</v>
      </c>
      <c r="Z34" s="178"/>
      <c r="AA34" s="419"/>
      <c r="AB34" s="419"/>
      <c r="AC34" s="178"/>
      <c r="AD34" s="419"/>
      <c r="AE34" s="419"/>
      <c r="AF34" s="178">
        <v>-0.38271307999999998</v>
      </c>
      <c r="AG34" s="419">
        <v>-2.3277364000000005</v>
      </c>
      <c r="AH34" s="419">
        <f>IF(AF34=0, "    ---- ", IF(ABS(ROUND(100/AF34*AG34-100,1))&lt;999,ROUND(100/AF34*AG34-100,1),IF(ROUND(100/AF34*AG34-100,1)&gt;999,999,-999)))</f>
        <v>508.2</v>
      </c>
      <c r="AI34" s="178">
        <v>-87</v>
      </c>
      <c r="AJ34" s="665">
        <v>-14.3</v>
      </c>
      <c r="AK34" s="419">
        <f>IF(AI34=0, "    ---- ", IF(ABS(ROUND(100/AI34*AJ34-100,1))&lt;999,ROUND(100/AI34*AJ34-100,1),IF(ROUND(100/AI34*AJ34-100,1)&gt;999,999,-999)))</f>
        <v>-83.6</v>
      </c>
      <c r="AL34" s="178"/>
      <c r="AM34" s="419"/>
      <c r="AN34" s="419" t="str">
        <f>IF(AL34=0, "    ---- ", IF(ABS(ROUND(100/AL34*AM34-100,1))&lt;999,ROUND(100/AL34*AM34-100,1),IF(ROUND(100/AL34*AM34-100,1)&gt;999,999,-999)))</f>
        <v xml:space="preserve">    ---- </v>
      </c>
      <c r="AO34" s="320">
        <f t="shared" si="14"/>
        <v>-1129.6891027300001</v>
      </c>
      <c r="AP34" s="320">
        <f t="shared" si="14"/>
        <v>-1071.5448566999999</v>
      </c>
      <c r="AQ34" s="419">
        <f t="shared" si="12"/>
        <v>-5.0999999999999996</v>
      </c>
      <c r="AR34" s="419"/>
      <c r="AS34" s="419"/>
      <c r="AT34" s="419"/>
    </row>
    <row r="35" spans="1:46" s="452" customFormat="1" ht="18.75" customHeight="1" x14ac:dyDescent="0.3">
      <c r="A35" s="585" t="s">
        <v>301</v>
      </c>
      <c r="B35" s="181">
        <f>SUM(B14+B15+B16+B17+B21+B30+B31+B32+B33+B34)</f>
        <v>62.88556970400839</v>
      </c>
      <c r="C35" s="423"/>
      <c r="D35" s="424">
        <f>IF(B35=0, "    ---- ", IF(ABS(ROUND(100/B35*C35-100,1))&lt;999,ROUND(100/B35*C35-100,1),IF(ROUND(100/B35*C35-100,1)&gt;999,999,-999)))</f>
        <v>-100</v>
      </c>
      <c r="E35" s="181">
        <f>SUM(E14+E15+E16+E17+E21+E30+E31+E32+E33+E34)</f>
        <v>-926.45561492999877</v>
      </c>
      <c r="F35" s="423">
        <f>SUM(F14+F15+F16+F17+F21+F30+F31+F32+F33+F34)</f>
        <v>-1081.2924644899965</v>
      </c>
      <c r="G35" s="424">
        <f>IF(E35=0, "    ---- ", IF(ABS(ROUND(100/E35*F35-100,1))&lt;999,ROUND(100/E35*F35-100,1),IF(ROUND(100/E35*F35-100,1)&gt;999,999,-999)))</f>
        <v>16.7</v>
      </c>
      <c r="H35" s="181">
        <f>SUM(H14+H15+H16+H17+H21+H30+H31+H32+H33+H34)</f>
        <v>278.60376576000004</v>
      </c>
      <c r="I35" s="423">
        <f>SUM(I14+I15+I16+I17+I21+I30+I31+I32+I33+I34)</f>
        <v>677.35871266000038</v>
      </c>
      <c r="J35" s="424">
        <f>IF(H35=0, "    ---- ", IF(ABS(ROUND(100/H35*I35-100,1))&lt;999,ROUND(100/H35*I35-100,1),IF(ROUND(100/H35*I35-100,1)&gt;999,999,-999)))</f>
        <v>143.1</v>
      </c>
      <c r="K35" s="181">
        <f>SUM(K14+K15+K16+K17+K21+K30+K31+K32+K33+K34)</f>
        <v>8.6279999999999859</v>
      </c>
      <c r="L35" s="423">
        <f>SUM(L14+L15+L16+L17+L21+L30+L31+L32+L33+L34)</f>
        <v>-1.0930000000001883</v>
      </c>
      <c r="M35" s="424">
        <f>IF(K35=0, "    ---- ", IF(ABS(ROUND(100/K35*L35-100,1))&lt;999,ROUND(100/K35*L35-100,1),IF(ROUND(100/K35*L35-100,1)&gt;999,999,-999)))</f>
        <v>-112.7</v>
      </c>
      <c r="N35" s="181">
        <f>SUM(N14+N15+N16+N17+N21+N30+N31+N32+N33+N34)</f>
        <v>142</v>
      </c>
      <c r="O35" s="423">
        <f>SUM(O14+O15+O16+O17+O21+O30+O31+O32+O33+O34)</f>
        <v>97</v>
      </c>
      <c r="P35" s="424">
        <f>IF(N35=0, "    ---- ", IF(ABS(ROUND(100/N35*O35-100,1))&lt;999,ROUND(100/N35*O35-100,1),IF(ROUND(100/N35*O35-100,1)&gt;999,999,-999)))</f>
        <v>-31.7</v>
      </c>
      <c r="Q35" s="181">
        <f>SUM(Q14+Q15+Q16+Q17+Q21+Q30+Q31+Q32+Q33+Q34)</f>
        <v>21.565243249999998</v>
      </c>
      <c r="R35" s="423"/>
      <c r="S35" s="424">
        <f>IF(Q35=0, "    ---- ", IF(ABS(ROUND(100/Q35*R35-100,1))&lt;999,ROUND(100/Q35*R35-100,1),IF(ROUND(100/Q35*R35-100,1)&gt;999,999,-999)))</f>
        <v>-100</v>
      </c>
      <c r="T35" s="181">
        <v>124.33775773000286</v>
      </c>
      <c r="U35" s="423">
        <v>574.32548189999943</v>
      </c>
      <c r="V35" s="424">
        <f>IF(T35=0, "    ---- ", IF(ABS(ROUND(100/T35*U35-100,1))&lt;999,ROUND(100/T35*U35-100,1),IF(ROUND(100/T35*U35-100,1)&gt;999,999,-999)))</f>
        <v>361.9</v>
      </c>
      <c r="W35" s="181">
        <f>SUM(W14+W15+W16+W17+W21+W30+W31+W32+W33+W34)</f>
        <v>714.33470425000132</v>
      </c>
      <c r="X35" s="423">
        <f>SUM(X14+X15+X16+X17+X21+X30+X31+X32+X33+X34)</f>
        <v>746.96262886000159</v>
      </c>
      <c r="Y35" s="424">
        <f>IF(W35=0, "    ---- ", IF(ABS(ROUND(100/W35*X35-100,1))&lt;999,ROUND(100/W35*X35-100,1),IF(ROUND(100/W35*X35-100,1)&gt;999,999,-999)))</f>
        <v>4.5999999999999996</v>
      </c>
      <c r="Z35" s="181">
        <f>SUM(Z14+Z15+Z16+Z17+Z21+Z30+Z31+Z32+Z33+Z34)</f>
        <v>266</v>
      </c>
      <c r="AA35" s="423">
        <f>SUM(AA14+AA15+AA16+AA17+AA21+AA30+AA31+AA32+AA33+AA34)</f>
        <v>338</v>
      </c>
      <c r="AB35" s="424">
        <f>IF(Z35=0, "    ---- ", IF(ABS(ROUND(100/Z35*AA35-100,1))&lt;999,ROUND(100/Z35*AA35-100,1),IF(ROUND(100/Z35*AA35-100,1)&gt;999,999,-999)))</f>
        <v>27.1</v>
      </c>
      <c r="AC35" s="181">
        <f>SUM(AC14+AC15+AC16+AC17+AC21+AC30+AC31+AC32+AC33+AC34)</f>
        <v>7.7395045299999907</v>
      </c>
      <c r="AD35" s="423"/>
      <c r="AE35" s="424">
        <f>IF(AC35=0, "    ---- ", IF(ABS(ROUND(100/AC35*AD35-100,1))&lt;999,ROUND(100/AC35*AD35-100,1),IF(ROUND(100/AC35*AD35-100,1)&gt;999,999,-999)))</f>
        <v>-100</v>
      </c>
      <c r="AF35" s="181">
        <f>SUM(AF14+AF15+AF16+AF17+AF21+AF30+AF31+AF32+AF33+AF34)</f>
        <v>-56.225340871902716</v>
      </c>
      <c r="AG35" s="423">
        <f>SUM(AG14+AG15+AG16+AG17+AG21+AG30+AG31+AG32+AG33+AG34)</f>
        <v>-14.514612441105053</v>
      </c>
      <c r="AH35" s="424">
        <f>IF(AF35=0, "    ---- ", IF(ABS(ROUND(100/AF35*AG35-100,1))&lt;999,ROUND(100/AF35*AG35-100,1),IF(ROUND(100/AF35*AG35-100,1)&gt;999,999,-999)))</f>
        <v>-74.2</v>
      </c>
      <c r="AI35" s="181">
        <f>SUM(AI14+AI15+AI16+AI17+AI21+AI30+AI31+AI32+AI33+AI34)</f>
        <v>-1254</v>
      </c>
      <c r="AJ35" s="667">
        <f>SUM(AJ14+AJ15+AJ16+AJ17+AJ21+AJ30+AJ31+AJ32+AJ33+AJ34)</f>
        <v>-1524.400000000003</v>
      </c>
      <c r="AK35" s="424">
        <f>IF(AI35=0, "    ---- ", IF(ABS(ROUND(100/AI35*AJ35-100,1))&lt;999,ROUND(100/AI35*AJ35-100,1),IF(ROUND(100/AI35*AJ35-100,1)&gt;999,999,-999)))</f>
        <v>21.6</v>
      </c>
      <c r="AL35" s="181">
        <f>SUM(AL14+AL15+AL16+AL17+AL21+AL30+AL31+AL32+AL33+AL34)</f>
        <v>-22</v>
      </c>
      <c r="AM35" s="423">
        <f>SUM(AM14+AM15+AM16+AM17+AM21+AM30+AM31+AM32+AM33+AM34)</f>
        <v>-24</v>
      </c>
      <c r="AN35" s="424">
        <f>IF(AL35=0, "    ---- ", IF(ABS(ROUND(100/AL35*AM35-100,1))&lt;999,ROUND(100/AL35*AM35-100,1),IF(ROUND(100/AL35*AM35-100,1)&gt;999,999,-999)))</f>
        <v>9.1</v>
      </c>
      <c r="AO35" s="674">
        <f t="shared" si="14"/>
        <v>-639.89115835788891</v>
      </c>
      <c r="AP35" s="674">
        <f t="shared" si="14"/>
        <v>-187.65325351110346</v>
      </c>
      <c r="AQ35" s="424">
        <f t="shared" si="12"/>
        <v>-70.7</v>
      </c>
      <c r="AR35" s="424"/>
      <c r="AS35" s="424"/>
      <c r="AT35" s="424"/>
    </row>
    <row r="36" spans="1:46" s="452" customFormat="1" ht="18.75" customHeight="1" x14ac:dyDescent="0.3">
      <c r="A36" s="586"/>
      <c r="B36" s="587"/>
      <c r="C36" s="478"/>
      <c r="D36" s="417"/>
      <c r="E36" s="587"/>
      <c r="F36" s="478"/>
      <c r="G36" s="417"/>
      <c r="H36" s="587"/>
      <c r="I36" s="478"/>
      <c r="J36" s="417"/>
      <c r="K36" s="587"/>
      <c r="L36" s="478"/>
      <c r="M36" s="417"/>
      <c r="N36" s="587"/>
      <c r="O36" s="478"/>
      <c r="P36" s="417"/>
      <c r="Q36" s="587"/>
      <c r="R36" s="478"/>
      <c r="S36" s="417"/>
      <c r="T36" s="587"/>
      <c r="U36" s="478"/>
      <c r="V36" s="417"/>
      <c r="W36" s="587"/>
      <c r="X36" s="478"/>
      <c r="Y36" s="417"/>
      <c r="Z36" s="587"/>
      <c r="AA36" s="478"/>
      <c r="AB36" s="417"/>
      <c r="AC36" s="587"/>
      <c r="AD36" s="478"/>
      <c r="AE36" s="417"/>
      <c r="AF36" s="587"/>
      <c r="AG36" s="478"/>
      <c r="AH36" s="588"/>
      <c r="AI36" s="587"/>
      <c r="AJ36" s="668"/>
      <c r="AK36" s="588"/>
      <c r="AL36" s="587"/>
      <c r="AM36" s="478"/>
      <c r="AN36" s="588"/>
      <c r="AO36" s="320"/>
      <c r="AP36" s="320"/>
      <c r="AQ36" s="588"/>
      <c r="AR36" s="589"/>
      <c r="AS36" s="590"/>
      <c r="AT36" s="591"/>
    </row>
    <row r="37" spans="1:46" s="452" customFormat="1" ht="18.75" customHeight="1" x14ac:dyDescent="0.3">
      <c r="A37" s="566" t="s">
        <v>302</v>
      </c>
      <c r="B37" s="587"/>
      <c r="C37" s="478"/>
      <c r="D37" s="417"/>
      <c r="E37" s="587"/>
      <c r="F37" s="478"/>
      <c r="G37" s="417"/>
      <c r="H37" s="587"/>
      <c r="I37" s="478"/>
      <c r="J37" s="417"/>
      <c r="K37" s="587"/>
      <c r="L37" s="478"/>
      <c r="M37" s="417"/>
      <c r="N37" s="587"/>
      <c r="O37" s="478"/>
      <c r="P37" s="417"/>
      <c r="Q37" s="587"/>
      <c r="R37" s="478"/>
      <c r="S37" s="417"/>
      <c r="T37" s="587"/>
      <c r="U37" s="478"/>
      <c r="V37" s="417"/>
      <c r="W37" s="587"/>
      <c r="X37" s="478"/>
      <c r="Y37" s="417"/>
      <c r="Z37" s="587"/>
      <c r="AA37" s="478"/>
      <c r="AB37" s="417"/>
      <c r="AC37" s="587"/>
      <c r="AD37" s="478"/>
      <c r="AE37" s="417"/>
      <c r="AF37" s="587"/>
      <c r="AG37" s="478"/>
      <c r="AH37" s="417"/>
      <c r="AI37" s="587"/>
      <c r="AJ37" s="668"/>
      <c r="AK37" s="417"/>
      <c r="AL37" s="587"/>
      <c r="AM37" s="478"/>
      <c r="AN37" s="417"/>
      <c r="AO37" s="320"/>
      <c r="AP37" s="320"/>
      <c r="AQ37" s="417"/>
      <c r="AR37" s="592"/>
      <c r="AS37" s="593"/>
      <c r="AT37" s="594"/>
    </row>
    <row r="38" spans="1:46" s="429" customFormat="1" ht="18.75" customHeight="1" x14ac:dyDescent="0.3">
      <c r="A38" s="564" t="s">
        <v>303</v>
      </c>
      <c r="B38" s="575">
        <v>-4.4467648140086604</v>
      </c>
      <c r="C38" s="473"/>
      <c r="D38" s="320">
        <f t="shared" ref="D38:D44" si="30">IF(B38=0, "    ---- ", IF(ABS(ROUND(100/B38*C38-100,1))&lt;999,ROUND(100/B38*C38-100,1),IF(ROUND(100/B38*C38-100,1)&gt;999,999,-999)))</f>
        <v>-100</v>
      </c>
      <c r="E38" s="575">
        <v>193.60833685</v>
      </c>
      <c r="F38" s="473">
        <v>807.00918108999997</v>
      </c>
      <c r="G38" s="320">
        <f t="shared" ref="G38:G45" si="31">IF(E38=0, "    ---- ", IF(ABS(ROUND(100/E38*F38-100,1))&lt;999,ROUND(100/E38*F38-100,1),IF(ROUND(100/E38*F38-100,1)&gt;999,999,-999)))</f>
        <v>316.8</v>
      </c>
      <c r="H38" s="575">
        <v>9.9224408999999998</v>
      </c>
      <c r="I38" s="473">
        <v>53.378549150000005</v>
      </c>
      <c r="J38" s="320">
        <f t="shared" ref="J38:J44" si="32">IF(H38=0, "    ---- ", IF(ABS(ROUND(100/H38*I38-100,1))&lt;999,ROUND(100/H38*I38-100,1),IF(ROUND(100/H38*I38-100,1)&gt;999,999,-999)))</f>
        <v>438</v>
      </c>
      <c r="K38" s="575">
        <v>-12.63979</v>
      </c>
      <c r="L38" s="473">
        <v>6.5469999999999997</v>
      </c>
      <c r="M38" s="320">
        <f t="shared" ref="M38:M44" si="33">IF(K38=0, "    ---- ", IF(ABS(ROUND(100/K38*L38-100,1))&lt;999,ROUND(100/K38*L38-100,1),IF(ROUND(100/K38*L38-100,1)&gt;999,999,-999)))</f>
        <v>-151.80000000000001</v>
      </c>
      <c r="N38" s="575">
        <v>9</v>
      </c>
      <c r="O38" s="473">
        <v>45</v>
      </c>
      <c r="P38" s="320">
        <f t="shared" ref="P38:P45" si="34">IF(N38=0, "    ---- ", IF(ABS(ROUND(100/N38*O38-100,1))&lt;999,ROUND(100/N38*O38-100,1),IF(ROUND(100/N38*O38-100,1)&gt;999,999,-999)))</f>
        <v>400</v>
      </c>
      <c r="Q38" s="575">
        <v>1.4117285900000001</v>
      </c>
      <c r="R38" s="473"/>
      <c r="S38" s="320">
        <f t="shared" ref="S38:S44" si="35">IF(Q38=0, "    ---- ", IF(ABS(ROUND(100/Q38*R38-100,1))&lt;999,ROUND(100/Q38*R38-100,1),IF(ROUND(100/Q38*R38-100,1)&gt;999,999,-999)))</f>
        <v>-100</v>
      </c>
      <c r="T38" s="575">
        <v>534.09563263999996</v>
      </c>
      <c r="U38" s="473">
        <v>760.32172220000007</v>
      </c>
      <c r="V38" s="320">
        <f t="shared" ref="V38:V45" si="36">IF(T38=0, "    ---- ", IF(ABS(ROUND(100/T38*U38-100,1))&lt;999,ROUND(100/T38*U38-100,1),IF(ROUND(100/T38*U38-100,1)&gt;999,999,-999)))</f>
        <v>42.4</v>
      </c>
      <c r="W38" s="575">
        <v>-14.13</v>
      </c>
      <c r="X38" s="473">
        <v>266.58</v>
      </c>
      <c r="Y38" s="320">
        <f t="shared" ref="Y38:Y45" si="37">IF(W38=0, "    ---- ", IF(ABS(ROUND(100/W38*X38-100,1))&lt;999,ROUND(100/W38*X38-100,1),IF(ROUND(100/W38*X38-100,1)&gt;999,999,-999)))</f>
        <v>-999</v>
      </c>
      <c r="Z38" s="575">
        <v>-165</v>
      </c>
      <c r="AA38" s="473">
        <v>273</v>
      </c>
      <c r="AB38" s="320">
        <f t="shared" ref="AB38:AB44" si="38">IF(Z38=0, "    ---- ", IF(ABS(ROUND(100/Z38*AA38-100,1))&lt;999,ROUND(100/Z38*AA38-100,1),IF(ROUND(100/Z38*AA38-100,1)&gt;999,999,-999)))</f>
        <v>-265.5</v>
      </c>
      <c r="AC38" s="662">
        <v>0.74917637000000004</v>
      </c>
      <c r="AD38" s="473"/>
      <c r="AE38" s="320"/>
      <c r="AF38" s="575">
        <v>-101.31596919999664</v>
      </c>
      <c r="AG38" s="473">
        <v>130.30798862000324</v>
      </c>
      <c r="AH38" s="320">
        <f t="shared" ref="AH38:AH45" si="39">IF(AF38=0, "    ---- ", IF(ABS(ROUND(100/AF38*AG38-100,1))&lt;999,ROUND(100/AF38*AG38-100,1),IF(ROUND(100/AF38*AG38-100,1)&gt;999,999,-999)))</f>
        <v>-228.6</v>
      </c>
      <c r="AI38" s="575">
        <v>1505</v>
      </c>
      <c r="AJ38" s="669">
        <v>1583.7</v>
      </c>
      <c r="AK38" s="320">
        <f t="shared" ref="AK38:AK45" si="40">IF(AI38=0, "    ---- ", IF(ABS(ROUND(100/AI38*AJ38-100,1))&lt;999,ROUND(100/AI38*AJ38-100,1),IF(ROUND(100/AI38*AJ38-100,1)&gt;999,999,-999)))</f>
        <v>5.2</v>
      </c>
      <c r="AL38" s="575"/>
      <c r="AM38" s="473"/>
      <c r="AN38" s="320" t="str">
        <f t="shared" ref="AN38:AN45" si="41">IF(AL38=0, "    ---- ", IF(ABS(ROUND(100/AL38*AM38-100,1))&lt;999,ROUND(100/AL38*AM38-100,1),IF(ROUND(100/AL38*AM38-100,1)&gt;999,999,-999)))</f>
        <v xml:space="preserve">    ---- </v>
      </c>
      <c r="AO38" s="320">
        <f t="shared" si="14"/>
        <v>1954.0938863759948</v>
      </c>
      <c r="AP38" s="320">
        <f t="shared" si="14"/>
        <v>3925.8444410600032</v>
      </c>
      <c r="AQ38" s="320">
        <f t="shared" si="12"/>
        <v>100.9</v>
      </c>
      <c r="AR38" s="577"/>
      <c r="AS38" s="595"/>
      <c r="AT38" s="495"/>
    </row>
    <row r="39" spans="1:46" s="429" customFormat="1" ht="18.75" customHeight="1" x14ac:dyDescent="0.3">
      <c r="A39" s="564" t="s">
        <v>304</v>
      </c>
      <c r="B39" s="575"/>
      <c r="C39" s="473"/>
      <c r="D39" s="320"/>
      <c r="E39" s="575">
        <v>7.2660650000000002</v>
      </c>
      <c r="F39" s="473">
        <v>9.3919240000000013</v>
      </c>
      <c r="G39" s="320">
        <f t="shared" si="31"/>
        <v>29.3</v>
      </c>
      <c r="H39" s="575"/>
      <c r="I39" s="473">
        <v>0</v>
      </c>
      <c r="J39" s="320" t="str">
        <f t="shared" si="32"/>
        <v xml:space="preserve">    ---- </v>
      </c>
      <c r="K39" s="575"/>
      <c r="L39" s="473"/>
      <c r="M39" s="320" t="str">
        <f t="shared" si="33"/>
        <v xml:space="preserve">    ---- </v>
      </c>
      <c r="N39" s="575"/>
      <c r="O39" s="473"/>
      <c r="P39" s="320" t="str">
        <f t="shared" si="34"/>
        <v xml:space="preserve">    ---- </v>
      </c>
      <c r="Q39" s="575"/>
      <c r="R39" s="473"/>
      <c r="S39" s="320"/>
      <c r="T39" s="575">
        <v>7.8848092200000002</v>
      </c>
      <c r="U39" s="473">
        <v>32.210538640000003</v>
      </c>
      <c r="V39" s="320">
        <f t="shared" si="36"/>
        <v>308.5</v>
      </c>
      <c r="W39" s="575"/>
      <c r="X39" s="473">
        <v>1.3</v>
      </c>
      <c r="Y39" s="320" t="str">
        <f t="shared" si="37"/>
        <v xml:space="preserve">    ---- </v>
      </c>
      <c r="Z39" s="575">
        <v>7</v>
      </c>
      <c r="AA39" s="473">
        <v>18</v>
      </c>
      <c r="AB39" s="320">
        <f t="shared" si="38"/>
        <v>157.1</v>
      </c>
      <c r="AC39" s="662"/>
      <c r="AD39" s="473"/>
      <c r="AE39" s="320"/>
      <c r="AF39" s="575">
        <v>4.6603554100000002</v>
      </c>
      <c r="AG39" s="473">
        <v>14.536481849999999</v>
      </c>
      <c r="AH39" s="320">
        <f t="shared" si="39"/>
        <v>211.9</v>
      </c>
      <c r="AI39" s="575">
        <v>11</v>
      </c>
      <c r="AJ39" s="669">
        <v>78.900000000000006</v>
      </c>
      <c r="AK39" s="320">
        <f t="shared" si="40"/>
        <v>617.29999999999995</v>
      </c>
      <c r="AL39" s="575"/>
      <c r="AM39" s="473"/>
      <c r="AN39" s="320" t="str">
        <f t="shared" si="41"/>
        <v xml:space="preserve">    ---- </v>
      </c>
      <c r="AO39" s="320">
        <f t="shared" si="14"/>
        <v>37.81122963</v>
      </c>
      <c r="AP39" s="320">
        <f t="shared" si="14"/>
        <v>154.33894449000002</v>
      </c>
      <c r="AQ39" s="320">
        <f t="shared" si="12"/>
        <v>308.2</v>
      </c>
      <c r="AR39" s="320"/>
      <c r="AS39" s="596"/>
      <c r="AT39" s="320"/>
    </row>
    <row r="40" spans="1:46" s="429" customFormat="1" ht="18.75" customHeight="1" x14ac:dyDescent="0.3">
      <c r="A40" s="564" t="s">
        <v>305</v>
      </c>
      <c r="B40" s="575"/>
      <c r="C40" s="473"/>
      <c r="D40" s="320"/>
      <c r="E40" s="575">
        <v>-227.0793329</v>
      </c>
      <c r="F40" s="473"/>
      <c r="G40" s="320">
        <f t="shared" si="31"/>
        <v>-100</v>
      </c>
      <c r="H40" s="575">
        <v>-17.204371390000002</v>
      </c>
      <c r="I40" s="473">
        <v>-28.433180999999998</v>
      </c>
      <c r="J40" s="320">
        <f t="shared" si="32"/>
        <v>65.3</v>
      </c>
      <c r="K40" s="575"/>
      <c r="L40" s="473"/>
      <c r="M40" s="320" t="str">
        <f t="shared" si="33"/>
        <v xml:space="preserve">    ---- </v>
      </c>
      <c r="N40" s="575">
        <v>-7</v>
      </c>
      <c r="O40" s="473">
        <v>-12</v>
      </c>
      <c r="P40" s="320">
        <f t="shared" si="34"/>
        <v>71.400000000000006</v>
      </c>
      <c r="Q40" s="575"/>
      <c r="R40" s="473"/>
      <c r="S40" s="320"/>
      <c r="T40" s="575">
        <v>-205.71787588000001</v>
      </c>
      <c r="U40" s="473">
        <v>-231.08993150999999</v>
      </c>
      <c r="V40" s="320">
        <f t="shared" si="36"/>
        <v>12.3</v>
      </c>
      <c r="W40" s="575">
        <v>-82.63</v>
      </c>
      <c r="X40" s="473">
        <v>-131.11000000000001</v>
      </c>
      <c r="Y40" s="320">
        <f t="shared" si="37"/>
        <v>58.7</v>
      </c>
      <c r="Z40" s="575">
        <v>-79</v>
      </c>
      <c r="AA40" s="473">
        <v>-84</v>
      </c>
      <c r="AB40" s="320">
        <f t="shared" si="38"/>
        <v>6.3</v>
      </c>
      <c r="AC40" s="662"/>
      <c r="AD40" s="473"/>
      <c r="AE40" s="320"/>
      <c r="AF40" s="575">
        <v>-2.2151970481000021</v>
      </c>
      <c r="AG40" s="473">
        <v>-6.1881710889000008</v>
      </c>
      <c r="AH40" s="320">
        <f t="shared" si="39"/>
        <v>179.4</v>
      </c>
      <c r="AI40" s="575">
        <v>-360</v>
      </c>
      <c r="AJ40" s="669">
        <v>-842.4</v>
      </c>
      <c r="AK40" s="320">
        <f t="shared" si="40"/>
        <v>134</v>
      </c>
      <c r="AL40" s="575"/>
      <c r="AM40" s="473"/>
      <c r="AN40" s="320" t="str">
        <f t="shared" si="41"/>
        <v xml:space="preserve">    ---- </v>
      </c>
      <c r="AO40" s="320">
        <f t="shared" si="14"/>
        <v>-980.84677721809999</v>
      </c>
      <c r="AP40" s="320">
        <f t="shared" si="14"/>
        <v>-1335.2212835988998</v>
      </c>
      <c r="AQ40" s="320">
        <f t="shared" si="12"/>
        <v>36.1</v>
      </c>
      <c r="AR40" s="320"/>
      <c r="AS40" s="596"/>
      <c r="AT40" s="320"/>
    </row>
    <row r="41" spans="1:46" s="598" customFormat="1" ht="18.75" customHeight="1" x14ac:dyDescent="0.3">
      <c r="A41" s="586" t="s">
        <v>306</v>
      </c>
      <c r="B41" s="587">
        <f>SUM(B38:B40)</f>
        <v>-4.4467648140086604</v>
      </c>
      <c r="C41" s="478"/>
      <c r="D41" s="417">
        <f t="shared" si="30"/>
        <v>-100</v>
      </c>
      <c r="E41" s="587">
        <f>SUM(E38:E40)</f>
        <v>-26.204931049999999</v>
      </c>
      <c r="F41" s="478">
        <f>SUM(F38:F40)</f>
        <v>816.40110508999999</v>
      </c>
      <c r="G41" s="417">
        <f t="shared" si="31"/>
        <v>-999</v>
      </c>
      <c r="H41" s="587">
        <f>SUM(H38:H40)</f>
        <v>-7.2819304900000024</v>
      </c>
      <c r="I41" s="478">
        <f>SUM(I38:I40)</f>
        <v>24.945368150000007</v>
      </c>
      <c r="J41" s="417">
        <f t="shared" si="32"/>
        <v>-442.6</v>
      </c>
      <c r="K41" s="587">
        <f>SUM(K38:K40)</f>
        <v>-12.63979</v>
      </c>
      <c r="L41" s="478">
        <f>SUM(L38:L40)</f>
        <v>6.5469999999999997</v>
      </c>
      <c r="M41" s="417">
        <f t="shared" si="33"/>
        <v>-151.80000000000001</v>
      </c>
      <c r="N41" s="587">
        <f>SUM(N38:N40)</f>
        <v>2</v>
      </c>
      <c r="O41" s="478">
        <f>SUM(O38:O40)</f>
        <v>33</v>
      </c>
      <c r="P41" s="417">
        <f t="shared" si="34"/>
        <v>999</v>
      </c>
      <c r="Q41" s="587">
        <f>SUM(Q38:Q40)</f>
        <v>1.4117285900000001</v>
      </c>
      <c r="R41" s="478"/>
      <c r="S41" s="417">
        <f t="shared" si="35"/>
        <v>-100</v>
      </c>
      <c r="T41" s="587">
        <v>336.26256597999992</v>
      </c>
      <c r="U41" s="478">
        <v>561.44232933000012</v>
      </c>
      <c r="V41" s="417">
        <f t="shared" si="36"/>
        <v>67</v>
      </c>
      <c r="W41" s="587">
        <f>SUM(W38:W40)</f>
        <v>-96.759999999999991</v>
      </c>
      <c r="X41" s="478">
        <f>SUM(X38:X40)</f>
        <v>136.76999999999998</v>
      </c>
      <c r="Y41" s="417">
        <f t="shared" si="37"/>
        <v>-241.3</v>
      </c>
      <c r="Z41" s="587">
        <f>SUM(Z38:Z40)</f>
        <v>-237</v>
      </c>
      <c r="AA41" s="478">
        <f>SUM(AA38:AA40)</f>
        <v>207</v>
      </c>
      <c r="AB41" s="417">
        <f t="shared" si="38"/>
        <v>-187.3</v>
      </c>
      <c r="AC41" s="663">
        <f>SUM(AC38:AC40)</f>
        <v>0.74917637000000004</v>
      </c>
      <c r="AD41" s="478"/>
      <c r="AE41" s="417"/>
      <c r="AF41" s="587">
        <f>SUM(AF38:AF40)</f>
        <v>-98.870810838096645</v>
      </c>
      <c r="AG41" s="478">
        <f>SUM(AG38:AG40)</f>
        <v>138.65629938110325</v>
      </c>
      <c r="AH41" s="417">
        <f t="shared" si="39"/>
        <v>-240.2</v>
      </c>
      <c r="AI41" s="587">
        <f>SUM(AI38:AI40)</f>
        <v>1156</v>
      </c>
      <c r="AJ41" s="668">
        <f>SUM(AJ38:AJ40)</f>
        <v>820.20000000000016</v>
      </c>
      <c r="AK41" s="417">
        <f t="shared" si="40"/>
        <v>-29</v>
      </c>
      <c r="AL41" s="587"/>
      <c r="AM41" s="478">
        <f>SUM(AM38:AM40)</f>
        <v>0</v>
      </c>
      <c r="AN41" s="417" t="str">
        <f t="shared" si="41"/>
        <v xml:space="preserve">    ---- </v>
      </c>
      <c r="AO41" s="320">
        <f t="shared" si="14"/>
        <v>1011.0583387878946</v>
      </c>
      <c r="AP41" s="320">
        <f t="shared" si="14"/>
        <v>2744.9621019511037</v>
      </c>
      <c r="AQ41" s="417">
        <f t="shared" si="12"/>
        <v>171.5</v>
      </c>
      <c r="AR41" s="417"/>
      <c r="AS41" s="597"/>
      <c r="AT41" s="417"/>
    </row>
    <row r="42" spans="1:46" s="598" customFormat="1" ht="18.75" customHeight="1" x14ac:dyDescent="0.3">
      <c r="A42" s="586" t="s">
        <v>307</v>
      </c>
      <c r="B42" s="587">
        <f>B35+B41</f>
        <v>58.43880488999973</v>
      </c>
      <c r="C42" s="478"/>
      <c r="D42" s="417">
        <f t="shared" si="30"/>
        <v>-100</v>
      </c>
      <c r="E42" s="587">
        <f>E35+E41</f>
        <v>-952.6605459799988</v>
      </c>
      <c r="F42" s="478">
        <f>F35+F41</f>
        <v>-264.89135939999653</v>
      </c>
      <c r="G42" s="417">
        <f t="shared" si="31"/>
        <v>-72.2</v>
      </c>
      <c r="H42" s="587">
        <f>H35+H41</f>
        <v>271.32183527000007</v>
      </c>
      <c r="I42" s="478">
        <f>I35+I41</f>
        <v>702.30408081000041</v>
      </c>
      <c r="J42" s="417">
        <f t="shared" si="32"/>
        <v>158.80000000000001</v>
      </c>
      <c r="K42" s="587">
        <f>K35+K41</f>
        <v>-4.0117900000000137</v>
      </c>
      <c r="L42" s="478">
        <f>L35+L41</f>
        <v>5.4539999999998114</v>
      </c>
      <c r="M42" s="417">
        <f t="shared" si="33"/>
        <v>-235.9</v>
      </c>
      <c r="N42" s="587">
        <f>N35+N41</f>
        <v>144</v>
      </c>
      <c r="O42" s="478">
        <f>O35+O41</f>
        <v>130</v>
      </c>
      <c r="P42" s="417">
        <f t="shared" si="34"/>
        <v>-9.6999999999999993</v>
      </c>
      <c r="Q42" s="587">
        <f>Q35+Q41</f>
        <v>22.976971839999997</v>
      </c>
      <c r="R42" s="478"/>
      <c r="S42" s="417">
        <f t="shared" si="35"/>
        <v>-100</v>
      </c>
      <c r="T42" s="587">
        <v>460.60032371000278</v>
      </c>
      <c r="U42" s="478">
        <v>1135.7678112299996</v>
      </c>
      <c r="V42" s="417">
        <f t="shared" si="36"/>
        <v>146.6</v>
      </c>
      <c r="W42" s="587">
        <f>W35+W41</f>
        <v>617.57470425000133</v>
      </c>
      <c r="X42" s="478">
        <f>X35+X41</f>
        <v>883.73262886000157</v>
      </c>
      <c r="Y42" s="417">
        <f t="shared" si="37"/>
        <v>43.1</v>
      </c>
      <c r="Z42" s="587">
        <f>Z35+Z41</f>
        <v>29</v>
      </c>
      <c r="AA42" s="478">
        <f>AA35+AA41</f>
        <v>545</v>
      </c>
      <c r="AB42" s="417">
        <f t="shared" si="38"/>
        <v>999</v>
      </c>
      <c r="AC42" s="663">
        <f>AC35+AC41</f>
        <v>8.4886808999999914</v>
      </c>
      <c r="AD42" s="478"/>
      <c r="AE42" s="417">
        <f>IF(AC42=0, "    ---- ", IF(ABS(ROUND(100/AC42*AD42-100,1))&lt;999,ROUND(100/AC42*AD42-100,1),IF(ROUND(100/AC42*AD42-100,1)&gt;999,999,-999)))</f>
        <v>-100</v>
      </c>
      <c r="AF42" s="587">
        <f>AF35+AF41</f>
        <v>-155.09615170999936</v>
      </c>
      <c r="AG42" s="478">
        <f>AG35+AG41</f>
        <v>124.14168693999819</v>
      </c>
      <c r="AH42" s="417">
        <f t="shared" si="39"/>
        <v>-180</v>
      </c>
      <c r="AI42" s="587">
        <f>AI35+AI41</f>
        <v>-98</v>
      </c>
      <c r="AJ42" s="668">
        <f>AJ35+AJ41</f>
        <v>-704.20000000000289</v>
      </c>
      <c r="AK42" s="417">
        <f t="shared" si="40"/>
        <v>618.6</v>
      </c>
      <c r="AL42" s="587">
        <f>AL35+AL41</f>
        <v>-22</v>
      </c>
      <c r="AM42" s="478">
        <f>AM35+AM41</f>
        <v>-24</v>
      </c>
      <c r="AN42" s="417">
        <f t="shared" si="41"/>
        <v>9.1</v>
      </c>
      <c r="AO42" s="320">
        <f t="shared" si="14"/>
        <v>371.16718043000571</v>
      </c>
      <c r="AP42" s="320">
        <f t="shared" si="14"/>
        <v>2557.30884844</v>
      </c>
      <c r="AQ42" s="417">
        <f t="shared" si="12"/>
        <v>589</v>
      </c>
      <c r="AR42" s="417"/>
      <c r="AS42" s="597"/>
      <c r="AT42" s="417"/>
    </row>
    <row r="43" spans="1:46" s="429" customFormat="1" ht="18.75" customHeight="1" x14ac:dyDescent="0.3">
      <c r="A43" s="564" t="s">
        <v>308</v>
      </c>
      <c r="B43" s="575">
        <v>-16.439131750000001</v>
      </c>
      <c r="C43" s="473"/>
      <c r="D43" s="320">
        <f t="shared" si="30"/>
        <v>-100</v>
      </c>
      <c r="E43" s="575">
        <v>269.507316</v>
      </c>
      <c r="F43" s="473">
        <v>-344.21633122999998</v>
      </c>
      <c r="G43" s="320">
        <f t="shared" si="31"/>
        <v>-227.7</v>
      </c>
      <c r="H43" s="575">
        <v>-86.254400210000014</v>
      </c>
      <c r="I43" s="473">
        <v>-191.48764650000004</v>
      </c>
      <c r="J43" s="320">
        <f t="shared" si="32"/>
        <v>122</v>
      </c>
      <c r="K43" s="575">
        <v>-10.709</v>
      </c>
      <c r="L43" s="473"/>
      <c r="M43" s="320">
        <f t="shared" si="33"/>
        <v>-100</v>
      </c>
      <c r="N43" s="575">
        <v>-36</v>
      </c>
      <c r="O43" s="473">
        <v>-33</v>
      </c>
      <c r="P43" s="320">
        <f t="shared" si="34"/>
        <v>-8.3000000000000007</v>
      </c>
      <c r="Q43" s="575">
        <v>-5.7645869999999997</v>
      </c>
      <c r="R43" s="473"/>
      <c r="S43" s="320">
        <f t="shared" si="35"/>
        <v>-100</v>
      </c>
      <c r="T43" s="575">
        <v>-51.830301474999999</v>
      </c>
      <c r="U43" s="473">
        <v>-273.85564747499996</v>
      </c>
      <c r="V43" s="320"/>
      <c r="W43" s="575">
        <v>-151.61000000000001</v>
      </c>
      <c r="X43" s="473">
        <v>-216.61</v>
      </c>
      <c r="Y43" s="320">
        <f t="shared" si="37"/>
        <v>42.9</v>
      </c>
      <c r="Z43" s="575">
        <v>-80</v>
      </c>
      <c r="AA43" s="473">
        <v>-73</v>
      </c>
      <c r="AB43" s="320">
        <f t="shared" si="38"/>
        <v>-8.8000000000000007</v>
      </c>
      <c r="AC43" s="662">
        <v>-1.8724970000000001</v>
      </c>
      <c r="AD43" s="473"/>
      <c r="AE43" s="320"/>
      <c r="AF43" s="575">
        <v>35.311484999999998</v>
      </c>
      <c r="AG43" s="473">
        <v>-28.760131670000003</v>
      </c>
      <c r="AH43" s="320">
        <f t="shared" si="39"/>
        <v>-181.4</v>
      </c>
      <c r="AI43" s="575">
        <v>950</v>
      </c>
      <c r="AJ43" s="669">
        <v>940.8</v>
      </c>
      <c r="AK43" s="320">
        <f t="shared" si="40"/>
        <v>-1</v>
      </c>
      <c r="AL43" s="575"/>
      <c r="AM43" s="473"/>
      <c r="AN43" s="320" t="str">
        <f t="shared" si="41"/>
        <v xml:space="preserve">    ---- </v>
      </c>
      <c r="AO43" s="320">
        <f t="shared" si="14"/>
        <v>821.97596756500002</v>
      </c>
      <c r="AP43" s="320">
        <f t="shared" si="14"/>
        <v>-220.12975687500011</v>
      </c>
      <c r="AQ43" s="320">
        <f t="shared" si="12"/>
        <v>-126.8</v>
      </c>
      <c r="AR43" s="320"/>
      <c r="AS43" s="596"/>
      <c r="AT43" s="320"/>
    </row>
    <row r="44" spans="1:46" s="598" customFormat="1" ht="18.75" customHeight="1" x14ac:dyDescent="0.3">
      <c r="A44" s="586" t="s">
        <v>412</v>
      </c>
      <c r="B44" s="587">
        <f>B42+B43</f>
        <v>41.999673139999729</v>
      </c>
      <c r="C44" s="478"/>
      <c r="D44" s="417">
        <f t="shared" si="30"/>
        <v>-100</v>
      </c>
      <c r="E44" s="587">
        <f>E42+E43</f>
        <v>-683.15322997999874</v>
      </c>
      <c r="F44" s="478">
        <f>F42+F43</f>
        <v>-609.10769062999657</v>
      </c>
      <c r="G44" s="417">
        <f t="shared" si="31"/>
        <v>-10.8</v>
      </c>
      <c r="H44" s="587">
        <f>H42+H43</f>
        <v>185.06743506000004</v>
      </c>
      <c r="I44" s="478">
        <f>I42+I43</f>
        <v>510.81643431000037</v>
      </c>
      <c r="J44" s="417">
        <f t="shared" si="32"/>
        <v>176</v>
      </c>
      <c r="K44" s="587">
        <f>K42+K43</f>
        <v>-14.720790000000013</v>
      </c>
      <c r="L44" s="478">
        <f>L42+L43</f>
        <v>5.4539999999998114</v>
      </c>
      <c r="M44" s="417">
        <f t="shared" si="33"/>
        <v>-137</v>
      </c>
      <c r="N44" s="587">
        <f>N42+N43</f>
        <v>108</v>
      </c>
      <c r="O44" s="478">
        <f>O42+O43</f>
        <v>97</v>
      </c>
      <c r="P44" s="417">
        <f t="shared" si="34"/>
        <v>-10.199999999999999</v>
      </c>
      <c r="Q44" s="587">
        <f>Q42+Q43</f>
        <v>17.212384839999999</v>
      </c>
      <c r="R44" s="478"/>
      <c r="S44" s="417">
        <f t="shared" si="35"/>
        <v>-100</v>
      </c>
      <c r="T44" s="587">
        <v>408.77002223500278</v>
      </c>
      <c r="U44" s="478">
        <v>861.9121637549996</v>
      </c>
      <c r="V44" s="417">
        <f t="shared" si="36"/>
        <v>110.9</v>
      </c>
      <c r="W44" s="587">
        <f>W42+W43</f>
        <v>465.96470425000132</v>
      </c>
      <c r="X44" s="478">
        <f>X42+X43</f>
        <v>667.12262886000156</v>
      </c>
      <c r="Y44" s="417">
        <f t="shared" si="37"/>
        <v>43.2</v>
      </c>
      <c r="Z44" s="587">
        <f>Z42+Z43</f>
        <v>-51</v>
      </c>
      <c r="AA44" s="478">
        <f>AA42+AA43</f>
        <v>472</v>
      </c>
      <c r="AB44" s="417">
        <f t="shared" si="38"/>
        <v>-999</v>
      </c>
      <c r="AC44" s="663">
        <f>AC42+AC43</f>
        <v>6.6161838999999913</v>
      </c>
      <c r="AD44" s="478"/>
      <c r="AE44" s="417">
        <f>IF(AC44=0, "    ---- ", IF(ABS(ROUND(100/AC44*AD44-100,1))&lt;999,ROUND(100/AC44*AD44-100,1),IF(ROUND(100/AC44*AD44-100,1)&gt;999,999,-999)))</f>
        <v>-100</v>
      </c>
      <c r="AF44" s="587">
        <f>AF42+AF43</f>
        <v>-119.78466670999936</v>
      </c>
      <c r="AG44" s="478">
        <f>AG42+AG43</f>
        <v>95.381555269998188</v>
      </c>
      <c r="AH44" s="417">
        <f t="shared" si="39"/>
        <v>-179.6</v>
      </c>
      <c r="AI44" s="587">
        <f>AI42+AI43</f>
        <v>852</v>
      </c>
      <c r="AJ44" s="668">
        <f>AJ42+AJ43</f>
        <v>236.59999999999707</v>
      </c>
      <c r="AK44" s="417">
        <f t="shared" si="40"/>
        <v>-72.2</v>
      </c>
      <c r="AL44" s="587">
        <f>AL42+AL43</f>
        <v>-22</v>
      </c>
      <c r="AM44" s="478">
        <f>AM42+AM43</f>
        <v>-24</v>
      </c>
      <c r="AN44" s="417">
        <f t="shared" si="41"/>
        <v>9.1</v>
      </c>
      <c r="AO44" s="320">
        <f t="shared" si="14"/>
        <v>1193.1431479950056</v>
      </c>
      <c r="AP44" s="320">
        <f t="shared" si="14"/>
        <v>2337.1790915649999</v>
      </c>
      <c r="AQ44" s="417">
        <f t="shared" si="12"/>
        <v>95.9</v>
      </c>
      <c r="AR44" s="417"/>
      <c r="AS44" s="597"/>
      <c r="AT44" s="417"/>
    </row>
    <row r="45" spans="1:46" s="429" customFormat="1" ht="18.75" customHeight="1" x14ac:dyDescent="0.3">
      <c r="A45" s="564" t="s">
        <v>413</v>
      </c>
      <c r="B45" s="575"/>
      <c r="C45" s="473"/>
      <c r="D45" s="320"/>
      <c r="E45" s="575"/>
      <c r="F45" s="473"/>
      <c r="G45" s="320" t="str">
        <f t="shared" si="31"/>
        <v xml:space="preserve">    ---- </v>
      </c>
      <c r="H45" s="575"/>
      <c r="I45" s="473"/>
      <c r="J45" s="320"/>
      <c r="K45" s="575"/>
      <c r="L45" s="473"/>
      <c r="M45" s="320"/>
      <c r="N45" s="575"/>
      <c r="O45" s="473"/>
      <c r="P45" s="320" t="str">
        <f t="shared" si="34"/>
        <v xml:space="preserve">    ---- </v>
      </c>
      <c r="Q45" s="575"/>
      <c r="R45" s="473"/>
      <c r="S45" s="320"/>
      <c r="T45" s="575">
        <v>64.403392775</v>
      </c>
      <c r="U45" s="473">
        <v>265.49938810499998</v>
      </c>
      <c r="V45" s="320">
        <f t="shared" si="36"/>
        <v>312.2</v>
      </c>
      <c r="W45" s="575">
        <v>35.130000000000003</v>
      </c>
      <c r="X45" s="473">
        <v>18.77</v>
      </c>
      <c r="Y45" s="320">
        <f t="shared" si="37"/>
        <v>-46.6</v>
      </c>
      <c r="Z45" s="575"/>
      <c r="AA45" s="473"/>
      <c r="AB45" s="320"/>
      <c r="AC45" s="662"/>
      <c r="AD45" s="473"/>
      <c r="AE45" s="320"/>
      <c r="AF45" s="575"/>
      <c r="AG45" s="473"/>
      <c r="AH45" s="320" t="str">
        <f t="shared" si="39"/>
        <v xml:space="preserve">    ---- </v>
      </c>
      <c r="AI45" s="575">
        <v>-24</v>
      </c>
      <c r="AJ45" s="669">
        <v>-7.5</v>
      </c>
      <c r="AK45" s="320">
        <f t="shared" si="40"/>
        <v>-68.8</v>
      </c>
      <c r="AL45" s="575"/>
      <c r="AM45" s="473"/>
      <c r="AN45" s="320" t="str">
        <f t="shared" si="41"/>
        <v xml:space="preserve">    ---- </v>
      </c>
      <c r="AO45" s="320">
        <f t="shared" si="14"/>
        <v>75.53339277500001</v>
      </c>
      <c r="AP45" s="320">
        <f t="shared" si="14"/>
        <v>276.76938810499996</v>
      </c>
      <c r="AQ45" s="320">
        <f t="shared" si="12"/>
        <v>266.39999999999998</v>
      </c>
      <c r="AR45" s="320"/>
      <c r="AS45" s="596"/>
      <c r="AT45" s="320"/>
    </row>
    <row r="46" spans="1:46" s="598" customFormat="1" ht="18.75" customHeight="1" x14ac:dyDescent="0.3">
      <c r="A46" s="585" t="s">
        <v>309</v>
      </c>
      <c r="B46" s="599">
        <f>B44+B45</f>
        <v>41.999673139999729</v>
      </c>
      <c r="C46" s="479"/>
      <c r="D46" s="424">
        <f>IF(B46=0, "    ---- ", IF(ABS(ROUND(100/B46*C46-100,1))&lt;999,ROUND(100/B46*C46-100,1),IF(ROUND(100/B46*C46-100,1)&gt;999,999,-999)))</f>
        <v>-100</v>
      </c>
      <c r="E46" s="599">
        <f>E44+E45</f>
        <v>-683.15322997999874</v>
      </c>
      <c r="F46" s="479">
        <f>F44+F45</f>
        <v>-609.10769062999657</v>
      </c>
      <c r="G46" s="424">
        <f>IF(E46=0, "    ---- ", IF(ABS(ROUND(100/E46*F46-100,1))&lt;999,ROUND(100/E46*F46-100,1),IF(ROUND(100/E46*F46-100,1)&gt;999,999,-999)))</f>
        <v>-10.8</v>
      </c>
      <c r="H46" s="599">
        <f>H44+H45</f>
        <v>185.06743506000004</v>
      </c>
      <c r="I46" s="479">
        <f>I44+I45</f>
        <v>510.81643431000037</v>
      </c>
      <c r="J46" s="424">
        <f>IF(H46=0, "    ---- ", IF(ABS(ROUND(100/H46*I46-100,1))&lt;999,ROUND(100/H46*I46-100,1),IF(ROUND(100/H46*I46-100,1)&gt;999,999,-999)))</f>
        <v>176</v>
      </c>
      <c r="K46" s="599">
        <f>K44+K45</f>
        <v>-14.720790000000013</v>
      </c>
      <c r="L46" s="479">
        <f>L44+L45</f>
        <v>5.4539999999998114</v>
      </c>
      <c r="M46" s="424">
        <f>IF(K46=0, "    ---- ", IF(ABS(ROUND(100/K46*L46-100,1))&lt;999,ROUND(100/K46*L46-100,1),IF(ROUND(100/K46*L46-100,1)&gt;999,999,-999)))</f>
        <v>-137</v>
      </c>
      <c r="N46" s="599">
        <f>N44+N45</f>
        <v>108</v>
      </c>
      <c r="O46" s="479">
        <f>O44+O45</f>
        <v>97</v>
      </c>
      <c r="P46" s="424">
        <f>IF(N46=0, "    ---- ", IF(ABS(ROUND(100/N46*O46-100,1))&lt;999,ROUND(100/N46*O46-100,1),IF(ROUND(100/N46*O46-100,1)&gt;999,999,-999)))</f>
        <v>-10.199999999999999</v>
      </c>
      <c r="Q46" s="599">
        <f>Q44+Q45</f>
        <v>17.212384839999999</v>
      </c>
      <c r="R46" s="479"/>
      <c r="S46" s="424">
        <f>IF(Q46=0, "    ---- ", IF(ABS(ROUND(100/Q46*R46-100,1))&lt;999,ROUND(100/Q46*R46-100,1),IF(ROUND(100/Q46*R46-100,1)&gt;999,999,-999)))</f>
        <v>-100</v>
      </c>
      <c r="T46" s="599">
        <v>473.17341501000277</v>
      </c>
      <c r="U46" s="479">
        <v>1127.4115518599997</v>
      </c>
      <c r="V46" s="424">
        <f>IF(T46=0, "    ---- ", IF(ABS(ROUND(100/T46*U46-100,1))&lt;999,ROUND(100/T46*U46-100,1),IF(ROUND(100/T46*U46-100,1)&gt;999,999,-999)))</f>
        <v>138.30000000000001</v>
      </c>
      <c r="W46" s="599">
        <f>W44+W45</f>
        <v>501.09470425000131</v>
      </c>
      <c r="X46" s="479">
        <f>X44+X45</f>
        <v>685.89262886000154</v>
      </c>
      <c r="Y46" s="424">
        <f>IF(W46=0, "    ---- ", IF(ABS(ROUND(100/W46*X46-100,1))&lt;999,ROUND(100/W46*X46-100,1),IF(ROUND(100/W46*X46-100,1)&gt;999,999,-999)))</f>
        <v>36.9</v>
      </c>
      <c r="Z46" s="599">
        <f>Z44+Z45</f>
        <v>-51</v>
      </c>
      <c r="AA46" s="479">
        <f>AA44+AA45</f>
        <v>472</v>
      </c>
      <c r="AB46" s="424">
        <f>IF(Z46=0, "    ---- ", IF(ABS(ROUND(100/Z46*AA46-100,1))&lt;999,ROUND(100/Z46*AA46-100,1),IF(ROUND(100/Z46*AA46-100,1)&gt;999,999,-999)))</f>
        <v>-999</v>
      </c>
      <c r="AC46" s="664">
        <f>AC44+AC45</f>
        <v>6.6161838999999913</v>
      </c>
      <c r="AD46" s="479"/>
      <c r="AE46" s="424">
        <f>IF(AC46=0, "    ---- ", IF(ABS(ROUND(100/AC46*AD46-100,1))&lt;999,ROUND(100/AC46*AD46-100,1),IF(ROUND(100/AC46*AD46-100,1)&gt;999,999,-999)))</f>
        <v>-100</v>
      </c>
      <c r="AF46" s="599">
        <f>AF44+AF45</f>
        <v>-119.78466670999936</v>
      </c>
      <c r="AG46" s="479">
        <f>AG44+AG45</f>
        <v>95.381555269998188</v>
      </c>
      <c r="AH46" s="424">
        <f>IF(AF46=0, "    ---- ", IF(ABS(ROUND(100/AF46*AG46-100,1))&lt;999,ROUND(100/AF46*AG46-100,1),IF(ROUND(100/AF46*AG46-100,1)&gt;999,999,-999)))</f>
        <v>-179.6</v>
      </c>
      <c r="AI46" s="599">
        <f>AI44+AI45</f>
        <v>828</v>
      </c>
      <c r="AJ46" s="670">
        <f>AJ44+AJ45</f>
        <v>229.09999999999707</v>
      </c>
      <c r="AK46" s="424">
        <f>IF(AI46=0, "    ---- ", IF(ABS(ROUND(100/AI46*AJ46-100,1))&lt;999,ROUND(100/AI46*AJ46-100,1),IF(ROUND(100/AI46*AJ46-100,1)&gt;999,999,-999)))</f>
        <v>-72.3</v>
      </c>
      <c r="AL46" s="599">
        <f>AL44+AL45</f>
        <v>-22</v>
      </c>
      <c r="AM46" s="479">
        <f>AM44+AM45</f>
        <v>-24</v>
      </c>
      <c r="AN46" s="424">
        <f>IF(AL46=0, "    ---- ", IF(ABS(ROUND(100/AL46*AM46-100,1))&lt;999,ROUND(100/AL46*AM46-100,1),IF(ROUND(100/AL46*AM46-100,1)&gt;999,999,-999)))</f>
        <v>9.1</v>
      </c>
      <c r="AO46" s="320">
        <f t="shared" si="14"/>
        <v>1268.6765407700057</v>
      </c>
      <c r="AP46" s="320">
        <f t="shared" si="14"/>
        <v>2613.9484796699999</v>
      </c>
      <c r="AQ46" s="424">
        <f t="shared" si="12"/>
        <v>106</v>
      </c>
      <c r="AR46" s="600"/>
      <c r="AS46" s="601"/>
      <c r="AT46" s="602"/>
    </row>
    <row r="47" spans="1:46" s="598" customFormat="1" ht="18.75" customHeight="1" x14ac:dyDescent="0.3">
      <c r="A47" s="603"/>
      <c r="B47" s="604"/>
      <c r="C47" s="604"/>
      <c r="D47" s="605"/>
      <c r="E47" s="604"/>
      <c r="F47" s="604"/>
      <c r="G47" s="588"/>
      <c r="H47" s="604"/>
      <c r="I47" s="604"/>
      <c r="J47" s="588"/>
      <c r="K47" s="604"/>
      <c r="L47" s="604"/>
      <c r="M47" s="588"/>
      <c r="N47" s="604"/>
      <c r="O47" s="604"/>
      <c r="P47" s="605"/>
      <c r="Q47" s="604"/>
      <c r="R47" s="604"/>
      <c r="S47" s="588"/>
      <c r="T47" s="604"/>
      <c r="U47" s="604"/>
      <c r="V47" s="588"/>
      <c r="W47" s="604"/>
      <c r="X47" s="604"/>
      <c r="Y47" s="588"/>
      <c r="Z47" s="604"/>
      <c r="AA47" s="604"/>
      <c r="AB47" s="588"/>
      <c r="AC47" s="604"/>
      <c r="AD47" s="604"/>
      <c r="AE47" s="588"/>
      <c r="AF47" s="604"/>
      <c r="AG47" s="604"/>
      <c r="AH47" s="588"/>
      <c r="AI47" s="604"/>
      <c r="AJ47" s="604"/>
      <c r="AK47" s="588"/>
      <c r="AL47" s="604"/>
      <c r="AM47" s="604"/>
      <c r="AN47" s="588"/>
      <c r="AO47" s="605"/>
      <c r="AP47" s="605"/>
      <c r="AQ47" s="588"/>
      <c r="AR47" s="606"/>
      <c r="AS47" s="606"/>
      <c r="AT47" s="607"/>
    </row>
    <row r="48" spans="1:46" s="598" customFormat="1" ht="18.75" customHeight="1" x14ac:dyDescent="0.3">
      <c r="A48" s="492" t="s">
        <v>310</v>
      </c>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row>
    <row r="49" spans="1:46" s="429" customFormat="1" ht="18.75" customHeight="1" x14ac:dyDescent="0.3">
      <c r="A49" s="608" t="s">
        <v>311</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row>
    <row r="50" spans="1:46" s="429" customFormat="1" ht="18.75" customHeight="1" x14ac:dyDescent="0.3">
      <c r="A50" s="608" t="s">
        <v>312</v>
      </c>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row>
    <row r="51" spans="1:46" s="429" customFormat="1" ht="18.75" customHeight="1" x14ac:dyDescent="0.3">
      <c r="A51" s="608" t="s">
        <v>313</v>
      </c>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row>
    <row r="52" spans="1:46" s="429" customFormat="1" ht="18.75" customHeight="1" x14ac:dyDescent="0.3">
      <c r="A52" s="608" t="s">
        <v>314</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row>
    <row r="53" spans="1:46" s="429" customFormat="1" ht="18.75" customHeight="1" x14ac:dyDescent="0.3">
      <c r="A53" s="608" t="s">
        <v>315</v>
      </c>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row>
    <row r="54" spans="1:46" s="429" customFormat="1" ht="18.75" customHeight="1" x14ac:dyDescent="0.3">
      <c r="A54" s="608" t="s">
        <v>316</v>
      </c>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row>
    <row r="55" spans="1:46" s="429" customFormat="1" ht="18.75" customHeight="1" x14ac:dyDescent="0.3">
      <c r="A55" s="608" t="s">
        <v>317</v>
      </c>
      <c r="B55" s="608"/>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row>
    <row r="56" spans="1:46" s="429" customFormat="1" ht="18.75" customHeight="1" x14ac:dyDescent="0.3">
      <c r="A56" s="608" t="s">
        <v>318</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row>
    <row r="57" spans="1:46" s="429" customFormat="1" ht="18.75" customHeight="1" x14ac:dyDescent="0.3">
      <c r="A57" s="608" t="s">
        <v>319</v>
      </c>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608"/>
      <c r="AS57" s="608"/>
      <c r="AT57" s="608"/>
    </row>
    <row r="58" spans="1:46" s="598" customFormat="1" ht="18.75" customHeight="1" x14ac:dyDescent="0.3">
      <c r="A58" s="493" t="s">
        <v>320</v>
      </c>
      <c r="B58" s="609"/>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row>
    <row r="59" spans="1:46" s="432" customFormat="1" ht="18.75" customHeight="1" x14ac:dyDescent="0.3">
      <c r="A59" s="429" t="s">
        <v>244</v>
      </c>
      <c r="B59" s="429"/>
    </row>
    <row r="60" spans="1:46" s="432" customFormat="1" ht="18.75" customHeight="1" x14ac:dyDescent="0.3">
      <c r="A60" s="429" t="s">
        <v>245</v>
      </c>
    </row>
    <row r="61" spans="1:46" s="432" customFormat="1" ht="18.75" customHeight="1" x14ac:dyDescent="0.3">
      <c r="A61" s="429" t="s">
        <v>246</v>
      </c>
    </row>
    <row r="62" spans="1:46" s="432" customFormat="1" ht="18.75" x14ac:dyDescent="0.3"/>
    <row r="63" spans="1:46" s="430" customFormat="1" x14ac:dyDescent="0.2"/>
    <row r="64" spans="1:46" s="430" customFormat="1" x14ac:dyDescent="0.2"/>
  </sheetData>
  <mergeCells count="28">
    <mergeCell ref="AR5:AT5"/>
    <mergeCell ref="AR6:AT6"/>
    <mergeCell ref="B5:D5"/>
    <mergeCell ref="E5:G5"/>
    <mergeCell ref="H5:J5"/>
    <mergeCell ref="K5:M5"/>
    <mergeCell ref="AF5:AH5"/>
    <mergeCell ref="N5:P5"/>
    <mergeCell ref="Z5:AB5"/>
    <mergeCell ref="Q5:S5"/>
    <mergeCell ref="T5:V5"/>
    <mergeCell ref="AC6:AE6"/>
    <mergeCell ref="B6:D6"/>
    <mergeCell ref="E6:G6"/>
    <mergeCell ref="H6:J6"/>
    <mergeCell ref="K6:M6"/>
    <mergeCell ref="N6:P6"/>
    <mergeCell ref="Q6:S6"/>
    <mergeCell ref="T6:V6"/>
    <mergeCell ref="W6:Y6"/>
    <mergeCell ref="Z6:AB6"/>
    <mergeCell ref="AF6:AH6"/>
    <mergeCell ref="AI6:AK6"/>
    <mergeCell ref="AO6:AQ6"/>
    <mergeCell ref="AI5:AK5"/>
    <mergeCell ref="AO5:AQ5"/>
    <mergeCell ref="AL6:AN6"/>
    <mergeCell ref="AL5:AN5"/>
  </mergeCells>
  <conditionalFormatting sqref="AF14">
    <cfRule type="expression" dxfId="238" priority="129">
      <formula>#REF! ="14≠11+12+13"</formula>
    </cfRule>
  </conditionalFormatting>
  <conditionalFormatting sqref="AF21">
    <cfRule type="expression" dxfId="237" priority="130">
      <formula>#REF! ="22≠19+20+21"</formula>
    </cfRule>
  </conditionalFormatting>
  <conditionalFormatting sqref="AF30">
    <cfRule type="expression" dxfId="236" priority="126">
      <formula>#REF! ="30≠24+25+26+27+28+29"</formula>
    </cfRule>
  </conditionalFormatting>
  <conditionalFormatting sqref="AF35">
    <cfRule type="expression" dxfId="235" priority="127">
      <formula>#REF! ="35≠14+15+16+17+22+30+31+32+33+34"</formula>
    </cfRule>
  </conditionalFormatting>
  <conditionalFormatting sqref="AF46">
    <cfRule type="expression" dxfId="234" priority="128">
      <formula>#REF! ="46≠35+38+39+40+43+45"</formula>
    </cfRule>
  </conditionalFormatting>
  <conditionalFormatting sqref="W30">
    <cfRule type="expression" dxfId="233" priority="116">
      <formula>#REF! ="30≠24+25+26+27+28+29"</formula>
    </cfRule>
  </conditionalFormatting>
  <conditionalFormatting sqref="W35">
    <cfRule type="expression" dxfId="232" priority="117">
      <formula>#REF! ="35≠14+15+16+17+22+30+31+32+33+34"</formula>
    </cfRule>
  </conditionalFormatting>
  <conditionalFormatting sqref="W46">
    <cfRule type="expression" dxfId="231" priority="118">
      <formula>#REF! ="46≠35+38+39+40+43+45"</formula>
    </cfRule>
  </conditionalFormatting>
  <conditionalFormatting sqref="W14">
    <cfRule type="expression" dxfId="230" priority="119">
      <formula>#REF! ="14≠11+12+13"</formula>
    </cfRule>
  </conditionalFormatting>
  <conditionalFormatting sqref="W21">
    <cfRule type="expression" dxfId="229" priority="120">
      <formula>#REF! ="22≠19+20+21"</formula>
    </cfRule>
  </conditionalFormatting>
  <conditionalFormatting sqref="N30">
    <cfRule type="expression" dxfId="228" priority="106">
      <formula>#REF! ="30≠24+25+26+27+28+29"</formula>
    </cfRule>
  </conditionalFormatting>
  <conditionalFormatting sqref="N35">
    <cfRule type="expression" dxfId="227" priority="107">
      <formula>#REF! ="35≠14+15+16+17+22+30+31+32+33+34"</formula>
    </cfRule>
  </conditionalFormatting>
  <conditionalFormatting sqref="N46">
    <cfRule type="expression" dxfId="226" priority="108">
      <formula>#REF! ="46≠35+38+39+40+43+45"</formula>
    </cfRule>
  </conditionalFormatting>
  <conditionalFormatting sqref="N14">
    <cfRule type="expression" dxfId="225" priority="109">
      <formula>#REF! ="14≠11+12+13"</formula>
    </cfRule>
  </conditionalFormatting>
  <conditionalFormatting sqref="N21">
    <cfRule type="expression" dxfId="224" priority="110">
      <formula>#REF! ="22≠19+20+21"</formula>
    </cfRule>
  </conditionalFormatting>
  <conditionalFormatting sqref="B14:B16">
    <cfRule type="expression" dxfId="223" priority="104">
      <formula>#REF! ="14≠11+12+13"</formula>
    </cfRule>
  </conditionalFormatting>
  <conditionalFormatting sqref="B21">
    <cfRule type="expression" dxfId="222" priority="105">
      <formula>#REF! ="22≠19+20+21"</formula>
    </cfRule>
  </conditionalFormatting>
  <conditionalFormatting sqref="B30">
    <cfRule type="expression" dxfId="221" priority="101">
      <formula>#REF! ="30≠24+25+26+27+28+29"</formula>
    </cfRule>
  </conditionalFormatting>
  <conditionalFormatting sqref="B35">
    <cfRule type="expression" dxfId="220" priority="102">
      <formula>#REF! ="35≠14+15+16+17+22+30+31+32+33+34"</formula>
    </cfRule>
  </conditionalFormatting>
  <conditionalFormatting sqref="B46">
    <cfRule type="expression" dxfId="219" priority="103">
      <formula>#REF! ="46≠35+38+39+40+43+45"</formula>
    </cfRule>
  </conditionalFormatting>
  <conditionalFormatting sqref="E14">
    <cfRule type="expression" dxfId="218" priority="94">
      <formula>#REF! ="14≠11+12+13"</formula>
    </cfRule>
  </conditionalFormatting>
  <conditionalFormatting sqref="E21">
    <cfRule type="expression" dxfId="217" priority="95">
      <formula>#REF! ="22≠19+20+21"</formula>
    </cfRule>
  </conditionalFormatting>
  <conditionalFormatting sqref="E30">
    <cfRule type="expression" dxfId="216" priority="91">
      <formula>#REF! ="30≠24+25+26+27+28+29"</formula>
    </cfRule>
  </conditionalFormatting>
  <conditionalFormatting sqref="E35">
    <cfRule type="expression" dxfId="215" priority="92">
      <formula>#REF! ="35≠14+15+16+17+22+30+31+32+33+34"</formula>
    </cfRule>
  </conditionalFormatting>
  <conditionalFormatting sqref="E46">
    <cfRule type="expression" dxfId="214" priority="93">
      <formula>#REF! ="46≠35+38+39+40+43+45"</formula>
    </cfRule>
  </conditionalFormatting>
  <conditionalFormatting sqref="Q14">
    <cfRule type="expression" dxfId="213" priority="84">
      <formula>#REF! ="14≠11+12+13"</formula>
    </cfRule>
  </conditionalFormatting>
  <conditionalFormatting sqref="Q21">
    <cfRule type="expression" dxfId="212" priority="85">
      <formula>#REF! ="22≠19+20+21"</formula>
    </cfRule>
  </conditionalFormatting>
  <conditionalFormatting sqref="Q30">
    <cfRule type="expression" dxfId="211" priority="81">
      <formula>#REF! ="30≠24+25+26+27+28+29"</formula>
    </cfRule>
  </conditionalFormatting>
  <conditionalFormatting sqref="Q35">
    <cfRule type="expression" dxfId="210" priority="82">
      <formula>#REF! ="35≠14+15+16+17+22+30+31+32+33+34"</formula>
    </cfRule>
  </conditionalFormatting>
  <conditionalFormatting sqref="Q46">
    <cfRule type="expression" dxfId="209" priority="83">
      <formula>#REF! ="46≠35+38+39+40+43+45"</formula>
    </cfRule>
  </conditionalFormatting>
  <conditionalFormatting sqref="AC14">
    <cfRule type="expression" dxfId="208" priority="74">
      <formula>#REF! ="14≠11+12+13"</formula>
    </cfRule>
  </conditionalFormatting>
  <conditionalFormatting sqref="AC21">
    <cfRule type="expression" dxfId="207" priority="75">
      <formula>#REF! ="22≠19+20+21"</formula>
    </cfRule>
  </conditionalFormatting>
  <conditionalFormatting sqref="AC30">
    <cfRule type="expression" dxfId="206" priority="71">
      <formula>#REF! ="30≠24+25+26+27+28+29"</formula>
    </cfRule>
  </conditionalFormatting>
  <conditionalFormatting sqref="AC35">
    <cfRule type="expression" dxfId="205" priority="72">
      <formula>#REF! ="35≠14+15+16+17+22+30+31+32+33+34"</formula>
    </cfRule>
  </conditionalFormatting>
  <conditionalFormatting sqref="AC46">
    <cfRule type="expression" dxfId="204" priority="73">
      <formula>#REF! ="46≠35+38+39+40+43+45"</formula>
    </cfRule>
  </conditionalFormatting>
  <conditionalFormatting sqref="H14">
    <cfRule type="expression" dxfId="203" priority="64">
      <formula>#REF! ="14≠11+12+13"</formula>
    </cfRule>
  </conditionalFormatting>
  <conditionalFormatting sqref="H21">
    <cfRule type="expression" dxfId="202" priority="65">
      <formula>#REF! ="22≠19+20+21"</formula>
    </cfRule>
  </conditionalFormatting>
  <conditionalFormatting sqref="H30">
    <cfRule type="expression" dxfId="201" priority="61">
      <formula>#REF! ="30≠24+25+26+27+28+29"</formula>
    </cfRule>
  </conditionalFormatting>
  <conditionalFormatting sqref="H35">
    <cfRule type="expression" dxfId="200" priority="62">
      <formula>#REF! ="35≠14+15+16+17+22+30+31+32+33+34"</formula>
    </cfRule>
  </conditionalFormatting>
  <conditionalFormatting sqref="H46">
    <cfRule type="expression" dxfId="199" priority="63">
      <formula>#REF! ="46≠35+38+39+40+43+45"</formula>
    </cfRule>
  </conditionalFormatting>
  <conditionalFormatting sqref="AI14">
    <cfRule type="expression" dxfId="198" priority="54">
      <formula>#REF! ="14≠11+12+13"</formula>
    </cfRule>
  </conditionalFormatting>
  <conditionalFormatting sqref="AI21">
    <cfRule type="expression" dxfId="197" priority="55">
      <formula>#REF! ="22≠19+20+21"</formula>
    </cfRule>
  </conditionalFormatting>
  <conditionalFormatting sqref="AI30">
    <cfRule type="expression" dxfId="196" priority="51">
      <formula>#REF! ="30≠24+25+26+27+28+29"</formula>
    </cfRule>
  </conditionalFormatting>
  <conditionalFormatting sqref="AI35">
    <cfRule type="expression" dxfId="195" priority="52">
      <formula>#REF! ="35≠14+15+16+17+22+30+31+32+33+34"</formula>
    </cfRule>
  </conditionalFormatting>
  <conditionalFormatting sqref="AI46">
    <cfRule type="expression" dxfId="194" priority="53">
      <formula>#REF! ="46≠35+38+39+40+43+45"</formula>
    </cfRule>
  </conditionalFormatting>
  <conditionalFormatting sqref="K14">
    <cfRule type="expression" dxfId="193" priority="34">
      <formula>#REF! ="14≠11+12+13"</formula>
    </cfRule>
  </conditionalFormatting>
  <conditionalFormatting sqref="K21">
    <cfRule type="expression" dxfId="192" priority="35">
      <formula>#REF! ="22≠19+20+21"</formula>
    </cfRule>
  </conditionalFormatting>
  <conditionalFormatting sqref="K30">
    <cfRule type="expression" dxfId="191" priority="31">
      <formula>#REF! ="30≠24+25+26+27+28+29"</formula>
    </cfRule>
  </conditionalFormatting>
  <conditionalFormatting sqref="K35">
    <cfRule type="expression" dxfId="190" priority="32">
      <formula>#REF! ="35≠14+15+16+17+22+30+31+32+33+34"</formula>
    </cfRule>
  </conditionalFormatting>
  <conditionalFormatting sqref="K46">
    <cfRule type="expression" dxfId="189" priority="33">
      <formula>#REF! ="46≠35+38+39+40+43+45"</formula>
    </cfRule>
  </conditionalFormatting>
  <conditionalFormatting sqref="Z14">
    <cfRule type="expression" dxfId="188" priority="24">
      <formula>#REF! ="14≠11+12+13"</formula>
    </cfRule>
  </conditionalFormatting>
  <conditionalFormatting sqref="Z21">
    <cfRule type="expression" dxfId="187" priority="25">
      <formula>#REF! ="22≠19+20+21"</formula>
    </cfRule>
  </conditionalFormatting>
  <conditionalFormatting sqref="Z30">
    <cfRule type="expression" dxfId="186" priority="21">
      <formula>#REF! ="30≠24+25+26+27+28+29"</formula>
    </cfRule>
  </conditionalFormatting>
  <conditionalFormatting sqref="Z35">
    <cfRule type="expression" dxfId="185" priority="22">
      <formula>#REF! ="35≠14+15+16+17+22+30+31+32+33+34"</formula>
    </cfRule>
  </conditionalFormatting>
  <conditionalFormatting sqref="Z46">
    <cfRule type="expression" dxfId="184" priority="23">
      <formula>#REF! ="46≠35+38+39+40+43+45"</formula>
    </cfRule>
  </conditionalFormatting>
  <conditionalFormatting sqref="AL14">
    <cfRule type="expression" dxfId="183" priority="14">
      <formula>#REF! ="14≠11+12+13"</formula>
    </cfRule>
  </conditionalFormatting>
  <conditionalFormatting sqref="AL21">
    <cfRule type="expression" dxfId="182" priority="15">
      <formula>#REF! ="22≠19+20+21"</formula>
    </cfRule>
  </conditionalFormatting>
  <conditionalFormatting sqref="AL30">
    <cfRule type="expression" dxfId="181" priority="11">
      <formula>#REF! ="30≠24+25+26+27+28+29"</formula>
    </cfRule>
  </conditionalFormatting>
  <conditionalFormatting sqref="AL35">
    <cfRule type="expression" dxfId="180" priority="12">
      <formula>#REF! ="35≠14+15+16+17+22+30+31+32+33+34"</formula>
    </cfRule>
  </conditionalFormatting>
  <conditionalFormatting sqref="AL46">
    <cfRule type="expression" dxfId="179" priority="13">
      <formula>#REF! ="46≠35+38+39+40+43+45"</formula>
    </cfRule>
  </conditionalFormatting>
  <conditionalFormatting sqref="T14">
    <cfRule type="expression" dxfId="178" priority="4">
      <formula>#REF! ="14≠11+12+13"</formula>
    </cfRule>
  </conditionalFormatting>
  <conditionalFormatting sqref="T21">
    <cfRule type="expression" dxfId="177" priority="5">
      <formula>#REF! ="22≠19+20+21"</formula>
    </cfRule>
  </conditionalFormatting>
  <conditionalFormatting sqref="T30">
    <cfRule type="expression" dxfId="176" priority="1">
      <formula>#REF! ="30≠24+25+26+27+28+29"</formula>
    </cfRule>
  </conditionalFormatting>
  <conditionalFormatting sqref="T35">
    <cfRule type="expression" dxfId="175" priority="2">
      <formula>#REF! ="35≠14+15+16+17+22+30+31+32+33+34"</formula>
    </cfRule>
  </conditionalFormatting>
  <conditionalFormatting sqref="T46">
    <cfRule type="expression" dxfId="174" priority="3">
      <formula>#REF! ="46≠35+38+39+40+43+45"</formula>
    </cfRule>
  </conditionalFormatting>
  <conditionalFormatting sqref="AR30:AS30 C30 AG30 X30 O30 F30 R30 AD30 I30 AJ30 L30 AA30 AM30 U30">
    <cfRule type="expression" dxfId="173" priority="360">
      <formula>#REF! ="30≠24+25+26+27+28+29"</formula>
    </cfRule>
  </conditionalFormatting>
  <conditionalFormatting sqref="AR35:AS35 C35 AG35 X35 O35 F35 R35 AD35 I35 AJ35 L35 AA35 AM35 U35">
    <cfRule type="expression" dxfId="172" priority="361">
      <formula>#REF! ="35≠14+15+16+17+22+30+31+32+33+34"</formula>
    </cfRule>
  </conditionalFormatting>
  <conditionalFormatting sqref="AR46:AS46 C46 AG46 X46 O46 F46 R46 AD46 I46 AJ46 L46 AA46 AM46 U46">
    <cfRule type="expression" dxfId="171" priority="362">
      <formula>#REF! ="46≠35+38+39+40+43+45"</formula>
    </cfRule>
  </conditionalFormatting>
  <conditionalFormatting sqref="C14 AG14 X14 O14 F14 R14 AD14 I14 AJ14 L14 AA14 AM14 U14">
    <cfRule type="expression" dxfId="170" priority="363">
      <formula>#REF! ="14≠11+12+13"</formula>
    </cfRule>
  </conditionalFormatting>
  <conditionalFormatting sqref="C21 AG21 X21 O21 F21 R21 AD21 I21 AJ21 L21 AA21 AM21 U21">
    <cfRule type="expression" dxfId="169" priority="364">
      <formula>#REF! ="22≠19+20+21"</formula>
    </cfRule>
  </conditionalFormatting>
  <hyperlinks>
    <hyperlink ref="B1" location="Innhold!A1" display="Tilbake" xr:uid="{00000000-0004-0000-1E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30" customWidth="1"/>
    <col min="2" max="40" width="11.7109375" style="430" customWidth="1"/>
    <col min="41" max="42" width="13" style="430" customWidth="1"/>
    <col min="43" max="43" width="11.7109375" style="430" customWidth="1"/>
    <col min="44" max="44" width="13" style="430" bestFit="1" customWidth="1"/>
    <col min="45" max="45" width="13.5703125" style="430" customWidth="1"/>
    <col min="46" max="16384" width="11.42578125" style="430"/>
  </cols>
  <sheetData>
    <row r="1" spans="1:57" ht="20.25" customHeight="1" x14ac:dyDescent="0.3">
      <c r="A1" s="433" t="s">
        <v>166</v>
      </c>
      <c r="B1" s="434" t="s">
        <v>52</v>
      </c>
      <c r="C1" s="435"/>
      <c r="D1" s="435"/>
      <c r="E1" s="435"/>
      <c r="F1" s="435"/>
      <c r="G1" s="435"/>
      <c r="H1" s="435"/>
      <c r="I1" s="435"/>
      <c r="J1" s="435"/>
      <c r="K1" s="435"/>
      <c r="L1" s="435"/>
      <c r="M1" s="435"/>
    </row>
    <row r="2" spans="1:57" ht="20.100000000000001" customHeight="1" x14ac:dyDescent="0.3">
      <c r="A2" s="433" t="s">
        <v>167</v>
      </c>
    </row>
    <row r="3" spans="1:57" ht="20.100000000000001" customHeight="1" x14ac:dyDescent="0.3">
      <c r="A3" s="436" t="s">
        <v>168</v>
      </c>
      <c r="B3" s="437"/>
      <c r="C3" s="437"/>
      <c r="D3" s="437"/>
      <c r="E3" s="437"/>
      <c r="F3" s="437"/>
      <c r="G3" s="437"/>
      <c r="H3" s="437"/>
      <c r="I3" s="437"/>
      <c r="J3" s="437"/>
      <c r="K3" s="437"/>
      <c r="L3" s="437"/>
      <c r="M3" s="437"/>
    </row>
    <row r="4" spans="1:57" ht="18.75" customHeight="1" x14ac:dyDescent="0.25">
      <c r="A4" s="438" t="s">
        <v>433</v>
      </c>
      <c r="B4" s="439"/>
      <c r="C4" s="439"/>
      <c r="D4" s="440"/>
      <c r="E4" s="439"/>
      <c r="F4" s="439"/>
      <c r="G4" s="440"/>
      <c r="H4" s="441"/>
      <c r="I4" s="439"/>
      <c r="J4" s="440"/>
      <c r="K4" s="441"/>
      <c r="L4" s="439"/>
      <c r="M4" s="440"/>
      <c r="N4" s="442"/>
      <c r="O4" s="442"/>
      <c r="P4" s="442"/>
      <c r="Q4" s="443"/>
      <c r="R4" s="442"/>
      <c r="S4" s="444"/>
      <c r="T4" s="443"/>
      <c r="U4" s="442"/>
      <c r="V4" s="444"/>
      <c r="W4" s="443"/>
      <c r="X4" s="442"/>
      <c r="Y4" s="444"/>
      <c r="Z4" s="443"/>
      <c r="AA4" s="442"/>
      <c r="AB4" s="444"/>
      <c r="AC4" s="443"/>
      <c r="AD4" s="442"/>
      <c r="AE4" s="444"/>
      <c r="AF4" s="443"/>
      <c r="AG4" s="442"/>
      <c r="AH4" s="444"/>
      <c r="AI4" s="443"/>
      <c r="AJ4" s="442"/>
      <c r="AK4" s="444"/>
      <c r="AL4" s="443"/>
      <c r="AM4" s="442"/>
      <c r="AN4" s="444"/>
      <c r="AO4" s="622"/>
      <c r="AP4" s="623"/>
      <c r="AQ4" s="624"/>
      <c r="AR4" s="622"/>
      <c r="AS4" s="623"/>
      <c r="AT4" s="624"/>
      <c r="AU4" s="619"/>
      <c r="AV4" s="619"/>
      <c r="AW4" s="445"/>
      <c r="AX4" s="445"/>
      <c r="AY4" s="445"/>
      <c r="AZ4" s="445"/>
      <c r="BA4" s="445"/>
      <c r="BB4" s="445"/>
      <c r="BC4" s="445"/>
      <c r="BD4" s="445"/>
      <c r="BE4" s="445"/>
    </row>
    <row r="5" spans="1:57" ht="18.75" customHeight="1" x14ac:dyDescent="0.3">
      <c r="A5" s="446" t="s">
        <v>97</v>
      </c>
      <c r="B5" s="741" t="s">
        <v>424</v>
      </c>
      <c r="C5" s="742"/>
      <c r="D5" s="743"/>
      <c r="E5" s="741" t="s">
        <v>169</v>
      </c>
      <c r="F5" s="742"/>
      <c r="G5" s="743"/>
      <c r="H5" s="741" t="s">
        <v>381</v>
      </c>
      <c r="I5" s="742"/>
      <c r="J5" s="743"/>
      <c r="K5" s="741" t="s">
        <v>170</v>
      </c>
      <c r="L5" s="742"/>
      <c r="M5" s="743"/>
      <c r="N5" s="741" t="s">
        <v>171</v>
      </c>
      <c r="O5" s="742"/>
      <c r="P5" s="743"/>
      <c r="Q5" s="652" t="s">
        <v>172</v>
      </c>
      <c r="R5" s="653"/>
      <c r="S5" s="654"/>
      <c r="T5" s="675" t="s">
        <v>172</v>
      </c>
      <c r="U5" s="676"/>
      <c r="V5" s="677"/>
      <c r="W5" s="640"/>
      <c r="X5" s="641"/>
      <c r="Y5" s="642"/>
      <c r="Z5" s="741" t="s">
        <v>173</v>
      </c>
      <c r="AA5" s="742"/>
      <c r="AB5" s="743"/>
      <c r="AC5" s="652"/>
      <c r="AD5" s="653"/>
      <c r="AE5" s="654"/>
      <c r="AF5" s="748" t="s">
        <v>66</v>
      </c>
      <c r="AG5" s="749"/>
      <c r="AH5" s="750"/>
      <c r="AI5" s="741" t="s">
        <v>70</v>
      </c>
      <c r="AJ5" s="742"/>
      <c r="AK5" s="743"/>
      <c r="AL5" s="754" t="s">
        <v>401</v>
      </c>
      <c r="AM5" s="755"/>
      <c r="AN5" s="756"/>
      <c r="AO5" s="741" t="s">
        <v>2</v>
      </c>
      <c r="AP5" s="742"/>
      <c r="AQ5" s="743"/>
      <c r="AR5" s="741" t="s">
        <v>2</v>
      </c>
      <c r="AS5" s="742"/>
      <c r="AT5" s="743"/>
      <c r="AU5" s="620"/>
      <c r="AV5" s="620"/>
      <c r="AW5" s="747"/>
      <c r="AX5" s="747"/>
      <c r="AY5" s="747"/>
      <c r="AZ5" s="747"/>
      <c r="BA5" s="747"/>
      <c r="BB5" s="747"/>
      <c r="BC5" s="747"/>
      <c r="BD5" s="747"/>
      <c r="BE5" s="747"/>
    </row>
    <row r="6" spans="1:57" ht="21" customHeight="1" x14ac:dyDescent="0.3">
      <c r="A6" s="448"/>
      <c r="B6" s="744" t="s">
        <v>174</v>
      </c>
      <c r="C6" s="745"/>
      <c r="D6" s="746"/>
      <c r="E6" s="744" t="s">
        <v>175</v>
      </c>
      <c r="F6" s="745"/>
      <c r="G6" s="746"/>
      <c r="H6" s="744" t="s">
        <v>175</v>
      </c>
      <c r="I6" s="745"/>
      <c r="J6" s="746"/>
      <c r="K6" s="744" t="s">
        <v>175</v>
      </c>
      <c r="L6" s="745"/>
      <c r="M6" s="746"/>
      <c r="N6" s="744" t="s">
        <v>176</v>
      </c>
      <c r="O6" s="745"/>
      <c r="P6" s="746"/>
      <c r="Q6" s="744" t="s">
        <v>87</v>
      </c>
      <c r="R6" s="745"/>
      <c r="S6" s="746"/>
      <c r="T6" s="744" t="s">
        <v>62</v>
      </c>
      <c r="U6" s="745"/>
      <c r="V6" s="746"/>
      <c r="W6" s="744" t="s">
        <v>64</v>
      </c>
      <c r="X6" s="745"/>
      <c r="Y6" s="746"/>
      <c r="Z6" s="744" t="s">
        <v>174</v>
      </c>
      <c r="AA6" s="745"/>
      <c r="AB6" s="746"/>
      <c r="AC6" s="744" t="s">
        <v>69</v>
      </c>
      <c r="AD6" s="745"/>
      <c r="AE6" s="746"/>
      <c r="AF6" s="751" t="s">
        <v>397</v>
      </c>
      <c r="AG6" s="752"/>
      <c r="AH6" s="753"/>
      <c r="AI6" s="744" t="s">
        <v>175</v>
      </c>
      <c r="AJ6" s="745"/>
      <c r="AK6" s="746"/>
      <c r="AL6" s="757" t="s">
        <v>175</v>
      </c>
      <c r="AM6" s="758"/>
      <c r="AN6" s="759"/>
      <c r="AO6" s="744" t="s">
        <v>177</v>
      </c>
      <c r="AP6" s="745"/>
      <c r="AQ6" s="746"/>
      <c r="AR6" s="744" t="s">
        <v>177</v>
      </c>
      <c r="AS6" s="745"/>
      <c r="AT6" s="746"/>
      <c r="AU6" s="620"/>
      <c r="AV6" s="620"/>
      <c r="AW6" s="747"/>
      <c r="AX6" s="747"/>
      <c r="AY6" s="747"/>
      <c r="AZ6" s="747"/>
      <c r="BA6" s="747"/>
      <c r="BB6" s="747"/>
      <c r="BC6" s="747"/>
      <c r="BD6" s="747"/>
      <c r="BE6" s="747"/>
    </row>
    <row r="7" spans="1:57" ht="18.75" customHeight="1" x14ac:dyDescent="0.3">
      <c r="A7" s="448"/>
      <c r="B7" s="471"/>
      <c r="C7" s="471"/>
      <c r="D7" s="449" t="s">
        <v>78</v>
      </c>
      <c r="E7" s="471"/>
      <c r="F7" s="471"/>
      <c r="G7" s="449" t="s">
        <v>78</v>
      </c>
      <c r="H7" s="471"/>
      <c r="I7" s="471"/>
      <c r="J7" s="449" t="s">
        <v>78</v>
      </c>
      <c r="K7" s="471"/>
      <c r="L7" s="471"/>
      <c r="M7" s="449" t="s">
        <v>78</v>
      </c>
      <c r="N7" s="471"/>
      <c r="O7" s="471"/>
      <c r="P7" s="449" t="s">
        <v>78</v>
      </c>
      <c r="Q7" s="471"/>
      <c r="R7" s="471"/>
      <c r="S7" s="449" t="s">
        <v>78</v>
      </c>
      <c r="T7" s="471"/>
      <c r="U7" s="471"/>
      <c r="V7" s="449" t="s">
        <v>78</v>
      </c>
      <c r="W7" s="471"/>
      <c r="X7" s="471"/>
      <c r="Y7" s="449" t="s">
        <v>78</v>
      </c>
      <c r="Z7" s="471"/>
      <c r="AA7" s="471"/>
      <c r="AB7" s="449" t="s">
        <v>78</v>
      </c>
      <c r="AC7" s="471"/>
      <c r="AD7" s="471"/>
      <c r="AE7" s="449" t="s">
        <v>78</v>
      </c>
      <c r="AF7" s="471"/>
      <c r="AG7" s="471"/>
      <c r="AH7" s="449" t="s">
        <v>78</v>
      </c>
      <c r="AI7" s="471"/>
      <c r="AJ7" s="471"/>
      <c r="AK7" s="449" t="s">
        <v>78</v>
      </c>
      <c r="AL7" s="471"/>
      <c r="AM7" s="471"/>
      <c r="AN7" s="449" t="s">
        <v>78</v>
      </c>
      <c r="AO7" s="471"/>
      <c r="AP7" s="471"/>
      <c r="AQ7" s="449" t="s">
        <v>78</v>
      </c>
      <c r="AR7" s="471"/>
      <c r="AS7" s="471"/>
      <c r="AT7" s="449" t="s">
        <v>78</v>
      </c>
      <c r="AU7" s="621"/>
      <c r="AV7" s="621"/>
      <c r="AW7" s="447"/>
      <c r="AX7" s="447"/>
      <c r="AY7" s="447"/>
      <c r="AZ7" s="447"/>
      <c r="BA7" s="447"/>
      <c r="BB7" s="447"/>
      <c r="BC7" s="447"/>
      <c r="BD7" s="447"/>
      <c r="BE7" s="447"/>
    </row>
    <row r="8" spans="1:57" ht="18.75" customHeight="1" x14ac:dyDescent="0.25">
      <c r="A8" s="425" t="s">
        <v>178</v>
      </c>
      <c r="B8" s="534">
        <v>2022</v>
      </c>
      <c r="C8" s="534">
        <v>2023</v>
      </c>
      <c r="D8" s="426" t="s">
        <v>80</v>
      </c>
      <c r="E8" s="534">
        <f t="shared" ref="E8" si="0">$B$8</f>
        <v>2022</v>
      </c>
      <c r="F8" s="534">
        <f t="shared" ref="F8" si="1">$C$8</f>
        <v>2023</v>
      </c>
      <c r="G8" s="426" t="s">
        <v>80</v>
      </c>
      <c r="H8" s="534">
        <f t="shared" ref="H8" si="2">$B$8</f>
        <v>2022</v>
      </c>
      <c r="I8" s="534">
        <f t="shared" ref="I8" si="3">$C$8</f>
        <v>2023</v>
      </c>
      <c r="J8" s="426" t="s">
        <v>80</v>
      </c>
      <c r="K8" s="534">
        <f t="shared" ref="K8" si="4">$B$8</f>
        <v>2022</v>
      </c>
      <c r="L8" s="534">
        <f t="shared" ref="L8" si="5">$C$8</f>
        <v>2023</v>
      </c>
      <c r="M8" s="426" t="s">
        <v>80</v>
      </c>
      <c r="N8" s="534">
        <f t="shared" ref="N8" si="6">$B$8</f>
        <v>2022</v>
      </c>
      <c r="O8" s="534">
        <f t="shared" ref="O8" si="7">$C$8</f>
        <v>2023</v>
      </c>
      <c r="P8" s="426" t="s">
        <v>80</v>
      </c>
      <c r="Q8" s="534">
        <f t="shared" ref="Q8" si="8">$B$8</f>
        <v>2022</v>
      </c>
      <c r="R8" s="534">
        <f t="shared" ref="R8" si="9">$C$8</f>
        <v>2023</v>
      </c>
      <c r="S8" s="426" t="s">
        <v>80</v>
      </c>
      <c r="T8" s="534">
        <f t="shared" ref="T8" si="10">$B$8</f>
        <v>2022</v>
      </c>
      <c r="U8" s="534">
        <f t="shared" ref="U8" si="11">$C$8</f>
        <v>2023</v>
      </c>
      <c r="V8" s="426" t="s">
        <v>80</v>
      </c>
      <c r="W8" s="534">
        <f t="shared" ref="W8" si="12">$B$8</f>
        <v>2022</v>
      </c>
      <c r="X8" s="534">
        <f t="shared" ref="X8" si="13">$C$8</f>
        <v>2023</v>
      </c>
      <c r="Y8" s="426" t="s">
        <v>80</v>
      </c>
      <c r="Z8" s="534">
        <f t="shared" ref="Z8" si="14">$B$8</f>
        <v>2022</v>
      </c>
      <c r="AA8" s="534">
        <f t="shared" ref="AA8" si="15">$C$8</f>
        <v>2023</v>
      </c>
      <c r="AB8" s="426" t="s">
        <v>80</v>
      </c>
      <c r="AC8" s="534">
        <f t="shared" ref="AC8" si="16">$B$8</f>
        <v>2022</v>
      </c>
      <c r="AD8" s="534">
        <f t="shared" ref="AD8" si="17">$C$8</f>
        <v>2023</v>
      </c>
      <c r="AE8" s="426" t="s">
        <v>80</v>
      </c>
      <c r="AF8" s="534">
        <f t="shared" ref="AF8" si="18">$B$8</f>
        <v>2022</v>
      </c>
      <c r="AG8" s="534">
        <f t="shared" ref="AG8" si="19">$C$8</f>
        <v>2023</v>
      </c>
      <c r="AH8" s="426" t="s">
        <v>80</v>
      </c>
      <c r="AI8" s="534">
        <f t="shared" ref="AI8" si="20">$B$8</f>
        <v>2022</v>
      </c>
      <c r="AJ8" s="534">
        <f t="shared" ref="AJ8" si="21">$C$8</f>
        <v>2023</v>
      </c>
      <c r="AK8" s="426" t="s">
        <v>80</v>
      </c>
      <c r="AL8" s="534">
        <f>$B$8</f>
        <v>2022</v>
      </c>
      <c r="AM8" s="534">
        <f>$C$8</f>
        <v>2023</v>
      </c>
      <c r="AN8" s="426" t="s">
        <v>80</v>
      </c>
      <c r="AO8" s="534">
        <f t="shared" ref="AO8" si="22">$B$8</f>
        <v>2022</v>
      </c>
      <c r="AP8" s="534">
        <f t="shared" ref="AP8" si="23">$C$8</f>
        <v>2023</v>
      </c>
      <c r="AQ8" s="426" t="s">
        <v>80</v>
      </c>
      <c r="AR8" s="534">
        <f t="shared" ref="AR8" si="24">$B$8</f>
        <v>2022</v>
      </c>
      <c r="AS8" s="534">
        <f t="shared" ref="AS8" si="25">$C$8</f>
        <v>2023</v>
      </c>
      <c r="AT8" s="426" t="s">
        <v>80</v>
      </c>
      <c r="AU8" s="451"/>
      <c r="AV8" s="450"/>
      <c r="AW8" s="451"/>
      <c r="AX8" s="451"/>
      <c r="AY8" s="450"/>
      <c r="AZ8" s="451"/>
      <c r="BA8" s="451"/>
      <c r="BB8" s="450"/>
      <c r="BC8" s="451"/>
      <c r="BD8" s="451"/>
      <c r="BE8" s="450"/>
    </row>
    <row r="9" spans="1:57" ht="18.75" customHeight="1" x14ac:dyDescent="0.3">
      <c r="A9" s="427"/>
      <c r="B9" s="610"/>
      <c r="C9" s="414"/>
      <c r="D9" s="414"/>
      <c r="E9" s="610"/>
      <c r="F9" s="414"/>
      <c r="G9" s="414"/>
      <c r="H9" s="610"/>
      <c r="I9" s="414"/>
      <c r="J9" s="414"/>
      <c r="K9" s="671"/>
      <c r="L9" s="414"/>
      <c r="M9" s="414"/>
      <c r="N9" s="574"/>
      <c r="O9" s="415"/>
      <c r="P9" s="415"/>
      <c r="Q9" s="611"/>
      <c r="R9" s="416"/>
      <c r="S9" s="320"/>
      <c r="T9" s="574"/>
      <c r="U9" s="415"/>
      <c r="V9" s="320"/>
      <c r="W9" s="574"/>
      <c r="X9" s="415"/>
      <c r="Y9" s="320"/>
      <c r="Z9" s="574"/>
      <c r="AA9" s="415"/>
      <c r="AB9" s="320"/>
      <c r="AC9" s="574"/>
      <c r="AD9" s="415"/>
      <c r="AE9" s="320"/>
      <c r="AF9" s="574"/>
      <c r="AG9" s="415"/>
      <c r="AH9" s="320"/>
      <c r="AI9" s="574"/>
      <c r="AJ9" s="415"/>
      <c r="AK9" s="320"/>
      <c r="AL9" s="574"/>
      <c r="AM9" s="415"/>
      <c r="AN9" s="320"/>
      <c r="AO9" s="415"/>
      <c r="AP9" s="415"/>
      <c r="AQ9" s="320"/>
      <c r="AR9" s="415"/>
      <c r="AS9" s="415"/>
      <c r="AT9" s="320"/>
    </row>
    <row r="10" spans="1:57" s="431" customFormat="1" ht="18.75" customHeight="1" x14ac:dyDescent="0.3">
      <c r="A10" s="586" t="s">
        <v>179</v>
      </c>
      <c r="B10" s="612"/>
      <c r="C10" s="417"/>
      <c r="D10" s="417"/>
      <c r="E10" s="612"/>
      <c r="F10" s="417"/>
      <c r="G10" s="417"/>
      <c r="H10" s="612"/>
      <c r="I10" s="417"/>
      <c r="J10" s="417"/>
      <c r="K10" s="180"/>
      <c r="L10" s="417"/>
      <c r="M10" s="417"/>
      <c r="N10" s="574"/>
      <c r="O10" s="415"/>
      <c r="P10" s="415"/>
      <c r="Q10" s="611"/>
      <c r="R10" s="416"/>
      <c r="S10" s="320"/>
      <c r="T10" s="574"/>
      <c r="U10" s="415"/>
      <c r="V10" s="320"/>
      <c r="W10" s="574"/>
      <c r="X10" s="415"/>
      <c r="Y10" s="320"/>
      <c r="Z10" s="574"/>
      <c r="AA10" s="415"/>
      <c r="AB10" s="320"/>
      <c r="AC10" s="574"/>
      <c r="AD10" s="415"/>
      <c r="AE10" s="320"/>
      <c r="AF10" s="574"/>
      <c r="AG10" s="415"/>
      <c r="AH10" s="320"/>
      <c r="AI10" s="574"/>
      <c r="AJ10" s="415"/>
      <c r="AK10" s="320"/>
      <c r="AL10" s="574"/>
      <c r="AM10" s="415"/>
      <c r="AN10" s="320"/>
      <c r="AO10" s="415"/>
      <c r="AP10" s="415"/>
      <c r="AQ10" s="320"/>
      <c r="AR10" s="415"/>
      <c r="AS10" s="415"/>
      <c r="AT10" s="320"/>
    </row>
    <row r="11" spans="1:57" s="431" customFormat="1" ht="18.75" customHeight="1" x14ac:dyDescent="0.3">
      <c r="A11" s="428"/>
      <c r="B11" s="612"/>
      <c r="C11" s="417"/>
      <c r="D11" s="417"/>
      <c r="E11" s="612"/>
      <c r="F11" s="417"/>
      <c r="G11" s="417"/>
      <c r="H11" s="612"/>
      <c r="I11" s="417"/>
      <c r="J11" s="417"/>
      <c r="K11" s="180"/>
      <c r="L11" s="417"/>
      <c r="M11" s="417"/>
      <c r="N11" s="574"/>
      <c r="O11" s="415"/>
      <c r="P11" s="415"/>
      <c r="Q11" s="611"/>
      <c r="R11" s="416"/>
      <c r="S11" s="320"/>
      <c r="T11" s="574"/>
      <c r="U11" s="415"/>
      <c r="V11" s="320"/>
      <c r="W11" s="574"/>
      <c r="X11" s="415"/>
      <c r="Y11" s="320"/>
      <c r="Z11" s="574"/>
      <c r="AA11" s="415"/>
      <c r="AB11" s="320"/>
      <c r="AC11" s="574"/>
      <c r="AD11" s="415"/>
      <c r="AE11" s="320"/>
      <c r="AF11" s="574"/>
      <c r="AG11" s="415"/>
      <c r="AH11" s="320"/>
      <c r="AI11" s="574"/>
      <c r="AJ11" s="415"/>
      <c r="AK11" s="320"/>
      <c r="AL11" s="574"/>
      <c r="AM11" s="415"/>
      <c r="AN11" s="320"/>
      <c r="AO11" s="415"/>
      <c r="AP11" s="415"/>
      <c r="AQ11" s="320"/>
      <c r="AR11" s="415"/>
      <c r="AS11" s="415"/>
      <c r="AT11" s="320"/>
    </row>
    <row r="12" spans="1:57" s="431" customFormat="1" ht="20.100000000000001" customHeight="1" x14ac:dyDescent="0.3">
      <c r="A12" s="586" t="s">
        <v>180</v>
      </c>
      <c r="B12" s="180"/>
      <c r="C12" s="418"/>
      <c r="D12" s="418"/>
      <c r="E12" s="180"/>
      <c r="F12" s="418"/>
      <c r="G12" s="418"/>
      <c r="H12" s="180"/>
      <c r="I12" s="418"/>
      <c r="J12" s="418"/>
      <c r="K12" s="180"/>
      <c r="L12" s="418"/>
      <c r="M12" s="418"/>
      <c r="N12" s="574"/>
      <c r="O12" s="415"/>
      <c r="P12" s="415"/>
      <c r="Q12" s="611"/>
      <c r="R12" s="416"/>
      <c r="S12" s="320"/>
      <c r="T12" s="574"/>
      <c r="U12" s="415"/>
      <c r="V12" s="320"/>
      <c r="W12" s="574"/>
      <c r="X12" s="415"/>
      <c r="Y12" s="320"/>
      <c r="Z12" s="574"/>
      <c r="AA12" s="415"/>
      <c r="AB12" s="320"/>
      <c r="AC12" s="574"/>
      <c r="AD12" s="415"/>
      <c r="AE12" s="320"/>
      <c r="AF12" s="574"/>
      <c r="AG12" s="415"/>
      <c r="AH12" s="320"/>
      <c r="AI12" s="574"/>
      <c r="AJ12" s="415"/>
      <c r="AK12" s="320"/>
      <c r="AL12" s="574"/>
      <c r="AM12" s="415"/>
      <c r="AN12" s="320"/>
      <c r="AO12" s="415"/>
      <c r="AP12" s="415"/>
      <c r="AQ12" s="320"/>
      <c r="AR12" s="415"/>
      <c r="AS12" s="415"/>
      <c r="AT12" s="320"/>
    </row>
    <row r="13" spans="1:57" s="431" customFormat="1" ht="20.100000000000001" customHeight="1" x14ac:dyDescent="0.3">
      <c r="A13" s="586" t="s">
        <v>181</v>
      </c>
      <c r="B13" s="180"/>
      <c r="C13" s="418"/>
      <c r="D13" s="418"/>
      <c r="E13" s="180"/>
      <c r="F13" s="418"/>
      <c r="G13" s="418"/>
      <c r="H13" s="180"/>
      <c r="I13" s="418"/>
      <c r="J13" s="418"/>
      <c r="K13" s="180"/>
      <c r="L13" s="418"/>
      <c r="M13" s="418"/>
      <c r="N13" s="88"/>
      <c r="O13" s="509"/>
      <c r="P13" s="509"/>
      <c r="Q13" s="613"/>
      <c r="R13" s="540"/>
      <c r="S13" s="419"/>
      <c r="T13" s="88"/>
      <c r="U13" s="509"/>
      <c r="V13" s="419"/>
      <c r="W13" s="88"/>
      <c r="X13" s="509"/>
      <c r="Y13" s="419"/>
      <c r="Z13" s="88"/>
      <c r="AA13" s="509"/>
      <c r="AB13" s="419"/>
      <c r="AC13" s="88"/>
      <c r="AD13" s="509"/>
      <c r="AE13" s="419"/>
      <c r="AF13" s="88"/>
      <c r="AG13" s="509"/>
      <c r="AH13" s="419"/>
      <c r="AI13" s="88"/>
      <c r="AJ13" s="509"/>
      <c r="AK13" s="419"/>
      <c r="AL13" s="88"/>
      <c r="AM13" s="509"/>
      <c r="AN13" s="419"/>
      <c r="AO13" s="509"/>
      <c r="AP13" s="509"/>
      <c r="AQ13" s="419"/>
      <c r="AR13" s="509"/>
      <c r="AS13" s="509"/>
      <c r="AT13" s="419"/>
    </row>
    <row r="14" spans="1:57" s="431" customFormat="1" ht="20.100000000000001" customHeight="1" x14ac:dyDescent="0.3">
      <c r="A14" s="564" t="s">
        <v>182</v>
      </c>
      <c r="B14" s="178"/>
      <c r="C14" s="419"/>
      <c r="D14" s="419"/>
      <c r="E14" s="178"/>
      <c r="F14" s="419"/>
      <c r="G14" s="419"/>
      <c r="H14" s="178"/>
      <c r="I14" s="419"/>
      <c r="J14" s="419"/>
      <c r="K14" s="178"/>
      <c r="L14" s="419"/>
      <c r="M14" s="419"/>
      <c r="N14" s="88">
        <v>3</v>
      </c>
      <c r="O14" s="509">
        <v>1</v>
      </c>
      <c r="P14" s="509">
        <f t="shared" ref="P14" si="26">IF(N14=0, "    ---- ", IF(ABS(ROUND(100/N14*O14-100,1))&lt;999,ROUND(100/N14*O14-100,1),IF(ROUND(100/N14*O14-100,1)&gt;999,999,-999)))</f>
        <v>-66.7</v>
      </c>
      <c r="Q14" s="613"/>
      <c r="R14" s="540"/>
      <c r="S14" s="419"/>
      <c r="T14" s="88">
        <v>1102.6436477499999</v>
      </c>
      <c r="U14" s="509">
        <v>1384.45612575</v>
      </c>
      <c r="V14" s="419">
        <f t="shared" ref="V14:V28" si="27">IF(T14=0, "    ---- ", IF(ABS(ROUND(100/T14*U14-100,1))&lt;999,ROUND(100/T14*U14-100,1),IF(ROUND(100/T14*U14-100,1)&gt;999,999,-999)))</f>
        <v>25.6</v>
      </c>
      <c r="W14" s="88"/>
      <c r="X14" s="509"/>
      <c r="Y14" s="419"/>
      <c r="Z14" s="88"/>
      <c r="AA14" s="509"/>
      <c r="AB14" s="419"/>
      <c r="AC14" s="88"/>
      <c r="AD14" s="509"/>
      <c r="AE14" s="419"/>
      <c r="AF14" s="88"/>
      <c r="AG14" s="509"/>
      <c r="AH14" s="419"/>
      <c r="AI14" s="88"/>
      <c r="AJ14" s="509"/>
      <c r="AK14" s="419"/>
      <c r="AL14" s="88"/>
      <c r="AM14" s="509"/>
      <c r="AN14" s="419"/>
      <c r="AO14" s="509">
        <f>B14+E14+H14+K14+N14+T14+W14+Z14+AF14+AI14</f>
        <v>1105.6436477499999</v>
      </c>
      <c r="AP14" s="509">
        <f>C14+F14+I14+L14+O14+U14+X14+AA14+AG14+AJ14</f>
        <v>1385.45612575</v>
      </c>
      <c r="AQ14" s="419">
        <f t="shared" ref="AQ14:AQ28" si="28">IF(AO14=0, "    ---- ", IF(ABS(ROUND(100/AO14*AP14-100,1))&lt;999,ROUND(100/AO14*AP14-100,1),IF(ROUND(100/AO14*AP14-100,1)&gt;999,999,-999)))</f>
        <v>25.3</v>
      </c>
      <c r="AR14" s="509">
        <f>B14+E14+H14+K14+N14+Q14+T14+W14+Z14+AC14+AF14+AI14+AL14</f>
        <v>1105.6436477499999</v>
      </c>
      <c r="AS14" s="509">
        <f>C14+F14+I14+L14+O14+R14+U14+X14+AA14+AD14+AG14+AJ14+AM14</f>
        <v>1385.45612575</v>
      </c>
      <c r="AT14" s="419">
        <f t="shared" ref="AT14:AT29" si="29">IF(AR14=0, "    ---- ", IF(ABS(ROUND(100/AR14*AS14-100,1))&lt;999,ROUND(100/AR14*AS14-100,1),IF(ROUND(100/AR14*AS14-100,1)&gt;999,999,-999)))</f>
        <v>25.3</v>
      </c>
    </row>
    <row r="15" spans="1:57" s="431" customFormat="1" ht="20.100000000000001" customHeight="1" x14ac:dyDescent="0.3">
      <c r="A15" s="564" t="s">
        <v>183</v>
      </c>
      <c r="B15" s="178"/>
      <c r="C15" s="419"/>
      <c r="D15" s="419"/>
      <c r="E15" s="178">
        <v>1174.66853141</v>
      </c>
      <c r="F15" s="419">
        <v>1388</v>
      </c>
      <c r="G15" s="419">
        <f t="shared" ref="G15:G28" si="30">IF(E15=0, "    ---- ", IF(ABS(ROUND(100/E15*F15-100,1))&lt;999,ROUND(100/E15*F15-100,1),IF(ROUND(100/E15*F15-100,1)&gt;999,999,-999)))</f>
        <v>18.2</v>
      </c>
      <c r="H15" s="178"/>
      <c r="I15" s="419"/>
      <c r="J15" s="419"/>
      <c r="K15" s="178"/>
      <c r="L15" s="419"/>
      <c r="M15" s="419"/>
      <c r="N15" s="88"/>
      <c r="O15" s="509"/>
      <c r="P15" s="509"/>
      <c r="Q15" s="613"/>
      <c r="R15" s="540"/>
      <c r="S15" s="419"/>
      <c r="T15" s="88">
        <v>9212.5874871100004</v>
      </c>
      <c r="U15" s="509">
        <v>9188.2459221099998</v>
      </c>
      <c r="V15" s="419">
        <f t="shared" si="27"/>
        <v>-0.3</v>
      </c>
      <c r="W15" s="88">
        <v>3</v>
      </c>
      <c r="X15" s="509">
        <v>1.73</v>
      </c>
      <c r="Y15" s="419">
        <f t="shared" ref="Y15:Y18" si="31">IF(W15=0, "    ---- ", IF(ABS(ROUND(100/W15*X15-100,1))&lt;999,ROUND(100/W15*X15-100,1),IF(ROUND(100/W15*X15-100,1)&gt;999,999,-999)))</f>
        <v>-42.3</v>
      </c>
      <c r="Z15" s="88">
        <v>1296</v>
      </c>
      <c r="AA15" s="509">
        <v>1292</v>
      </c>
      <c r="AB15" s="419">
        <f t="shared" ref="AB15:AB28" si="32">IF(Z15=0, "    ---- ", IF(ABS(ROUND(100/Z15*AA15-100,1))&lt;999,ROUND(100/Z15*AA15-100,1),IF(ROUND(100/Z15*AA15-100,1)&gt;999,999,-999)))</f>
        <v>-0.3</v>
      </c>
      <c r="AC15" s="88"/>
      <c r="AD15" s="509"/>
      <c r="AE15" s="419"/>
      <c r="AF15" s="88">
        <v>1293.6869999999999</v>
      </c>
      <c r="AG15" s="509">
        <v>1381.222</v>
      </c>
      <c r="AH15" s="419">
        <f t="shared" ref="AH15:AH28" si="33">IF(AF15=0, "    ---- ", IF(ABS(ROUND(100/AF15*AG15-100,1))&lt;999,ROUND(100/AF15*AG15-100,1),IF(ROUND(100/AF15*AG15-100,1)&gt;999,999,-999)))</f>
        <v>6.8</v>
      </c>
      <c r="AI15" s="88">
        <v>14596</v>
      </c>
      <c r="AJ15" s="509">
        <v>12691.03</v>
      </c>
      <c r="AK15" s="419">
        <f t="shared" ref="AK15:AK28" si="34">IF(AI15=0, "    ---- ", IF(ABS(ROUND(100/AI15*AJ15-100,1))&lt;999,ROUND(100/AI15*AJ15-100,1),IF(ROUND(100/AI15*AJ15-100,1)&gt;999,999,-999)))</f>
        <v>-13.1</v>
      </c>
      <c r="AL15" s="88"/>
      <c r="AM15" s="509"/>
      <c r="AN15" s="419"/>
      <c r="AO15" s="509">
        <f t="shared" ref="AO15:AP29" si="35">B15+E15+H15+K15+N15+T15+W15+Z15+AF15+AI15</f>
        <v>27575.94301852</v>
      </c>
      <c r="AP15" s="509">
        <f t="shared" si="35"/>
        <v>25942.22792211</v>
      </c>
      <c r="AQ15" s="419">
        <f t="shared" si="28"/>
        <v>-5.9</v>
      </c>
      <c r="AR15" s="509">
        <f t="shared" ref="AR15:AS29" si="36">B15+E15+H15+K15+N15+Q15+T15+W15+Z15+AC15+AF15+AI15+AL15</f>
        <v>27575.94301852</v>
      </c>
      <c r="AS15" s="509">
        <f t="shared" si="36"/>
        <v>25942.22792211</v>
      </c>
      <c r="AT15" s="419">
        <f t="shared" si="29"/>
        <v>-5.9</v>
      </c>
    </row>
    <row r="16" spans="1:57" s="431" customFormat="1" ht="20.100000000000001" customHeight="1" x14ac:dyDescent="0.3">
      <c r="A16" s="564" t="s">
        <v>184</v>
      </c>
      <c r="B16" s="178"/>
      <c r="C16" s="419"/>
      <c r="D16" s="419"/>
      <c r="E16" s="178">
        <v>18434.376151470002</v>
      </c>
      <c r="F16" s="419">
        <v>18103.809871419999</v>
      </c>
      <c r="G16" s="320">
        <f t="shared" si="30"/>
        <v>-1.8</v>
      </c>
      <c r="H16" s="178">
        <v>459.03491562999994</v>
      </c>
      <c r="I16" s="419">
        <v>563.25558690000025</v>
      </c>
      <c r="J16" s="419">
        <f>IF(H16=0, "    ---- ", IF(ABS(ROUND(100/H16*I16-100,1))&lt;999,ROUND(100/H16*I16-100,1),IF(ROUND(100/H16*I16-100,1)&gt;999,999,-999)))</f>
        <v>22.7</v>
      </c>
      <c r="K16" s="178">
        <v>132.05699999999999</v>
      </c>
      <c r="L16" s="419">
        <v>118.928</v>
      </c>
      <c r="M16" s="419">
        <f t="shared" ref="M16:M18" si="37">IF(K16=0, "    ---- ", IF(ABS(ROUND(100/K16*L16-100,1))&lt;999,ROUND(100/K16*L16-100,1),IF(ROUND(100/K16*L16-100,1)&gt;999,999,-999)))</f>
        <v>-9.9</v>
      </c>
      <c r="N16" s="88">
        <v>283</v>
      </c>
      <c r="O16" s="509">
        <v>211</v>
      </c>
      <c r="P16" s="509">
        <f t="shared" ref="P16" si="38">IF(N16=0, "    ---- ", IF(ABS(ROUND(100/N16*O16-100,1))&lt;999,ROUND(100/N16*O16-100,1),IF(ROUND(100/N16*O16-100,1)&gt;999,999,-999)))</f>
        <v>-25.4</v>
      </c>
      <c r="Q16" s="613"/>
      <c r="R16" s="540"/>
      <c r="S16" s="419"/>
      <c r="T16" s="88">
        <v>20099.00271891</v>
      </c>
      <c r="U16" s="509">
        <v>20914.006516000001</v>
      </c>
      <c r="V16" s="419">
        <f t="shared" si="27"/>
        <v>4.0999999999999996</v>
      </c>
      <c r="W16" s="88"/>
      <c r="X16" s="509">
        <v>7828.33</v>
      </c>
      <c r="Y16" s="419" t="str">
        <f t="shared" si="31"/>
        <v xml:space="preserve">    ---- </v>
      </c>
      <c r="Z16" s="88">
        <v>5221</v>
      </c>
      <c r="AA16" s="509">
        <v>5337</v>
      </c>
      <c r="AB16" s="419">
        <f t="shared" si="32"/>
        <v>2.2000000000000002</v>
      </c>
      <c r="AC16" s="88"/>
      <c r="AD16" s="509"/>
      <c r="AE16" s="419"/>
      <c r="AF16" s="88">
        <v>1208.3709999999999</v>
      </c>
      <c r="AG16" s="509">
        <v>1303.087</v>
      </c>
      <c r="AH16" s="419">
        <f t="shared" si="33"/>
        <v>7.8</v>
      </c>
      <c r="AI16" s="88">
        <v>10889</v>
      </c>
      <c r="AJ16" s="509">
        <v>17143.010000000002</v>
      </c>
      <c r="AK16" s="419">
        <f t="shared" si="34"/>
        <v>57.4</v>
      </c>
      <c r="AL16" s="88"/>
      <c r="AM16" s="509"/>
      <c r="AN16" s="419"/>
      <c r="AO16" s="509">
        <f t="shared" si="35"/>
        <v>56725.841786010002</v>
      </c>
      <c r="AP16" s="509">
        <f t="shared" si="35"/>
        <v>71522.426974319998</v>
      </c>
      <c r="AQ16" s="419">
        <f t="shared" si="28"/>
        <v>26.1</v>
      </c>
      <c r="AR16" s="509">
        <f t="shared" si="36"/>
        <v>56725.841786010002</v>
      </c>
      <c r="AS16" s="509">
        <f t="shared" si="36"/>
        <v>71522.426974319998</v>
      </c>
      <c r="AT16" s="419">
        <f t="shared" si="29"/>
        <v>26.1</v>
      </c>
    </row>
    <row r="17" spans="1:46" s="431" customFormat="1" ht="20.100000000000001" customHeight="1" x14ac:dyDescent="0.3">
      <c r="A17" s="564" t="s">
        <v>185</v>
      </c>
      <c r="B17" s="178"/>
      <c r="C17" s="419"/>
      <c r="D17" s="419"/>
      <c r="E17" s="178">
        <v>15849.654605610001</v>
      </c>
      <c r="F17" s="419">
        <v>15517.221338719999</v>
      </c>
      <c r="G17" s="320">
        <f t="shared" si="30"/>
        <v>-2.1</v>
      </c>
      <c r="H17" s="178"/>
      <c r="I17" s="419"/>
      <c r="J17" s="419"/>
      <c r="K17" s="178">
        <v>132.05699999999999</v>
      </c>
      <c r="L17" s="419">
        <v>118.928</v>
      </c>
      <c r="M17" s="419">
        <f t="shared" si="37"/>
        <v>-9.9</v>
      </c>
      <c r="N17" s="88"/>
      <c r="O17" s="509"/>
      <c r="P17" s="509"/>
      <c r="Q17" s="613"/>
      <c r="R17" s="540"/>
      <c r="S17" s="419"/>
      <c r="T17" s="88">
        <v>7104.3807365900002</v>
      </c>
      <c r="U17" s="509">
        <v>7460.0553731700002</v>
      </c>
      <c r="V17" s="419">
        <f t="shared" si="27"/>
        <v>5</v>
      </c>
      <c r="W17" s="88"/>
      <c r="X17" s="509">
        <v>7828.33</v>
      </c>
      <c r="Y17" s="419" t="str">
        <f t="shared" si="31"/>
        <v xml:space="preserve">    ---- </v>
      </c>
      <c r="Z17" s="88">
        <v>37</v>
      </c>
      <c r="AA17" s="509">
        <v>2810</v>
      </c>
      <c r="AB17" s="419">
        <f t="shared" si="32"/>
        <v>999</v>
      </c>
      <c r="AC17" s="88"/>
      <c r="AD17" s="509"/>
      <c r="AE17" s="419"/>
      <c r="AF17" s="88">
        <v>28.3</v>
      </c>
      <c r="AG17" s="509">
        <v>38.203000000000003</v>
      </c>
      <c r="AH17" s="419">
        <f t="shared" si="33"/>
        <v>35</v>
      </c>
      <c r="AI17" s="88"/>
      <c r="AJ17" s="509"/>
      <c r="AK17" s="419"/>
      <c r="AL17" s="88"/>
      <c r="AM17" s="509"/>
      <c r="AN17" s="419"/>
      <c r="AO17" s="509">
        <f t="shared" si="35"/>
        <v>23151.392342200001</v>
      </c>
      <c r="AP17" s="509">
        <f t="shared" si="35"/>
        <v>33772.737711890004</v>
      </c>
      <c r="AQ17" s="419">
        <f t="shared" si="28"/>
        <v>45.9</v>
      </c>
      <c r="AR17" s="509">
        <f t="shared" si="36"/>
        <v>23151.392342200001</v>
      </c>
      <c r="AS17" s="509">
        <f t="shared" si="36"/>
        <v>33772.737711890004</v>
      </c>
      <c r="AT17" s="419">
        <f t="shared" si="29"/>
        <v>45.9</v>
      </c>
    </row>
    <row r="18" spans="1:46" s="431" customFormat="1" ht="20.100000000000001" customHeight="1" x14ac:dyDescent="0.3">
      <c r="A18" s="564" t="s">
        <v>186</v>
      </c>
      <c r="B18" s="178"/>
      <c r="C18" s="419"/>
      <c r="D18" s="419"/>
      <c r="E18" s="178">
        <v>15849.654605610001</v>
      </c>
      <c r="F18" s="419">
        <v>15517.221338719999</v>
      </c>
      <c r="G18" s="320">
        <f t="shared" si="30"/>
        <v>-2.1</v>
      </c>
      <c r="H18" s="178"/>
      <c r="I18" s="419"/>
      <c r="J18" s="419"/>
      <c r="K18" s="178">
        <v>132.05699999999999</v>
      </c>
      <c r="L18" s="419">
        <v>118.928</v>
      </c>
      <c r="M18" s="419">
        <f t="shared" si="37"/>
        <v>-9.9</v>
      </c>
      <c r="N18" s="88"/>
      <c r="O18" s="509"/>
      <c r="P18" s="509"/>
      <c r="Q18" s="613"/>
      <c r="R18" s="540"/>
      <c r="S18" s="419"/>
      <c r="T18" s="88">
        <v>7104.3807365900002</v>
      </c>
      <c r="U18" s="509">
        <v>7460.0553731700002</v>
      </c>
      <c r="V18" s="419">
        <f t="shared" si="27"/>
        <v>5</v>
      </c>
      <c r="W18" s="88"/>
      <c r="X18" s="509">
        <v>7828.33</v>
      </c>
      <c r="Y18" s="419" t="str">
        <f t="shared" si="31"/>
        <v xml:space="preserve">    ---- </v>
      </c>
      <c r="Z18" s="88"/>
      <c r="AA18" s="509"/>
      <c r="AB18" s="419"/>
      <c r="AC18" s="88"/>
      <c r="AD18" s="509"/>
      <c r="AE18" s="419"/>
      <c r="AF18" s="88">
        <v>-3.2782554626464843E-13</v>
      </c>
      <c r="AG18" s="509">
        <v>9.8688671099996697</v>
      </c>
      <c r="AH18" s="419">
        <f t="shared" si="33"/>
        <v>-999</v>
      </c>
      <c r="AI18" s="88"/>
      <c r="AJ18" s="509"/>
      <c r="AK18" s="419"/>
      <c r="AL18" s="88"/>
      <c r="AM18" s="509"/>
      <c r="AN18" s="419"/>
      <c r="AO18" s="509">
        <f t="shared" si="35"/>
        <v>23086.092342200001</v>
      </c>
      <c r="AP18" s="509">
        <f t="shared" si="35"/>
        <v>30934.403579000002</v>
      </c>
      <c r="AQ18" s="419">
        <f t="shared" si="28"/>
        <v>34</v>
      </c>
      <c r="AR18" s="509">
        <f t="shared" si="36"/>
        <v>23086.092342200001</v>
      </c>
      <c r="AS18" s="509">
        <f t="shared" si="36"/>
        <v>30934.403579000002</v>
      </c>
      <c r="AT18" s="419">
        <f t="shared" si="29"/>
        <v>34</v>
      </c>
    </row>
    <row r="19" spans="1:46" s="431" customFormat="1" ht="20.100000000000001" customHeight="1" x14ac:dyDescent="0.3">
      <c r="A19" s="564" t="s">
        <v>187</v>
      </c>
      <c r="B19" s="178"/>
      <c r="C19" s="419"/>
      <c r="D19" s="419"/>
      <c r="E19" s="178">
        <v>2584.7215458600003</v>
      </c>
      <c r="F19" s="419">
        <v>2586.5885326999996</v>
      </c>
      <c r="G19" s="320">
        <f t="shared" si="30"/>
        <v>0.1</v>
      </c>
      <c r="H19" s="178">
        <v>459.03491562999994</v>
      </c>
      <c r="I19" s="419">
        <v>563.25558690000025</v>
      </c>
      <c r="J19" s="419">
        <f>IF(H19=0, "    ---- ", IF(ABS(ROUND(100/H19*I19-100,1))&lt;999,ROUND(100/H19*I19-100,1),IF(ROUND(100/H19*I19-100,1)&gt;999,999,-999)))</f>
        <v>22.7</v>
      </c>
      <c r="K19" s="178"/>
      <c r="L19" s="419"/>
      <c r="M19" s="419"/>
      <c r="N19" s="88">
        <v>283</v>
      </c>
      <c r="O19" s="509">
        <v>211</v>
      </c>
      <c r="P19" s="509">
        <f t="shared" ref="P19:P28" si="39">IF(N19=0, "    ---- ", IF(ABS(ROUND(100/N19*O19-100,1))&lt;999,ROUND(100/N19*O19-100,1),IF(ROUND(100/N19*O19-100,1)&gt;999,999,-999)))</f>
        <v>-25.4</v>
      </c>
      <c r="Q19" s="613"/>
      <c r="R19" s="540"/>
      <c r="S19" s="419"/>
      <c r="T19" s="88">
        <v>12994.621982319999</v>
      </c>
      <c r="U19" s="509">
        <v>13453.951142829999</v>
      </c>
      <c r="V19" s="419">
        <f t="shared" si="27"/>
        <v>3.5</v>
      </c>
      <c r="W19" s="88"/>
      <c r="X19" s="509"/>
      <c r="Y19" s="419"/>
      <c r="Z19" s="88">
        <v>5184</v>
      </c>
      <c r="AA19" s="509">
        <v>2527</v>
      </c>
      <c r="AB19" s="419">
        <f t="shared" si="32"/>
        <v>-51.3</v>
      </c>
      <c r="AC19" s="88"/>
      <c r="AD19" s="509"/>
      <c r="AE19" s="419"/>
      <c r="AF19" s="88">
        <v>1180.0709999999999</v>
      </c>
      <c r="AG19" s="509">
        <v>1264.884</v>
      </c>
      <c r="AH19" s="419">
        <f t="shared" si="33"/>
        <v>7.2</v>
      </c>
      <c r="AI19" s="88">
        <v>10889</v>
      </c>
      <c r="AJ19" s="509">
        <v>17143.010000000002</v>
      </c>
      <c r="AK19" s="419">
        <f t="shared" si="34"/>
        <v>57.4</v>
      </c>
      <c r="AL19" s="88"/>
      <c r="AM19" s="509"/>
      <c r="AN19" s="419"/>
      <c r="AO19" s="509">
        <f t="shared" si="35"/>
        <v>33574.449443809994</v>
      </c>
      <c r="AP19" s="509">
        <f t="shared" si="35"/>
        <v>37749.689262430002</v>
      </c>
      <c r="AQ19" s="419">
        <f t="shared" si="28"/>
        <v>12.4</v>
      </c>
      <c r="AR19" s="509">
        <f t="shared" si="36"/>
        <v>33574.449443809994</v>
      </c>
      <c r="AS19" s="509">
        <f t="shared" si="36"/>
        <v>37749.689262430002</v>
      </c>
      <c r="AT19" s="419">
        <f t="shared" si="29"/>
        <v>12.4</v>
      </c>
    </row>
    <row r="20" spans="1:46" s="431" customFormat="1" ht="20.100000000000001" customHeight="1" x14ac:dyDescent="0.3">
      <c r="A20" s="564" t="s">
        <v>188</v>
      </c>
      <c r="B20" s="178">
        <v>840.7670892399999</v>
      </c>
      <c r="C20" s="419"/>
      <c r="D20" s="419">
        <f>IF(B20=0, "    ---- ", IF(ABS(ROUND(100/B20*C20-100,1))&lt;999,ROUND(100/B20*C20-100,1),IF(ROUND(100/B20*C20-100,1)&gt;999,999,-999)))</f>
        <v>-100</v>
      </c>
      <c r="E20" s="178">
        <v>12667.301262160001</v>
      </c>
      <c r="F20" s="419">
        <v>13257.717361269997</v>
      </c>
      <c r="G20" s="419">
        <f t="shared" si="30"/>
        <v>4.7</v>
      </c>
      <c r="H20" s="178">
        <v>2052.3623557299993</v>
      </c>
      <c r="I20" s="419">
        <v>2315.1042555900003</v>
      </c>
      <c r="J20" s="419">
        <f>IF(H20=0, "    ---- ", IF(ABS(ROUND(100/H20*I20-100,1))&lt;999,ROUND(100/H20*I20-100,1),IF(ROUND(100/H20*I20-100,1)&gt;999,999,-999)))</f>
        <v>12.8</v>
      </c>
      <c r="K20" s="178">
        <v>323.28530000000001</v>
      </c>
      <c r="L20" s="419">
        <v>260.00700000000001</v>
      </c>
      <c r="M20" s="419">
        <f t="shared" ref="M20:M28" si="40">IF(K20=0, "    ---- ", IF(ABS(ROUND(100/K20*L20-100,1))&lt;999,ROUND(100/K20*L20-100,1),IF(ROUND(100/K20*L20-100,1)&gt;999,999,-999)))</f>
        <v>-19.600000000000001</v>
      </c>
      <c r="N20" s="88">
        <v>1110</v>
      </c>
      <c r="O20" s="509">
        <v>1293</v>
      </c>
      <c r="P20" s="509">
        <f t="shared" si="39"/>
        <v>16.5</v>
      </c>
      <c r="Q20" s="613"/>
      <c r="R20" s="540"/>
      <c r="S20" s="419"/>
      <c r="T20" s="88">
        <v>12793.98067571</v>
      </c>
      <c r="U20" s="509">
        <v>13558.754106030003</v>
      </c>
      <c r="V20" s="419">
        <f t="shared" si="27"/>
        <v>6</v>
      </c>
      <c r="W20" s="88">
        <v>11088.36</v>
      </c>
      <c r="X20" s="509">
        <v>2746.1499999999996</v>
      </c>
      <c r="Y20" s="419">
        <f t="shared" ref="Y20:Y28" si="41">IF(W20=0, "    ---- ", IF(ABS(ROUND(100/W20*X20-100,1))&lt;999,ROUND(100/W20*X20-100,1),IF(ROUND(100/W20*X20-100,1)&gt;999,999,-999)))</f>
        <v>-75.2</v>
      </c>
      <c r="Z20" s="88">
        <v>4363</v>
      </c>
      <c r="AA20" s="509">
        <v>4794</v>
      </c>
      <c r="AB20" s="419">
        <f t="shared" si="32"/>
        <v>9.9</v>
      </c>
      <c r="AC20" s="88"/>
      <c r="AD20" s="509"/>
      <c r="AE20" s="419"/>
      <c r="AF20" s="88">
        <v>3859.576</v>
      </c>
      <c r="AG20" s="509">
        <v>3189.328</v>
      </c>
      <c r="AH20" s="419">
        <f t="shared" si="33"/>
        <v>-17.399999999999999</v>
      </c>
      <c r="AI20" s="88">
        <v>10685</v>
      </c>
      <c r="AJ20" s="509">
        <v>4878.47</v>
      </c>
      <c r="AK20" s="419">
        <f t="shared" si="34"/>
        <v>-54.3</v>
      </c>
      <c r="AL20" s="88">
        <v>9</v>
      </c>
      <c r="AM20" s="509">
        <v>27</v>
      </c>
      <c r="AN20" s="419">
        <f t="shared" ref="AN20:AN25" si="42">IF(AL20=0, "    ---- ", IF(ABS(ROUND(100/AL20*AM20-100,1))&lt;999,ROUND(100/AL20*AM20-100,1),IF(ROUND(100/AL20*AM20-100,1)&gt;999,999,-999)))</f>
        <v>200</v>
      </c>
      <c r="AO20" s="509">
        <f t="shared" si="35"/>
        <v>59783.632682840005</v>
      </c>
      <c r="AP20" s="509">
        <f t="shared" si="35"/>
        <v>46292.530722889998</v>
      </c>
      <c r="AQ20" s="419">
        <f t="shared" si="28"/>
        <v>-22.6</v>
      </c>
      <c r="AR20" s="509">
        <f t="shared" si="36"/>
        <v>59792.632682840005</v>
      </c>
      <c r="AS20" s="509">
        <f t="shared" si="36"/>
        <v>46319.530722889998</v>
      </c>
      <c r="AT20" s="419">
        <f t="shared" si="29"/>
        <v>-22.5</v>
      </c>
    </row>
    <row r="21" spans="1:46" s="431" customFormat="1" ht="20.100000000000001" customHeight="1" x14ac:dyDescent="0.3">
      <c r="A21" s="564" t="s">
        <v>189</v>
      </c>
      <c r="B21" s="178">
        <v>6.7910205700000006</v>
      </c>
      <c r="C21" s="419"/>
      <c r="D21" s="419">
        <f>IF(B21=0, "    ---- ", IF(ABS(ROUND(100/B21*C21-100,1))&lt;999,ROUND(100/B21*C21-100,1),IF(ROUND(100/B21*C21-100,1)&gt;999,999,-999)))</f>
        <v>-100</v>
      </c>
      <c r="E21" s="178">
        <v>1317.94216325</v>
      </c>
      <c r="F21" s="419"/>
      <c r="G21" s="419">
        <f t="shared" si="30"/>
        <v>-100</v>
      </c>
      <c r="H21" s="178"/>
      <c r="I21" s="419"/>
      <c r="J21" s="419"/>
      <c r="K21" s="178">
        <v>46.046300000000002</v>
      </c>
      <c r="L21" s="419">
        <v>34.482999999999997</v>
      </c>
      <c r="M21" s="419">
        <f t="shared" si="40"/>
        <v>-25.1</v>
      </c>
      <c r="N21" s="88">
        <v>42</v>
      </c>
      <c r="O21" s="509">
        <v>330</v>
      </c>
      <c r="P21" s="509">
        <f t="shared" si="39"/>
        <v>685.7</v>
      </c>
      <c r="Q21" s="613"/>
      <c r="R21" s="540"/>
      <c r="S21" s="419"/>
      <c r="T21" s="88">
        <v>6.1438499999999996</v>
      </c>
      <c r="U21" s="509">
        <v>6.1438499999999996</v>
      </c>
      <c r="V21" s="419">
        <f t="shared" si="27"/>
        <v>0</v>
      </c>
      <c r="W21" s="88">
        <v>48.02</v>
      </c>
      <c r="X21" s="509">
        <v>1931.69</v>
      </c>
      <c r="Y21" s="419">
        <f t="shared" si="41"/>
        <v>999</v>
      </c>
      <c r="Z21" s="88">
        <v>2217</v>
      </c>
      <c r="AA21" s="509">
        <v>2282</v>
      </c>
      <c r="AB21" s="419">
        <f t="shared" si="32"/>
        <v>2.9</v>
      </c>
      <c r="AC21" s="88"/>
      <c r="AD21" s="509"/>
      <c r="AE21" s="419"/>
      <c r="AF21" s="88">
        <v>1.355</v>
      </c>
      <c r="AG21" s="509">
        <v>1.702</v>
      </c>
      <c r="AH21" s="419">
        <f t="shared" si="33"/>
        <v>25.6</v>
      </c>
      <c r="AI21" s="88">
        <v>354</v>
      </c>
      <c r="AJ21" s="509">
        <v>619.09</v>
      </c>
      <c r="AK21" s="419">
        <f t="shared" si="34"/>
        <v>74.900000000000006</v>
      </c>
      <c r="AL21" s="88"/>
      <c r="AM21" s="509"/>
      <c r="AN21" s="419"/>
      <c r="AO21" s="509">
        <f t="shared" si="35"/>
        <v>4039.2983338199997</v>
      </c>
      <c r="AP21" s="509">
        <f t="shared" si="35"/>
        <v>5205.1088500000005</v>
      </c>
      <c r="AQ21" s="419">
        <f t="shared" si="28"/>
        <v>28.9</v>
      </c>
      <c r="AR21" s="509">
        <f t="shared" si="36"/>
        <v>4039.2983338199997</v>
      </c>
      <c r="AS21" s="509">
        <f t="shared" si="36"/>
        <v>5205.1088500000005</v>
      </c>
      <c r="AT21" s="419">
        <f t="shared" si="29"/>
        <v>28.9</v>
      </c>
    </row>
    <row r="22" spans="1:46" s="431" customFormat="1" ht="20.100000000000001" customHeight="1" x14ac:dyDescent="0.3">
      <c r="A22" s="564" t="s">
        <v>190</v>
      </c>
      <c r="B22" s="178">
        <v>833.9760686699999</v>
      </c>
      <c r="C22" s="419"/>
      <c r="D22" s="419">
        <f>IF(B22=0, "    ---- ", IF(ABS(ROUND(100/B22*C22-100,1))&lt;999,ROUND(100/B22*C22-100,1),IF(ROUND(100/B22*C22-100,1)&gt;999,999,-999)))</f>
        <v>-100</v>
      </c>
      <c r="E22" s="178">
        <v>11176.491899320001</v>
      </c>
      <c r="F22" s="419">
        <v>533.77839871000003</v>
      </c>
      <c r="G22" s="419">
        <f t="shared" si="30"/>
        <v>-95.2</v>
      </c>
      <c r="H22" s="178">
        <v>2083.8870947399992</v>
      </c>
      <c r="I22" s="419">
        <v>2318.6148307000003</v>
      </c>
      <c r="J22" s="419">
        <f>IF(H22=0, "    ---- ", IF(ABS(ROUND(100/H22*I22-100,1))&lt;999,ROUND(100/H22*I22-100,1),IF(ROUND(100/H22*I22-100,1)&gt;999,999,-999)))</f>
        <v>11.3</v>
      </c>
      <c r="K22" s="178">
        <v>197.75299999999999</v>
      </c>
      <c r="L22" s="419">
        <v>163.029</v>
      </c>
      <c r="M22" s="419">
        <f t="shared" si="40"/>
        <v>-17.600000000000001</v>
      </c>
      <c r="N22" s="88">
        <v>1068</v>
      </c>
      <c r="O22" s="509">
        <v>963</v>
      </c>
      <c r="P22" s="509">
        <f t="shared" si="39"/>
        <v>-9.8000000000000007</v>
      </c>
      <c r="Q22" s="613"/>
      <c r="R22" s="540"/>
      <c r="S22" s="419"/>
      <c r="T22" s="88">
        <v>10833.464112899999</v>
      </c>
      <c r="U22" s="509">
        <v>11418.618041110001</v>
      </c>
      <c r="V22" s="419">
        <f t="shared" si="27"/>
        <v>5.4</v>
      </c>
      <c r="W22" s="88">
        <v>10832.51</v>
      </c>
      <c r="X22" s="509">
        <v>746.16</v>
      </c>
      <c r="Y22" s="419">
        <f t="shared" si="41"/>
        <v>-93.1</v>
      </c>
      <c r="Z22" s="88">
        <v>2257</v>
      </c>
      <c r="AA22" s="509">
        <v>2512</v>
      </c>
      <c r="AB22" s="419">
        <f t="shared" si="32"/>
        <v>11.3</v>
      </c>
      <c r="AC22" s="88"/>
      <c r="AD22" s="509"/>
      <c r="AE22" s="419"/>
      <c r="AF22" s="88">
        <v>3089.1680000000001</v>
      </c>
      <c r="AG22" s="509">
        <v>2646.502</v>
      </c>
      <c r="AH22" s="419">
        <f t="shared" si="33"/>
        <v>-14.3</v>
      </c>
      <c r="AI22" s="88">
        <v>9812</v>
      </c>
      <c r="AJ22" s="509">
        <v>4131.05</v>
      </c>
      <c r="AK22" s="419">
        <f t="shared" si="34"/>
        <v>-57.9</v>
      </c>
      <c r="AL22" s="88"/>
      <c r="AM22" s="509"/>
      <c r="AN22" s="419"/>
      <c r="AO22" s="509">
        <f t="shared" si="35"/>
        <v>52184.250175629997</v>
      </c>
      <c r="AP22" s="509">
        <f t="shared" si="35"/>
        <v>25432.752270519999</v>
      </c>
      <c r="AQ22" s="419">
        <f t="shared" si="28"/>
        <v>-51.3</v>
      </c>
      <c r="AR22" s="509">
        <f t="shared" si="36"/>
        <v>52184.250175629997</v>
      </c>
      <c r="AS22" s="509">
        <f t="shared" si="36"/>
        <v>25432.752270519999</v>
      </c>
      <c r="AT22" s="419">
        <f t="shared" si="29"/>
        <v>-51.3</v>
      </c>
    </row>
    <row r="23" spans="1:46" s="431" customFormat="1" ht="20.100000000000001" customHeight="1" x14ac:dyDescent="0.3">
      <c r="A23" s="564" t="s">
        <v>191</v>
      </c>
      <c r="B23" s="178"/>
      <c r="C23" s="419"/>
      <c r="D23" s="419"/>
      <c r="E23" s="178">
        <v>163.71268669999998</v>
      </c>
      <c r="F23" s="419">
        <v>12706.424399189998</v>
      </c>
      <c r="G23" s="419">
        <f t="shared" si="30"/>
        <v>999</v>
      </c>
      <c r="H23" s="178">
        <v>-38.795948259999989</v>
      </c>
      <c r="I23" s="419">
        <v>-34.624416190000019</v>
      </c>
      <c r="J23" s="419">
        <f t="shared" ref="J23" si="43">IF(H23=0, "    ---- ", IF(ABS(ROUND(100/H23*I23-100,1))&lt;999,ROUND(100/H23*I23-100,1),IF(ROUND(100/H23*I23-100,1)&gt;999,999,-999)))</f>
        <v>-10.8</v>
      </c>
      <c r="K23" s="178"/>
      <c r="L23" s="419"/>
      <c r="M23" s="419"/>
      <c r="N23" s="88"/>
      <c r="O23" s="509"/>
      <c r="P23" s="509"/>
      <c r="Q23" s="613"/>
      <c r="R23" s="540"/>
      <c r="S23" s="419"/>
      <c r="T23" s="88">
        <v>1296.5107809600001</v>
      </c>
      <c r="U23" s="509">
        <v>1470.2596589500001</v>
      </c>
      <c r="V23" s="419">
        <f t="shared" si="27"/>
        <v>13.4</v>
      </c>
      <c r="W23" s="88">
        <v>0.11</v>
      </c>
      <c r="X23" s="509">
        <v>0.1</v>
      </c>
      <c r="Y23" s="419">
        <f t="shared" si="41"/>
        <v>-9.1</v>
      </c>
      <c r="Z23" s="88"/>
      <c r="AA23" s="509"/>
      <c r="AB23" s="419"/>
      <c r="AC23" s="88"/>
      <c r="AD23" s="509"/>
      <c r="AE23" s="419"/>
      <c r="AF23" s="88">
        <v>680.33699999999999</v>
      </c>
      <c r="AG23" s="509">
        <v>280.67099999999999</v>
      </c>
      <c r="AH23" s="419">
        <f t="shared" si="33"/>
        <v>-58.7</v>
      </c>
      <c r="AI23" s="88"/>
      <c r="AJ23" s="509"/>
      <c r="AK23" s="419"/>
      <c r="AL23" s="88"/>
      <c r="AM23" s="509"/>
      <c r="AN23" s="419"/>
      <c r="AO23" s="509">
        <f t="shared" si="35"/>
        <v>2101.8745194000003</v>
      </c>
      <c r="AP23" s="509">
        <f t="shared" si="35"/>
        <v>14422.83064195</v>
      </c>
      <c r="AQ23" s="419">
        <f t="shared" si="28"/>
        <v>586.20000000000005</v>
      </c>
      <c r="AR23" s="509">
        <f t="shared" si="36"/>
        <v>2101.8745194000003</v>
      </c>
      <c r="AS23" s="509">
        <f t="shared" si="36"/>
        <v>14422.83064195</v>
      </c>
      <c r="AT23" s="419">
        <f t="shared" si="29"/>
        <v>586.20000000000005</v>
      </c>
    </row>
    <row r="24" spans="1:46" s="431" customFormat="1" ht="20.100000000000001" customHeight="1" x14ac:dyDescent="0.3">
      <c r="A24" s="564" t="s">
        <v>192</v>
      </c>
      <c r="B24" s="178"/>
      <c r="C24" s="419"/>
      <c r="D24" s="419"/>
      <c r="E24" s="178">
        <v>1.7584299699999999</v>
      </c>
      <c r="F24" s="419">
        <v>13.908094759999999</v>
      </c>
      <c r="G24" s="419">
        <f t="shared" si="30"/>
        <v>690.9</v>
      </c>
      <c r="H24" s="178"/>
      <c r="I24" s="419"/>
      <c r="J24" s="419"/>
      <c r="K24" s="178"/>
      <c r="L24" s="419"/>
      <c r="M24" s="419"/>
      <c r="N24" s="88"/>
      <c r="O24" s="509"/>
      <c r="P24" s="509"/>
      <c r="Q24" s="613"/>
      <c r="R24" s="540"/>
      <c r="S24" s="419"/>
      <c r="T24" s="88">
        <v>657.49690499999997</v>
      </c>
      <c r="U24" s="509">
        <v>613.28261610000004</v>
      </c>
      <c r="V24" s="419">
        <f t="shared" si="27"/>
        <v>-6.7</v>
      </c>
      <c r="W24" s="88">
        <v>0.06</v>
      </c>
      <c r="X24" s="509">
        <v>0</v>
      </c>
      <c r="Y24" s="419">
        <f t="shared" si="41"/>
        <v>-100</v>
      </c>
      <c r="Z24" s="88">
        <v>-111</v>
      </c>
      <c r="AA24" s="509"/>
      <c r="AB24" s="419">
        <f t="shared" si="32"/>
        <v>-100</v>
      </c>
      <c r="AC24" s="88"/>
      <c r="AD24" s="509"/>
      <c r="AE24" s="419"/>
      <c r="AF24" s="88">
        <v>2.2789999999999999</v>
      </c>
      <c r="AG24" s="509">
        <v>1.861</v>
      </c>
      <c r="AH24" s="419">
        <f t="shared" si="33"/>
        <v>-18.3</v>
      </c>
      <c r="AI24" s="88">
        <v>519</v>
      </c>
      <c r="AJ24" s="509">
        <v>128.33000000000001</v>
      </c>
      <c r="AK24" s="419">
        <f t="shared" si="34"/>
        <v>-75.3</v>
      </c>
      <c r="AL24" s="88"/>
      <c r="AM24" s="509"/>
      <c r="AN24" s="419"/>
      <c r="AO24" s="509">
        <f t="shared" si="35"/>
        <v>1069.5943349699999</v>
      </c>
      <c r="AP24" s="509">
        <f t="shared" si="35"/>
        <v>757.38171086000011</v>
      </c>
      <c r="AQ24" s="419">
        <f t="shared" si="28"/>
        <v>-29.2</v>
      </c>
      <c r="AR24" s="509">
        <f t="shared" si="36"/>
        <v>1069.5943349699999</v>
      </c>
      <c r="AS24" s="509">
        <f t="shared" si="36"/>
        <v>757.38171086000011</v>
      </c>
      <c r="AT24" s="419">
        <f t="shared" si="29"/>
        <v>-29.2</v>
      </c>
    </row>
    <row r="25" spans="1:46" s="431" customFormat="1" ht="20.100000000000001" customHeight="1" x14ac:dyDescent="0.3">
      <c r="A25" s="564" t="s">
        <v>193</v>
      </c>
      <c r="B25" s="178"/>
      <c r="C25" s="419"/>
      <c r="D25" s="419"/>
      <c r="E25" s="178">
        <v>7.3960829199999996</v>
      </c>
      <c r="F25" s="419">
        <v>3.6064686099999999</v>
      </c>
      <c r="G25" s="419">
        <f t="shared" si="30"/>
        <v>-51.2</v>
      </c>
      <c r="H25" s="178">
        <v>7.2712092500000001</v>
      </c>
      <c r="I25" s="419">
        <v>31.11384108</v>
      </c>
      <c r="J25" s="419">
        <f>IF(H25=0, "    ---- ", IF(ABS(ROUND(100/H25*I25-100,1))&lt;999,ROUND(100/H25*I25-100,1),IF(ROUND(100/H25*I25-100,1)&gt;999,999,-999)))</f>
        <v>327.9</v>
      </c>
      <c r="K25" s="178">
        <v>79.486000000000004</v>
      </c>
      <c r="L25" s="419">
        <v>62.494999999999997</v>
      </c>
      <c r="M25" s="419">
        <f t="shared" si="40"/>
        <v>-21.4</v>
      </c>
      <c r="N25" s="88"/>
      <c r="O25" s="509"/>
      <c r="P25" s="509"/>
      <c r="Q25" s="613"/>
      <c r="R25" s="540"/>
      <c r="S25" s="419"/>
      <c r="T25" s="88">
        <v>0.36502684999999996</v>
      </c>
      <c r="U25" s="509">
        <v>50.449939869999994</v>
      </c>
      <c r="V25" s="419">
        <f t="shared" si="27"/>
        <v>999</v>
      </c>
      <c r="W25" s="88">
        <v>207.66</v>
      </c>
      <c r="X25" s="509">
        <v>68.2</v>
      </c>
      <c r="Y25" s="419">
        <f t="shared" si="41"/>
        <v>-67.2</v>
      </c>
      <c r="Z25" s="88"/>
      <c r="AA25" s="509"/>
      <c r="AB25" s="419"/>
      <c r="AC25" s="88"/>
      <c r="AD25" s="509"/>
      <c r="AE25" s="419"/>
      <c r="AF25" s="88">
        <v>86.436999999999998</v>
      </c>
      <c r="AG25" s="509">
        <v>258.59199999999998</v>
      </c>
      <c r="AH25" s="419">
        <f t="shared" si="33"/>
        <v>199.2</v>
      </c>
      <c r="AI25" s="88"/>
      <c r="AJ25" s="509"/>
      <c r="AK25" s="419"/>
      <c r="AL25" s="88">
        <v>9</v>
      </c>
      <c r="AM25" s="509">
        <v>27</v>
      </c>
      <c r="AN25" s="419">
        <f t="shared" si="42"/>
        <v>200</v>
      </c>
      <c r="AO25" s="509">
        <f t="shared" si="35"/>
        <v>388.61531902000002</v>
      </c>
      <c r="AP25" s="509">
        <f t="shared" si="35"/>
        <v>474.45724955999998</v>
      </c>
      <c r="AQ25" s="419">
        <f t="shared" si="28"/>
        <v>22.1</v>
      </c>
      <c r="AR25" s="509">
        <f t="shared" si="36"/>
        <v>397.61531902000002</v>
      </c>
      <c r="AS25" s="509">
        <f t="shared" si="36"/>
        <v>501.45724955999998</v>
      </c>
      <c r="AT25" s="419">
        <f t="shared" si="29"/>
        <v>26.1</v>
      </c>
    </row>
    <row r="26" spans="1:46" s="431" customFormat="1" ht="20.100000000000001" customHeight="1" x14ac:dyDescent="0.3">
      <c r="A26" s="564" t="s">
        <v>194</v>
      </c>
      <c r="B26" s="178"/>
      <c r="C26" s="419"/>
      <c r="D26" s="419"/>
      <c r="E26" s="178"/>
      <c r="F26" s="419">
        <v>40.029182310000003</v>
      </c>
      <c r="G26" s="320" t="str">
        <f t="shared" si="30"/>
        <v xml:space="preserve">    ---- </v>
      </c>
      <c r="H26" s="178"/>
      <c r="I26" s="419"/>
      <c r="J26" s="419"/>
      <c r="K26" s="178"/>
      <c r="L26" s="419"/>
      <c r="M26" s="419"/>
      <c r="N26" s="88"/>
      <c r="O26" s="509"/>
      <c r="P26" s="509"/>
      <c r="Q26" s="613"/>
      <c r="R26" s="540"/>
      <c r="S26" s="419"/>
      <c r="T26" s="88"/>
      <c r="U26" s="509"/>
      <c r="V26" s="419"/>
      <c r="W26" s="88"/>
      <c r="X26" s="509"/>
      <c r="Y26" s="419"/>
      <c r="Z26" s="88"/>
      <c r="AA26" s="509"/>
      <c r="AB26" s="419"/>
      <c r="AC26" s="88"/>
      <c r="AD26" s="509"/>
      <c r="AE26" s="419"/>
      <c r="AF26" s="88"/>
      <c r="AG26" s="509"/>
      <c r="AH26" s="419"/>
      <c r="AI26" s="88"/>
      <c r="AJ26" s="509"/>
      <c r="AK26" s="419"/>
      <c r="AL26" s="88"/>
      <c r="AM26" s="509"/>
      <c r="AN26" s="419"/>
      <c r="AO26" s="509">
        <f t="shared" si="35"/>
        <v>0</v>
      </c>
      <c r="AP26" s="509">
        <f t="shared" si="35"/>
        <v>40.029182310000003</v>
      </c>
      <c r="AQ26" s="419" t="str">
        <f t="shared" si="28"/>
        <v xml:space="preserve">    ---- </v>
      </c>
      <c r="AR26" s="509">
        <f t="shared" si="36"/>
        <v>0</v>
      </c>
      <c r="AS26" s="509">
        <f t="shared" si="36"/>
        <v>40.029182310000003</v>
      </c>
      <c r="AT26" s="419" t="str">
        <f t="shared" si="29"/>
        <v xml:space="preserve">    ---- </v>
      </c>
    </row>
    <row r="27" spans="1:46" s="431" customFormat="1" ht="20.100000000000001" customHeight="1" x14ac:dyDescent="0.3">
      <c r="A27" s="614" t="s">
        <v>195</v>
      </c>
      <c r="B27" s="178">
        <v>840.7670892399999</v>
      </c>
      <c r="C27" s="419"/>
      <c r="D27" s="419">
        <f>IF(B27=0, "    ---- ", IF(ABS(ROUND(100/B27*C27-100,1))&lt;999,ROUND(100/B27*C27-100,1),IF(ROUND(100/B27*C27-100,1)&gt;999,999,-999)))</f>
        <v>-100</v>
      </c>
      <c r="E27" s="178">
        <v>32276.345945040004</v>
      </c>
      <c r="F27" s="419">
        <v>32789.556414999992</v>
      </c>
      <c r="G27" s="419">
        <f t="shared" si="30"/>
        <v>1.6</v>
      </c>
      <c r="H27" s="178">
        <v>2511.3972713599992</v>
      </c>
      <c r="I27" s="419">
        <v>2878.3598424900006</v>
      </c>
      <c r="J27" s="419">
        <f>IF(H27=0, "    ---- ", IF(ABS(ROUND(100/H27*I27-100,1))&lt;999,ROUND(100/H27*I27-100,1),IF(ROUND(100/H27*I27-100,1)&gt;999,999,-999)))</f>
        <v>14.6</v>
      </c>
      <c r="K27" s="178">
        <v>455.34230000000002</v>
      </c>
      <c r="L27" s="419">
        <v>378.935</v>
      </c>
      <c r="M27" s="419">
        <f t="shared" si="40"/>
        <v>-16.8</v>
      </c>
      <c r="N27" s="88">
        <v>1396</v>
      </c>
      <c r="O27" s="509">
        <v>1505</v>
      </c>
      <c r="P27" s="509">
        <f t="shared" si="39"/>
        <v>7.8</v>
      </c>
      <c r="Q27" s="613"/>
      <c r="R27" s="540"/>
      <c r="S27" s="419"/>
      <c r="T27" s="88">
        <v>43208.214529479999</v>
      </c>
      <c r="U27" s="509">
        <v>45045.462669890003</v>
      </c>
      <c r="V27" s="419">
        <f t="shared" si="27"/>
        <v>4.3</v>
      </c>
      <c r="W27" s="88">
        <v>11091.36</v>
      </c>
      <c r="X27" s="509">
        <v>10576.21</v>
      </c>
      <c r="Y27" s="419">
        <f t="shared" si="41"/>
        <v>-4.5999999999999996</v>
      </c>
      <c r="Z27" s="88">
        <v>10880</v>
      </c>
      <c r="AA27" s="509">
        <v>11423</v>
      </c>
      <c r="AB27" s="419">
        <f t="shared" si="32"/>
        <v>5</v>
      </c>
      <c r="AC27" s="88"/>
      <c r="AD27" s="509"/>
      <c r="AE27" s="419"/>
      <c r="AF27" s="88">
        <v>6361.634</v>
      </c>
      <c r="AG27" s="509">
        <v>5873.6370000000006</v>
      </c>
      <c r="AH27" s="419">
        <f t="shared" si="33"/>
        <v>-7.7</v>
      </c>
      <c r="AI27" s="88">
        <v>36170</v>
      </c>
      <c r="AJ27" s="509">
        <v>34712.51</v>
      </c>
      <c r="AK27" s="419">
        <f t="shared" si="34"/>
        <v>-4</v>
      </c>
      <c r="AL27" s="88">
        <v>9</v>
      </c>
      <c r="AM27" s="509">
        <v>27</v>
      </c>
      <c r="AN27" s="419">
        <f t="shared" ref="AN27" si="44">IF(AL27=0, "    ---- ", IF(ABS(ROUND(100/AL27*AM27-100,1))&lt;999,ROUND(100/AL27*AM27-100,1),IF(ROUND(100/AL27*AM27-100,1)&gt;999,999,-999)))</f>
        <v>200</v>
      </c>
      <c r="AO27" s="509">
        <f t="shared" si="35"/>
        <v>145191.06113511999</v>
      </c>
      <c r="AP27" s="509">
        <f t="shared" si="35"/>
        <v>145182.67092737998</v>
      </c>
      <c r="AQ27" s="419">
        <f t="shared" si="28"/>
        <v>0</v>
      </c>
      <c r="AR27" s="509">
        <f t="shared" si="36"/>
        <v>145200.06113511999</v>
      </c>
      <c r="AS27" s="509">
        <f t="shared" si="36"/>
        <v>145209.67092737998</v>
      </c>
      <c r="AT27" s="419">
        <f t="shared" si="29"/>
        <v>0</v>
      </c>
    </row>
    <row r="28" spans="1:46" s="431" customFormat="1" ht="20.100000000000001" customHeight="1" x14ac:dyDescent="0.3">
      <c r="A28" s="564" t="s">
        <v>196</v>
      </c>
      <c r="B28" s="178">
        <v>257.46499999999997</v>
      </c>
      <c r="C28" s="419"/>
      <c r="D28" s="419">
        <f>IF(B28=0, "    ---- ", IF(ABS(ROUND(100/B28*C28-100,1))&lt;999,ROUND(100/B28*C28-100,1),IF(ROUND(100/B28*C28-100,1)&gt;999,999,-999)))</f>
        <v>-100</v>
      </c>
      <c r="E28" s="178">
        <v>870.94100000000003</v>
      </c>
      <c r="F28" s="419">
        <v>937.42899999999997</v>
      </c>
      <c r="G28" s="419">
        <f t="shared" si="30"/>
        <v>7.6</v>
      </c>
      <c r="H28" s="178">
        <v>1032.8464938599998</v>
      </c>
      <c r="I28" s="419">
        <v>919.99641788999963</v>
      </c>
      <c r="J28" s="419">
        <f>IF(H28=0, "    ---- ", IF(ABS(ROUND(100/H28*I28-100,1))&lt;999,ROUND(100/H28*I28-100,1),IF(ROUND(100/H28*I28-100,1)&gt;999,999,-999)))</f>
        <v>-10.9</v>
      </c>
      <c r="K28" s="178">
        <v>244.624</v>
      </c>
      <c r="L28" s="419">
        <v>314.05599999999998</v>
      </c>
      <c r="M28" s="419">
        <f t="shared" si="40"/>
        <v>28.4</v>
      </c>
      <c r="N28" s="88">
        <v>249</v>
      </c>
      <c r="O28" s="509">
        <v>-18</v>
      </c>
      <c r="P28" s="509">
        <f t="shared" si="39"/>
        <v>-107.2</v>
      </c>
      <c r="Q28" s="613">
        <v>158.73574070000001</v>
      </c>
      <c r="R28" s="540"/>
      <c r="S28" s="419">
        <f t="shared" ref="S28" si="45">IF(Q28=0, "    ---- ", IF(ABS(ROUND(100/Q28*R28-100,1))&lt;999,ROUND(100/Q28*R28-100,1),IF(ROUND(100/Q28*R28-100,1)&gt;999,999,-999)))</f>
        <v>-100</v>
      </c>
      <c r="T28" s="88">
        <v>3865.5332293100005</v>
      </c>
      <c r="U28" s="509">
        <v>5818.7663786100002</v>
      </c>
      <c r="V28" s="419">
        <f t="shared" si="27"/>
        <v>50.5</v>
      </c>
      <c r="W28" s="88">
        <v>1440.67</v>
      </c>
      <c r="X28" s="509">
        <v>1565.48</v>
      </c>
      <c r="Y28" s="419">
        <f t="shared" si="41"/>
        <v>8.6999999999999993</v>
      </c>
      <c r="Z28" s="88">
        <v>1574</v>
      </c>
      <c r="AA28" s="509">
        <v>1232</v>
      </c>
      <c r="AB28" s="419">
        <f t="shared" si="32"/>
        <v>-21.7</v>
      </c>
      <c r="AC28" s="88">
        <v>105.53197652999999</v>
      </c>
      <c r="AD28" s="509"/>
      <c r="AE28" s="419">
        <f>IF(AC28=0, "    ---- ", IF(ABS(ROUND(100/AC28*AD28-100,1))&lt;999,ROUND(100/AC28*AD28-100,1),IF(ROUND(100/AC28*AD28-100,1)&gt;999,999,-999)))</f>
        <v>-100</v>
      </c>
      <c r="AF28" s="88">
        <v>951.04399999999998</v>
      </c>
      <c r="AG28" s="509">
        <v>595.61900000000003</v>
      </c>
      <c r="AH28" s="419">
        <f t="shared" si="33"/>
        <v>-37.4</v>
      </c>
      <c r="AI28" s="88">
        <v>11457</v>
      </c>
      <c r="AJ28" s="509">
        <v>40756</v>
      </c>
      <c r="AK28" s="419">
        <f t="shared" si="34"/>
        <v>255.7</v>
      </c>
      <c r="AL28" s="88"/>
      <c r="AM28" s="509"/>
      <c r="AN28" s="419"/>
      <c r="AO28" s="509">
        <f t="shared" si="35"/>
        <v>21943.12372317</v>
      </c>
      <c r="AP28" s="509">
        <f t="shared" si="35"/>
        <v>52121.346796500002</v>
      </c>
      <c r="AQ28" s="419">
        <f t="shared" si="28"/>
        <v>137.5</v>
      </c>
      <c r="AR28" s="509">
        <f t="shared" si="36"/>
        <v>22207.391440399999</v>
      </c>
      <c r="AS28" s="509">
        <f t="shared" si="36"/>
        <v>52121.346796500002</v>
      </c>
      <c r="AT28" s="419">
        <f t="shared" si="29"/>
        <v>134.69999999999999</v>
      </c>
    </row>
    <row r="29" spans="1:46" s="431" customFormat="1" ht="20.100000000000001" customHeight="1" x14ac:dyDescent="0.3">
      <c r="A29" s="564" t="s">
        <v>197</v>
      </c>
      <c r="B29" s="178">
        <v>1098.2320892399998</v>
      </c>
      <c r="C29" s="419"/>
      <c r="D29" s="419">
        <f>IF(B29=0, "    ---- ", IF(ABS(ROUND(100/B29*C29-100,1))&lt;999,ROUND(100/B29*C29-100,1),IF(ROUND(100/B29*C29-100,1)&gt;999,999,-999)))</f>
        <v>-100</v>
      </c>
      <c r="E29" s="178">
        <v>33147.286945040003</v>
      </c>
      <c r="F29" s="419">
        <v>33726.985414999988</v>
      </c>
      <c r="G29" s="419">
        <f>IF(E29=0, "    ---- ", IF(ABS(ROUND(100/E29*F29-100,1))&lt;999,ROUND(100/E29*F29-100,1),IF(ROUND(100/E29*F29-100,1)&gt;999,999,-999)))</f>
        <v>1.7</v>
      </c>
      <c r="H29" s="178">
        <v>3544.2437652199987</v>
      </c>
      <c r="I29" s="419">
        <v>3798.3562603800001</v>
      </c>
      <c r="J29" s="419">
        <f>IF(H29=0, "    ---- ", IF(ABS(ROUND(100/H29*I29-100,1))&lt;999,ROUND(100/H29*I29-100,1),IF(ROUND(100/H29*I29-100,1)&gt;999,999,-999)))</f>
        <v>7.2</v>
      </c>
      <c r="K29" s="178">
        <v>699.96630000000005</v>
      </c>
      <c r="L29" s="419">
        <v>692.99099999999999</v>
      </c>
      <c r="M29" s="419">
        <f>IF(K29=0, "    ---- ", IF(ABS(ROUND(100/K29*L29-100,1))&lt;999,ROUND(100/K29*L29-100,1),IF(ROUND(100/K29*L29-100,1)&gt;999,999,-999)))</f>
        <v>-1</v>
      </c>
      <c r="N29" s="178">
        <v>1645</v>
      </c>
      <c r="O29" s="419">
        <v>1487</v>
      </c>
      <c r="P29" s="419">
        <f>IF(N29=0, "    ---- ", IF(ABS(ROUND(100/N29*O29-100,1))&lt;999,ROUND(100/N29*O29-100,1),IF(ROUND(100/N29*O29-100,1)&gt;999,999,-999)))</f>
        <v>-9.6</v>
      </c>
      <c r="Q29" s="178">
        <v>158.73574070000001</v>
      </c>
      <c r="R29" s="419"/>
      <c r="S29" s="419">
        <f>IF(Q29=0, "    ---- ", IF(ABS(ROUND(100/Q29*R29-100,1))&lt;999,ROUND(100/Q29*R29-100,1),IF(ROUND(100/Q29*R29-100,1)&gt;999,999,-999)))</f>
        <v>-100</v>
      </c>
      <c r="T29" s="178">
        <v>47073.747758789999</v>
      </c>
      <c r="U29" s="419">
        <v>50864.229048500005</v>
      </c>
      <c r="V29" s="419">
        <f>IF(T29=0, "    ---- ", IF(ABS(ROUND(100/T29*U29-100,1))&lt;999,ROUND(100/T29*U29-100,1),IF(ROUND(100/T29*U29-100,1)&gt;999,999,-999)))</f>
        <v>8.1</v>
      </c>
      <c r="W29" s="178">
        <v>12532.03</v>
      </c>
      <c r="X29" s="419">
        <v>12141.689999999999</v>
      </c>
      <c r="Y29" s="419">
        <f>IF(W29=0, "    ---- ", IF(ABS(ROUND(100/W29*X29-100,1))&lt;999,ROUND(100/W29*X29-100,1),IF(ROUND(100/W29*X29-100,1)&gt;999,999,-999)))</f>
        <v>-3.1</v>
      </c>
      <c r="Z29" s="178">
        <v>12454</v>
      </c>
      <c r="AA29" s="419">
        <v>12655</v>
      </c>
      <c r="AB29" s="419">
        <f>IF(Z29=0, "    ---- ", IF(ABS(ROUND(100/Z29*AA29-100,1))&lt;999,ROUND(100/Z29*AA29-100,1),IF(ROUND(100/Z29*AA29-100,1)&gt;999,999,-999)))</f>
        <v>1.6</v>
      </c>
      <c r="AC29" s="178">
        <v>105.53197652999999</v>
      </c>
      <c r="AD29" s="419"/>
      <c r="AE29" s="419">
        <f>IF(AC29=0, "    ---- ", IF(ABS(ROUND(100/AC29*AD29-100,1))&lt;999,ROUND(100/AC29*AD29-100,1),IF(ROUND(100/AC29*AD29-100,1)&gt;999,999,-999)))</f>
        <v>-100</v>
      </c>
      <c r="AF29" s="178">
        <v>7312.6779999999999</v>
      </c>
      <c r="AG29" s="419">
        <v>6469.2560000000003</v>
      </c>
      <c r="AH29" s="419">
        <f>IF(AF29=0, "    ---- ", IF(ABS(ROUND(100/AF29*AG29-100,1))&lt;999,ROUND(100/AF29*AG29-100,1),IF(ROUND(100/AF29*AG29-100,1)&gt;999,999,-999)))</f>
        <v>-11.5</v>
      </c>
      <c r="AI29" s="178">
        <v>47627</v>
      </c>
      <c r="AJ29" s="419">
        <v>75468.510000000009</v>
      </c>
      <c r="AK29" s="419">
        <f>IF(AI29=0, "    ---- ", IF(ABS(ROUND(100/AI29*AJ29-100,1))&lt;999,ROUND(100/AI29*AJ29-100,1),IF(ROUND(100/AI29*AJ29-100,1)&gt;999,999,-999)))</f>
        <v>58.5</v>
      </c>
      <c r="AL29" s="178">
        <v>9</v>
      </c>
      <c r="AM29" s="419">
        <v>27</v>
      </c>
      <c r="AN29" s="419">
        <f>IF(AL29=0, "    ---- ", IF(ABS(ROUND(100/AL29*AM29-100,1))&lt;999,ROUND(100/AL29*AM29-100,1),IF(ROUND(100/AL29*AM29-100,1)&gt;999,999,-999)))</f>
        <v>200</v>
      </c>
      <c r="AO29" s="509">
        <f t="shared" si="35"/>
        <v>167134.18485829001</v>
      </c>
      <c r="AP29" s="509">
        <f t="shared" si="35"/>
        <v>197304.01772388001</v>
      </c>
      <c r="AQ29" s="419">
        <f>IF(AO29=0, "    ---- ", IF(ABS(ROUND(100/AO29*AP29-100,1))&lt;999,ROUND(100/AO29*AP29-100,1),IF(ROUND(100/AO29*AP29-100,1)&gt;999,999,-999)))</f>
        <v>18.100000000000001</v>
      </c>
      <c r="AR29" s="509">
        <f t="shared" si="36"/>
        <v>167407.45257552</v>
      </c>
      <c r="AS29" s="509">
        <f t="shared" si="36"/>
        <v>197331.01772388001</v>
      </c>
      <c r="AT29" s="615">
        <f t="shared" si="29"/>
        <v>17.899999999999999</v>
      </c>
    </row>
    <row r="30" spans="1:46" s="431" customFormat="1" ht="20.100000000000001" customHeight="1" x14ac:dyDescent="0.3">
      <c r="A30" s="564"/>
      <c r="B30" s="574"/>
      <c r="C30" s="415"/>
      <c r="D30" s="419"/>
      <c r="E30" s="574"/>
      <c r="F30" s="415"/>
      <c r="G30" s="419"/>
      <c r="H30" s="574"/>
      <c r="I30" s="415"/>
      <c r="J30" s="419"/>
      <c r="K30" s="88"/>
      <c r="L30" s="415"/>
      <c r="M30" s="419"/>
      <c r="N30" s="178"/>
      <c r="O30" s="419"/>
      <c r="P30" s="415"/>
      <c r="Q30" s="574"/>
      <c r="R30" s="415"/>
      <c r="S30" s="320"/>
      <c r="T30" s="574"/>
      <c r="U30" s="415"/>
      <c r="V30" s="320"/>
      <c r="W30" s="574"/>
      <c r="X30" s="415"/>
      <c r="Y30" s="320"/>
      <c r="Z30" s="574"/>
      <c r="AA30" s="415"/>
      <c r="AB30" s="320"/>
      <c r="AC30" s="574"/>
      <c r="AD30" s="415"/>
      <c r="AE30" s="320"/>
      <c r="AF30" s="574"/>
      <c r="AG30" s="415"/>
      <c r="AH30" s="320"/>
      <c r="AI30" s="574"/>
      <c r="AJ30" s="415"/>
      <c r="AK30" s="320"/>
      <c r="AL30" s="574"/>
      <c r="AM30" s="415"/>
      <c r="AN30" s="320"/>
      <c r="AO30" s="415"/>
      <c r="AP30" s="415"/>
      <c r="AQ30" s="320"/>
      <c r="AR30" s="415"/>
      <c r="AS30" s="415"/>
      <c r="AT30" s="420"/>
    </row>
    <row r="31" spans="1:46" s="431" customFormat="1" ht="20.100000000000001" customHeight="1" x14ac:dyDescent="0.3">
      <c r="A31" s="586" t="s">
        <v>198</v>
      </c>
      <c r="B31" s="178"/>
      <c r="C31" s="419"/>
      <c r="D31" s="419"/>
      <c r="E31" s="178"/>
      <c r="F31" s="419"/>
      <c r="G31" s="419"/>
      <c r="H31" s="178"/>
      <c r="I31" s="419"/>
      <c r="J31" s="419"/>
      <c r="K31" s="178"/>
      <c r="L31" s="419"/>
      <c r="M31" s="419"/>
      <c r="N31" s="178"/>
      <c r="O31" s="419"/>
      <c r="P31" s="415"/>
      <c r="Q31" s="178"/>
      <c r="R31" s="419"/>
      <c r="S31" s="320"/>
      <c r="T31" s="178"/>
      <c r="U31" s="419"/>
      <c r="V31" s="320"/>
      <c r="W31" s="178"/>
      <c r="X31" s="419"/>
      <c r="Y31" s="320"/>
      <c r="Z31" s="178"/>
      <c r="AA31" s="419"/>
      <c r="AB31" s="320"/>
      <c r="AC31" s="178"/>
      <c r="AD31" s="419"/>
      <c r="AE31" s="320"/>
      <c r="AF31" s="178"/>
      <c r="AG31" s="419"/>
      <c r="AH31" s="320"/>
      <c r="AI31" s="178"/>
      <c r="AJ31" s="419"/>
      <c r="AK31" s="320"/>
      <c r="AL31" s="178"/>
      <c r="AM31" s="419"/>
      <c r="AN31" s="320"/>
      <c r="AO31" s="415"/>
      <c r="AP31" s="415"/>
      <c r="AQ31" s="320"/>
      <c r="AR31" s="415"/>
      <c r="AS31" s="415"/>
      <c r="AT31" s="420"/>
    </row>
    <row r="32" spans="1:46" s="431" customFormat="1" ht="20.100000000000001" customHeight="1" x14ac:dyDescent="0.3">
      <c r="A32" s="586" t="s">
        <v>199</v>
      </c>
      <c r="B32" s="178"/>
      <c r="C32" s="419"/>
      <c r="D32" s="320"/>
      <c r="E32" s="178"/>
      <c r="F32" s="419"/>
      <c r="G32" s="320"/>
      <c r="H32" s="178"/>
      <c r="I32" s="419"/>
      <c r="J32" s="320"/>
      <c r="K32" s="178"/>
      <c r="L32" s="419"/>
      <c r="M32" s="320"/>
      <c r="N32" s="178"/>
      <c r="O32" s="419"/>
      <c r="P32" s="415"/>
      <c r="Q32" s="178"/>
      <c r="R32" s="419"/>
      <c r="S32" s="320"/>
      <c r="T32" s="178"/>
      <c r="U32" s="419"/>
      <c r="V32" s="320"/>
      <c r="W32" s="178"/>
      <c r="X32" s="419"/>
      <c r="Y32" s="320"/>
      <c r="Z32" s="178"/>
      <c r="AA32" s="419"/>
      <c r="AB32" s="320"/>
      <c r="AC32" s="178"/>
      <c r="AD32" s="419"/>
      <c r="AE32" s="320"/>
      <c r="AF32" s="178"/>
      <c r="AG32" s="419"/>
      <c r="AH32" s="320"/>
      <c r="AI32" s="178"/>
      <c r="AJ32" s="419"/>
      <c r="AK32" s="320"/>
      <c r="AL32" s="178"/>
      <c r="AM32" s="419"/>
      <c r="AN32" s="320"/>
      <c r="AO32" s="415"/>
      <c r="AP32" s="415"/>
      <c r="AQ32" s="320"/>
      <c r="AR32" s="415"/>
      <c r="AS32" s="415"/>
      <c r="AT32" s="420"/>
    </row>
    <row r="33" spans="1:46" s="431" customFormat="1" ht="20.100000000000001" customHeight="1" x14ac:dyDescent="0.3">
      <c r="A33" s="564" t="s">
        <v>200</v>
      </c>
      <c r="B33" s="178"/>
      <c r="C33" s="419"/>
      <c r="D33" s="419"/>
      <c r="E33" s="178">
        <v>14.22554581</v>
      </c>
      <c r="F33" s="419">
        <v>14.22554581</v>
      </c>
      <c r="G33" s="419">
        <f t="shared" ref="G33:G93" si="46">IF(E33=0, "    ---- ", IF(ABS(ROUND(100/E33*F33-100,1))&lt;999,ROUND(100/E33*F33-100,1),IF(ROUND(100/E33*F33-100,1)&gt;999,999,-999)))</f>
        <v>0</v>
      </c>
      <c r="H33" s="178"/>
      <c r="I33" s="419"/>
      <c r="J33" s="419"/>
      <c r="K33" s="178"/>
      <c r="L33" s="419"/>
      <c r="M33" s="419"/>
      <c r="N33" s="178"/>
      <c r="O33" s="419"/>
      <c r="P33" s="415"/>
      <c r="Q33" s="178"/>
      <c r="R33" s="419"/>
      <c r="S33" s="320"/>
      <c r="T33" s="178"/>
      <c r="U33" s="419"/>
      <c r="V33" s="320"/>
      <c r="W33" s="178"/>
      <c r="X33" s="419"/>
      <c r="Y33" s="320"/>
      <c r="Z33" s="178"/>
      <c r="AA33" s="419"/>
      <c r="AB33" s="320"/>
      <c r="AC33" s="178"/>
      <c r="AD33" s="419"/>
      <c r="AE33" s="320"/>
      <c r="AF33" s="178"/>
      <c r="AG33" s="419"/>
      <c r="AH33" s="320"/>
      <c r="AI33" s="178"/>
      <c r="AJ33" s="419"/>
      <c r="AK33" s="320"/>
      <c r="AL33" s="178"/>
      <c r="AM33" s="419"/>
      <c r="AN33" s="320"/>
      <c r="AO33" s="509">
        <f t="shared" ref="AO33:AP46" si="47">B33+E33+H33+K33+N33+T33+W33+Z33+AF33+AI33</f>
        <v>14.22554581</v>
      </c>
      <c r="AP33" s="509">
        <f t="shared" si="47"/>
        <v>14.22554581</v>
      </c>
      <c r="AQ33" s="320">
        <f t="shared" ref="AQ33:AQ93" si="48">IF(AO33=0, "    ---- ", IF(ABS(ROUND(100/AO33*AP33-100,1))&lt;999,ROUND(100/AO33*AP33-100,1),IF(ROUND(100/AO33*AP33-100,1)&gt;999,999,-999)))</f>
        <v>0</v>
      </c>
      <c r="AR33" s="509">
        <f t="shared" ref="AR33:AS46" si="49">B33+E33+H33+K33+N33+Q33+T33+W33+Z33+AC33+AF33+AI33+AL33</f>
        <v>14.22554581</v>
      </c>
      <c r="AS33" s="509">
        <f t="shared" si="49"/>
        <v>14.22554581</v>
      </c>
      <c r="AT33" s="420">
        <f t="shared" ref="AT33:AT93" si="50">IF(AR33=0, "    ---- ", IF(ABS(ROUND(100/AR33*AS33-100,1))&lt;999,ROUND(100/AR33*AS33-100,1),IF(ROUND(100/AR33*AS33-100,1)&gt;999,999,-999)))</f>
        <v>0</v>
      </c>
    </row>
    <row r="34" spans="1:46" s="431" customFormat="1" ht="20.100000000000001" customHeight="1" x14ac:dyDescent="0.3">
      <c r="A34" s="564" t="s">
        <v>201</v>
      </c>
      <c r="B34" s="178"/>
      <c r="C34" s="419"/>
      <c r="D34" s="419"/>
      <c r="E34" s="178">
        <v>30340.385999999999</v>
      </c>
      <c r="F34" s="419">
        <v>21206.370233279999</v>
      </c>
      <c r="G34" s="419">
        <f t="shared" si="46"/>
        <v>-30.1</v>
      </c>
      <c r="H34" s="178">
        <v>451.91452741999996</v>
      </c>
      <c r="I34" s="419">
        <v>435.96099111999996</v>
      </c>
      <c r="J34" s="419">
        <f t="shared" ref="J34:J38" si="51">IF(H34=0, "    ---- ", IF(ABS(ROUND(100/H34*I34-100,1))&lt;999,ROUND(100/H34*I34-100,1),IF(ROUND(100/H34*I34-100,1)&gt;999,999,-999)))</f>
        <v>-3.5</v>
      </c>
      <c r="K34" s="178"/>
      <c r="L34" s="419"/>
      <c r="M34" s="419"/>
      <c r="N34" s="178">
        <v>803</v>
      </c>
      <c r="O34" s="419">
        <v>744</v>
      </c>
      <c r="P34" s="415">
        <f>IF(N34=0, "    ---- ", IF(ABS(ROUND(100/N34*O34-100,1))&lt;999,ROUND(100/N34*O34-100,1),IF(ROUND(100/N34*O34-100,1)&gt;999,999,-999)))</f>
        <v>-7.3</v>
      </c>
      <c r="Q34" s="178"/>
      <c r="R34" s="419"/>
      <c r="S34" s="320"/>
      <c r="T34" s="178">
        <v>95802.363433770006</v>
      </c>
      <c r="U34" s="419">
        <v>90718.527780439996</v>
      </c>
      <c r="V34" s="320">
        <f>IF(T34=0, "    ---- ", IF(ABS(ROUND(100/T34*U34-100,1))&lt;999,ROUND(100/T34*U34-100,1),IF(ROUND(100/T34*U34-100,1)&gt;999,999,-999)))</f>
        <v>-5.3</v>
      </c>
      <c r="W34" s="178">
        <v>7662.0150350799995</v>
      </c>
      <c r="X34" s="419">
        <v>6360.2962681100007</v>
      </c>
      <c r="Y34" s="320">
        <f t="shared" ref="Y34:Y93" si="52">IF(W34=0, "    ---- ", IF(ABS(ROUND(100/W34*X34-100,1))&lt;999,ROUND(100/W34*X34-100,1),IF(ROUND(100/W34*X34-100,1)&gt;999,999,-999)))</f>
        <v>-17</v>
      </c>
      <c r="Z34" s="178">
        <v>20734</v>
      </c>
      <c r="AA34" s="419">
        <v>20653</v>
      </c>
      <c r="AB34" s="320">
        <f t="shared" ref="AB34:AB42" si="53">IF(Z34=0, "    ---- ", IF(ABS(ROUND(100/Z34*AA34-100,1))&lt;999,ROUND(100/Z34*AA34-100,1),IF(ROUND(100/Z34*AA34-100,1)&gt;999,999,-999)))</f>
        <v>-0.4</v>
      </c>
      <c r="AC34" s="178"/>
      <c r="AD34" s="419"/>
      <c r="AE34" s="320"/>
      <c r="AF34" s="178">
        <v>5722.5680000000002</v>
      </c>
      <c r="AG34" s="419">
        <v>4511.9139999999998</v>
      </c>
      <c r="AH34" s="320">
        <f t="shared" ref="AH34:AH93" si="54">IF(AF34=0, "    ---- ", IF(ABS(ROUND(100/AF34*AG34-100,1))&lt;999,ROUND(100/AF34*AG34-100,1),IF(ROUND(100/AF34*AG34-100,1)&gt;999,999,-999)))</f>
        <v>-21.2</v>
      </c>
      <c r="AI34" s="178">
        <v>24414</v>
      </c>
      <c r="AJ34" s="419">
        <v>22449</v>
      </c>
      <c r="AK34" s="320">
        <f t="shared" ref="AK34:AK93" si="55">IF(AI34=0, "    ---- ", IF(ABS(ROUND(100/AI34*AJ34-100,1))&lt;999,ROUND(100/AI34*AJ34-100,1),IF(ROUND(100/AI34*AJ34-100,1)&gt;999,999,-999)))</f>
        <v>-8</v>
      </c>
      <c r="AL34" s="178"/>
      <c r="AM34" s="419"/>
      <c r="AN34" s="320"/>
      <c r="AO34" s="509">
        <f t="shared" si="47"/>
        <v>185930.24699627</v>
      </c>
      <c r="AP34" s="509">
        <f t="shared" si="47"/>
        <v>167079.06927295</v>
      </c>
      <c r="AQ34" s="320">
        <f t="shared" si="48"/>
        <v>-10.1</v>
      </c>
      <c r="AR34" s="509">
        <f t="shared" si="49"/>
        <v>185930.24699627</v>
      </c>
      <c r="AS34" s="509">
        <f t="shared" si="49"/>
        <v>167079.06927295</v>
      </c>
      <c r="AT34" s="420">
        <f t="shared" si="50"/>
        <v>-10.1</v>
      </c>
    </row>
    <row r="35" spans="1:46" s="431" customFormat="1" ht="20.100000000000001" customHeight="1" x14ac:dyDescent="0.3">
      <c r="A35" s="564" t="s">
        <v>202</v>
      </c>
      <c r="B35" s="178"/>
      <c r="C35" s="419"/>
      <c r="D35" s="419"/>
      <c r="E35" s="178">
        <v>108742.02226955</v>
      </c>
      <c r="F35" s="419">
        <v>134324.57174349047</v>
      </c>
      <c r="G35" s="419">
        <f t="shared" si="46"/>
        <v>23.5</v>
      </c>
      <c r="H35" s="178">
        <v>1075.0864761699997</v>
      </c>
      <c r="I35" s="419">
        <v>4379.3792985</v>
      </c>
      <c r="J35" s="419">
        <f t="shared" si="51"/>
        <v>307.39999999999998</v>
      </c>
      <c r="K35" s="178">
        <v>394.762</v>
      </c>
      <c r="L35" s="419">
        <v>530.61400000000003</v>
      </c>
      <c r="M35" s="419">
        <f t="shared" ref="M35:M37" si="56">IF(K35=0, "    ---- ", IF(ABS(ROUND(100/K35*L35-100,1))&lt;999,ROUND(100/K35*L35-100,1),IF(ROUND(100/K35*L35-100,1)&gt;999,999,-999)))</f>
        <v>34.4</v>
      </c>
      <c r="N35" s="178">
        <v>6849</v>
      </c>
      <c r="O35" s="419">
        <v>7508</v>
      </c>
      <c r="P35" s="415">
        <f>IF(N35=0, "    ---- ", IF(ABS(ROUND(100/N35*O35-100,1))&lt;999,ROUND(100/N35*O35-100,1),IF(ROUND(100/N35*O35-100,1)&gt;999,999,-999)))</f>
        <v>9.6</v>
      </c>
      <c r="Q35" s="178"/>
      <c r="R35" s="419"/>
      <c r="S35" s="320"/>
      <c r="T35" s="178">
        <v>269245.69367014</v>
      </c>
      <c r="U35" s="419">
        <v>285268.39226826001</v>
      </c>
      <c r="V35" s="320">
        <f>IF(T35=0, "    ---- ", IF(ABS(ROUND(100/T35*U35-100,1))&lt;999,ROUND(100/T35*U35-100,1),IF(ROUND(100/T35*U35-100,1)&gt;999,999,-999)))</f>
        <v>6</v>
      </c>
      <c r="W35" s="178">
        <v>36166.897099850001</v>
      </c>
      <c r="X35" s="419">
        <v>40594.030694360001</v>
      </c>
      <c r="Y35" s="320">
        <f t="shared" si="52"/>
        <v>12.2</v>
      </c>
      <c r="Z35" s="178">
        <v>27843</v>
      </c>
      <c r="AA35" s="419">
        <v>29418</v>
      </c>
      <c r="AB35" s="320">
        <f t="shared" si="53"/>
        <v>5.7</v>
      </c>
      <c r="AC35" s="178"/>
      <c r="AD35" s="419"/>
      <c r="AE35" s="320"/>
      <c r="AF35" s="178">
        <v>8710.3019999999997</v>
      </c>
      <c r="AG35" s="419">
        <v>10530.354000000001</v>
      </c>
      <c r="AH35" s="320">
        <f t="shared" si="54"/>
        <v>20.9</v>
      </c>
      <c r="AI35" s="178">
        <v>137126</v>
      </c>
      <c r="AJ35" s="419">
        <v>156827</v>
      </c>
      <c r="AK35" s="320">
        <f t="shared" si="55"/>
        <v>14.4</v>
      </c>
      <c r="AL35" s="178"/>
      <c r="AM35" s="419"/>
      <c r="AN35" s="320"/>
      <c r="AO35" s="509">
        <f t="shared" si="47"/>
        <v>596152.76351571002</v>
      </c>
      <c r="AP35" s="509">
        <f t="shared" si="47"/>
        <v>669380.34200461046</v>
      </c>
      <c r="AQ35" s="320">
        <f t="shared" si="48"/>
        <v>12.3</v>
      </c>
      <c r="AR35" s="509">
        <f t="shared" si="49"/>
        <v>596152.76351571002</v>
      </c>
      <c r="AS35" s="509">
        <f t="shared" si="49"/>
        <v>669380.34200461046</v>
      </c>
      <c r="AT35" s="420">
        <f t="shared" si="50"/>
        <v>12.3</v>
      </c>
    </row>
    <row r="36" spans="1:46" s="431" customFormat="1" ht="20.100000000000001" customHeight="1" x14ac:dyDescent="0.3">
      <c r="A36" s="564" t="s">
        <v>203</v>
      </c>
      <c r="B36" s="178"/>
      <c r="C36" s="419"/>
      <c r="D36" s="320"/>
      <c r="E36" s="178">
        <v>83642.468267360004</v>
      </c>
      <c r="F36" s="419">
        <v>116717.36903049047</v>
      </c>
      <c r="G36" s="320">
        <f t="shared" si="46"/>
        <v>39.5</v>
      </c>
      <c r="H36" s="178"/>
      <c r="I36" s="419">
        <v>4.2599489800000008</v>
      </c>
      <c r="J36" s="419" t="str">
        <f t="shared" si="51"/>
        <v xml:space="preserve">    ---- </v>
      </c>
      <c r="K36" s="178">
        <v>394.762</v>
      </c>
      <c r="L36" s="419">
        <v>530.61400000000003</v>
      </c>
      <c r="M36" s="419">
        <f t="shared" si="56"/>
        <v>34.4</v>
      </c>
      <c r="N36" s="178"/>
      <c r="O36" s="419"/>
      <c r="P36" s="415"/>
      <c r="Q36" s="178"/>
      <c r="R36" s="419"/>
      <c r="S36" s="320"/>
      <c r="T36" s="178">
        <v>19566.7164051</v>
      </c>
      <c r="U36" s="419">
        <v>0</v>
      </c>
      <c r="V36" s="320">
        <f>IF(T36=0, "    ---- ", IF(ABS(ROUND(100/T36*U36-100,1))&lt;999,ROUND(100/T36*U36-100,1),IF(ROUND(100/T36*U36-100,1)&gt;999,999,-999)))</f>
        <v>-100</v>
      </c>
      <c r="W36" s="178">
        <v>3.4000000000000003E-7</v>
      </c>
      <c r="X36" s="419">
        <v>40594.030694360001</v>
      </c>
      <c r="Y36" s="320">
        <f t="shared" si="52"/>
        <v>999</v>
      </c>
      <c r="Z36" s="178"/>
      <c r="AA36" s="419">
        <v>22939</v>
      </c>
      <c r="AB36" s="320" t="str">
        <f t="shared" si="53"/>
        <v xml:space="preserve">    ---- </v>
      </c>
      <c r="AC36" s="178"/>
      <c r="AD36" s="419"/>
      <c r="AE36" s="320"/>
      <c r="AF36" s="178">
        <v>219.40199999999999</v>
      </c>
      <c r="AG36" s="419">
        <v>581.04600000000005</v>
      </c>
      <c r="AH36" s="320">
        <f t="shared" si="54"/>
        <v>164.8</v>
      </c>
      <c r="AI36" s="178">
        <v>7548</v>
      </c>
      <c r="AJ36" s="419"/>
      <c r="AK36" s="320">
        <f t="shared" si="55"/>
        <v>-100</v>
      </c>
      <c r="AL36" s="178"/>
      <c r="AM36" s="419"/>
      <c r="AN36" s="320"/>
      <c r="AO36" s="509">
        <f t="shared" si="47"/>
        <v>111371.34867280001</v>
      </c>
      <c r="AP36" s="509">
        <f t="shared" si="47"/>
        <v>181366.3196738305</v>
      </c>
      <c r="AQ36" s="320">
        <f t="shared" si="48"/>
        <v>62.8</v>
      </c>
      <c r="AR36" s="509">
        <f t="shared" si="49"/>
        <v>111371.34867280001</v>
      </c>
      <c r="AS36" s="509">
        <f t="shared" si="49"/>
        <v>181366.3196738305</v>
      </c>
      <c r="AT36" s="420">
        <f t="shared" si="50"/>
        <v>62.8</v>
      </c>
    </row>
    <row r="37" spans="1:46" s="431" customFormat="1" ht="20.100000000000001" customHeight="1" x14ac:dyDescent="0.3">
      <c r="A37" s="564" t="s">
        <v>186</v>
      </c>
      <c r="B37" s="178"/>
      <c r="C37" s="419"/>
      <c r="D37" s="419"/>
      <c r="E37" s="178">
        <v>83642.468267360004</v>
      </c>
      <c r="F37" s="419">
        <v>116717.50012089999</v>
      </c>
      <c r="G37" s="419">
        <f t="shared" si="46"/>
        <v>39.5</v>
      </c>
      <c r="H37" s="178"/>
      <c r="I37" s="419">
        <v>4.2599489800000008</v>
      </c>
      <c r="J37" s="419" t="str">
        <f t="shared" si="51"/>
        <v xml:space="preserve">    ---- </v>
      </c>
      <c r="K37" s="178">
        <v>394.762</v>
      </c>
      <c r="L37" s="419">
        <v>530.61400000000003</v>
      </c>
      <c r="M37" s="419">
        <f t="shared" si="56"/>
        <v>34.4</v>
      </c>
      <c r="N37" s="178"/>
      <c r="O37" s="419"/>
      <c r="P37" s="415"/>
      <c r="Q37" s="178"/>
      <c r="R37" s="419"/>
      <c r="S37" s="320"/>
      <c r="T37" s="178">
        <v>19566.7164051</v>
      </c>
      <c r="U37" s="419">
        <v>0</v>
      </c>
      <c r="V37" s="320">
        <f>IF(T37=0, "    ---- ", IF(ABS(ROUND(100/T37*U37-100,1))&lt;999,ROUND(100/T37*U37-100,1),IF(ROUND(100/T37*U37-100,1)&gt;999,999,-999)))</f>
        <v>-100</v>
      </c>
      <c r="W37" s="178">
        <v>3.4000000000000003E-7</v>
      </c>
      <c r="X37" s="419">
        <v>40594.030694360001</v>
      </c>
      <c r="Y37" s="320">
        <f t="shared" si="52"/>
        <v>999</v>
      </c>
      <c r="Z37" s="178"/>
      <c r="AA37" s="419">
        <v>22939</v>
      </c>
      <c r="AB37" s="320" t="str">
        <f t="shared" si="53"/>
        <v xml:space="preserve">    ---- </v>
      </c>
      <c r="AC37" s="178"/>
      <c r="AD37" s="419"/>
      <c r="AE37" s="320"/>
      <c r="AF37" s="178">
        <v>-8.4750354290008545E-13</v>
      </c>
      <c r="AG37" s="419">
        <v>246.26980384999914</v>
      </c>
      <c r="AH37" s="320">
        <f t="shared" si="54"/>
        <v>-999</v>
      </c>
      <c r="AI37" s="178">
        <v>7548</v>
      </c>
      <c r="AJ37" s="419"/>
      <c r="AK37" s="320">
        <f t="shared" si="55"/>
        <v>-100</v>
      </c>
      <c r="AL37" s="178"/>
      <c r="AM37" s="419"/>
      <c r="AN37" s="320"/>
      <c r="AO37" s="509">
        <f t="shared" si="47"/>
        <v>111151.94667280001</v>
      </c>
      <c r="AP37" s="509">
        <f t="shared" si="47"/>
        <v>181031.67456809001</v>
      </c>
      <c r="AQ37" s="320">
        <f t="shared" si="48"/>
        <v>62.9</v>
      </c>
      <c r="AR37" s="509">
        <f t="shared" si="49"/>
        <v>111151.94667280001</v>
      </c>
      <c r="AS37" s="509">
        <f t="shared" si="49"/>
        <v>181031.67456809001</v>
      </c>
      <c r="AT37" s="420">
        <f t="shared" si="50"/>
        <v>62.9</v>
      </c>
    </row>
    <row r="38" spans="1:46" s="431" customFormat="1" ht="20.100000000000001" customHeight="1" x14ac:dyDescent="0.3">
      <c r="A38" s="564" t="s">
        <v>204</v>
      </c>
      <c r="B38" s="178"/>
      <c r="C38" s="419"/>
      <c r="D38" s="419"/>
      <c r="E38" s="178">
        <v>25099.554002189998</v>
      </c>
      <c r="F38" s="419">
        <v>17607.202712999999</v>
      </c>
      <c r="G38" s="320">
        <f t="shared" si="46"/>
        <v>-29.9</v>
      </c>
      <c r="H38" s="178">
        <v>1075.0864761699997</v>
      </c>
      <c r="I38" s="419">
        <v>4375.1193495199996</v>
      </c>
      <c r="J38" s="419">
        <f t="shared" si="51"/>
        <v>307</v>
      </c>
      <c r="K38" s="178"/>
      <c r="L38" s="419"/>
      <c r="M38" s="419"/>
      <c r="N38" s="178">
        <v>6849</v>
      </c>
      <c r="O38" s="419">
        <v>7508</v>
      </c>
      <c r="P38" s="415">
        <f t="shared" ref="P38:P57" si="57">IF(N38=0, "    ---- ", IF(ABS(ROUND(100/N38*O38-100,1))&lt;999,ROUND(100/N38*O38-100,1),IF(ROUND(100/N38*O38-100,1)&gt;999,999,-999)))</f>
        <v>9.6</v>
      </c>
      <c r="Q38" s="178"/>
      <c r="R38" s="419"/>
      <c r="S38" s="320"/>
      <c r="T38" s="178">
        <v>249678.97726504001</v>
      </c>
      <c r="U38" s="419">
        <v>285268.39226826001</v>
      </c>
      <c r="V38" s="320">
        <f t="shared" ref="V38:V45" si="58">IF(T38=0, "    ---- ", IF(ABS(ROUND(100/T38*U38-100,1))&lt;999,ROUND(100/T38*U38-100,1),IF(ROUND(100/T38*U38-100,1)&gt;999,999,-999)))</f>
        <v>14.3</v>
      </c>
      <c r="W38" s="178">
        <v>36166.897099510003</v>
      </c>
      <c r="X38" s="419">
        <v>0</v>
      </c>
      <c r="Y38" s="320">
        <f t="shared" si="52"/>
        <v>-100</v>
      </c>
      <c r="Z38" s="178">
        <v>27843</v>
      </c>
      <c r="AA38" s="419">
        <v>6479</v>
      </c>
      <c r="AB38" s="320">
        <f t="shared" si="53"/>
        <v>-76.7</v>
      </c>
      <c r="AC38" s="178"/>
      <c r="AD38" s="419"/>
      <c r="AE38" s="320"/>
      <c r="AF38" s="178">
        <v>8490.9</v>
      </c>
      <c r="AG38" s="419">
        <v>9949.3080000000009</v>
      </c>
      <c r="AH38" s="320">
        <f t="shared" si="54"/>
        <v>17.2</v>
      </c>
      <c r="AI38" s="178">
        <v>129578</v>
      </c>
      <c r="AJ38" s="419">
        <v>156827</v>
      </c>
      <c r="AK38" s="320">
        <f t="shared" si="55"/>
        <v>21</v>
      </c>
      <c r="AL38" s="178"/>
      <c r="AM38" s="419"/>
      <c r="AN38" s="320"/>
      <c r="AO38" s="509">
        <f t="shared" si="47"/>
        <v>484781.41484291008</v>
      </c>
      <c r="AP38" s="509">
        <f t="shared" si="47"/>
        <v>488014.02233078005</v>
      </c>
      <c r="AQ38" s="320">
        <f t="shared" si="48"/>
        <v>0.7</v>
      </c>
      <c r="AR38" s="509">
        <f t="shared" si="49"/>
        <v>484781.41484291008</v>
      </c>
      <c r="AS38" s="509">
        <f t="shared" si="49"/>
        <v>488014.02233078005</v>
      </c>
      <c r="AT38" s="420">
        <f t="shared" si="50"/>
        <v>0.7</v>
      </c>
    </row>
    <row r="39" spans="1:46" s="431" customFormat="1" ht="20.100000000000001" customHeight="1" x14ac:dyDescent="0.3">
      <c r="A39" s="564" t="s">
        <v>205</v>
      </c>
      <c r="B39" s="178">
        <v>1415.36349602</v>
      </c>
      <c r="C39" s="419"/>
      <c r="D39" s="419">
        <f>IF(B39=0, "    ---- ", IF(ABS(ROUND(100/B39*C39-100,1))&lt;999,ROUND(100/B39*C39-100,1),IF(ROUND(100/B39*C39-100,1)&gt;999,999,-999)))</f>
        <v>-100</v>
      </c>
      <c r="E39" s="178">
        <v>59732.165240810005</v>
      </c>
      <c r="F39" s="419">
        <v>37835.706694239998</v>
      </c>
      <c r="G39" s="419">
        <f t="shared" si="46"/>
        <v>-36.700000000000003</v>
      </c>
      <c r="H39" s="178">
        <v>6442.0477413399994</v>
      </c>
      <c r="I39" s="419">
        <v>3999.9158360599995</v>
      </c>
      <c r="J39" s="419">
        <f>IF(H39=0, "    ---- ", IF(ABS(ROUND(100/H39*I39-100,1))&lt;999,ROUND(100/H39*I39-100,1),IF(ROUND(100/H39*I39-100,1)&gt;999,999,-999)))</f>
        <v>-37.9</v>
      </c>
      <c r="K39" s="178">
        <v>966.45799999999997</v>
      </c>
      <c r="L39" s="419">
        <v>1160.057</v>
      </c>
      <c r="M39" s="419">
        <f t="shared" ref="M39:M46" si="59">IF(K39=0, "    ---- ", IF(ABS(ROUND(100/K39*L39-100,1))&lt;999,ROUND(100/K39*L39-100,1),IF(ROUND(100/K39*L39-100,1)&gt;999,999,-999)))</f>
        <v>20</v>
      </c>
      <c r="N39" s="178">
        <v>484</v>
      </c>
      <c r="O39" s="419">
        <v>535</v>
      </c>
      <c r="P39" s="415">
        <f t="shared" si="57"/>
        <v>10.5</v>
      </c>
      <c r="Q39" s="178"/>
      <c r="R39" s="419"/>
      <c r="S39" s="320"/>
      <c r="T39" s="178">
        <v>306047.07824593002</v>
      </c>
      <c r="U39" s="419">
        <v>342227.43013591995</v>
      </c>
      <c r="V39" s="320">
        <f t="shared" si="58"/>
        <v>11.8</v>
      </c>
      <c r="W39" s="178">
        <v>12328.375330690002</v>
      </c>
      <c r="X39" s="419">
        <v>7866.8807857300008</v>
      </c>
      <c r="Y39" s="320">
        <f t="shared" si="52"/>
        <v>-36.200000000000003</v>
      </c>
      <c r="Z39" s="178">
        <v>62814</v>
      </c>
      <c r="AA39" s="419">
        <v>71545</v>
      </c>
      <c r="AB39" s="320">
        <f t="shared" si="53"/>
        <v>13.9</v>
      </c>
      <c r="AC39" s="178"/>
      <c r="AD39" s="419"/>
      <c r="AE39" s="320"/>
      <c r="AF39" s="178">
        <v>8515.8940000000002</v>
      </c>
      <c r="AG39" s="419">
        <v>8251.3399999999983</v>
      </c>
      <c r="AH39" s="320">
        <f t="shared" si="54"/>
        <v>-3.1</v>
      </c>
      <c r="AI39" s="178">
        <v>41359</v>
      </c>
      <c r="AJ39" s="419">
        <v>31617</v>
      </c>
      <c r="AK39" s="320">
        <f t="shared" si="55"/>
        <v>-23.6</v>
      </c>
      <c r="AL39" s="178"/>
      <c r="AM39" s="419">
        <v>1</v>
      </c>
      <c r="AN39" s="320" t="str">
        <f t="shared" ref="AN39:AN45" si="60">IF(AL39=0, "    ---- ", IF(ABS(ROUND(100/AL39*AM39-100,1))&lt;999,ROUND(100/AL39*AM39-100,1),IF(ROUND(100/AL39*AM39-100,1)&gt;999,999,-999)))</f>
        <v xml:space="preserve">    ---- </v>
      </c>
      <c r="AO39" s="509">
        <f t="shared" si="47"/>
        <v>500104.38205479004</v>
      </c>
      <c r="AP39" s="509">
        <f t="shared" si="47"/>
        <v>505038.33045194997</v>
      </c>
      <c r="AQ39" s="320">
        <f t="shared" si="48"/>
        <v>1</v>
      </c>
      <c r="AR39" s="509">
        <f t="shared" si="49"/>
        <v>500104.38205479004</v>
      </c>
      <c r="AS39" s="509">
        <f t="shared" si="49"/>
        <v>505039.33045194997</v>
      </c>
      <c r="AT39" s="420">
        <f t="shared" si="50"/>
        <v>1</v>
      </c>
    </row>
    <row r="40" spans="1:46" s="431" customFormat="1" ht="20.100000000000001" customHeight="1" x14ac:dyDescent="0.3">
      <c r="A40" s="564" t="s">
        <v>206</v>
      </c>
      <c r="B40" s="178">
        <v>36.764018750000005</v>
      </c>
      <c r="C40" s="419"/>
      <c r="D40" s="320">
        <f>IF(B40=0, "    ---- ", IF(ABS(ROUND(100/B40*C40-100,1))&lt;999,ROUND(100/B40*C40-100,1),IF(ROUND(100/B40*C40-100,1)&gt;999,999,-999)))</f>
        <v>-100</v>
      </c>
      <c r="E40" s="178">
        <v>15140.97383793</v>
      </c>
      <c r="F40" s="419">
        <v>12224.95208922</v>
      </c>
      <c r="G40" s="320">
        <f t="shared" si="46"/>
        <v>-19.3</v>
      </c>
      <c r="H40" s="178">
        <v>267.56622636000003</v>
      </c>
      <c r="I40" s="419">
        <v>429.86835996000002</v>
      </c>
      <c r="J40" s="320">
        <f>IF(H40=0, "    ---- ", IF(ABS(ROUND(100/H40*I40-100,1))&lt;999,ROUND(100/H40*I40-100,1),IF(ROUND(100/H40*I40-100,1)&gt;999,999,-999)))</f>
        <v>60.7</v>
      </c>
      <c r="K40" s="178">
        <v>137.69900000000001</v>
      </c>
      <c r="L40" s="419">
        <v>153.851</v>
      </c>
      <c r="M40" s="320">
        <f t="shared" si="59"/>
        <v>11.7</v>
      </c>
      <c r="N40" s="178">
        <v>4</v>
      </c>
      <c r="O40" s="419">
        <v>0</v>
      </c>
      <c r="P40" s="415">
        <f t="shared" si="57"/>
        <v>-100</v>
      </c>
      <c r="Q40" s="178"/>
      <c r="R40" s="419"/>
      <c r="S40" s="320"/>
      <c r="T40" s="178">
        <v>180899.43689521</v>
      </c>
      <c r="U40" s="419">
        <v>214642.37198604</v>
      </c>
      <c r="V40" s="320">
        <f t="shared" si="58"/>
        <v>18.7</v>
      </c>
      <c r="W40" s="178">
        <v>6205.4967120900001</v>
      </c>
      <c r="X40" s="419">
        <v>5941.6365127200006</v>
      </c>
      <c r="Y40" s="320">
        <f t="shared" si="52"/>
        <v>-4.3</v>
      </c>
      <c r="Z40" s="178">
        <v>39194</v>
      </c>
      <c r="AA40" s="419">
        <v>44405</v>
      </c>
      <c r="AB40" s="320">
        <f t="shared" si="53"/>
        <v>13.3</v>
      </c>
      <c r="AC40" s="178"/>
      <c r="AD40" s="419"/>
      <c r="AE40" s="320"/>
      <c r="AF40" s="178">
        <v>3363.837</v>
      </c>
      <c r="AG40" s="419">
        <v>3519.6489999999999</v>
      </c>
      <c r="AH40" s="320">
        <f t="shared" si="54"/>
        <v>4.5999999999999996</v>
      </c>
      <c r="AI40" s="178">
        <v>19429.5</v>
      </c>
      <c r="AJ40" s="419">
        <v>18983</v>
      </c>
      <c r="AK40" s="320">
        <f t="shared" si="55"/>
        <v>-2.2999999999999998</v>
      </c>
      <c r="AL40" s="178"/>
      <c r="AM40" s="419"/>
      <c r="AN40" s="320"/>
      <c r="AO40" s="509">
        <f t="shared" si="47"/>
        <v>264679.27369033999</v>
      </c>
      <c r="AP40" s="509">
        <f t="shared" si="47"/>
        <v>300300.32894793997</v>
      </c>
      <c r="AQ40" s="320">
        <f t="shared" si="48"/>
        <v>13.5</v>
      </c>
      <c r="AR40" s="509">
        <f t="shared" si="49"/>
        <v>264679.27369033999</v>
      </c>
      <c r="AS40" s="509">
        <f t="shared" si="49"/>
        <v>300300.32894793997</v>
      </c>
      <c r="AT40" s="420">
        <f t="shared" si="50"/>
        <v>13.5</v>
      </c>
    </row>
    <row r="41" spans="1:46" s="431" customFormat="1" ht="20.100000000000001" customHeight="1" x14ac:dyDescent="0.3">
      <c r="A41" s="564" t="s">
        <v>207</v>
      </c>
      <c r="B41" s="178">
        <v>1303.0162789999999</v>
      </c>
      <c r="C41" s="419"/>
      <c r="D41" s="419">
        <f>IF(B41=0, "    ---- ", IF(ABS(ROUND(100/B41*C41-100,1))&lt;999,ROUND(100/B41*C41-100,1),IF(ROUND(100/B41*C41-100,1)&gt;999,999,-999)))</f>
        <v>-100</v>
      </c>
      <c r="E41" s="178">
        <v>42503.664253379997</v>
      </c>
      <c r="F41" s="419">
        <v>23563.279629080003</v>
      </c>
      <c r="G41" s="419">
        <f t="shared" si="46"/>
        <v>-44.6</v>
      </c>
      <c r="H41" s="178">
        <v>6059.2092886099999</v>
      </c>
      <c r="I41" s="419">
        <v>3278.0294778299999</v>
      </c>
      <c r="J41" s="419">
        <f>IF(H41=0, "    ---- ", IF(ABS(ROUND(100/H41*I41-100,1))&lt;999,ROUND(100/H41*I41-100,1),IF(ROUND(100/H41*I41-100,1)&gt;999,999,-999)))</f>
        <v>-45.9</v>
      </c>
      <c r="K41" s="178">
        <v>591.149</v>
      </c>
      <c r="L41" s="419">
        <v>727.37599999999998</v>
      </c>
      <c r="M41" s="419">
        <f>IF(K41=0, "    ---- ", IF(ABS(ROUND(100/K41*L41-100,1))&lt;999,ROUND(100/K41*L41-100,1),IF(ROUND(100/K41*L41-100,1)&gt;999,999,-999)))</f>
        <v>23</v>
      </c>
      <c r="N41" s="178">
        <v>462</v>
      </c>
      <c r="O41" s="419">
        <v>508</v>
      </c>
      <c r="P41" s="415">
        <f t="shared" si="57"/>
        <v>10</v>
      </c>
      <c r="Q41" s="178"/>
      <c r="R41" s="419"/>
      <c r="S41" s="320"/>
      <c r="T41" s="178">
        <v>102233.33019019</v>
      </c>
      <c r="U41" s="419">
        <v>99524.436975439996</v>
      </c>
      <c r="V41" s="320">
        <f t="shared" si="58"/>
        <v>-2.6</v>
      </c>
      <c r="W41" s="178">
        <v>5197.7826088100001</v>
      </c>
      <c r="X41" s="419">
        <v>1650.99622957</v>
      </c>
      <c r="Y41" s="320">
        <f t="shared" si="52"/>
        <v>-68.2</v>
      </c>
      <c r="Z41" s="178">
        <v>26842</v>
      </c>
      <c r="AA41" s="419">
        <v>25801</v>
      </c>
      <c r="AB41" s="320">
        <f t="shared" si="53"/>
        <v>-3.9</v>
      </c>
      <c r="AC41" s="178"/>
      <c r="AD41" s="419"/>
      <c r="AE41" s="320"/>
      <c r="AF41" s="178">
        <v>4809.6279999999997</v>
      </c>
      <c r="AG41" s="419">
        <v>4572.0959999999995</v>
      </c>
      <c r="AH41" s="320">
        <f t="shared" si="54"/>
        <v>-4.9000000000000004</v>
      </c>
      <c r="AI41" s="178">
        <v>20518.5</v>
      </c>
      <c r="AJ41" s="419">
        <v>9150</v>
      </c>
      <c r="AK41" s="320">
        <f t="shared" si="55"/>
        <v>-55.4</v>
      </c>
      <c r="AL41" s="178"/>
      <c r="AM41" s="419"/>
      <c r="AN41" s="320"/>
      <c r="AO41" s="509">
        <f t="shared" si="47"/>
        <v>210520.27961999</v>
      </c>
      <c r="AP41" s="509">
        <f t="shared" si="47"/>
        <v>168775.21431191999</v>
      </c>
      <c r="AQ41" s="320">
        <f t="shared" si="48"/>
        <v>-19.8</v>
      </c>
      <c r="AR41" s="509">
        <f t="shared" si="49"/>
        <v>210520.27961999</v>
      </c>
      <c r="AS41" s="509">
        <f t="shared" si="49"/>
        <v>168775.21431191999</v>
      </c>
      <c r="AT41" s="420">
        <f t="shared" si="50"/>
        <v>-19.8</v>
      </c>
    </row>
    <row r="42" spans="1:46" s="431" customFormat="1" ht="20.100000000000001" customHeight="1" x14ac:dyDescent="0.3">
      <c r="A42" s="564" t="s">
        <v>208</v>
      </c>
      <c r="B42" s="178"/>
      <c r="C42" s="419"/>
      <c r="D42" s="419"/>
      <c r="E42" s="178">
        <v>904.33426011000006</v>
      </c>
      <c r="F42" s="419">
        <v>1159.3379613299999</v>
      </c>
      <c r="G42" s="419">
        <f t="shared" si="46"/>
        <v>28.2</v>
      </c>
      <c r="H42" s="178">
        <v>38.795948259999989</v>
      </c>
      <c r="I42" s="419">
        <v>34.624416190000019</v>
      </c>
      <c r="J42" s="419">
        <f t="shared" ref="J42:J43" si="61">IF(H42=0, "    ---- ", IF(ABS(ROUND(100/H42*I42-100,1))&lt;999,ROUND(100/H42*I42-100,1),IF(ROUND(100/H42*I42-100,1)&gt;999,999,-999)))</f>
        <v>-10.8</v>
      </c>
      <c r="K42" s="178"/>
      <c r="L42" s="419"/>
      <c r="M42" s="419"/>
      <c r="N42" s="178">
        <v>3</v>
      </c>
      <c r="O42" s="419">
        <v>6</v>
      </c>
      <c r="P42" s="415">
        <f t="shared" si="57"/>
        <v>100</v>
      </c>
      <c r="Q42" s="178"/>
      <c r="R42" s="419"/>
      <c r="S42" s="320"/>
      <c r="T42" s="178">
        <v>11020.658407379999</v>
      </c>
      <c r="U42" s="419">
        <v>16202.809012540001</v>
      </c>
      <c r="V42" s="320">
        <f t="shared" si="58"/>
        <v>47</v>
      </c>
      <c r="W42" s="178"/>
      <c r="X42" s="419"/>
      <c r="Y42" s="320"/>
      <c r="Z42" s="178"/>
      <c r="AA42" s="419">
        <v>1325</v>
      </c>
      <c r="AB42" s="320" t="str">
        <f t="shared" si="53"/>
        <v xml:space="preserve">    ---- </v>
      </c>
      <c r="AC42" s="178"/>
      <c r="AD42" s="419"/>
      <c r="AE42" s="320"/>
      <c r="AF42" s="178">
        <v>86.578000000000003</v>
      </c>
      <c r="AG42" s="419">
        <v>-7.0999999999999994E-2</v>
      </c>
      <c r="AH42" s="320">
        <f t="shared" si="54"/>
        <v>-100.1</v>
      </c>
      <c r="AI42" s="178"/>
      <c r="AJ42" s="419"/>
      <c r="AK42" s="320"/>
      <c r="AL42" s="178"/>
      <c r="AM42" s="419"/>
      <c r="AN42" s="320"/>
      <c r="AO42" s="509">
        <f t="shared" si="47"/>
        <v>12053.366615749997</v>
      </c>
      <c r="AP42" s="509">
        <f t="shared" si="47"/>
        <v>18727.700390059999</v>
      </c>
      <c r="AQ42" s="320">
        <f t="shared" si="48"/>
        <v>55.4</v>
      </c>
      <c r="AR42" s="509">
        <f t="shared" si="49"/>
        <v>12053.366615749997</v>
      </c>
      <c r="AS42" s="509">
        <f t="shared" si="49"/>
        <v>18727.700390059999</v>
      </c>
      <c r="AT42" s="420">
        <f t="shared" si="50"/>
        <v>55.4</v>
      </c>
    </row>
    <row r="43" spans="1:46" s="431" customFormat="1" ht="20.100000000000001" customHeight="1" x14ac:dyDescent="0.3">
      <c r="A43" s="564" t="s">
        <v>209</v>
      </c>
      <c r="B43" s="178"/>
      <c r="C43" s="419"/>
      <c r="D43" s="419"/>
      <c r="E43" s="178">
        <v>651.50705822999998</v>
      </c>
      <c r="F43" s="419">
        <v>324.75826841000003</v>
      </c>
      <c r="G43" s="419">
        <f t="shared" si="46"/>
        <v>-50.2</v>
      </c>
      <c r="H43" s="178">
        <v>7.4505805969238278E-15</v>
      </c>
      <c r="I43" s="419">
        <v>19.416399420000001</v>
      </c>
      <c r="J43" s="419">
        <f t="shared" si="61"/>
        <v>999</v>
      </c>
      <c r="K43" s="178"/>
      <c r="L43" s="419"/>
      <c r="M43" s="419"/>
      <c r="N43" s="178"/>
      <c r="O43" s="419"/>
      <c r="P43" s="415"/>
      <c r="Q43" s="178"/>
      <c r="R43" s="419"/>
      <c r="S43" s="320"/>
      <c r="T43" s="178">
        <v>324.80700752999996</v>
      </c>
      <c r="U43" s="419">
        <v>2199.26924457</v>
      </c>
      <c r="V43" s="320">
        <f t="shared" si="58"/>
        <v>577.1</v>
      </c>
      <c r="W43" s="178">
        <v>36.94833139</v>
      </c>
      <c r="X43" s="419">
        <v>41.565537469999995</v>
      </c>
      <c r="Y43" s="320">
        <f t="shared" si="52"/>
        <v>12.5</v>
      </c>
      <c r="Z43" s="178">
        <v>-3543</v>
      </c>
      <c r="AA43" s="419">
        <v>14</v>
      </c>
      <c r="AB43" s="320">
        <f>IF(Z43=0, "    ---- ", IF(ABS(ROUND(100/Z43*AA43-100,1))&lt;999,ROUND(100/Z43*AA43-100,1),IF(ROUND(100/Z43*AA43-100,1)&gt;999,999,-999)))</f>
        <v>-100.4</v>
      </c>
      <c r="AC43" s="178"/>
      <c r="AD43" s="419"/>
      <c r="AE43" s="320"/>
      <c r="AF43" s="178">
        <v>3.9830000000000001</v>
      </c>
      <c r="AG43" s="419">
        <v>0.84399999999999997</v>
      </c>
      <c r="AH43" s="320">
        <f t="shared" si="54"/>
        <v>-78.8</v>
      </c>
      <c r="AI43" s="178">
        <v>1411</v>
      </c>
      <c r="AJ43" s="419">
        <v>3484</v>
      </c>
      <c r="AK43" s="320">
        <f t="shared" si="55"/>
        <v>146.9</v>
      </c>
      <c r="AL43" s="178"/>
      <c r="AM43" s="419"/>
      <c r="AN43" s="320"/>
      <c r="AO43" s="509">
        <f t="shared" si="47"/>
        <v>-1114.7546028500001</v>
      </c>
      <c r="AP43" s="509">
        <f t="shared" si="47"/>
        <v>6083.8534498700001</v>
      </c>
      <c r="AQ43" s="320">
        <f t="shared" si="48"/>
        <v>-645.79999999999995</v>
      </c>
      <c r="AR43" s="509">
        <f t="shared" si="49"/>
        <v>-1114.7546028500001</v>
      </c>
      <c r="AS43" s="509">
        <f t="shared" si="49"/>
        <v>6083.8534498700001</v>
      </c>
      <c r="AT43" s="420">
        <f t="shared" si="50"/>
        <v>-645.79999999999995</v>
      </c>
    </row>
    <row r="44" spans="1:46" s="431" customFormat="1" ht="20.100000000000001" customHeight="1" x14ac:dyDescent="0.3">
      <c r="A44" s="564" t="s">
        <v>210</v>
      </c>
      <c r="B44" s="178">
        <v>75.583198269999855</v>
      </c>
      <c r="C44" s="419"/>
      <c r="D44" s="419">
        <f>IF(B44=0, "    ---- ", IF(ABS(ROUND(100/B44*C44-100,1))&lt;999,ROUND(100/B44*C44-100,1),IF(ROUND(100/B44*C44-100,1)&gt;999,999,-999)))</f>
        <v>-100</v>
      </c>
      <c r="E44" s="178">
        <v>531.68583115999991</v>
      </c>
      <c r="F44" s="419">
        <v>563.37874620000002</v>
      </c>
      <c r="G44" s="419">
        <f t="shared" si="46"/>
        <v>6</v>
      </c>
      <c r="H44" s="178">
        <v>76.47627811000001</v>
      </c>
      <c r="I44" s="419">
        <v>237.97718265999995</v>
      </c>
      <c r="J44" s="419">
        <f>IF(H44=0, "    ---- ", IF(ABS(ROUND(100/H44*I44-100,1))&lt;999,ROUND(100/H44*I44-100,1),IF(ROUND(100/H44*I44-100,1)&gt;999,999,-999)))</f>
        <v>211.2</v>
      </c>
      <c r="K44" s="178">
        <v>237.61</v>
      </c>
      <c r="L44" s="419">
        <v>278.83</v>
      </c>
      <c r="M44" s="419">
        <f t="shared" si="59"/>
        <v>17.3</v>
      </c>
      <c r="N44" s="178">
        <v>15</v>
      </c>
      <c r="O44" s="419">
        <v>21</v>
      </c>
      <c r="P44" s="415">
        <f t="shared" si="57"/>
        <v>40</v>
      </c>
      <c r="Q44" s="178"/>
      <c r="R44" s="419"/>
      <c r="S44" s="320"/>
      <c r="T44" s="178">
        <v>11568.845745620001</v>
      </c>
      <c r="U44" s="419">
        <v>9658.5429173299999</v>
      </c>
      <c r="V44" s="320">
        <f t="shared" si="58"/>
        <v>-16.5</v>
      </c>
      <c r="W44" s="178">
        <v>888.14767840000002</v>
      </c>
      <c r="X44" s="419">
        <v>232.68250596999999</v>
      </c>
      <c r="Y44" s="320">
        <f t="shared" si="52"/>
        <v>-73.8</v>
      </c>
      <c r="Z44" s="178">
        <v>321</v>
      </c>
      <c r="AA44" s="419"/>
      <c r="AB44" s="320">
        <f>IF(Z44=0, "    ---- ", IF(ABS(ROUND(100/Z44*AA44-100,1))&lt;999,ROUND(100/Z44*AA44-100,1),IF(ROUND(100/Z44*AA44-100,1)&gt;999,999,-999)))</f>
        <v>-100</v>
      </c>
      <c r="AC44" s="178"/>
      <c r="AD44" s="419"/>
      <c r="AE44" s="320"/>
      <c r="AF44" s="178">
        <v>251.86799999999999</v>
      </c>
      <c r="AG44" s="419">
        <v>158.822</v>
      </c>
      <c r="AH44" s="320">
        <f t="shared" si="54"/>
        <v>-36.9</v>
      </c>
      <c r="AI44" s="178"/>
      <c r="AJ44" s="419"/>
      <c r="AK44" s="320"/>
      <c r="AL44" s="178"/>
      <c r="AM44" s="419">
        <v>1</v>
      </c>
      <c r="AN44" s="320" t="str">
        <f t="shared" si="60"/>
        <v xml:space="preserve">    ---- </v>
      </c>
      <c r="AO44" s="509">
        <f t="shared" si="47"/>
        <v>13966.216731560002</v>
      </c>
      <c r="AP44" s="509">
        <f t="shared" si="47"/>
        <v>11151.233352159999</v>
      </c>
      <c r="AQ44" s="320">
        <f t="shared" si="48"/>
        <v>-20.2</v>
      </c>
      <c r="AR44" s="509">
        <f t="shared" si="49"/>
        <v>13966.216731560002</v>
      </c>
      <c r="AS44" s="509">
        <f t="shared" si="49"/>
        <v>11152.233352159999</v>
      </c>
      <c r="AT44" s="420">
        <f t="shared" si="50"/>
        <v>-20.100000000000001</v>
      </c>
    </row>
    <row r="45" spans="1:46" s="431" customFormat="1" ht="20.100000000000001" customHeight="1" x14ac:dyDescent="0.3">
      <c r="A45" s="614" t="s">
        <v>211</v>
      </c>
      <c r="B45" s="178">
        <v>1415.36349602</v>
      </c>
      <c r="C45" s="419"/>
      <c r="D45" s="320">
        <f>IF(B45=0, "    ---- ", IF(ABS(ROUND(100/B45*C45-100,1))&lt;999,ROUND(100/B45*C45-100,1),IF(ROUND(100/B45*C45-100,1)&gt;999,999,-999)))</f>
        <v>-100</v>
      </c>
      <c r="E45" s="178">
        <v>198828.79905616998</v>
      </c>
      <c r="F45" s="419">
        <v>193380.87421682046</v>
      </c>
      <c r="G45" s="320">
        <f t="shared" si="46"/>
        <v>-2.7</v>
      </c>
      <c r="H45" s="178">
        <v>7969.048744929999</v>
      </c>
      <c r="I45" s="419">
        <v>8815.25612568</v>
      </c>
      <c r="J45" s="320">
        <f>IF(H45=0, "    ---- ", IF(ABS(ROUND(100/H45*I45-100,1))&lt;999,ROUND(100/H45*I45-100,1),IF(ROUND(100/H45*I45-100,1)&gt;999,999,-999)))</f>
        <v>10.6</v>
      </c>
      <c r="K45" s="178">
        <v>1361.22</v>
      </c>
      <c r="L45" s="419">
        <v>1690.671</v>
      </c>
      <c r="M45" s="320">
        <f t="shared" si="59"/>
        <v>24.2</v>
      </c>
      <c r="N45" s="178">
        <v>8136</v>
      </c>
      <c r="O45" s="419">
        <v>8787</v>
      </c>
      <c r="P45" s="415">
        <f t="shared" si="57"/>
        <v>8</v>
      </c>
      <c r="Q45" s="178"/>
      <c r="R45" s="419"/>
      <c r="S45" s="320"/>
      <c r="T45" s="178">
        <v>671095.13534984004</v>
      </c>
      <c r="U45" s="419">
        <v>718214.35018461989</v>
      </c>
      <c r="V45" s="320">
        <f t="shared" si="58"/>
        <v>7</v>
      </c>
      <c r="W45" s="178">
        <v>56157.28746562</v>
      </c>
      <c r="X45" s="419">
        <v>54821.207748200002</v>
      </c>
      <c r="Y45" s="320">
        <f t="shared" si="52"/>
        <v>-2.4</v>
      </c>
      <c r="Z45" s="178">
        <v>111391</v>
      </c>
      <c r="AA45" s="419">
        <v>121616</v>
      </c>
      <c r="AB45" s="320">
        <f>IF(Z45=0, "    ---- ", IF(ABS(ROUND(100/Z45*AA45-100,1))&lt;999,ROUND(100/Z45*AA45-100,1),IF(ROUND(100/Z45*AA45-100,1)&gt;999,999,-999)))</f>
        <v>9.1999999999999993</v>
      </c>
      <c r="AC45" s="178"/>
      <c r="AD45" s="419"/>
      <c r="AE45" s="320"/>
      <c r="AF45" s="178">
        <v>22948.763999999999</v>
      </c>
      <c r="AG45" s="419">
        <v>23293.608</v>
      </c>
      <c r="AH45" s="320">
        <f t="shared" si="54"/>
        <v>1.5</v>
      </c>
      <c r="AI45" s="178">
        <v>202899</v>
      </c>
      <c r="AJ45" s="419">
        <v>210893</v>
      </c>
      <c r="AK45" s="320">
        <f t="shared" si="55"/>
        <v>3.9</v>
      </c>
      <c r="AL45" s="178"/>
      <c r="AM45" s="419">
        <v>1</v>
      </c>
      <c r="AN45" s="320" t="str">
        <f t="shared" si="60"/>
        <v xml:space="preserve">    ---- </v>
      </c>
      <c r="AO45" s="509">
        <f t="shared" si="47"/>
        <v>1282201.6181125799</v>
      </c>
      <c r="AP45" s="509">
        <f t="shared" si="47"/>
        <v>1341511.9672753206</v>
      </c>
      <c r="AQ45" s="320">
        <f t="shared" si="48"/>
        <v>4.5999999999999996</v>
      </c>
      <c r="AR45" s="509">
        <f t="shared" si="49"/>
        <v>1282201.6181125799</v>
      </c>
      <c r="AS45" s="509">
        <f t="shared" si="49"/>
        <v>1341512.9672753206</v>
      </c>
      <c r="AT45" s="420">
        <f t="shared" si="50"/>
        <v>4.5999999999999996</v>
      </c>
    </row>
    <row r="46" spans="1:46" s="431" customFormat="1" ht="20.100000000000001" customHeight="1" x14ac:dyDescent="0.3">
      <c r="A46" s="586" t="s">
        <v>322</v>
      </c>
      <c r="B46" s="178">
        <v>255.52768669</v>
      </c>
      <c r="C46" s="419"/>
      <c r="D46" s="320">
        <f>IF(B46=0, "    ---- ", IF(ABS(ROUND(100/B46*C46-100,1))&lt;999,ROUND(100/B46*C46-100,1),IF(ROUND(100/B46*C46-100,1)&gt;999,999,-999)))</f>
        <v>-100</v>
      </c>
      <c r="E46" s="178">
        <v>399.59901329000002</v>
      </c>
      <c r="F46" s="419">
        <v>481.29363124999998</v>
      </c>
      <c r="G46" s="320">
        <f t="shared" si="46"/>
        <v>20.399999999999999</v>
      </c>
      <c r="H46" s="178">
        <v>504.73026716000004</v>
      </c>
      <c r="I46" s="419">
        <v>447.63992855000004</v>
      </c>
      <c r="J46" s="320">
        <f>IF(H46=0, "    ---- ", IF(ABS(ROUND(100/H46*I46-100,1))&lt;999,ROUND(100/H46*I46-100,1),IF(ROUND(100/H46*I46-100,1)&gt;999,999,-999)))</f>
        <v>-11.3</v>
      </c>
      <c r="K46" s="178">
        <v>74.462000000000003</v>
      </c>
      <c r="L46" s="419">
        <v>111.38</v>
      </c>
      <c r="M46" s="320">
        <f t="shared" si="59"/>
        <v>49.6</v>
      </c>
      <c r="N46" s="178">
        <v>616</v>
      </c>
      <c r="O46" s="419">
        <v>709</v>
      </c>
      <c r="P46" s="415">
        <f t="shared" si="57"/>
        <v>15.1</v>
      </c>
      <c r="Q46" s="178"/>
      <c r="R46" s="419"/>
      <c r="S46" s="320"/>
      <c r="T46" s="178"/>
      <c r="U46" s="419"/>
      <c r="V46" s="320"/>
      <c r="W46" s="178">
        <v>66.48</v>
      </c>
      <c r="X46" s="419">
        <v>68.959999999999994</v>
      </c>
      <c r="Y46" s="320">
        <f t="shared" si="52"/>
        <v>3.7</v>
      </c>
      <c r="Z46" s="178"/>
      <c r="AA46" s="419"/>
      <c r="AB46" s="320"/>
      <c r="AC46" s="178"/>
      <c r="AD46" s="419"/>
      <c r="AE46" s="320"/>
      <c r="AF46" s="178">
        <v>7.9569999999999999</v>
      </c>
      <c r="AG46" s="419">
        <v>11.365</v>
      </c>
      <c r="AH46" s="320">
        <f t="shared" si="54"/>
        <v>42.8</v>
      </c>
      <c r="AI46" s="178">
        <v>6</v>
      </c>
      <c r="AJ46" s="419">
        <v>176</v>
      </c>
      <c r="AK46" s="320">
        <f t="shared" si="55"/>
        <v>999</v>
      </c>
      <c r="AL46" s="178"/>
      <c r="AM46" s="419"/>
      <c r="AN46" s="320"/>
      <c r="AO46" s="509">
        <f t="shared" si="47"/>
        <v>1930.7559671400002</v>
      </c>
      <c r="AP46" s="509">
        <f t="shared" si="47"/>
        <v>2005.6385597999999</v>
      </c>
      <c r="AQ46" s="320">
        <f t="shared" si="48"/>
        <v>3.9</v>
      </c>
      <c r="AR46" s="509">
        <f t="shared" si="49"/>
        <v>1930.7559671400002</v>
      </c>
      <c r="AS46" s="509">
        <f t="shared" si="49"/>
        <v>2005.6385597999999</v>
      </c>
      <c r="AT46" s="420">
        <f t="shared" si="50"/>
        <v>3.9</v>
      </c>
    </row>
    <row r="47" spans="1:46" s="431" customFormat="1" ht="20.100000000000001" customHeight="1" x14ac:dyDescent="0.3">
      <c r="A47" s="586" t="s">
        <v>212</v>
      </c>
      <c r="B47" s="178"/>
      <c r="C47" s="419"/>
      <c r="D47" s="419"/>
      <c r="E47" s="178"/>
      <c r="F47" s="419"/>
      <c r="G47" s="419"/>
      <c r="H47" s="178"/>
      <c r="I47" s="419"/>
      <c r="J47" s="419"/>
      <c r="K47" s="178"/>
      <c r="L47" s="419"/>
      <c r="M47" s="419"/>
      <c r="N47" s="178"/>
      <c r="O47" s="419"/>
      <c r="P47" s="415"/>
      <c r="Q47" s="178"/>
      <c r="R47" s="419"/>
      <c r="S47" s="320"/>
      <c r="T47" s="178"/>
      <c r="U47" s="419"/>
      <c r="V47" s="320"/>
      <c r="W47" s="178"/>
      <c r="X47" s="419"/>
      <c r="Y47" s="320"/>
      <c r="Z47" s="178"/>
      <c r="AA47" s="419"/>
      <c r="AB47" s="320"/>
      <c r="AC47" s="178"/>
      <c r="AD47" s="419"/>
      <c r="AE47" s="320"/>
      <c r="AF47" s="178"/>
      <c r="AG47" s="419"/>
      <c r="AH47" s="320"/>
      <c r="AI47" s="178"/>
      <c r="AJ47" s="419"/>
      <c r="AK47" s="320"/>
      <c r="AL47" s="178"/>
      <c r="AM47" s="419"/>
      <c r="AN47" s="320"/>
      <c r="AO47" s="415"/>
      <c r="AP47" s="415"/>
      <c r="AQ47" s="320"/>
      <c r="AR47" s="415"/>
      <c r="AS47" s="415"/>
      <c r="AT47" s="420"/>
    </row>
    <row r="48" spans="1:46" s="431" customFormat="1" ht="20.100000000000001" customHeight="1" x14ac:dyDescent="0.3">
      <c r="A48" s="564" t="s">
        <v>213</v>
      </c>
      <c r="B48" s="178"/>
      <c r="C48" s="419"/>
      <c r="D48" s="419"/>
      <c r="E48" s="178"/>
      <c r="F48" s="419"/>
      <c r="G48" s="419"/>
      <c r="H48" s="178"/>
      <c r="I48" s="419"/>
      <c r="J48" s="419"/>
      <c r="K48" s="178"/>
      <c r="L48" s="419"/>
      <c r="M48" s="419"/>
      <c r="N48" s="178"/>
      <c r="O48" s="419"/>
      <c r="P48" s="415"/>
      <c r="Q48" s="178"/>
      <c r="R48" s="419"/>
      <c r="S48" s="320"/>
      <c r="T48" s="178"/>
      <c r="U48" s="419"/>
      <c r="V48" s="320"/>
      <c r="W48" s="178"/>
      <c r="X48" s="419"/>
      <c r="Y48" s="320"/>
      <c r="Z48" s="178"/>
      <c r="AA48" s="419"/>
      <c r="AB48" s="320"/>
      <c r="AC48" s="178"/>
      <c r="AD48" s="419"/>
      <c r="AE48" s="320"/>
      <c r="AF48" s="178"/>
      <c r="AG48" s="419"/>
      <c r="AH48" s="320"/>
      <c r="AI48" s="178"/>
      <c r="AJ48" s="419"/>
      <c r="AK48" s="320"/>
      <c r="AL48" s="178"/>
      <c r="AM48" s="419"/>
      <c r="AN48" s="320"/>
      <c r="AO48" s="509">
        <f t="shared" ref="AO48:AP62" si="62">B48+E48+H48+K48+N48+T48+W48+Z48+AF48+AI48</f>
        <v>0</v>
      </c>
      <c r="AP48" s="509">
        <f t="shared" si="62"/>
        <v>0</v>
      </c>
      <c r="AQ48" s="320" t="str">
        <f t="shared" si="48"/>
        <v xml:space="preserve">    ---- </v>
      </c>
      <c r="AR48" s="509">
        <f t="shared" ref="AR48:AS62" si="63">B48+E48+H48+K48+N48+Q48+T48+W48+Z48+AC48+AF48+AI48+AL48</f>
        <v>0</v>
      </c>
      <c r="AS48" s="509">
        <f t="shared" si="63"/>
        <v>0</v>
      </c>
      <c r="AT48" s="420" t="str">
        <f t="shared" si="50"/>
        <v xml:space="preserve">    ---- </v>
      </c>
    </row>
    <row r="49" spans="1:46" s="431" customFormat="1" ht="20.100000000000001" customHeight="1" x14ac:dyDescent="0.3">
      <c r="A49" s="564" t="s">
        <v>214</v>
      </c>
      <c r="B49" s="178"/>
      <c r="C49" s="419"/>
      <c r="D49" s="419"/>
      <c r="E49" s="178">
        <v>4744.1036645889999</v>
      </c>
      <c r="F49" s="419">
        <v>4162.5808562660004</v>
      </c>
      <c r="G49" s="320">
        <f t="shared" si="46"/>
        <v>-12.3</v>
      </c>
      <c r="H49" s="178"/>
      <c r="I49" s="419"/>
      <c r="J49" s="419"/>
      <c r="K49" s="178"/>
      <c r="L49" s="419"/>
      <c r="M49" s="419"/>
      <c r="N49" s="178">
        <v>2229</v>
      </c>
      <c r="O49" s="419">
        <v>2066</v>
      </c>
      <c r="P49" s="415">
        <f t="shared" si="57"/>
        <v>-7.3</v>
      </c>
      <c r="Q49" s="178"/>
      <c r="R49" s="419"/>
      <c r="S49" s="320"/>
      <c r="T49" s="178">
        <v>381.28629683999998</v>
      </c>
      <c r="U49" s="419">
        <v>354.66216483999995</v>
      </c>
      <c r="V49" s="320">
        <f t="shared" ref="V49:V60" si="64">IF(T49=0, "    ---- ", IF(ABS(ROUND(100/T49*U49-100,1))&lt;999,ROUND(100/T49*U49-100,1),IF(ROUND(100/T49*U49-100,1)&gt;999,999,-999)))</f>
        <v>-7</v>
      </c>
      <c r="W49" s="178">
        <v>3359.62</v>
      </c>
      <c r="X49" s="419">
        <v>3228.82</v>
      </c>
      <c r="Y49" s="320">
        <f t="shared" si="52"/>
        <v>-3.9</v>
      </c>
      <c r="Z49" s="178"/>
      <c r="AA49" s="419"/>
      <c r="AB49" s="320"/>
      <c r="AC49" s="178"/>
      <c r="AD49" s="419"/>
      <c r="AE49" s="320"/>
      <c r="AF49" s="178">
        <v>910.63599999999997</v>
      </c>
      <c r="AG49" s="419">
        <v>1315.9949999999999</v>
      </c>
      <c r="AH49" s="320">
        <f t="shared" si="54"/>
        <v>44.5</v>
      </c>
      <c r="AI49" s="178">
        <v>6374</v>
      </c>
      <c r="AJ49" s="419">
        <v>6270</v>
      </c>
      <c r="AK49" s="320">
        <f t="shared" si="55"/>
        <v>-1.6</v>
      </c>
      <c r="AL49" s="178"/>
      <c r="AM49" s="419"/>
      <c r="AN49" s="320"/>
      <c r="AO49" s="509">
        <f t="shared" si="62"/>
        <v>17998.645961429</v>
      </c>
      <c r="AP49" s="509">
        <f t="shared" si="62"/>
        <v>17398.058021106001</v>
      </c>
      <c r="AQ49" s="320">
        <f t="shared" si="48"/>
        <v>-3.3</v>
      </c>
      <c r="AR49" s="509">
        <f t="shared" si="63"/>
        <v>17998.645961429</v>
      </c>
      <c r="AS49" s="509">
        <f t="shared" si="63"/>
        <v>17398.058021106001</v>
      </c>
      <c r="AT49" s="420">
        <f t="shared" si="50"/>
        <v>-3.3</v>
      </c>
    </row>
    <row r="50" spans="1:46" s="431" customFormat="1" ht="20.100000000000001" customHeight="1" x14ac:dyDescent="0.3">
      <c r="A50" s="564" t="s">
        <v>215</v>
      </c>
      <c r="B50" s="178"/>
      <c r="C50" s="419"/>
      <c r="D50" s="419"/>
      <c r="E50" s="178"/>
      <c r="F50" s="419">
        <v>0</v>
      </c>
      <c r="G50" s="320" t="str">
        <f t="shared" si="46"/>
        <v xml:space="preserve">    ---- </v>
      </c>
      <c r="H50" s="178"/>
      <c r="I50" s="419"/>
      <c r="J50" s="419"/>
      <c r="K50" s="178"/>
      <c r="L50" s="419"/>
      <c r="M50" s="419"/>
      <c r="N50" s="178"/>
      <c r="O50" s="419"/>
      <c r="P50" s="415"/>
      <c r="Q50" s="178"/>
      <c r="R50" s="419"/>
      <c r="S50" s="320"/>
      <c r="T50" s="178">
        <v>941.2053449</v>
      </c>
      <c r="U50" s="419">
        <v>970.80273972999998</v>
      </c>
      <c r="V50" s="320">
        <f t="shared" si="64"/>
        <v>3.1</v>
      </c>
      <c r="W50" s="178"/>
      <c r="X50" s="419"/>
      <c r="Y50" s="320"/>
      <c r="Z50" s="178"/>
      <c r="AA50" s="419"/>
      <c r="AB50" s="320"/>
      <c r="AC50" s="178"/>
      <c r="AD50" s="419"/>
      <c r="AE50" s="320"/>
      <c r="AF50" s="178"/>
      <c r="AG50" s="419"/>
      <c r="AH50" s="320"/>
      <c r="AI50" s="178">
        <v>1423</v>
      </c>
      <c r="AJ50" s="419">
        <v>1163</v>
      </c>
      <c r="AK50" s="320">
        <f t="shared" si="55"/>
        <v>-18.3</v>
      </c>
      <c r="AL50" s="178"/>
      <c r="AM50" s="419"/>
      <c r="AN50" s="320"/>
      <c r="AO50" s="509">
        <f t="shared" si="62"/>
        <v>2364.2053449</v>
      </c>
      <c r="AP50" s="509">
        <f t="shared" si="62"/>
        <v>2133.8027397300002</v>
      </c>
      <c r="AQ50" s="320">
        <f t="shared" si="48"/>
        <v>-9.6999999999999993</v>
      </c>
      <c r="AR50" s="509">
        <f t="shared" si="63"/>
        <v>2364.2053449</v>
      </c>
      <c r="AS50" s="509">
        <f t="shared" si="63"/>
        <v>2133.8027397300002</v>
      </c>
      <c r="AT50" s="420">
        <f t="shared" si="50"/>
        <v>-9.6999999999999993</v>
      </c>
    </row>
    <row r="51" spans="1:46" s="431" customFormat="1" ht="20.100000000000001" customHeight="1" x14ac:dyDescent="0.3">
      <c r="A51" s="564" t="s">
        <v>216</v>
      </c>
      <c r="B51" s="178"/>
      <c r="C51" s="419"/>
      <c r="D51" s="320"/>
      <c r="E51" s="178"/>
      <c r="F51" s="419"/>
      <c r="G51" s="320"/>
      <c r="H51" s="178"/>
      <c r="I51" s="419"/>
      <c r="J51" s="320"/>
      <c r="K51" s="178"/>
      <c r="L51" s="419"/>
      <c r="M51" s="320"/>
      <c r="N51" s="178"/>
      <c r="O51" s="419"/>
      <c r="P51" s="415"/>
      <c r="Q51" s="178"/>
      <c r="R51" s="419"/>
      <c r="S51" s="320"/>
      <c r="T51" s="178">
        <v>40.343116530000003</v>
      </c>
      <c r="U51" s="419">
        <v>970.80273972999998</v>
      </c>
      <c r="V51" s="320">
        <f t="shared" si="64"/>
        <v>999</v>
      </c>
      <c r="W51" s="178"/>
      <c r="X51" s="419"/>
      <c r="Y51" s="320"/>
      <c r="Z51" s="178"/>
      <c r="AA51" s="419"/>
      <c r="AB51" s="320"/>
      <c r="AC51" s="178"/>
      <c r="AD51" s="419"/>
      <c r="AE51" s="320"/>
      <c r="AF51" s="178"/>
      <c r="AG51" s="419"/>
      <c r="AH51" s="320"/>
      <c r="AI51" s="178"/>
      <c r="AJ51" s="419"/>
      <c r="AK51" s="320"/>
      <c r="AL51" s="178"/>
      <c r="AM51" s="419"/>
      <c r="AN51" s="320"/>
      <c r="AO51" s="509">
        <f t="shared" si="62"/>
        <v>40.343116530000003</v>
      </c>
      <c r="AP51" s="509">
        <f t="shared" si="62"/>
        <v>970.80273972999998</v>
      </c>
      <c r="AQ51" s="320">
        <f t="shared" si="48"/>
        <v>999</v>
      </c>
      <c r="AR51" s="509">
        <f t="shared" si="63"/>
        <v>40.343116530000003</v>
      </c>
      <c r="AS51" s="509">
        <f t="shared" si="63"/>
        <v>970.80273972999998</v>
      </c>
      <c r="AT51" s="420">
        <f t="shared" si="50"/>
        <v>999</v>
      </c>
    </row>
    <row r="52" spans="1:46" s="431" customFormat="1" ht="20.100000000000001" customHeight="1" x14ac:dyDescent="0.3">
      <c r="A52" s="564" t="s">
        <v>186</v>
      </c>
      <c r="B52" s="178"/>
      <c r="C52" s="419"/>
      <c r="D52" s="419"/>
      <c r="E52" s="178"/>
      <c r="F52" s="419"/>
      <c r="G52" s="419"/>
      <c r="H52" s="178"/>
      <c r="I52" s="419"/>
      <c r="J52" s="419"/>
      <c r="K52" s="178"/>
      <c r="L52" s="419"/>
      <c r="M52" s="419"/>
      <c r="N52" s="178"/>
      <c r="O52" s="419"/>
      <c r="P52" s="509"/>
      <c r="Q52" s="178"/>
      <c r="R52" s="419"/>
      <c r="S52" s="419"/>
      <c r="T52" s="178">
        <v>40.343116530000003</v>
      </c>
      <c r="U52" s="419">
        <v>970.80273972999998</v>
      </c>
      <c r="V52" s="320">
        <f t="shared" si="64"/>
        <v>999</v>
      </c>
      <c r="W52" s="178"/>
      <c r="X52" s="419"/>
      <c r="Y52" s="419"/>
      <c r="Z52" s="178"/>
      <c r="AA52" s="419"/>
      <c r="AB52" s="419"/>
      <c r="AC52" s="178"/>
      <c r="AD52" s="419"/>
      <c r="AE52" s="419"/>
      <c r="AF52" s="178"/>
      <c r="AG52" s="419"/>
      <c r="AH52" s="419"/>
      <c r="AI52" s="178"/>
      <c r="AJ52" s="419"/>
      <c r="AK52" s="419"/>
      <c r="AL52" s="178"/>
      <c r="AM52" s="419"/>
      <c r="AN52" s="419"/>
      <c r="AO52" s="509">
        <f t="shared" si="62"/>
        <v>40.343116530000003</v>
      </c>
      <c r="AP52" s="509">
        <f t="shared" si="62"/>
        <v>970.80273972999998</v>
      </c>
      <c r="AQ52" s="419">
        <f t="shared" si="48"/>
        <v>999</v>
      </c>
      <c r="AR52" s="509">
        <f t="shared" si="63"/>
        <v>40.343116530000003</v>
      </c>
      <c r="AS52" s="509">
        <f t="shared" si="63"/>
        <v>970.80273972999998</v>
      </c>
      <c r="AT52" s="615">
        <f t="shared" si="50"/>
        <v>999</v>
      </c>
    </row>
    <row r="53" spans="1:46" s="431" customFormat="1" ht="20.100000000000001" customHeight="1" x14ac:dyDescent="0.3">
      <c r="A53" s="564" t="s">
        <v>217</v>
      </c>
      <c r="B53" s="178"/>
      <c r="C53" s="419"/>
      <c r="D53" s="419"/>
      <c r="E53" s="178"/>
      <c r="F53" s="419"/>
      <c r="G53" s="419"/>
      <c r="H53" s="178"/>
      <c r="I53" s="419"/>
      <c r="J53" s="419"/>
      <c r="K53" s="178"/>
      <c r="L53" s="419"/>
      <c r="M53" s="419"/>
      <c r="N53" s="178"/>
      <c r="O53" s="419"/>
      <c r="P53" s="415"/>
      <c r="Q53" s="178"/>
      <c r="R53" s="419"/>
      <c r="S53" s="320"/>
      <c r="T53" s="178">
        <v>900.86222837000003</v>
      </c>
      <c r="U53" s="419">
        <v>0</v>
      </c>
      <c r="V53" s="320">
        <f t="shared" si="64"/>
        <v>-100</v>
      </c>
      <c r="W53" s="178"/>
      <c r="X53" s="419"/>
      <c r="Y53" s="320"/>
      <c r="Z53" s="178"/>
      <c r="AA53" s="419"/>
      <c r="AB53" s="320"/>
      <c r="AC53" s="178"/>
      <c r="AD53" s="419"/>
      <c r="AE53" s="320"/>
      <c r="AF53" s="178"/>
      <c r="AG53" s="419"/>
      <c r="AH53" s="320"/>
      <c r="AI53" s="178">
        <v>1423</v>
      </c>
      <c r="AJ53" s="419">
        <v>1163</v>
      </c>
      <c r="AK53" s="320">
        <f t="shared" si="55"/>
        <v>-18.3</v>
      </c>
      <c r="AL53" s="178"/>
      <c r="AM53" s="419"/>
      <c r="AN53" s="320"/>
      <c r="AO53" s="509">
        <f t="shared" si="62"/>
        <v>2323.8622283700001</v>
      </c>
      <c r="AP53" s="509">
        <f t="shared" si="62"/>
        <v>1163</v>
      </c>
      <c r="AQ53" s="320">
        <f t="shared" si="48"/>
        <v>-50</v>
      </c>
      <c r="AR53" s="509">
        <f t="shared" si="63"/>
        <v>2323.8622283700001</v>
      </c>
      <c r="AS53" s="509">
        <f t="shared" si="63"/>
        <v>1163</v>
      </c>
      <c r="AT53" s="420">
        <f t="shared" si="50"/>
        <v>-50</v>
      </c>
    </row>
    <row r="54" spans="1:46" s="431" customFormat="1" ht="20.100000000000001" customHeight="1" x14ac:dyDescent="0.3">
      <c r="A54" s="564" t="s">
        <v>218</v>
      </c>
      <c r="B54" s="178">
        <v>26528.46043214</v>
      </c>
      <c r="C54" s="419"/>
      <c r="D54" s="419">
        <f>IF(B54=0, "    ---- ", IF(ABS(ROUND(100/B54*C54-100,1))&lt;999,ROUND(100/B54*C54-100,1),IF(ROUND(100/B54*C54-100,1)&gt;999,999,-999)))</f>
        <v>-100</v>
      </c>
      <c r="E54" s="178">
        <v>123621.03569647099</v>
      </c>
      <c r="F54" s="419">
        <v>150968.74521244343</v>
      </c>
      <c r="G54" s="419">
        <f t="shared" si="46"/>
        <v>22.1</v>
      </c>
      <c r="H54" s="178"/>
      <c r="I54" s="419"/>
      <c r="J54" s="419"/>
      <c r="K54" s="178"/>
      <c r="L54" s="419"/>
      <c r="M54" s="419"/>
      <c r="N54" s="178">
        <v>38699</v>
      </c>
      <c r="O54" s="419">
        <v>53373</v>
      </c>
      <c r="P54" s="415">
        <f t="shared" si="57"/>
        <v>37.9</v>
      </c>
      <c r="Q54" s="178"/>
      <c r="R54" s="419"/>
      <c r="S54" s="320"/>
      <c r="T54" s="178">
        <v>1279.26412899</v>
      </c>
      <c r="U54" s="419">
        <v>1404.3747980899998</v>
      </c>
      <c r="V54" s="320">
        <f t="shared" si="64"/>
        <v>9.8000000000000007</v>
      </c>
      <c r="W54" s="178">
        <v>108967.78000000001</v>
      </c>
      <c r="X54" s="419">
        <v>132583.93999999997</v>
      </c>
      <c r="Y54" s="320">
        <f t="shared" si="52"/>
        <v>21.7</v>
      </c>
      <c r="Z54" s="178"/>
      <c r="AA54" s="419"/>
      <c r="AB54" s="320"/>
      <c r="AC54" s="178">
        <v>2700.3462319700002</v>
      </c>
      <c r="AD54" s="419"/>
      <c r="AE54" s="320">
        <f>IF(AC54=0, "    ---- ", IF(ABS(ROUND(100/AC54*AD54-100,1))&lt;999,ROUND(100/AC54*AD54-100,1),IF(ROUND(100/AC54*AD54-100,1)&gt;999,999,-999)))</f>
        <v>-100</v>
      </c>
      <c r="AF54" s="178">
        <v>51797.375999999997</v>
      </c>
      <c r="AG54" s="419">
        <v>62143.614000000001</v>
      </c>
      <c r="AH54" s="320">
        <f t="shared" si="54"/>
        <v>20</v>
      </c>
      <c r="AI54" s="178">
        <v>140154</v>
      </c>
      <c r="AJ54" s="419">
        <v>188076</v>
      </c>
      <c r="AK54" s="320">
        <f t="shared" si="55"/>
        <v>34.200000000000003</v>
      </c>
      <c r="AL54" s="178">
        <v>2</v>
      </c>
      <c r="AM54" s="419"/>
      <c r="AN54" s="320">
        <f t="shared" ref="AN54:AN60" si="65">IF(AL54=0, "    ---- ", IF(ABS(ROUND(100/AL54*AM54-100,1))&lt;999,ROUND(100/AL54*AM54-100,1),IF(ROUND(100/AL54*AM54-100,1)&gt;999,999,-999)))</f>
        <v>-100</v>
      </c>
      <c r="AO54" s="509">
        <f t="shared" si="62"/>
        <v>491046.916257601</v>
      </c>
      <c r="AP54" s="509">
        <f t="shared" si="62"/>
        <v>588549.67401053337</v>
      </c>
      <c r="AQ54" s="320">
        <f t="shared" si="48"/>
        <v>19.899999999999999</v>
      </c>
      <c r="AR54" s="509">
        <f t="shared" si="63"/>
        <v>493749.262489571</v>
      </c>
      <c r="AS54" s="509">
        <f t="shared" si="63"/>
        <v>588549.67401053337</v>
      </c>
      <c r="AT54" s="420">
        <f t="shared" si="50"/>
        <v>19.2</v>
      </c>
    </row>
    <row r="55" spans="1:46" s="431" customFormat="1" ht="20.100000000000001" customHeight="1" x14ac:dyDescent="0.3">
      <c r="A55" s="564" t="s">
        <v>219</v>
      </c>
      <c r="B55" s="178">
        <v>16819.399831930001</v>
      </c>
      <c r="C55" s="419"/>
      <c r="D55" s="419">
        <f>IF(B55=0, "    ---- ", IF(ABS(ROUND(100/B55*C55-100,1))&lt;999,ROUND(100/B55*C55-100,1),IF(ROUND(100/B55*C55-100,1)&gt;999,999,-999)))</f>
        <v>-100</v>
      </c>
      <c r="E55" s="178">
        <v>74096.465739630992</v>
      </c>
      <c r="F55" s="419">
        <v>93274.234303093224</v>
      </c>
      <c r="G55" s="419">
        <f t="shared" si="46"/>
        <v>25.9</v>
      </c>
      <c r="H55" s="178"/>
      <c r="I55" s="419"/>
      <c r="J55" s="419"/>
      <c r="K55" s="178"/>
      <c r="L55" s="419"/>
      <c r="M55" s="419"/>
      <c r="N55" s="178">
        <v>32111</v>
      </c>
      <c r="O55" s="419">
        <v>43988</v>
      </c>
      <c r="P55" s="415">
        <f t="shared" si="57"/>
        <v>37</v>
      </c>
      <c r="Q55" s="178"/>
      <c r="R55" s="419"/>
      <c r="S55" s="320"/>
      <c r="T55" s="178">
        <v>922.62612208000007</v>
      </c>
      <c r="U55" s="419">
        <v>1054.1384675100001</v>
      </c>
      <c r="V55" s="320">
        <f t="shared" si="64"/>
        <v>14.3</v>
      </c>
      <c r="W55" s="178">
        <v>68425.22</v>
      </c>
      <c r="X55" s="419">
        <v>86295.32</v>
      </c>
      <c r="Y55" s="320">
        <f t="shared" si="52"/>
        <v>26.1</v>
      </c>
      <c r="Z55" s="178"/>
      <c r="AA55" s="419"/>
      <c r="AB55" s="320"/>
      <c r="AC55" s="178">
        <v>2700.3462319700002</v>
      </c>
      <c r="AD55" s="419"/>
      <c r="AE55" s="320">
        <f>IF(AC55=0, "    ---- ", IF(ABS(ROUND(100/AC55*AD55-100,1))&lt;999,ROUND(100/AC55*AD55-100,1),IF(ROUND(100/AC55*AD55-100,1)&gt;999,999,-999)))</f>
        <v>-100</v>
      </c>
      <c r="AF55" s="178">
        <v>33505.411999999997</v>
      </c>
      <c r="AG55" s="419">
        <v>40863.016000000003</v>
      </c>
      <c r="AH55" s="320">
        <f t="shared" si="54"/>
        <v>22</v>
      </c>
      <c r="AI55" s="178">
        <v>99774</v>
      </c>
      <c r="AJ55" s="419">
        <v>135617</v>
      </c>
      <c r="AK55" s="320">
        <f t="shared" si="55"/>
        <v>35.9</v>
      </c>
      <c r="AL55" s="178"/>
      <c r="AM55" s="419"/>
      <c r="AN55" s="320"/>
      <c r="AO55" s="509">
        <f t="shared" si="62"/>
        <v>325654.12369364098</v>
      </c>
      <c r="AP55" s="509">
        <f t="shared" si="62"/>
        <v>401091.70877060323</v>
      </c>
      <c r="AQ55" s="320">
        <f t="shared" si="48"/>
        <v>23.2</v>
      </c>
      <c r="AR55" s="509">
        <f t="shared" si="63"/>
        <v>328354.46992561099</v>
      </c>
      <c r="AS55" s="509">
        <f t="shared" si="63"/>
        <v>401091.70877060323</v>
      </c>
      <c r="AT55" s="420">
        <f t="shared" si="50"/>
        <v>22.2</v>
      </c>
    </row>
    <row r="56" spans="1:46" s="431" customFormat="1" ht="20.100000000000001" customHeight="1" x14ac:dyDescent="0.3">
      <c r="A56" s="564" t="s">
        <v>220</v>
      </c>
      <c r="B56" s="178">
        <v>9154.7765330900002</v>
      </c>
      <c r="C56" s="419"/>
      <c r="D56" s="419">
        <f>IF(B56=0, "    ---- ", IF(ABS(ROUND(100/B56*C56-100,1))&lt;999,ROUND(100/B56*C56-100,1),IF(ROUND(100/B56*C56-100,1)&gt;999,999,-999)))</f>
        <v>-100</v>
      </c>
      <c r="E56" s="178">
        <v>47712.040404840001</v>
      </c>
      <c r="F56" s="419">
        <v>56172.776527070222</v>
      </c>
      <c r="G56" s="419">
        <f t="shared" si="46"/>
        <v>17.7</v>
      </c>
      <c r="H56" s="178"/>
      <c r="I56" s="419"/>
      <c r="J56" s="419"/>
      <c r="K56" s="178"/>
      <c r="L56" s="419"/>
      <c r="M56" s="419"/>
      <c r="N56" s="178">
        <v>6428</v>
      </c>
      <c r="O56" s="419">
        <v>8802</v>
      </c>
      <c r="P56" s="415">
        <f t="shared" si="57"/>
        <v>36.9</v>
      </c>
      <c r="Q56" s="178"/>
      <c r="R56" s="419"/>
      <c r="S56" s="320"/>
      <c r="T56" s="178">
        <v>267.70394236999999</v>
      </c>
      <c r="U56" s="419">
        <v>244.94841947999998</v>
      </c>
      <c r="V56" s="320">
        <f t="shared" si="64"/>
        <v>-8.5</v>
      </c>
      <c r="W56" s="178">
        <v>41142.76</v>
      </c>
      <c r="X56" s="419">
        <v>45770.3</v>
      </c>
      <c r="Y56" s="320">
        <f t="shared" si="52"/>
        <v>11.2</v>
      </c>
      <c r="Z56" s="178"/>
      <c r="AA56" s="419"/>
      <c r="AB56" s="320"/>
      <c r="AC56" s="178"/>
      <c r="AD56" s="419"/>
      <c r="AE56" s="320"/>
      <c r="AF56" s="178">
        <v>18091.633999999998</v>
      </c>
      <c r="AG56" s="419">
        <v>20883.837</v>
      </c>
      <c r="AH56" s="320">
        <f t="shared" si="54"/>
        <v>15.4</v>
      </c>
      <c r="AI56" s="178">
        <v>40173</v>
      </c>
      <c r="AJ56" s="419">
        <v>51539</v>
      </c>
      <c r="AK56" s="320">
        <f t="shared" si="55"/>
        <v>28.3</v>
      </c>
      <c r="AL56" s="178"/>
      <c r="AM56" s="419"/>
      <c r="AN56" s="320"/>
      <c r="AO56" s="509">
        <f t="shared" si="62"/>
        <v>162969.9148803</v>
      </c>
      <c r="AP56" s="509">
        <f t="shared" si="62"/>
        <v>183412.86194655023</v>
      </c>
      <c r="AQ56" s="320">
        <f t="shared" si="48"/>
        <v>12.5</v>
      </c>
      <c r="AR56" s="509">
        <f t="shared" si="63"/>
        <v>162969.9148803</v>
      </c>
      <c r="AS56" s="509">
        <f t="shared" si="63"/>
        <v>183412.86194655023</v>
      </c>
      <c r="AT56" s="420">
        <f t="shared" si="50"/>
        <v>12.5</v>
      </c>
    </row>
    <row r="57" spans="1:46" s="431" customFormat="1" ht="20.100000000000001" customHeight="1" x14ac:dyDescent="0.3">
      <c r="A57" s="564" t="s">
        <v>221</v>
      </c>
      <c r="B57" s="178"/>
      <c r="C57" s="419"/>
      <c r="D57" s="320"/>
      <c r="E57" s="178">
        <v>1812.529552</v>
      </c>
      <c r="F57" s="419">
        <v>1521.7343822799999</v>
      </c>
      <c r="G57" s="320">
        <f t="shared" si="46"/>
        <v>-16</v>
      </c>
      <c r="H57" s="178"/>
      <c r="I57" s="419"/>
      <c r="J57" s="320"/>
      <c r="K57" s="178"/>
      <c r="L57" s="419"/>
      <c r="M57" s="320"/>
      <c r="N57" s="178">
        <v>28</v>
      </c>
      <c r="O57" s="419">
        <v>12</v>
      </c>
      <c r="P57" s="320">
        <f t="shared" si="57"/>
        <v>-57.1</v>
      </c>
      <c r="Q57" s="178"/>
      <c r="R57" s="419"/>
      <c r="S57" s="320"/>
      <c r="T57" s="178">
        <v>88.497764989999993</v>
      </c>
      <c r="U57" s="419">
        <v>95.395625340000009</v>
      </c>
      <c r="V57" s="320">
        <f t="shared" si="64"/>
        <v>7.8</v>
      </c>
      <c r="W57" s="178"/>
      <c r="X57" s="419"/>
      <c r="Y57" s="320"/>
      <c r="Z57" s="178"/>
      <c r="AA57" s="419"/>
      <c r="AB57" s="320"/>
      <c r="AC57" s="178"/>
      <c r="AD57" s="419"/>
      <c r="AE57" s="320"/>
      <c r="AF57" s="178">
        <v>75.328000000000003</v>
      </c>
      <c r="AG57" s="419">
        <v>76.965000000000003</v>
      </c>
      <c r="AH57" s="320">
        <f t="shared" si="54"/>
        <v>2.2000000000000002</v>
      </c>
      <c r="AI57" s="178">
        <v>127</v>
      </c>
      <c r="AJ57" s="419">
        <v>129</v>
      </c>
      <c r="AK57" s="320">
        <f t="shared" si="55"/>
        <v>1.6</v>
      </c>
      <c r="AL57" s="178"/>
      <c r="AM57" s="419"/>
      <c r="AN57" s="320"/>
      <c r="AO57" s="509">
        <f t="shared" si="62"/>
        <v>2131.3553169899997</v>
      </c>
      <c r="AP57" s="509">
        <f t="shared" si="62"/>
        <v>1835.0950076199997</v>
      </c>
      <c r="AQ57" s="320">
        <f t="shared" si="48"/>
        <v>-13.9</v>
      </c>
      <c r="AR57" s="509">
        <f t="shared" si="63"/>
        <v>2131.3553169899997</v>
      </c>
      <c r="AS57" s="509">
        <f t="shared" si="63"/>
        <v>1835.0950076199997</v>
      </c>
      <c r="AT57" s="420">
        <f t="shared" si="50"/>
        <v>-13.9</v>
      </c>
    </row>
    <row r="58" spans="1:46" s="431" customFormat="1" ht="20.100000000000001" customHeight="1" x14ac:dyDescent="0.3">
      <c r="A58" s="564" t="s">
        <v>222</v>
      </c>
      <c r="B58" s="178">
        <v>3.7270671200000001</v>
      </c>
      <c r="C58" s="419"/>
      <c r="D58" s="320">
        <f>IF(B58=0, "    ---- ", IF(ABS(ROUND(100/B58*C58-100,1))&lt;999,ROUND(100/B58*C58-100,1),IF(ROUND(100/B58*C58-100,1)&gt;999,999,-999)))</f>
        <v>-100</v>
      </c>
      <c r="E58" s="178"/>
      <c r="F58" s="419"/>
      <c r="G58" s="320"/>
      <c r="H58" s="178"/>
      <c r="I58" s="419"/>
      <c r="J58" s="320"/>
      <c r="K58" s="178"/>
      <c r="L58" s="419"/>
      <c r="M58" s="320"/>
      <c r="N58" s="178"/>
      <c r="O58" s="419"/>
      <c r="P58" s="320"/>
      <c r="Q58" s="178"/>
      <c r="R58" s="419"/>
      <c r="S58" s="320"/>
      <c r="T58" s="178">
        <v>7.6415339999999998E-2</v>
      </c>
      <c r="U58" s="419">
        <v>8.4862515299999988</v>
      </c>
      <c r="V58" s="320">
        <f t="shared" si="64"/>
        <v>999</v>
      </c>
      <c r="W58" s="178">
        <v>-1048.22</v>
      </c>
      <c r="X58" s="419">
        <v>8.99</v>
      </c>
      <c r="Y58" s="320">
        <f t="shared" si="52"/>
        <v>-100.9</v>
      </c>
      <c r="Z58" s="178"/>
      <c r="AA58" s="419"/>
      <c r="AB58" s="320"/>
      <c r="AC58" s="178"/>
      <c r="AD58" s="419"/>
      <c r="AE58" s="320"/>
      <c r="AF58" s="178"/>
      <c r="AG58" s="419"/>
      <c r="AH58" s="320"/>
      <c r="AI58" s="178">
        <v>80</v>
      </c>
      <c r="AJ58" s="419">
        <v>772</v>
      </c>
      <c r="AK58" s="320">
        <f t="shared" si="55"/>
        <v>865</v>
      </c>
      <c r="AL58" s="178"/>
      <c r="AM58" s="419"/>
      <c r="AN58" s="320"/>
      <c r="AO58" s="509">
        <f t="shared" si="62"/>
        <v>-964.41651754000009</v>
      </c>
      <c r="AP58" s="509">
        <f t="shared" si="62"/>
        <v>789.47625153000001</v>
      </c>
      <c r="AQ58" s="320">
        <f t="shared" si="48"/>
        <v>-181.9</v>
      </c>
      <c r="AR58" s="509">
        <f t="shared" si="63"/>
        <v>-964.41651754000009</v>
      </c>
      <c r="AS58" s="509">
        <f t="shared" si="63"/>
        <v>789.47625153000001</v>
      </c>
      <c r="AT58" s="420">
        <f t="shared" si="50"/>
        <v>-181.9</v>
      </c>
    </row>
    <row r="59" spans="1:46" s="431" customFormat="1" ht="20.100000000000001" customHeight="1" x14ac:dyDescent="0.3">
      <c r="A59" s="564" t="s">
        <v>223</v>
      </c>
      <c r="B59" s="178">
        <v>550.55700000000002</v>
      </c>
      <c r="C59" s="419"/>
      <c r="D59" s="320">
        <f>IF(B59=0, "    ---- ", IF(ABS(ROUND(100/B59*C59-100,1))&lt;999,ROUND(100/B59*C59-100,1),IF(ROUND(100/B59*C59-100,1)&gt;999,999,-999)))</f>
        <v>-100</v>
      </c>
      <c r="E59" s="178"/>
      <c r="F59" s="419"/>
      <c r="G59" s="320"/>
      <c r="H59" s="178"/>
      <c r="I59" s="419"/>
      <c r="J59" s="320"/>
      <c r="K59" s="178"/>
      <c r="L59" s="419"/>
      <c r="M59" s="320"/>
      <c r="N59" s="178">
        <v>132</v>
      </c>
      <c r="O59" s="419">
        <v>571</v>
      </c>
      <c r="P59" s="320">
        <f>IF(N59=0, "    ---- ", IF(ABS(ROUND(100/N59*O59-100,1))&lt;999,ROUND(100/N59*O59-100,1),IF(ROUND(100/N59*O59-100,1)&gt;999,999,-999)))</f>
        <v>332.6</v>
      </c>
      <c r="Q59" s="178"/>
      <c r="R59" s="419"/>
      <c r="S59" s="320"/>
      <c r="T59" s="178">
        <v>0.35988421000000004</v>
      </c>
      <c r="U59" s="419">
        <v>1.4060342299999999</v>
      </c>
      <c r="V59" s="320">
        <f t="shared" si="64"/>
        <v>290.7</v>
      </c>
      <c r="W59" s="178">
        <v>448.02</v>
      </c>
      <c r="X59" s="419">
        <v>509.33</v>
      </c>
      <c r="Y59" s="320">
        <f t="shared" si="52"/>
        <v>13.7</v>
      </c>
      <c r="Z59" s="178"/>
      <c r="AA59" s="419"/>
      <c r="AB59" s="320"/>
      <c r="AC59" s="178"/>
      <c r="AD59" s="419"/>
      <c r="AE59" s="320"/>
      <c r="AF59" s="178">
        <v>125.002</v>
      </c>
      <c r="AG59" s="419">
        <v>319.79599999999999</v>
      </c>
      <c r="AH59" s="320">
        <f t="shared" si="54"/>
        <v>155.80000000000001</v>
      </c>
      <c r="AI59" s="178"/>
      <c r="AJ59" s="419">
        <v>19</v>
      </c>
      <c r="AK59" s="320" t="str">
        <f t="shared" si="55"/>
        <v xml:space="preserve">    ---- </v>
      </c>
      <c r="AL59" s="178">
        <v>2</v>
      </c>
      <c r="AM59" s="419"/>
      <c r="AN59" s="320">
        <f t="shared" si="65"/>
        <v>-100</v>
      </c>
      <c r="AO59" s="509">
        <f t="shared" si="62"/>
        <v>1255.93888421</v>
      </c>
      <c r="AP59" s="509">
        <f t="shared" si="62"/>
        <v>1420.5320342300001</v>
      </c>
      <c r="AQ59" s="320">
        <f t="shared" si="48"/>
        <v>13.1</v>
      </c>
      <c r="AR59" s="509">
        <f t="shared" si="63"/>
        <v>1257.93888421</v>
      </c>
      <c r="AS59" s="509">
        <f t="shared" si="63"/>
        <v>1420.5320342300001</v>
      </c>
      <c r="AT59" s="420">
        <f t="shared" si="50"/>
        <v>12.9</v>
      </c>
    </row>
    <row r="60" spans="1:46" s="431" customFormat="1" ht="20.100000000000001" customHeight="1" x14ac:dyDescent="0.3">
      <c r="A60" s="614" t="s">
        <v>224</v>
      </c>
      <c r="B60" s="178">
        <v>26528.46043214</v>
      </c>
      <c r="C60" s="419"/>
      <c r="D60" s="320">
        <f>IF(B60=0, "    ---- ", IF(ABS(ROUND(100/B60*C60-100,1))&lt;999,ROUND(100/B60*C60-100,1),IF(ROUND(100/B60*C60-100,1)&gt;999,999,-999)))</f>
        <v>-100</v>
      </c>
      <c r="E60" s="178">
        <v>128365.13936105999</v>
      </c>
      <c r="F60" s="419">
        <v>155131.32606870943</v>
      </c>
      <c r="G60" s="320">
        <f t="shared" si="46"/>
        <v>20.9</v>
      </c>
      <c r="H60" s="178"/>
      <c r="I60" s="419"/>
      <c r="J60" s="320"/>
      <c r="K60" s="178"/>
      <c r="L60" s="419"/>
      <c r="M60" s="320"/>
      <c r="N60" s="178">
        <v>40928</v>
      </c>
      <c r="O60" s="419">
        <v>55439</v>
      </c>
      <c r="P60" s="320">
        <f>IF(N60=0, "    ---- ", IF(ABS(ROUND(100/N60*O60-100,1))&lt;999,ROUND(100/N60*O60-100,1),IF(ROUND(100/N60*O60-100,1)&gt;999,999,-999)))</f>
        <v>35.5</v>
      </c>
      <c r="Q60" s="178"/>
      <c r="R60" s="419"/>
      <c r="S60" s="320"/>
      <c r="T60" s="178">
        <v>2601.7557707300002</v>
      </c>
      <c r="U60" s="419">
        <v>2729.8397026599996</v>
      </c>
      <c r="V60" s="320">
        <f t="shared" si="64"/>
        <v>4.9000000000000004</v>
      </c>
      <c r="W60" s="178">
        <v>112327.40000000001</v>
      </c>
      <c r="X60" s="419">
        <v>135812.75999999998</v>
      </c>
      <c r="Y60" s="320">
        <f t="shared" si="52"/>
        <v>20.9</v>
      </c>
      <c r="Z60" s="178"/>
      <c r="AA60" s="419"/>
      <c r="AB60" s="320"/>
      <c r="AC60" s="178">
        <v>2700.3462319700002</v>
      </c>
      <c r="AD60" s="419"/>
      <c r="AE60" s="320">
        <f>IF(AC60=0, "    ---- ", IF(ABS(ROUND(100/AC60*AD60-100,1))&lt;999,ROUND(100/AC60*AD60-100,1),IF(ROUND(100/AC60*AD60-100,1)&gt;999,999,-999)))</f>
        <v>-100</v>
      </c>
      <c r="AF60" s="178">
        <v>52708.011999999995</v>
      </c>
      <c r="AG60" s="419">
        <v>63459.609000000004</v>
      </c>
      <c r="AH60" s="320">
        <f t="shared" si="54"/>
        <v>20.399999999999999</v>
      </c>
      <c r="AI60" s="178">
        <v>147951</v>
      </c>
      <c r="AJ60" s="419">
        <v>195509</v>
      </c>
      <c r="AK60" s="320">
        <f t="shared" si="55"/>
        <v>32.1</v>
      </c>
      <c r="AL60" s="178">
        <v>2</v>
      </c>
      <c r="AM60" s="419"/>
      <c r="AN60" s="320">
        <f t="shared" si="65"/>
        <v>-100</v>
      </c>
      <c r="AO60" s="509">
        <f t="shared" si="62"/>
        <v>511409.76756393001</v>
      </c>
      <c r="AP60" s="509">
        <f t="shared" si="62"/>
        <v>608081.5347713693</v>
      </c>
      <c r="AQ60" s="320">
        <f t="shared" si="48"/>
        <v>18.899999999999999</v>
      </c>
      <c r="AR60" s="509">
        <f t="shared" si="63"/>
        <v>514112.11379590002</v>
      </c>
      <c r="AS60" s="509">
        <f t="shared" si="63"/>
        <v>608081.5347713693</v>
      </c>
      <c r="AT60" s="420">
        <f t="shared" si="50"/>
        <v>18.3</v>
      </c>
    </row>
    <row r="61" spans="1:46" s="431" customFormat="1" ht="20.100000000000001" customHeight="1" x14ac:dyDescent="0.3">
      <c r="A61" s="586" t="s">
        <v>323</v>
      </c>
      <c r="B61" s="178"/>
      <c r="C61" s="419"/>
      <c r="D61" s="320"/>
      <c r="E61" s="178"/>
      <c r="F61" s="419"/>
      <c r="G61" s="320"/>
      <c r="H61" s="178"/>
      <c r="I61" s="419"/>
      <c r="J61" s="320"/>
      <c r="K61" s="178"/>
      <c r="L61" s="419"/>
      <c r="M61" s="320"/>
      <c r="N61" s="178">
        <v>4</v>
      </c>
      <c r="O61" s="419">
        <v>3</v>
      </c>
      <c r="P61" s="320">
        <f>IF(N61=0, "    ---- ", IF(ABS(ROUND(100/N61*O61-100,1))&lt;999,ROUND(100/N61*O61-100,1),IF(ROUND(100/N61*O61-100,1)&gt;999,999,-999)))</f>
        <v>-25</v>
      </c>
      <c r="Q61" s="178"/>
      <c r="R61" s="419"/>
      <c r="S61" s="320"/>
      <c r="T61" s="178"/>
      <c r="U61" s="419"/>
      <c r="V61" s="320"/>
      <c r="W61" s="178"/>
      <c r="X61" s="419"/>
      <c r="Y61" s="320"/>
      <c r="Z61" s="178"/>
      <c r="AA61" s="419"/>
      <c r="AB61" s="320"/>
      <c r="AC61" s="178"/>
      <c r="AD61" s="419"/>
      <c r="AE61" s="320"/>
      <c r="AF61" s="178"/>
      <c r="AG61" s="419"/>
      <c r="AH61" s="320"/>
      <c r="AI61" s="178"/>
      <c r="AJ61" s="419"/>
      <c r="AK61" s="320"/>
      <c r="AL61" s="178"/>
      <c r="AM61" s="419"/>
      <c r="AN61" s="320"/>
      <c r="AO61" s="509">
        <f t="shared" si="62"/>
        <v>4</v>
      </c>
      <c r="AP61" s="509">
        <f t="shared" si="62"/>
        <v>3</v>
      </c>
      <c r="AQ61" s="320">
        <f t="shared" si="48"/>
        <v>-25</v>
      </c>
      <c r="AR61" s="509">
        <f t="shared" si="63"/>
        <v>4</v>
      </c>
      <c r="AS61" s="509">
        <f t="shared" si="63"/>
        <v>3</v>
      </c>
      <c r="AT61" s="420">
        <f t="shared" si="50"/>
        <v>-25</v>
      </c>
    </row>
    <row r="62" spans="1:46" s="431" customFormat="1" ht="20.100000000000001" customHeight="1" x14ac:dyDescent="0.3">
      <c r="A62" s="564" t="s">
        <v>225</v>
      </c>
      <c r="B62" s="178">
        <v>28199.351614849998</v>
      </c>
      <c r="C62" s="419"/>
      <c r="D62" s="320">
        <f>IF(B62=0, "    ---- ", IF(ABS(ROUND(100/B62*C62-100,1))&lt;999,ROUND(100/B62*C62-100,1),IF(ROUND(100/B62*C62-100,1)&gt;999,999,-999)))</f>
        <v>-100</v>
      </c>
      <c r="E62" s="178">
        <v>327593.53743051994</v>
      </c>
      <c r="F62" s="419">
        <v>348993.49391677987</v>
      </c>
      <c r="G62" s="320">
        <f t="shared" si="46"/>
        <v>6.5</v>
      </c>
      <c r="H62" s="178">
        <v>8473.779012089999</v>
      </c>
      <c r="I62" s="419">
        <v>9262.8960542299992</v>
      </c>
      <c r="J62" s="320">
        <f>IF(H62=0, "    ---- ", IF(ABS(ROUND(100/H62*I62-100,1))&lt;999,ROUND(100/H62*I62-100,1),IF(ROUND(100/H62*I62-100,1)&gt;999,999,-999)))</f>
        <v>9.3000000000000007</v>
      </c>
      <c r="K62" s="178">
        <v>1435.682</v>
      </c>
      <c r="L62" s="419">
        <v>1802.0509999999999</v>
      </c>
      <c r="M62" s="320">
        <f>IF(K62=0, "    ---- ", IF(ABS(ROUND(100/K62*L62-100,1))&lt;999,ROUND(100/K62*L62-100,1),IF(ROUND(100/K62*L62-100,1)&gt;999,999,-999)))</f>
        <v>25.5</v>
      </c>
      <c r="N62" s="178">
        <v>49684</v>
      </c>
      <c r="O62" s="419">
        <v>64938</v>
      </c>
      <c r="P62" s="320">
        <f>IF(N62=0, "    ---- ", IF(ABS(ROUND(100/N62*O62-100,1))&lt;999,ROUND(100/N62*O62-100,1),IF(ROUND(100/N62*O62-100,1)&gt;999,999,-999)))</f>
        <v>30.7</v>
      </c>
      <c r="Q62" s="178"/>
      <c r="R62" s="419"/>
      <c r="S62" s="320"/>
      <c r="T62" s="178">
        <v>673696.89112057001</v>
      </c>
      <c r="U62" s="419">
        <v>720944.18988727988</v>
      </c>
      <c r="V62" s="320">
        <f>IF(T62=0, "    ---- ", IF(ABS(ROUND(100/T62*U62-100,1))&lt;999,ROUND(100/T62*U62-100,1),IF(ROUND(100/T62*U62-100,1)&gt;999,999,-999)))</f>
        <v>7</v>
      </c>
      <c r="W62" s="178">
        <v>168551.16746562</v>
      </c>
      <c r="X62" s="419">
        <v>190702.92774819999</v>
      </c>
      <c r="Y62" s="320">
        <f t="shared" si="52"/>
        <v>13.1</v>
      </c>
      <c r="Z62" s="178">
        <v>111391</v>
      </c>
      <c r="AA62" s="419">
        <v>121616</v>
      </c>
      <c r="AB62" s="320">
        <f>IF(Z62=0, "    ---- ", IF(ABS(ROUND(100/Z62*AA62-100,1))&lt;999,ROUND(100/Z62*AA62-100,1),IF(ROUND(100/Z62*AA62-100,1)&gt;999,999,-999)))</f>
        <v>9.1999999999999993</v>
      </c>
      <c r="AC62" s="178">
        <v>2700.3462319700002</v>
      </c>
      <c r="AD62" s="419"/>
      <c r="AE62" s="320">
        <f>IF(AC62=0, "    ---- ", IF(ABS(ROUND(100/AC62*AD62-100,1))&lt;999,ROUND(100/AC62*AD62-100,1),IF(ROUND(100/AC62*AD62-100,1)&gt;999,999,-999)))</f>
        <v>-100</v>
      </c>
      <c r="AF62" s="178">
        <v>75664.732999999993</v>
      </c>
      <c r="AG62" s="419">
        <v>86764.582000000009</v>
      </c>
      <c r="AH62" s="320">
        <f t="shared" si="54"/>
        <v>14.7</v>
      </c>
      <c r="AI62" s="178">
        <v>350856</v>
      </c>
      <c r="AJ62" s="419">
        <v>406578</v>
      </c>
      <c r="AK62" s="320">
        <f t="shared" si="55"/>
        <v>15.9</v>
      </c>
      <c r="AL62" s="178">
        <v>2</v>
      </c>
      <c r="AM62" s="419">
        <v>1</v>
      </c>
      <c r="AN62" s="320">
        <f t="shared" ref="AN62" si="66">IF(AL62=0, "    ---- ", IF(ABS(ROUND(100/AL62*AM62-100,1))&lt;999,ROUND(100/AL62*AM62-100,1),IF(ROUND(100/AL62*AM62-100,1)&gt;999,999,-999)))</f>
        <v>-50</v>
      </c>
      <c r="AO62" s="509">
        <f t="shared" si="62"/>
        <v>1795546.1416436499</v>
      </c>
      <c r="AP62" s="509">
        <f t="shared" si="62"/>
        <v>1951602.1406064897</v>
      </c>
      <c r="AQ62" s="320">
        <f t="shared" si="48"/>
        <v>8.6999999999999993</v>
      </c>
      <c r="AR62" s="509">
        <f t="shared" si="63"/>
        <v>1798248.4878756199</v>
      </c>
      <c r="AS62" s="509">
        <f t="shared" si="63"/>
        <v>1951603.1406064897</v>
      </c>
      <c r="AT62" s="420">
        <f t="shared" si="50"/>
        <v>8.5</v>
      </c>
    </row>
    <row r="63" spans="1:46" s="452" customFormat="1" ht="20.100000000000001" customHeight="1" x14ac:dyDescent="0.3">
      <c r="A63" s="586"/>
      <c r="B63" s="180"/>
      <c r="C63" s="418"/>
      <c r="D63" s="417"/>
      <c r="E63" s="180"/>
      <c r="F63" s="418"/>
      <c r="G63" s="417"/>
      <c r="H63" s="180"/>
      <c r="I63" s="418"/>
      <c r="J63" s="417"/>
      <c r="K63" s="180"/>
      <c r="L63" s="418"/>
      <c r="M63" s="417"/>
      <c r="N63" s="180"/>
      <c r="O63" s="418"/>
      <c r="P63" s="421"/>
      <c r="Q63" s="180"/>
      <c r="R63" s="418"/>
      <c r="S63" s="417"/>
      <c r="T63" s="180"/>
      <c r="U63" s="418"/>
      <c r="V63" s="417"/>
      <c r="W63" s="180"/>
      <c r="X63" s="418"/>
      <c r="Y63" s="417"/>
      <c r="Z63" s="180"/>
      <c r="AA63" s="418"/>
      <c r="AB63" s="417"/>
      <c r="AC63" s="180"/>
      <c r="AD63" s="418"/>
      <c r="AE63" s="417"/>
      <c r="AF63" s="180"/>
      <c r="AG63" s="418"/>
      <c r="AH63" s="417"/>
      <c r="AI63" s="180"/>
      <c r="AJ63" s="418"/>
      <c r="AK63" s="417"/>
      <c r="AL63" s="180"/>
      <c r="AM63" s="418"/>
      <c r="AN63" s="417"/>
      <c r="AO63" s="421"/>
      <c r="AP63" s="421"/>
      <c r="AQ63" s="417"/>
      <c r="AR63" s="421"/>
      <c r="AS63" s="421"/>
      <c r="AT63" s="422"/>
    </row>
    <row r="64" spans="1:46" s="452" customFormat="1" ht="20.100000000000001" customHeight="1" x14ac:dyDescent="0.3">
      <c r="A64" s="586" t="s">
        <v>226</v>
      </c>
      <c r="B64" s="180">
        <v>29297.583704089997</v>
      </c>
      <c r="C64" s="418"/>
      <c r="D64" s="417">
        <f>IF(B64=0, "    ---- ", IF(ABS(ROUND(100/B64*C64-100,1))&lt;999,ROUND(100/B64*C64-100,1),IF(ROUND(100/B64*C64-100,1)&gt;999,999,-999)))</f>
        <v>-100</v>
      </c>
      <c r="E64" s="180">
        <v>360740.82437555993</v>
      </c>
      <c r="F64" s="418">
        <v>382720.47933177988</v>
      </c>
      <c r="G64" s="417">
        <f t="shared" si="46"/>
        <v>6.1</v>
      </c>
      <c r="H64" s="180">
        <v>12018.022777309998</v>
      </c>
      <c r="I64" s="418">
        <v>13061.252314609999</v>
      </c>
      <c r="J64" s="417">
        <f>IF(H64=0, "    ---- ", IF(ABS(ROUND(100/H64*I64-100,1))&lt;999,ROUND(100/H64*I64-100,1),IF(ROUND(100/H64*I64-100,1)&gt;999,999,-999)))</f>
        <v>8.6999999999999993</v>
      </c>
      <c r="K64" s="180">
        <v>2135.6482999999998</v>
      </c>
      <c r="L64" s="418">
        <v>2495.0419999999999</v>
      </c>
      <c r="M64" s="417">
        <f>IF(K64=0, "    ---- ", IF(ABS(ROUND(100/K64*L64-100,1))&lt;999,ROUND(100/K64*L64-100,1),IF(ROUND(100/K64*L64-100,1)&gt;999,999,-999)))</f>
        <v>16.8</v>
      </c>
      <c r="N64" s="180">
        <v>51329</v>
      </c>
      <c r="O64" s="418">
        <v>66425</v>
      </c>
      <c r="P64" s="421">
        <f>IF(N64=0, "    ---- ", IF(ABS(ROUND(100/N64*O64-100,1))&lt;999,ROUND(100/N64*O64-100,1),IF(ROUND(100/N64*O64-100,1)&gt;999,999,-999)))</f>
        <v>29.4</v>
      </c>
      <c r="Q64" s="180">
        <v>158.73574070000001</v>
      </c>
      <c r="R64" s="418"/>
      <c r="S64" s="417">
        <f>IF(Q64=0, "    ---- ", IF(ABS(ROUND(100/Q64*R64-100,1))&lt;999,ROUND(100/Q64*R64-100,1),IF(ROUND(100/Q64*R64-100,1)&gt;999,999,-999)))</f>
        <v>-100</v>
      </c>
      <c r="T64" s="180">
        <v>720770.63887936005</v>
      </c>
      <c r="U64" s="418">
        <v>771808.41893577983</v>
      </c>
      <c r="V64" s="417">
        <f>IF(T64=0, "    ---- ", IF(ABS(ROUND(100/T64*U64-100,1))&lt;999,ROUND(100/T64*U64-100,1),IF(ROUND(100/T64*U64-100,1)&gt;999,999,-999)))</f>
        <v>7.1</v>
      </c>
      <c r="W64" s="180">
        <v>181083.19746562</v>
      </c>
      <c r="X64" s="418">
        <v>202844.61774819999</v>
      </c>
      <c r="Y64" s="417">
        <f t="shared" si="52"/>
        <v>12</v>
      </c>
      <c r="Z64" s="180">
        <v>123845</v>
      </c>
      <c r="AA64" s="418">
        <v>134271</v>
      </c>
      <c r="AB64" s="417">
        <f>IF(Z64=0, "    ---- ", IF(ABS(ROUND(100/Z64*AA64-100,1))&lt;999,ROUND(100/Z64*AA64-100,1),IF(ROUND(100/Z64*AA64-100,1)&gt;999,999,-999)))</f>
        <v>8.4</v>
      </c>
      <c r="AC64" s="180">
        <v>2805.8782085000003</v>
      </c>
      <c r="AD64" s="418"/>
      <c r="AE64" s="417">
        <f>IF(AC64=0, "    ---- ", IF(ABS(ROUND(100/AC64*AD64-100,1))&lt;999,ROUND(100/AC64*AD64-100,1),IF(ROUND(100/AC64*AD64-100,1)&gt;999,999,-999)))</f>
        <v>-100</v>
      </c>
      <c r="AF64" s="180">
        <v>82977.410999999993</v>
      </c>
      <c r="AG64" s="418">
        <v>93233.838000000003</v>
      </c>
      <c r="AH64" s="417">
        <f t="shared" si="54"/>
        <v>12.4</v>
      </c>
      <c r="AI64" s="180">
        <v>398483</v>
      </c>
      <c r="AJ64" s="418">
        <v>482047</v>
      </c>
      <c r="AK64" s="417">
        <f t="shared" si="55"/>
        <v>21</v>
      </c>
      <c r="AL64" s="180">
        <v>11</v>
      </c>
      <c r="AM64" s="418">
        <v>28</v>
      </c>
      <c r="AN64" s="417">
        <f t="shared" ref="AN64" si="67">IF(AL64=0, "    ---- ", IF(ABS(ROUND(100/AL64*AM64-100,1))&lt;999,ROUND(100/AL64*AM64-100,1),IF(ROUND(100/AL64*AM64-100,1)&gt;999,999,-999)))</f>
        <v>154.5</v>
      </c>
      <c r="AO64" s="695">
        <f t="shared" ref="AO64:AP64" si="68">B64+E64+H64+K64+N64+T64+W64+Z64+AF64+AI64</f>
        <v>1962680.3265019401</v>
      </c>
      <c r="AP64" s="695">
        <f t="shared" si="68"/>
        <v>2148906.64833037</v>
      </c>
      <c r="AQ64" s="696">
        <f t="shared" si="48"/>
        <v>9.5</v>
      </c>
      <c r="AR64" s="695">
        <f t="shared" ref="AR64:AS64" si="69">B64+E64+H64+K64+N64+Q64+T64+W64+Z64+AC64+AF64+AI64+AL64</f>
        <v>1965655.94045114</v>
      </c>
      <c r="AS64" s="695">
        <f t="shared" si="69"/>
        <v>2148934.64833037</v>
      </c>
      <c r="AT64" s="422">
        <f t="shared" si="50"/>
        <v>9.3000000000000007</v>
      </c>
    </row>
    <row r="65" spans="1:46" s="431" customFormat="1" ht="20.100000000000001" customHeight="1" x14ac:dyDescent="0.3">
      <c r="A65" s="616"/>
      <c r="B65" s="178"/>
      <c r="C65" s="419"/>
      <c r="D65" s="320"/>
      <c r="E65" s="178"/>
      <c r="F65" s="419"/>
      <c r="G65" s="320"/>
      <c r="H65" s="178"/>
      <c r="I65" s="419"/>
      <c r="J65" s="320"/>
      <c r="K65" s="178"/>
      <c r="L65" s="419"/>
      <c r="M65" s="320"/>
      <c r="N65" s="178"/>
      <c r="O65" s="419"/>
      <c r="P65" s="415"/>
      <c r="Q65" s="178"/>
      <c r="R65" s="419"/>
      <c r="S65" s="320"/>
      <c r="T65" s="178"/>
      <c r="U65" s="419"/>
      <c r="V65" s="320"/>
      <c r="W65" s="178"/>
      <c r="X65" s="419"/>
      <c r="Y65" s="320"/>
      <c r="Z65" s="178"/>
      <c r="AA65" s="419"/>
      <c r="AB65" s="320"/>
      <c r="AC65" s="178"/>
      <c r="AD65" s="419"/>
      <c r="AE65" s="320"/>
      <c r="AF65" s="178"/>
      <c r="AG65" s="419"/>
      <c r="AH65" s="320"/>
      <c r="AI65" s="178"/>
      <c r="AJ65" s="419"/>
      <c r="AK65" s="320"/>
      <c r="AL65" s="178"/>
      <c r="AM65" s="419"/>
      <c r="AN65" s="320"/>
      <c r="AO65" s="415"/>
      <c r="AP65" s="415"/>
      <c r="AQ65" s="320"/>
      <c r="AR65" s="415"/>
      <c r="AS65" s="415"/>
      <c r="AT65" s="420"/>
    </row>
    <row r="66" spans="1:46" s="431" customFormat="1" ht="20.100000000000001" customHeight="1" x14ac:dyDescent="0.3">
      <c r="A66" s="586" t="s">
        <v>227</v>
      </c>
      <c r="B66" s="178"/>
      <c r="C66" s="419"/>
      <c r="D66" s="320"/>
      <c r="E66" s="178"/>
      <c r="F66" s="419"/>
      <c r="G66" s="320"/>
      <c r="H66" s="178"/>
      <c r="I66" s="419"/>
      <c r="J66" s="320"/>
      <c r="K66" s="178"/>
      <c r="L66" s="419"/>
      <c r="M66" s="320"/>
      <c r="N66" s="178"/>
      <c r="O66" s="419"/>
      <c r="P66" s="415"/>
      <c r="Q66" s="178"/>
      <c r="R66" s="419"/>
      <c r="S66" s="320"/>
      <c r="T66" s="178"/>
      <c r="U66" s="419"/>
      <c r="V66" s="320"/>
      <c r="W66" s="178"/>
      <c r="X66" s="419"/>
      <c r="Y66" s="320"/>
      <c r="Z66" s="178"/>
      <c r="AA66" s="419"/>
      <c r="AB66" s="320"/>
      <c r="AC66" s="178"/>
      <c r="AD66" s="419"/>
      <c r="AE66" s="320"/>
      <c r="AF66" s="178"/>
      <c r="AG66" s="419"/>
      <c r="AH66" s="320"/>
      <c r="AI66" s="178"/>
      <c r="AJ66" s="419"/>
      <c r="AK66" s="320"/>
      <c r="AL66" s="178"/>
      <c r="AM66" s="419"/>
      <c r="AN66" s="320"/>
      <c r="AO66" s="415"/>
      <c r="AP66" s="415"/>
      <c r="AQ66" s="320"/>
      <c r="AR66" s="415"/>
      <c r="AS66" s="415"/>
      <c r="AT66" s="420"/>
    </row>
    <row r="67" spans="1:46" s="431" customFormat="1" ht="20.100000000000001" customHeight="1" x14ac:dyDescent="0.3">
      <c r="A67" s="586"/>
      <c r="B67" s="178"/>
      <c r="C67" s="419"/>
      <c r="D67" s="320"/>
      <c r="E67" s="178"/>
      <c r="F67" s="419"/>
      <c r="G67" s="320"/>
      <c r="H67" s="178"/>
      <c r="I67" s="419"/>
      <c r="J67" s="320"/>
      <c r="K67" s="178"/>
      <c r="L67" s="419"/>
      <c r="M67" s="320"/>
      <c r="N67" s="178"/>
      <c r="O67" s="419"/>
      <c r="P67" s="415"/>
      <c r="Q67" s="178"/>
      <c r="R67" s="419"/>
      <c r="S67" s="320"/>
      <c r="T67" s="178"/>
      <c r="U67" s="419"/>
      <c r="V67" s="320"/>
      <c r="W67" s="178"/>
      <c r="X67" s="419"/>
      <c r="Y67" s="320"/>
      <c r="Z67" s="178"/>
      <c r="AA67" s="419"/>
      <c r="AB67" s="320"/>
      <c r="AC67" s="178"/>
      <c r="AD67" s="419"/>
      <c r="AE67" s="320"/>
      <c r="AF67" s="178"/>
      <c r="AG67" s="419"/>
      <c r="AH67" s="320"/>
      <c r="AI67" s="178"/>
      <c r="AJ67" s="419"/>
      <c r="AK67" s="320"/>
      <c r="AL67" s="178"/>
      <c r="AM67" s="419"/>
      <c r="AN67" s="320"/>
      <c r="AO67" s="415"/>
      <c r="AP67" s="415"/>
      <c r="AQ67" s="320"/>
      <c r="AR67" s="415"/>
      <c r="AS67" s="415"/>
      <c r="AT67" s="420"/>
    </row>
    <row r="68" spans="1:46" s="431" customFormat="1" ht="20.100000000000001" customHeight="1" x14ac:dyDescent="0.3">
      <c r="A68" s="564" t="s">
        <v>228</v>
      </c>
      <c r="B68" s="178">
        <v>406.15993775999999</v>
      </c>
      <c r="C68" s="419"/>
      <c r="D68" s="320">
        <f>IF(B68=0, "    ---- ", IF(ABS(ROUND(100/B68*C68-100,1))&lt;999,ROUND(100/B68*C68-100,1),IF(ROUND(100/B68*C68-100,1)&gt;999,999,-999)))</f>
        <v>-100</v>
      </c>
      <c r="E68" s="178">
        <v>7657.0531522000001</v>
      </c>
      <c r="F68" s="419">
        <v>7657.0531522000001</v>
      </c>
      <c r="G68" s="320">
        <f t="shared" si="46"/>
        <v>0</v>
      </c>
      <c r="H68" s="178">
        <v>2452.057311</v>
      </c>
      <c r="I68" s="419">
        <v>2452.057311</v>
      </c>
      <c r="J68" s="320">
        <f>IF(H68=0, "    ---- ", IF(ABS(ROUND(100/H68*I68-100,1))&lt;999,ROUND(100/H68*I68-100,1),IF(ROUND(100/H68*I68-100,1)&gt;999,999,-999)))</f>
        <v>0</v>
      </c>
      <c r="K68" s="178">
        <v>210</v>
      </c>
      <c r="L68" s="419">
        <v>221.25</v>
      </c>
      <c r="M68" s="320">
        <f>IF(K68=0, "    ---- ", IF(ABS(ROUND(100/K68*L68-100,1))&lt;999,ROUND(100/K68*L68-100,1),IF(ROUND(100/K68*L68-100,1)&gt;999,999,-999)))</f>
        <v>5.4</v>
      </c>
      <c r="N68" s="178">
        <v>122</v>
      </c>
      <c r="O68" s="419">
        <v>124</v>
      </c>
      <c r="P68" s="415">
        <f>IF(N68=0, "    ---- ", IF(ABS(ROUND(100/N68*O68-100,1))&lt;999,ROUND(100/N68*O68-100,1),IF(ROUND(100/N68*O68-100,1)&gt;999,999,-999)))</f>
        <v>1.6</v>
      </c>
      <c r="Q68" s="178">
        <v>5</v>
      </c>
      <c r="R68" s="419"/>
      <c r="S68" s="320">
        <f>IF(Q68=0, "    ---- ", IF(ABS(ROUND(100/Q68*R68-100,1))&lt;999,ROUND(100/Q68*R68-100,1),IF(ROUND(100/Q68*R68-100,1)&gt;999,999,-999)))</f>
        <v>-100</v>
      </c>
      <c r="T68" s="178">
        <v>20812.485427</v>
      </c>
      <c r="U68" s="419">
        <v>22550.583898000001</v>
      </c>
      <c r="V68" s="320">
        <f t="shared" ref="V68:V80" si="70">IF(T68=0, "    ---- ", IF(ABS(ROUND(100/T68*U68-100,1))&lt;999,ROUND(100/T68*U68-100,1),IF(ROUND(100/T68*U68-100,1)&gt;999,999,-999)))</f>
        <v>8.4</v>
      </c>
      <c r="W68" s="178">
        <v>1126.76</v>
      </c>
      <c r="X68" s="419">
        <v>1126.76</v>
      </c>
      <c r="Y68" s="320">
        <f t="shared" si="52"/>
        <v>0</v>
      </c>
      <c r="Z68" s="178">
        <v>1430</v>
      </c>
      <c r="AA68" s="419">
        <v>1430</v>
      </c>
      <c r="AB68" s="320">
        <f>IF(Z68=0, "    ---- ", IF(ABS(ROUND(100/Z68*AA68-100,1))&lt;999,ROUND(100/Z68*AA68-100,1),IF(ROUND(100/Z68*AA68-100,1)&gt;999,999,-999)))</f>
        <v>0</v>
      </c>
      <c r="AC68" s="178">
        <v>48.519831859999996</v>
      </c>
      <c r="AD68" s="419"/>
      <c r="AE68" s="320">
        <f>IF(AC68=0, "    ---- ", IF(ABS(ROUND(100/AC68*AD68-100,1))&lt;999,ROUND(100/AC68*AD68-100,1),IF(ROUND(100/AC68*AD68-100,1)&gt;999,999,-999)))</f>
        <v>-100</v>
      </c>
      <c r="AF68" s="178">
        <v>4972.6959999999999</v>
      </c>
      <c r="AG68" s="419">
        <v>4972.6959999999999</v>
      </c>
      <c r="AH68" s="320">
        <f t="shared" si="54"/>
        <v>0</v>
      </c>
      <c r="AI68" s="178">
        <v>15150</v>
      </c>
      <c r="AJ68" s="419">
        <v>15578</v>
      </c>
      <c r="AK68" s="320">
        <f t="shared" si="55"/>
        <v>2.8</v>
      </c>
      <c r="AL68" s="178">
        <v>38</v>
      </c>
      <c r="AM68" s="419">
        <v>65</v>
      </c>
      <c r="AN68" s="320">
        <f t="shared" ref="AN68:AN69" si="71">IF(AL68=0, "    ---- ", IF(ABS(ROUND(100/AL68*AM68-100,1))&lt;999,ROUND(100/AL68*AM68-100,1),IF(ROUND(100/AL68*AM68-100,1)&gt;999,999,-999)))</f>
        <v>71.099999999999994</v>
      </c>
      <c r="AO68" s="509">
        <f t="shared" ref="AO68:AP71" si="72">B68+E68+H68+K68+N68+T68+W68+Z68+AF68+AI68</f>
        <v>54339.211827959996</v>
      </c>
      <c r="AP68" s="509">
        <f t="shared" si="72"/>
        <v>56112.400361200009</v>
      </c>
      <c r="AQ68" s="320">
        <f t="shared" si="48"/>
        <v>3.3</v>
      </c>
      <c r="AR68" s="509">
        <f t="shared" ref="AR68:AS71" si="73">B68+E68+H68+K68+N68+Q68+T68+W68+Z68+AC68+AF68+AI68+AL68</f>
        <v>54430.731659819998</v>
      </c>
      <c r="AS68" s="509">
        <f t="shared" si="73"/>
        <v>56177.400361200009</v>
      </c>
      <c r="AT68" s="420">
        <f t="shared" si="50"/>
        <v>3.2</v>
      </c>
    </row>
    <row r="69" spans="1:46" s="431" customFormat="1" ht="20.100000000000001" customHeight="1" x14ac:dyDescent="0.3">
      <c r="A69" s="564" t="s">
        <v>229</v>
      </c>
      <c r="B69" s="178">
        <v>746.83085156000595</v>
      </c>
      <c r="C69" s="419"/>
      <c r="D69" s="320">
        <f>IF(B69=0, "    ---- ", IF(ABS(ROUND(100/B69*C69-100,1))&lt;999,ROUND(100/B69*C69-100,1),IF(ROUND(100/B69*C69-100,1)&gt;999,999,-999)))</f>
        <v>-100</v>
      </c>
      <c r="E69" s="178">
        <v>16169.00288527</v>
      </c>
      <c r="F69" s="419">
        <v>16599.845045019996</v>
      </c>
      <c r="G69" s="320">
        <f t="shared" si="46"/>
        <v>2.7</v>
      </c>
      <c r="H69" s="178">
        <v>162.86535551000006</v>
      </c>
      <c r="I69" s="419">
        <v>527.39435579000155</v>
      </c>
      <c r="J69" s="320">
        <f>IF(H69=0, "    ---- ", IF(ABS(ROUND(100/H69*I69-100,1))&lt;999,ROUND(100/H69*I69-100,1),IF(ROUND(100/H69*I69-100,1)&gt;999,999,-999)))</f>
        <v>223.8</v>
      </c>
      <c r="K69" s="178">
        <v>352.68599999999998</v>
      </c>
      <c r="L69" s="419">
        <v>327.005</v>
      </c>
      <c r="M69" s="320">
        <f>IF(K69=0, "    ---- ", IF(ABS(ROUND(100/K69*L69-100,1))&lt;999,ROUND(100/K69*L69-100,1),IF(ROUND(100/K69*L69-100,1)&gt;999,999,-999)))</f>
        <v>-7.3</v>
      </c>
      <c r="N69" s="178">
        <v>1025</v>
      </c>
      <c r="O69" s="419">
        <v>774</v>
      </c>
      <c r="P69" s="415">
        <f>IF(N69=0, "    ---- ", IF(ABS(ROUND(100/N69*O69-100,1))&lt;999,ROUND(100/N69*O69-100,1),IF(ROUND(100/N69*O69-100,1)&gt;999,999,-999)))</f>
        <v>-24.5</v>
      </c>
      <c r="Q69" s="178">
        <v>126.28419212999999</v>
      </c>
      <c r="R69" s="419"/>
      <c r="S69" s="320">
        <f>IF(Q69=0, "    ---- ", IF(ABS(ROUND(100/Q69*R69-100,1))&lt;999,ROUND(100/Q69*R69-100,1),IF(ROUND(100/Q69*R69-100,1)&gt;999,999,-999)))</f>
        <v>-100</v>
      </c>
      <c r="T69" s="178">
        <v>21643.86188488</v>
      </c>
      <c r="U69" s="419">
        <v>22536.3538673</v>
      </c>
      <c r="V69" s="320">
        <f t="shared" si="70"/>
        <v>4.0999999999999996</v>
      </c>
      <c r="W69" s="178">
        <v>7980.61</v>
      </c>
      <c r="X69" s="419">
        <v>7855.53</v>
      </c>
      <c r="Y69" s="320">
        <f t="shared" si="52"/>
        <v>-1.6</v>
      </c>
      <c r="Z69" s="178">
        <v>9983</v>
      </c>
      <c r="AA69" s="419">
        <v>10598</v>
      </c>
      <c r="AB69" s="320">
        <f>IF(Z69=0, "    ---- ", IF(ABS(ROUND(100/Z69*AA69-100,1))&lt;999,ROUND(100/Z69*AA69-100,1),IF(ROUND(100/Z69*AA69-100,1)&gt;999,999,-999)))</f>
        <v>6.2</v>
      </c>
      <c r="AC69" s="178">
        <v>47.969086320000002</v>
      </c>
      <c r="AD69" s="419"/>
      <c r="AE69" s="320">
        <f>IF(AC69=0, "    ---- ", IF(ABS(ROUND(100/AC69*AD69-100,1))&lt;999,ROUND(100/AC69*AD69-100,1),IF(ROUND(100/AC69*AD69-100,1)&gt;999,999,-999)))</f>
        <v>-100</v>
      </c>
      <c r="AF69" s="178">
        <v>844.47799999999995</v>
      </c>
      <c r="AG69" s="419">
        <v>1081.9000000000001</v>
      </c>
      <c r="AH69" s="320">
        <f t="shared" si="54"/>
        <v>28.1</v>
      </c>
      <c r="AI69" s="178">
        <v>11396</v>
      </c>
      <c r="AJ69" s="419">
        <v>11484</v>
      </c>
      <c r="AK69" s="320">
        <f t="shared" si="55"/>
        <v>0.8</v>
      </c>
      <c r="AL69" s="178">
        <v>-35</v>
      </c>
      <c r="AM69" s="419">
        <v>-68</v>
      </c>
      <c r="AN69" s="320">
        <f t="shared" si="71"/>
        <v>94.3</v>
      </c>
      <c r="AO69" s="509">
        <f t="shared" si="72"/>
        <v>70304.334977220016</v>
      </c>
      <c r="AP69" s="509">
        <f t="shared" si="72"/>
        <v>71784.028268110007</v>
      </c>
      <c r="AQ69" s="320">
        <f t="shared" si="48"/>
        <v>2.1</v>
      </c>
      <c r="AR69" s="509">
        <f t="shared" si="73"/>
        <v>70443.588255670009</v>
      </c>
      <c r="AS69" s="509">
        <f t="shared" si="73"/>
        <v>71716.028268110007</v>
      </c>
      <c r="AT69" s="420">
        <f t="shared" si="50"/>
        <v>1.8</v>
      </c>
    </row>
    <row r="70" spans="1:46" s="431" customFormat="1" ht="20.100000000000001" customHeight="1" x14ac:dyDescent="0.3">
      <c r="A70" s="564" t="s">
        <v>230</v>
      </c>
      <c r="B70" s="178"/>
      <c r="C70" s="419"/>
      <c r="D70" s="320"/>
      <c r="E70" s="178">
        <v>929.41688958999998</v>
      </c>
      <c r="F70" s="419">
        <v>1128.2033292399999</v>
      </c>
      <c r="G70" s="320">
        <f>IF(E70=0, "    ---- ", IF(ABS(ROUND(100/E70*F70-100,1))&lt;999,ROUND(100/E70*F70-100,1),IF(ROUND(100/E70*F70-100,1)&gt;999,999,-999)))</f>
        <v>21.4</v>
      </c>
      <c r="H70" s="178"/>
      <c r="I70" s="419"/>
      <c r="J70" s="320"/>
      <c r="K70" s="178"/>
      <c r="L70" s="419"/>
      <c r="M70" s="320"/>
      <c r="N70" s="178">
        <v>39</v>
      </c>
      <c r="O70" s="419">
        <v>46</v>
      </c>
      <c r="P70" s="320">
        <f>IF(N70=0, "    ---- ", IF(ABS(ROUND(100/N70*O70-100,1))&lt;999,ROUND(100/N70*O70-100,1),IF(ROUND(100/N70*O70-100,1)&gt;999,999,-999)))</f>
        <v>17.899999999999999</v>
      </c>
      <c r="Q70" s="178"/>
      <c r="R70" s="419"/>
      <c r="S70" s="320"/>
      <c r="T70" s="178">
        <v>4793.5356352099998</v>
      </c>
      <c r="U70" s="419">
        <v>4823.90329621</v>
      </c>
      <c r="V70" s="320">
        <f t="shared" si="70"/>
        <v>0.6</v>
      </c>
      <c r="W70" s="178">
        <v>168.4</v>
      </c>
      <c r="X70" s="419">
        <v>243.26</v>
      </c>
      <c r="Y70" s="320">
        <f t="shared" si="52"/>
        <v>44.5</v>
      </c>
      <c r="Z70" s="178"/>
      <c r="AA70" s="419"/>
      <c r="AB70" s="320"/>
      <c r="AC70" s="178"/>
      <c r="AD70" s="419"/>
      <c r="AE70" s="320"/>
      <c r="AF70" s="178">
        <v>246.554</v>
      </c>
      <c r="AG70" s="419">
        <v>263.90199999999999</v>
      </c>
      <c r="AH70" s="320">
        <f>IF(AF70=0, "    ---- ", IF(ABS(ROUND(100/AF70*AG70-100,1))&lt;999,ROUND(100/AF70*AG70-100,1),IF(ROUND(100/AF70*AG70-100,1)&gt;999,999,-999)))</f>
        <v>7</v>
      </c>
      <c r="AI70" s="178">
        <v>752</v>
      </c>
      <c r="AJ70" s="419">
        <v>1027</v>
      </c>
      <c r="AK70" s="320">
        <f t="shared" si="55"/>
        <v>36.6</v>
      </c>
      <c r="AL70" s="178"/>
      <c r="AM70" s="419"/>
      <c r="AN70" s="320"/>
      <c r="AO70" s="509">
        <f t="shared" si="72"/>
        <v>6928.9065247999997</v>
      </c>
      <c r="AP70" s="509">
        <f t="shared" si="72"/>
        <v>7532.2686254500004</v>
      </c>
      <c r="AQ70" s="320">
        <f t="shared" si="48"/>
        <v>8.6999999999999993</v>
      </c>
      <c r="AR70" s="509">
        <f t="shared" si="73"/>
        <v>6928.9065247999997</v>
      </c>
      <c r="AS70" s="509">
        <f t="shared" si="73"/>
        <v>7532.2686254500004</v>
      </c>
      <c r="AT70" s="420">
        <f t="shared" si="50"/>
        <v>8.6999999999999993</v>
      </c>
    </row>
    <row r="71" spans="1:46" s="431" customFormat="1" ht="20.100000000000001" customHeight="1" x14ac:dyDescent="0.3">
      <c r="A71" s="564" t="s">
        <v>231</v>
      </c>
      <c r="B71" s="178"/>
      <c r="C71" s="419"/>
      <c r="D71" s="320"/>
      <c r="E71" s="178">
        <v>7000</v>
      </c>
      <c r="F71" s="419">
        <v>7000</v>
      </c>
      <c r="G71" s="320">
        <f t="shared" si="46"/>
        <v>0</v>
      </c>
      <c r="H71" s="178">
        <v>550</v>
      </c>
      <c r="I71" s="419">
        <v>550</v>
      </c>
      <c r="J71" s="320">
        <f>IF(H71=0, "    ---- ", IF(ABS(ROUND(100/H71*I71-100,1))&lt;999,ROUND(100/H71*I71-100,1),IF(ROUND(100/H71*I71-100,1)&gt;999,999,-999)))</f>
        <v>0</v>
      </c>
      <c r="K71" s="178"/>
      <c r="L71" s="419"/>
      <c r="M71" s="320"/>
      <c r="N71" s="178">
        <v>300</v>
      </c>
      <c r="O71" s="419">
        <v>301</v>
      </c>
      <c r="P71" s="415"/>
      <c r="Q71" s="178"/>
      <c r="R71" s="419"/>
      <c r="S71" s="320"/>
      <c r="T71" s="178">
        <v>4812.0981426400003</v>
      </c>
      <c r="U71" s="419">
        <v>4809.4433690799997</v>
      </c>
      <c r="V71" s="320">
        <f t="shared" si="70"/>
        <v>-0.1</v>
      </c>
      <c r="W71" s="178">
        <v>2830</v>
      </c>
      <c r="X71" s="419">
        <v>2830</v>
      </c>
      <c r="Y71" s="320">
        <f t="shared" si="52"/>
        <v>0</v>
      </c>
      <c r="Z71" s="178">
        <v>1240</v>
      </c>
      <c r="AA71" s="419">
        <v>1240</v>
      </c>
      <c r="AB71" s="320">
        <f>IF(Z71=0, "    ---- ", IF(ABS(ROUND(100/Z71*AA71-100,1))&lt;999,ROUND(100/Z71*AA71-100,1),IF(ROUND(100/Z71*AA71-100,1)&gt;999,999,-999)))</f>
        <v>0</v>
      </c>
      <c r="AC71" s="178"/>
      <c r="AD71" s="419"/>
      <c r="AE71" s="320"/>
      <c r="AF71" s="178"/>
      <c r="AG71" s="419"/>
      <c r="AH71" s="320"/>
      <c r="AI71" s="178">
        <v>11063</v>
      </c>
      <c r="AJ71" s="419">
        <v>9627</v>
      </c>
      <c r="AK71" s="320">
        <f t="shared" si="55"/>
        <v>-13</v>
      </c>
      <c r="AL71" s="178"/>
      <c r="AM71" s="419"/>
      <c r="AN71" s="320"/>
      <c r="AO71" s="509">
        <f t="shared" si="72"/>
        <v>27795.098142639999</v>
      </c>
      <c r="AP71" s="509">
        <f t="shared" si="72"/>
        <v>26357.44336908</v>
      </c>
      <c r="AQ71" s="320">
        <f t="shared" si="48"/>
        <v>-5.2</v>
      </c>
      <c r="AR71" s="509">
        <f t="shared" si="73"/>
        <v>27795.098142639999</v>
      </c>
      <c r="AS71" s="509">
        <f t="shared" si="73"/>
        <v>26357.44336908</v>
      </c>
      <c r="AT71" s="420">
        <f t="shared" si="50"/>
        <v>-5.2</v>
      </c>
    </row>
    <row r="72" spans="1:46" s="431" customFormat="1" ht="20.100000000000001" customHeight="1" x14ac:dyDescent="0.3">
      <c r="A72" s="564" t="s">
        <v>232</v>
      </c>
      <c r="B72" s="178"/>
      <c r="C72" s="419"/>
      <c r="D72" s="320"/>
      <c r="E72" s="178"/>
      <c r="F72" s="419"/>
      <c r="G72" s="320"/>
      <c r="H72" s="178"/>
      <c r="I72" s="419"/>
      <c r="J72" s="320"/>
      <c r="K72" s="178"/>
      <c r="L72" s="419"/>
      <c r="M72" s="320"/>
      <c r="N72" s="178"/>
      <c r="O72" s="419"/>
      <c r="P72" s="415"/>
      <c r="Q72" s="178"/>
      <c r="R72" s="419"/>
      <c r="S72" s="320"/>
      <c r="T72" s="178"/>
      <c r="U72" s="419"/>
      <c r="V72" s="320"/>
      <c r="W72" s="178"/>
      <c r="X72" s="419"/>
      <c r="Y72" s="320"/>
      <c r="Z72" s="178"/>
      <c r="AA72" s="419"/>
      <c r="AB72" s="320"/>
      <c r="AC72" s="178"/>
      <c r="AD72" s="419"/>
      <c r="AE72" s="320"/>
      <c r="AF72" s="178"/>
      <c r="AG72" s="419"/>
      <c r="AH72" s="320"/>
      <c r="AI72" s="178"/>
      <c r="AJ72" s="419"/>
      <c r="AK72" s="320"/>
      <c r="AL72" s="178"/>
      <c r="AM72" s="419"/>
      <c r="AN72" s="320"/>
      <c r="AO72" s="415"/>
      <c r="AP72" s="415"/>
      <c r="AQ72" s="320"/>
      <c r="AR72" s="415"/>
      <c r="AS72" s="415"/>
      <c r="AT72" s="420"/>
    </row>
    <row r="73" spans="1:46" s="431" customFormat="1" ht="20.100000000000001" customHeight="1" x14ac:dyDescent="0.3">
      <c r="A73" s="564" t="s">
        <v>377</v>
      </c>
      <c r="B73" s="178">
        <v>1319.72736964</v>
      </c>
      <c r="C73" s="419"/>
      <c r="D73" s="320">
        <f>IF(B73=0, "    ---- ", IF(ABS(ROUND(100/B73*C73-100,1))&lt;999,ROUND(100/B73*C73-100,1),IF(ROUND(100/B73*C73-100,1)&gt;999,999,-999)))</f>
        <v>-100</v>
      </c>
      <c r="E73" s="178">
        <v>182548.20344354</v>
      </c>
      <c r="F73" s="419">
        <v>177582.84495132999</v>
      </c>
      <c r="G73" s="320">
        <f t="shared" si="46"/>
        <v>-2.7</v>
      </c>
      <c r="H73" s="178">
        <v>8020.8927933899986</v>
      </c>
      <c r="I73" s="419">
        <v>8746.0670655600006</v>
      </c>
      <c r="J73" s="320">
        <f>IF(H73=0, "    ---- ", IF(ABS(ROUND(100/H73*I73-100,1))&lt;999,ROUND(100/H73*I73-100,1),IF(ROUND(100/H73*I73-100,1)&gt;999,999,-999)))</f>
        <v>9</v>
      </c>
      <c r="K73" s="178">
        <v>1427.8969999999999</v>
      </c>
      <c r="L73" s="419">
        <v>1781.0050000000001</v>
      </c>
      <c r="M73" s="320">
        <f>IF(K73=0, "    ---- ", IF(ABS(ROUND(100/K73*L73-100,1))&lt;999,ROUND(100/K73*L73-100,1),IF(ROUND(100/K73*L73-100,1)&gt;999,999,-999)))</f>
        <v>24.7</v>
      </c>
      <c r="N73" s="178">
        <v>8397</v>
      </c>
      <c r="O73" s="419">
        <v>9138</v>
      </c>
      <c r="P73" s="415">
        <f>IF(N73=0, "    ---- ", IF(ABS(ROUND(100/N73*O73-100,1))&lt;999,ROUND(100/N73*O73-100,1),IF(ROUND(100/N73*O73-100,1)&gt;999,999,-999)))</f>
        <v>8.8000000000000007</v>
      </c>
      <c r="Q73" s="178">
        <v>17.20121382</v>
      </c>
      <c r="R73" s="419"/>
      <c r="S73" s="320">
        <f>IF(Q73=0, "    ---- ", IF(ABS(ROUND(100/Q73*R73-100,1))&lt;999,ROUND(100/Q73*R73-100,1),IF(ROUND(100/Q73*R73-100,1)&gt;999,999,-999)))</f>
        <v>-100</v>
      </c>
      <c r="T73" s="178">
        <v>509679.16766490001</v>
      </c>
      <c r="U73" s="419">
        <v>562487.13193547993</v>
      </c>
      <c r="V73" s="320">
        <f t="shared" si="70"/>
        <v>10.4</v>
      </c>
      <c r="W73" s="178">
        <v>48291.97</v>
      </c>
      <c r="X73" s="419">
        <v>47714.31</v>
      </c>
      <c r="Y73" s="320">
        <f t="shared" si="52"/>
        <v>-1.2</v>
      </c>
      <c r="Z73" s="178">
        <v>77308</v>
      </c>
      <c r="AA73" s="419">
        <v>85445</v>
      </c>
      <c r="AB73" s="320">
        <f>IF(Z73=0, "    ---- ", IF(ABS(ROUND(100/Z73*AA73-100,1))&lt;999,ROUND(100/Z73*AA73-100,1),IF(ROUND(100/Z73*AA73-100,1)&gt;999,999,-999)))</f>
        <v>10.5</v>
      </c>
      <c r="AC73" s="178"/>
      <c r="AD73" s="419"/>
      <c r="AE73" s="320"/>
      <c r="AF73" s="178">
        <v>18989.648000000001</v>
      </c>
      <c r="AG73" s="419">
        <v>19423.646000000001</v>
      </c>
      <c r="AH73" s="320">
        <f t="shared" si="54"/>
        <v>2.2999999999999998</v>
      </c>
      <c r="AI73" s="178">
        <v>184310</v>
      </c>
      <c r="AJ73" s="419">
        <v>191523</v>
      </c>
      <c r="AK73" s="320">
        <f t="shared" si="55"/>
        <v>3.9</v>
      </c>
      <c r="AL73" s="178">
        <v>2</v>
      </c>
      <c r="AM73" s="419">
        <v>14</v>
      </c>
      <c r="AN73" s="320">
        <f t="shared" ref="AN73" si="74">IF(AL73=0, "    ---- ", IF(ABS(ROUND(100/AL73*AM73-100,1))&lt;999,ROUND(100/AL73*AM73-100,1),IF(ROUND(100/AL73*AM73-100,1)&gt;999,999,-999)))</f>
        <v>600</v>
      </c>
      <c r="AO73" s="509">
        <f t="shared" ref="AO73:AP76" si="75">B73+E73+H73+K73+N73+T73+W73+Z73+AF73+AI73</f>
        <v>1040292.50627147</v>
      </c>
      <c r="AP73" s="509">
        <f t="shared" si="75"/>
        <v>1103841.00495237</v>
      </c>
      <c r="AQ73" s="320">
        <f t="shared" si="48"/>
        <v>6.1</v>
      </c>
      <c r="AR73" s="509">
        <f t="shared" ref="AR73:AS75" si="76">B73+E73+H73+K73+N73+Q73+T73+W73+Z73+AC73+AF73+AI73+AL73</f>
        <v>1040311.70748529</v>
      </c>
      <c r="AS73" s="509">
        <f t="shared" si="76"/>
        <v>1103855.00495237</v>
      </c>
      <c r="AT73" s="420">
        <f t="shared" si="50"/>
        <v>6.1</v>
      </c>
    </row>
    <row r="74" spans="1:46" s="431" customFormat="1" ht="20.100000000000001" customHeight="1" x14ac:dyDescent="0.3">
      <c r="A74" s="564" t="s">
        <v>233</v>
      </c>
      <c r="B74" s="178">
        <v>29.880109059999999</v>
      </c>
      <c r="C74" s="419"/>
      <c r="D74" s="320">
        <f>IF(B74=0, "    ---- ", IF(ABS(ROUND(100/B74*C74-100,1))&lt;999,ROUND(100/B74*C74-100,1),IF(ROUND(100/B74*C74-100,1)&gt;999,999,-999)))</f>
        <v>-100</v>
      </c>
      <c r="E74" s="178">
        <v>7270.5717858799999</v>
      </c>
      <c r="F74" s="419">
        <v>5517.5691455200003</v>
      </c>
      <c r="G74" s="320">
        <f t="shared" si="46"/>
        <v>-24.1</v>
      </c>
      <c r="H74" s="178"/>
      <c r="I74" s="419"/>
      <c r="J74" s="320"/>
      <c r="K74" s="178">
        <v>4.66</v>
      </c>
      <c r="L74" s="419">
        <v>6.1000000000000004E-3</v>
      </c>
      <c r="M74" s="320">
        <f>IF(K74=0, "    ---- ", IF(ABS(ROUND(100/K74*L74-100,1))&lt;999,ROUND(100/K74*L74-100,1),IF(ROUND(100/K74*L74-100,1)&gt;999,999,-999)))</f>
        <v>-99.9</v>
      </c>
      <c r="N74" s="178">
        <v>334</v>
      </c>
      <c r="O74" s="419">
        <v>270</v>
      </c>
      <c r="P74" s="415">
        <f>IF(N74=0, "    ---- ", IF(ABS(ROUND(100/N74*O74-100,1))&lt;999,ROUND(100/N74*O74-100,1),IF(ROUND(100/N74*O74-100,1)&gt;999,999,-999)))</f>
        <v>-19.2</v>
      </c>
      <c r="Q74" s="178"/>
      <c r="R74" s="419"/>
      <c r="S74" s="320"/>
      <c r="T74" s="178"/>
      <c r="U74" s="419"/>
      <c r="V74" s="320"/>
      <c r="W74" s="178">
        <v>3760.52</v>
      </c>
      <c r="X74" s="419">
        <v>3800.71</v>
      </c>
      <c r="Y74" s="320">
        <f t="shared" si="52"/>
        <v>1.1000000000000001</v>
      </c>
      <c r="Z74" s="178"/>
      <c r="AA74" s="419"/>
      <c r="AB74" s="320"/>
      <c r="AC74" s="178"/>
      <c r="AD74" s="419"/>
      <c r="AE74" s="320"/>
      <c r="AF74" s="178">
        <v>1413.741</v>
      </c>
      <c r="AG74" s="419">
        <v>1022.149</v>
      </c>
      <c r="AH74" s="320">
        <f t="shared" si="54"/>
        <v>-27.7</v>
      </c>
      <c r="AI74" s="178">
        <v>12242</v>
      </c>
      <c r="AJ74" s="419">
        <v>9602</v>
      </c>
      <c r="AK74" s="320">
        <f t="shared" si="55"/>
        <v>-21.6</v>
      </c>
      <c r="AL74" s="178"/>
      <c r="AM74" s="419"/>
      <c r="AN74" s="320"/>
      <c r="AO74" s="509">
        <f t="shared" si="75"/>
        <v>25055.372894939999</v>
      </c>
      <c r="AP74" s="509">
        <f t="shared" si="75"/>
        <v>20212.434245520002</v>
      </c>
      <c r="AQ74" s="320">
        <f t="shared" si="48"/>
        <v>-19.3</v>
      </c>
      <c r="AR74" s="509">
        <f t="shared" si="76"/>
        <v>25055.372894939999</v>
      </c>
      <c r="AS74" s="509">
        <f t="shared" si="76"/>
        <v>20212.434245520002</v>
      </c>
      <c r="AT74" s="420">
        <f t="shared" si="50"/>
        <v>-19.3</v>
      </c>
    </row>
    <row r="75" spans="1:46" s="431" customFormat="1" ht="20.100000000000001" customHeight="1" x14ac:dyDescent="0.3">
      <c r="A75" s="564" t="s">
        <v>234</v>
      </c>
      <c r="B75" s="178"/>
      <c r="C75" s="419"/>
      <c r="D75" s="320"/>
      <c r="E75" s="178">
        <v>0</v>
      </c>
      <c r="F75" s="419">
        <v>2555.4255769899996</v>
      </c>
      <c r="G75" s="320" t="str">
        <f t="shared" si="46"/>
        <v xml:space="preserve">    ---- </v>
      </c>
      <c r="H75" s="178">
        <v>0</v>
      </c>
      <c r="I75" s="419">
        <v>50.909107149999997</v>
      </c>
      <c r="J75" s="320" t="str">
        <f>IF(H75=0, "    ---- ", IF(ABS(ROUND(100/H75*I75-100,1))&lt;999,ROUND(100/H75*I75-100,1),IF(ROUND(100/H75*I75-100,1)&gt;999,999,-999)))</f>
        <v xml:space="preserve">    ---- </v>
      </c>
      <c r="K75" s="178"/>
      <c r="L75" s="419"/>
      <c r="M75" s="320"/>
      <c r="N75" s="178">
        <v>0</v>
      </c>
      <c r="O75" s="419">
        <v>5</v>
      </c>
      <c r="P75" s="415" t="str">
        <f>IF(N75=0, "    ---- ", IF(ABS(ROUND(100/N75*O75-100,1))&lt;999,ROUND(100/N75*O75-100,1),IF(ROUND(100/N75*O75-100,1)&gt;999,999,-999)))</f>
        <v xml:space="preserve">    ---- </v>
      </c>
      <c r="Q75" s="178"/>
      <c r="R75" s="419"/>
      <c r="S75" s="320"/>
      <c r="T75" s="178">
        <v>1E-8</v>
      </c>
      <c r="U75" s="419">
        <v>1E-8</v>
      </c>
      <c r="V75" s="320">
        <f t="shared" si="70"/>
        <v>0</v>
      </c>
      <c r="W75" s="178">
        <v>1898</v>
      </c>
      <c r="X75" s="419">
        <v>1873.54</v>
      </c>
      <c r="Y75" s="320">
        <f t="shared" si="52"/>
        <v>-1.3</v>
      </c>
      <c r="Z75" s="178"/>
      <c r="AA75" s="419"/>
      <c r="AB75" s="320"/>
      <c r="AC75" s="178"/>
      <c r="AD75" s="419"/>
      <c r="AE75" s="320"/>
      <c r="AF75" s="178">
        <v>1859.2809999999999</v>
      </c>
      <c r="AG75" s="419">
        <v>2245.5540000000001</v>
      </c>
      <c r="AH75" s="320">
        <f t="shared" si="54"/>
        <v>20.8</v>
      </c>
      <c r="AI75" s="178">
        <v>361</v>
      </c>
      <c r="AJ75" s="419">
        <v>891</v>
      </c>
      <c r="AK75" s="320">
        <f t="shared" si="55"/>
        <v>146.80000000000001</v>
      </c>
      <c r="AL75" s="178"/>
      <c r="AM75" s="419"/>
      <c r="AN75" s="320"/>
      <c r="AO75" s="509">
        <f t="shared" si="75"/>
        <v>4118.2810000099998</v>
      </c>
      <c r="AP75" s="509">
        <f t="shared" si="75"/>
        <v>7621.4286841499998</v>
      </c>
      <c r="AQ75" s="320">
        <f t="shared" si="48"/>
        <v>85.1</v>
      </c>
      <c r="AR75" s="509">
        <f t="shared" si="76"/>
        <v>4118.2810000099998</v>
      </c>
      <c r="AS75" s="509">
        <f t="shared" si="76"/>
        <v>7621.4286841499998</v>
      </c>
      <c r="AT75" s="420">
        <f t="shared" si="50"/>
        <v>85.1</v>
      </c>
    </row>
    <row r="76" spans="1:46" s="431" customFormat="1" ht="20.100000000000001" customHeight="1" x14ac:dyDescent="0.3">
      <c r="A76" s="564" t="s">
        <v>414</v>
      </c>
      <c r="B76" s="178"/>
      <c r="C76" s="419"/>
      <c r="D76" s="320"/>
      <c r="E76" s="178"/>
      <c r="F76" s="419"/>
      <c r="G76" s="320"/>
      <c r="H76" s="178"/>
      <c r="I76" s="419"/>
      <c r="J76" s="320"/>
      <c r="K76" s="178"/>
      <c r="L76" s="419"/>
      <c r="M76" s="320"/>
      <c r="N76" s="178"/>
      <c r="O76" s="419"/>
      <c r="P76" s="415"/>
      <c r="Q76" s="178"/>
      <c r="R76" s="419"/>
      <c r="S76" s="320"/>
      <c r="T76" s="178">
        <v>30598.60500009</v>
      </c>
      <c r="U76" s="419">
        <v>21681.032781090002</v>
      </c>
      <c r="V76" s="320">
        <f t="shared" si="70"/>
        <v>-29.1</v>
      </c>
      <c r="W76" s="178"/>
      <c r="X76" s="419"/>
      <c r="Y76" s="320"/>
      <c r="Z76" s="178">
        <v>24635</v>
      </c>
      <c r="AA76" s="419">
        <v>27647</v>
      </c>
      <c r="AB76" s="320">
        <f t="shared" ref="AB76:AB79" si="77">IF(Z76=0, "    ---- ", IF(ABS(ROUND(100/Z76*AA76-100,1))&lt;999,ROUND(100/Z76*AA76-100,1),IF(ROUND(100/Z76*AA76-100,1)&gt;999,999,-999)))</f>
        <v>12.2</v>
      </c>
      <c r="AC76" s="178"/>
      <c r="AD76" s="419"/>
      <c r="AE76" s="320"/>
      <c r="AF76" s="178"/>
      <c r="AG76" s="419">
        <v>342.80500000000001</v>
      </c>
      <c r="AH76" s="320" t="str">
        <f t="shared" si="54"/>
        <v xml:space="preserve">    ---- </v>
      </c>
      <c r="AI76" s="178">
        <v>1047</v>
      </c>
      <c r="AJ76" s="419">
        <v>1668</v>
      </c>
      <c r="AK76" s="320">
        <f t="shared" si="55"/>
        <v>59.3</v>
      </c>
      <c r="AL76" s="178"/>
      <c r="AM76" s="419"/>
      <c r="AN76" s="320"/>
      <c r="AO76" s="509">
        <f t="shared" si="75"/>
        <v>56280.60500009</v>
      </c>
      <c r="AP76" s="509">
        <f t="shared" si="75"/>
        <v>51338.837781090006</v>
      </c>
      <c r="AQ76" s="320">
        <f t="shared" ref="AQ76" si="78">IF(AO76=0, "    ---- ", IF(ABS(ROUND(100/AO76*AP76-100,1))&lt;999,ROUND(100/AO76*AP76-100,1),IF(ROUND(100/AO76*AP76-100,1)&gt;999,999,-999)))</f>
        <v>-8.8000000000000007</v>
      </c>
      <c r="AR76" s="509">
        <f t="shared" ref="AR76" si="79">B76+E76+H76+K76+N76+Q76+T76+W76+Z76+AC76+AF76+AI76+AL76</f>
        <v>56280.60500009</v>
      </c>
      <c r="AS76" s="509">
        <f t="shared" ref="AS76" si="80">C76+F76+I76+L76+O76+R76+U76+X76+AA76+AD76+AG76+AJ76+AM76</f>
        <v>51338.837781090006</v>
      </c>
      <c r="AT76" s="420"/>
    </row>
    <row r="77" spans="1:46" s="431" customFormat="1" ht="20.100000000000001" customHeight="1" x14ac:dyDescent="0.3">
      <c r="A77" s="564" t="s">
        <v>415</v>
      </c>
      <c r="B77" s="178">
        <v>17.761022319999999</v>
      </c>
      <c r="C77" s="419"/>
      <c r="D77" s="320">
        <f>IF(B77=0, "    ---- ", IF(ABS(ROUND(100/B77*C77-100,1))&lt;999,ROUND(100/B77*C77-100,1),IF(ROUND(100/B77*C77-100,1)&gt;999,999,-999)))</f>
        <v>-100</v>
      </c>
      <c r="E77" s="178">
        <v>464.03983706000002</v>
      </c>
      <c r="F77" s="419">
        <v>365.07082566000003</v>
      </c>
      <c r="G77" s="320">
        <f t="shared" si="46"/>
        <v>-21.3</v>
      </c>
      <c r="H77" s="178"/>
      <c r="I77" s="419"/>
      <c r="J77" s="320"/>
      <c r="K77" s="178"/>
      <c r="L77" s="419"/>
      <c r="M77" s="320"/>
      <c r="N77" s="178">
        <v>3</v>
      </c>
      <c r="O77" s="419">
        <v>8</v>
      </c>
      <c r="P77" s="320">
        <f>IF(N77=0, "    ---- ", IF(ABS(ROUND(100/N77*O77-100,1))&lt;999,ROUND(100/N77*O77-100,1),IF(ROUND(100/N77*O77-100,1)&gt;999,999,-999)))</f>
        <v>166.7</v>
      </c>
      <c r="Q77" s="178"/>
      <c r="R77" s="419"/>
      <c r="S77" s="320"/>
      <c r="T77" s="178">
        <v>0</v>
      </c>
      <c r="U77" s="419">
        <v>0</v>
      </c>
      <c r="V77" s="320" t="str">
        <f t="shared" si="70"/>
        <v xml:space="preserve">    ---- </v>
      </c>
      <c r="W77" s="178">
        <v>929.7</v>
      </c>
      <c r="X77" s="419">
        <v>907.11</v>
      </c>
      <c r="Y77" s="320">
        <f t="shared" si="52"/>
        <v>-2.4</v>
      </c>
      <c r="Z77" s="178">
        <v>7448</v>
      </c>
      <c r="AA77" s="419">
        <v>3907</v>
      </c>
      <c r="AB77" s="320">
        <f t="shared" si="77"/>
        <v>-47.5</v>
      </c>
      <c r="AC77" s="178"/>
      <c r="AD77" s="419"/>
      <c r="AE77" s="320"/>
      <c r="AF77" s="178">
        <v>394.65199999999999</v>
      </c>
      <c r="AG77" s="419"/>
      <c r="AH77" s="320">
        <f t="shared" si="54"/>
        <v>-100</v>
      </c>
      <c r="AI77" s="178">
        <v>3834</v>
      </c>
      <c r="AJ77" s="419">
        <v>3153</v>
      </c>
      <c r="AK77" s="320">
        <f t="shared" si="55"/>
        <v>-17.8</v>
      </c>
      <c r="AL77" s="178"/>
      <c r="AM77" s="419"/>
      <c r="AN77" s="320"/>
      <c r="AO77" s="509">
        <f t="shared" ref="AO77:AP80" si="81">B77+E77+H77+K77+N77+T77+W77+Z77+AF77+AI77</f>
        <v>13091.152859379999</v>
      </c>
      <c r="AP77" s="509">
        <f t="shared" si="81"/>
        <v>8340.1808256599998</v>
      </c>
      <c r="AQ77" s="320">
        <f t="shared" si="48"/>
        <v>-36.299999999999997</v>
      </c>
      <c r="AR77" s="509">
        <f t="shared" ref="AR77:AS80" si="82">B77+E77+H77+K77+N77+Q77+T77+W77+Z77+AC77+AF77+AI77+AL77</f>
        <v>13091.152859379999</v>
      </c>
      <c r="AS77" s="509">
        <f t="shared" si="82"/>
        <v>8340.1808256599998</v>
      </c>
      <c r="AT77" s="420">
        <f t="shared" si="50"/>
        <v>-36.299999999999997</v>
      </c>
    </row>
    <row r="78" spans="1:46" s="431" customFormat="1" ht="20.100000000000001" customHeight="1" x14ac:dyDescent="0.3">
      <c r="A78" s="564" t="s">
        <v>416</v>
      </c>
      <c r="B78" s="178">
        <v>47.994995000000003</v>
      </c>
      <c r="C78" s="419"/>
      <c r="D78" s="320">
        <f>IF(B78=0, "    ---- ", IF(ABS(ROUND(100/B78*C78-100,1))&lt;999,ROUND(100/B78*C78-100,1),IF(ROUND(100/B78*C78-100,1)&gt;999,999,-999)))</f>
        <v>-100</v>
      </c>
      <c r="E78" s="178">
        <v>2833.0426459</v>
      </c>
      <c r="F78" s="419">
        <v>3258.7013665900004</v>
      </c>
      <c r="G78" s="320">
        <f t="shared" si="46"/>
        <v>15</v>
      </c>
      <c r="H78" s="178"/>
      <c r="I78" s="419"/>
      <c r="J78" s="320"/>
      <c r="K78" s="178">
        <v>41.582000000000001</v>
      </c>
      <c r="L78" s="419">
        <v>54.005000000000003</v>
      </c>
      <c r="M78" s="320">
        <f>IF(K78=0, "    ---- ", IF(ABS(ROUND(100/K78*L78-100,1))&lt;999,ROUND(100/K78*L78-100,1),IF(ROUND(100/K78*L78-100,1)&gt;999,999,-999)))</f>
        <v>29.9</v>
      </c>
      <c r="N78" s="178"/>
      <c r="O78" s="419"/>
      <c r="P78" s="415"/>
      <c r="Q78" s="178"/>
      <c r="R78" s="419"/>
      <c r="S78" s="320"/>
      <c r="T78" s="178">
        <v>97984.670942910001</v>
      </c>
      <c r="U78" s="419">
        <v>101806.7242862</v>
      </c>
      <c r="V78" s="320">
        <f t="shared" si="70"/>
        <v>3.9</v>
      </c>
      <c r="W78" s="178"/>
      <c r="X78" s="419"/>
      <c r="Y78" s="320"/>
      <c r="Z78" s="178">
        <v>387</v>
      </c>
      <c r="AA78" s="419">
        <v>370</v>
      </c>
      <c r="AB78" s="320">
        <f t="shared" si="77"/>
        <v>-4.4000000000000004</v>
      </c>
      <c r="AC78" s="178"/>
      <c r="AD78" s="419"/>
      <c r="AE78" s="320"/>
      <c r="AF78" s="178"/>
      <c r="AG78" s="419"/>
      <c r="AH78" s="320"/>
      <c r="AI78" s="178">
        <v>729</v>
      </c>
      <c r="AJ78" s="419">
        <v>755</v>
      </c>
      <c r="AK78" s="320">
        <f t="shared" si="55"/>
        <v>3.6</v>
      </c>
      <c r="AL78" s="178"/>
      <c r="AM78" s="419"/>
      <c r="AN78" s="320"/>
      <c r="AO78" s="509">
        <f t="shared" si="81"/>
        <v>102023.29058381</v>
      </c>
      <c r="AP78" s="509">
        <f t="shared" si="81"/>
        <v>106244.43065279</v>
      </c>
      <c r="AQ78" s="320">
        <f t="shared" si="48"/>
        <v>4.0999999999999996</v>
      </c>
      <c r="AR78" s="509">
        <f t="shared" si="82"/>
        <v>102023.29058381</v>
      </c>
      <c r="AS78" s="509">
        <f t="shared" si="82"/>
        <v>106244.43065279</v>
      </c>
      <c r="AT78" s="420">
        <f t="shared" si="50"/>
        <v>4.0999999999999996</v>
      </c>
    </row>
    <row r="79" spans="1:46" s="431" customFormat="1" ht="20.100000000000001" customHeight="1" x14ac:dyDescent="0.3">
      <c r="A79" s="564" t="s">
        <v>235</v>
      </c>
      <c r="B79" s="178"/>
      <c r="C79" s="419"/>
      <c r="D79" s="320"/>
      <c r="E79" s="178">
        <v>0</v>
      </c>
      <c r="F79" s="419"/>
      <c r="G79" s="320"/>
      <c r="H79" s="178"/>
      <c r="I79" s="419"/>
      <c r="J79" s="320"/>
      <c r="K79" s="178"/>
      <c r="L79" s="419"/>
      <c r="M79" s="320"/>
      <c r="N79" s="178">
        <v>-17</v>
      </c>
      <c r="O79" s="419">
        <v>0</v>
      </c>
      <c r="P79" s="320">
        <f>IF(N79=0, "    ---- ", IF(ABS(ROUND(100/N79*O79-100,1))&lt;999,ROUND(100/N79*O79-100,1),IF(ROUND(100/N79*O79-100,1)&gt;999,999,-999)))</f>
        <v>-100</v>
      </c>
      <c r="Q79" s="178"/>
      <c r="R79" s="419"/>
      <c r="S79" s="320"/>
      <c r="T79" s="178">
        <v>956.84729000000004</v>
      </c>
      <c r="U79" s="419">
        <v>15924.979412000001</v>
      </c>
      <c r="V79" s="320">
        <f t="shared" si="70"/>
        <v>999</v>
      </c>
      <c r="W79" s="178"/>
      <c r="X79" s="419"/>
      <c r="Y79" s="320"/>
      <c r="Z79" s="178">
        <v>146</v>
      </c>
      <c r="AA79" s="419">
        <v>2016</v>
      </c>
      <c r="AB79" s="320">
        <f t="shared" si="77"/>
        <v>999</v>
      </c>
      <c r="AC79" s="178"/>
      <c r="AD79" s="419"/>
      <c r="AE79" s="320"/>
      <c r="AF79" s="178">
        <v>-225.10269718999982</v>
      </c>
      <c r="AG79" s="419">
        <v>-143.51281308999975</v>
      </c>
      <c r="AH79" s="320">
        <f t="shared" si="54"/>
        <v>-36.200000000000003</v>
      </c>
      <c r="AI79" s="178">
        <v>292</v>
      </c>
      <c r="AJ79" s="419">
        <v>343</v>
      </c>
      <c r="AK79" s="320">
        <f t="shared" si="55"/>
        <v>17.5</v>
      </c>
      <c r="AL79" s="178"/>
      <c r="AM79" s="419"/>
      <c r="AN79" s="320"/>
      <c r="AO79" s="509">
        <f t="shared" si="81"/>
        <v>1152.7445928100003</v>
      </c>
      <c r="AP79" s="509">
        <f t="shared" si="81"/>
        <v>18140.466598909999</v>
      </c>
      <c r="AQ79" s="320">
        <f t="shared" si="48"/>
        <v>999</v>
      </c>
      <c r="AR79" s="509">
        <f t="shared" si="82"/>
        <v>1152.7445928100003</v>
      </c>
      <c r="AS79" s="509">
        <f t="shared" si="82"/>
        <v>18140.466598909999</v>
      </c>
      <c r="AT79" s="420">
        <f t="shared" si="50"/>
        <v>999</v>
      </c>
    </row>
    <row r="80" spans="1:46" s="431" customFormat="1" ht="20.100000000000001" customHeight="1" x14ac:dyDescent="0.3">
      <c r="A80" s="614" t="s">
        <v>236</v>
      </c>
      <c r="B80" s="178">
        <v>1415.36349602</v>
      </c>
      <c r="C80" s="419"/>
      <c r="D80" s="320">
        <f>IF(B80=0, "    ---- ", IF(ABS(ROUND(100/B80*C80-100,1))&lt;999,ROUND(100/B80*C80-100,1),IF(ROUND(100/B80*C80-100,1)&gt;999,999,-999)))</f>
        <v>-100</v>
      </c>
      <c r="E80" s="178">
        <v>193115.85771237998</v>
      </c>
      <c r="F80" s="419">
        <v>189279.61186608998</v>
      </c>
      <c r="G80" s="320">
        <f t="shared" si="46"/>
        <v>-2</v>
      </c>
      <c r="H80" s="178">
        <v>8020.8927933899986</v>
      </c>
      <c r="I80" s="419">
        <v>8796.9761727100013</v>
      </c>
      <c r="J80" s="320">
        <f>IF(H80=0, "    ---- ", IF(ABS(ROUND(100/H80*I80-100,1))&lt;999,ROUND(100/H80*I80-100,1),IF(ROUND(100/H80*I80-100,1)&gt;999,999,-999)))</f>
        <v>9.6999999999999993</v>
      </c>
      <c r="K80" s="178">
        <v>1474.1390000000001</v>
      </c>
      <c r="L80" s="419">
        <v>1835.0161000000003</v>
      </c>
      <c r="M80" s="320">
        <f>IF(K80=0, "    ---- ", IF(ABS(ROUND(100/K80*L80-100,1))&lt;999,ROUND(100/K80*L80-100,1),IF(ROUND(100/K80*L80-100,1)&gt;999,999,-999)))</f>
        <v>24.5</v>
      </c>
      <c r="N80" s="178">
        <v>8717</v>
      </c>
      <c r="O80" s="419">
        <v>9421</v>
      </c>
      <c r="P80" s="415">
        <f>IF(N80=0, "    ---- ", IF(ABS(ROUND(100/N80*O80-100,1))&lt;999,ROUND(100/N80*O80-100,1),IF(ROUND(100/N80*O80-100,1)&gt;999,999,-999)))</f>
        <v>8.1</v>
      </c>
      <c r="Q80" s="178">
        <v>17.20121382</v>
      </c>
      <c r="R80" s="419"/>
      <c r="S80" s="320">
        <f>IF(Q80=0, "    ---- ", IF(ABS(ROUND(100/Q80*R80-100,1))&lt;999,ROUND(100/Q80*R80-100,1),IF(ROUND(100/Q80*R80-100,1)&gt;999,999,-999)))</f>
        <v>-100</v>
      </c>
      <c r="T80" s="178">
        <v>639219.29089791002</v>
      </c>
      <c r="U80" s="419">
        <v>701899.86841478001</v>
      </c>
      <c r="V80" s="320">
        <f t="shared" si="70"/>
        <v>9.8000000000000007</v>
      </c>
      <c r="W80" s="178">
        <v>54880.189999999995</v>
      </c>
      <c r="X80" s="419">
        <v>54295.67</v>
      </c>
      <c r="Y80" s="320">
        <f t="shared" si="52"/>
        <v>-1.1000000000000001</v>
      </c>
      <c r="Z80" s="178">
        <v>109924</v>
      </c>
      <c r="AA80" s="419">
        <v>119385</v>
      </c>
      <c r="AB80" s="320">
        <f>IF(Z80=0, "    ---- ", IF(ABS(ROUND(100/Z80*AA80-100,1))&lt;999,ROUND(100/Z80*AA80-100,1),IF(ROUND(100/Z80*AA80-100,1)&gt;999,999,-999)))</f>
        <v>8.6</v>
      </c>
      <c r="AC80" s="178"/>
      <c r="AD80" s="419"/>
      <c r="AE80" s="320"/>
      <c r="AF80" s="178">
        <v>22432.219302810001</v>
      </c>
      <c r="AG80" s="419">
        <v>22890.641186910001</v>
      </c>
      <c r="AH80" s="320">
        <f t="shared" si="54"/>
        <v>2</v>
      </c>
      <c r="AI80" s="178">
        <v>202815</v>
      </c>
      <c r="AJ80" s="419">
        <v>207935</v>
      </c>
      <c r="AK80" s="320">
        <f t="shared" si="55"/>
        <v>2.5</v>
      </c>
      <c r="AL80" s="178">
        <v>2</v>
      </c>
      <c r="AM80" s="419">
        <v>14</v>
      </c>
      <c r="AN80" s="320">
        <f t="shared" ref="AN80" si="83">IF(AL80=0, "    ---- ", IF(ABS(ROUND(100/AL80*AM80-100,1))&lt;999,ROUND(100/AL80*AM80-100,1),IF(ROUND(100/AL80*AM80-100,1)&gt;999,999,-999)))</f>
        <v>600</v>
      </c>
      <c r="AO80" s="509">
        <f t="shared" si="81"/>
        <v>1242013.95320251</v>
      </c>
      <c r="AP80" s="509">
        <f t="shared" si="81"/>
        <v>1315738.78374049</v>
      </c>
      <c r="AQ80" s="320">
        <f t="shared" si="48"/>
        <v>5.9</v>
      </c>
      <c r="AR80" s="509">
        <f t="shared" si="82"/>
        <v>1242033.1544163299</v>
      </c>
      <c r="AS80" s="509">
        <f t="shared" si="82"/>
        <v>1315752.78374049</v>
      </c>
      <c r="AT80" s="420">
        <f t="shared" si="50"/>
        <v>5.9</v>
      </c>
    </row>
    <row r="81" spans="1:46" s="431" customFormat="1" ht="20.100000000000001" customHeight="1" x14ac:dyDescent="0.3">
      <c r="A81" s="564" t="s">
        <v>237</v>
      </c>
      <c r="B81" s="178"/>
      <c r="C81" s="419"/>
      <c r="D81" s="320"/>
      <c r="E81" s="178"/>
      <c r="F81" s="419"/>
      <c r="G81" s="320"/>
      <c r="H81" s="178"/>
      <c r="I81" s="419"/>
      <c r="J81" s="320"/>
      <c r="K81" s="178"/>
      <c r="L81" s="419"/>
      <c r="M81" s="320"/>
      <c r="N81" s="178"/>
      <c r="O81" s="419"/>
      <c r="P81" s="415"/>
      <c r="Q81" s="178"/>
      <c r="R81" s="419"/>
      <c r="S81" s="320"/>
      <c r="T81" s="178"/>
      <c r="U81" s="419"/>
      <c r="V81" s="320"/>
      <c r="W81" s="178"/>
      <c r="X81" s="419"/>
      <c r="Y81" s="320"/>
      <c r="Z81" s="178"/>
      <c r="AA81" s="419"/>
      <c r="AB81" s="320"/>
      <c r="AC81" s="178"/>
      <c r="AD81" s="419"/>
      <c r="AE81" s="320"/>
      <c r="AF81" s="178"/>
      <c r="AG81" s="419"/>
      <c r="AH81" s="320"/>
      <c r="AI81" s="178"/>
      <c r="AJ81" s="419"/>
      <c r="AK81" s="320"/>
      <c r="AL81" s="178"/>
      <c r="AM81" s="419"/>
      <c r="AN81" s="320"/>
      <c r="AO81" s="415"/>
      <c r="AP81" s="415"/>
      <c r="AQ81" s="320"/>
      <c r="AR81" s="415"/>
      <c r="AS81" s="415"/>
      <c r="AT81" s="420"/>
    </row>
    <row r="82" spans="1:46" s="431" customFormat="1" ht="20.100000000000001" customHeight="1" x14ac:dyDescent="0.3">
      <c r="A82" s="564" t="s">
        <v>378</v>
      </c>
      <c r="B82" s="178">
        <v>25989.520953529998</v>
      </c>
      <c r="C82" s="419"/>
      <c r="D82" s="320">
        <f>IF(B82=0, "    ---- ", IF(ABS(ROUND(100/B82*C82-100,1))&lt;999,ROUND(100/B82*C82-100,1),IF(ROUND(100/B82*C82-100,1)&gt;999,999,-999)))</f>
        <v>-100</v>
      </c>
      <c r="E82" s="178">
        <v>127823.52328730999</v>
      </c>
      <c r="F82" s="419">
        <v>154819.01742175946</v>
      </c>
      <c r="G82" s="320">
        <f t="shared" si="46"/>
        <v>21.1</v>
      </c>
      <c r="H82" s="178"/>
      <c r="I82" s="419"/>
      <c r="J82" s="320"/>
      <c r="K82" s="178"/>
      <c r="L82" s="419"/>
      <c r="M82" s="320"/>
      <c r="N82" s="178">
        <v>40661</v>
      </c>
      <c r="O82" s="419">
        <v>55323</v>
      </c>
      <c r="P82" s="415">
        <f>IF(N82=0, "    ---- ", IF(ABS(ROUND(100/N82*O82-100,1))&lt;999,ROUND(100/N82*O82-100,1),IF(ROUND(100/N82*O82-100,1)&gt;999,999,-999)))</f>
        <v>36.1</v>
      </c>
      <c r="Q82" s="178"/>
      <c r="R82" s="419"/>
      <c r="S82" s="320"/>
      <c r="T82" s="178">
        <v>1999.51361101</v>
      </c>
      <c r="U82" s="419">
        <v>2312.7486130100001</v>
      </c>
      <c r="V82" s="320">
        <f t="shared" ref="V82:V93" si="84">IF(T82=0, "    ---- ", IF(ABS(ROUND(100/T82*U82-100,1))&lt;999,ROUND(100/T82*U82-100,1),IF(ROUND(100/T82*U82-100,1)&gt;999,999,-999)))</f>
        <v>15.7</v>
      </c>
      <c r="W82" s="178">
        <v>112327.4</v>
      </c>
      <c r="X82" s="419">
        <v>135812.76</v>
      </c>
      <c r="Y82" s="320">
        <f t="shared" si="52"/>
        <v>20.9</v>
      </c>
      <c r="Z82" s="178"/>
      <c r="AA82" s="419"/>
      <c r="AB82" s="320"/>
      <c r="AC82" s="178">
        <v>2698.3138460999999</v>
      </c>
      <c r="AD82" s="419"/>
      <c r="AE82" s="320">
        <f>IF(AC82=0, "    ---- ", IF(ABS(ROUND(100/AC82*AD82-100,1))&lt;999,ROUND(100/AC82*AD82-100,1),IF(ROUND(100/AC82*AD82-100,1)&gt;999,999,-999)))</f>
        <v>-100</v>
      </c>
      <c r="AF82" s="178">
        <v>51361.338000000003</v>
      </c>
      <c r="AG82" s="419">
        <v>62752.28</v>
      </c>
      <c r="AH82" s="320">
        <f t="shared" si="54"/>
        <v>22.2</v>
      </c>
      <c r="AI82" s="178">
        <v>143644</v>
      </c>
      <c r="AJ82" s="419">
        <v>196678</v>
      </c>
      <c r="AK82" s="320">
        <f t="shared" si="55"/>
        <v>36.9</v>
      </c>
      <c r="AL82" s="178"/>
      <c r="AM82" s="419"/>
      <c r="AN82" s="320"/>
      <c r="AO82" s="509">
        <f t="shared" ref="AO82:AP84" si="85">B82+E82+H82+K82+N82+T82+W82+Z82+AF82+AI82</f>
        <v>503806.29585184995</v>
      </c>
      <c r="AP82" s="509">
        <f t="shared" si="85"/>
        <v>607697.80603476951</v>
      </c>
      <c r="AQ82" s="320">
        <f t="shared" si="48"/>
        <v>20.6</v>
      </c>
      <c r="AR82" s="509">
        <f t="shared" ref="AR82:AS83" si="86">B82+E82+H82+K82+N82+Q82+T82+W82+Z82+AC82+AF82+AI82+AL82</f>
        <v>506504.60969794996</v>
      </c>
      <c r="AS82" s="509">
        <f t="shared" si="86"/>
        <v>607697.80603476951</v>
      </c>
      <c r="AT82" s="420">
        <f t="shared" si="50"/>
        <v>20</v>
      </c>
    </row>
    <row r="83" spans="1:46" s="431" customFormat="1" ht="20.100000000000001" customHeight="1" x14ac:dyDescent="0.3">
      <c r="A83" s="564" t="s">
        <v>379</v>
      </c>
      <c r="B83" s="178"/>
      <c r="C83" s="419"/>
      <c r="D83" s="320"/>
      <c r="E83" s="178"/>
      <c r="F83" s="419"/>
      <c r="G83" s="320"/>
      <c r="H83" s="178"/>
      <c r="I83" s="419"/>
      <c r="J83" s="320"/>
      <c r="K83" s="178"/>
      <c r="L83" s="419"/>
      <c r="M83" s="320"/>
      <c r="N83" s="178"/>
      <c r="O83" s="419"/>
      <c r="P83" s="320"/>
      <c r="Q83" s="178"/>
      <c r="R83" s="419"/>
      <c r="S83" s="320"/>
      <c r="T83" s="178">
        <v>36.583753999999999</v>
      </c>
      <c r="U83" s="419">
        <v>61.316423869999994</v>
      </c>
      <c r="V83" s="320">
        <f t="shared" si="84"/>
        <v>67.599999999999994</v>
      </c>
      <c r="W83" s="178"/>
      <c r="X83" s="419"/>
      <c r="Y83" s="320"/>
      <c r="Z83" s="178"/>
      <c r="AA83" s="419"/>
      <c r="AB83" s="320"/>
      <c r="AC83" s="178"/>
      <c r="AD83" s="419"/>
      <c r="AE83" s="320"/>
      <c r="AF83" s="178"/>
      <c r="AG83" s="419"/>
      <c r="AH83" s="320"/>
      <c r="AI83" s="178"/>
      <c r="AJ83" s="419"/>
      <c r="AK83" s="320"/>
      <c r="AL83" s="178"/>
      <c r="AM83" s="419"/>
      <c r="AN83" s="320"/>
      <c r="AO83" s="509">
        <f t="shared" si="85"/>
        <v>36.583753999999999</v>
      </c>
      <c r="AP83" s="509">
        <f t="shared" si="85"/>
        <v>61.316423869999994</v>
      </c>
      <c r="AQ83" s="320">
        <f t="shared" si="48"/>
        <v>67.599999999999994</v>
      </c>
      <c r="AR83" s="509">
        <f t="shared" si="86"/>
        <v>36.583753999999999</v>
      </c>
      <c r="AS83" s="509">
        <f t="shared" si="86"/>
        <v>61.316423869999994</v>
      </c>
      <c r="AT83" s="420">
        <f t="shared" si="50"/>
        <v>67.599999999999994</v>
      </c>
    </row>
    <row r="84" spans="1:46" s="431" customFormat="1" ht="20.100000000000001" customHeight="1" x14ac:dyDescent="0.3">
      <c r="A84" s="564" t="s">
        <v>417</v>
      </c>
      <c r="B84" s="178"/>
      <c r="C84" s="419"/>
      <c r="D84" s="320"/>
      <c r="E84" s="178"/>
      <c r="F84" s="419"/>
      <c r="G84" s="320"/>
      <c r="H84" s="178"/>
      <c r="I84" s="419"/>
      <c r="J84" s="320"/>
      <c r="K84" s="178"/>
      <c r="L84" s="419"/>
      <c r="M84" s="320"/>
      <c r="N84" s="178"/>
      <c r="O84" s="419"/>
      <c r="P84" s="320"/>
      <c r="Q84" s="178"/>
      <c r="R84" s="419"/>
      <c r="S84" s="320"/>
      <c r="T84" s="178">
        <v>543.01997691999998</v>
      </c>
      <c r="U84" s="419">
        <v>460.45396892000002</v>
      </c>
      <c r="V84" s="320">
        <f t="shared" si="84"/>
        <v>-15.2</v>
      </c>
      <c r="W84" s="178"/>
      <c r="X84" s="419"/>
      <c r="Y84" s="320"/>
      <c r="Z84" s="178"/>
      <c r="AA84" s="419"/>
      <c r="AB84" s="320"/>
      <c r="AC84" s="178"/>
      <c r="AD84" s="419"/>
      <c r="AE84" s="320"/>
      <c r="AF84" s="178"/>
      <c r="AG84" s="419"/>
      <c r="AH84" s="320"/>
      <c r="AI84" s="178"/>
      <c r="AJ84" s="419"/>
      <c r="AK84" s="320"/>
      <c r="AL84" s="178"/>
      <c r="AM84" s="419"/>
      <c r="AN84" s="320"/>
      <c r="AO84" s="509">
        <f t="shared" si="85"/>
        <v>543.01997691999998</v>
      </c>
      <c r="AP84" s="509">
        <f t="shared" si="85"/>
        <v>460.45396892000002</v>
      </c>
      <c r="AQ84" s="320">
        <f t="shared" ref="AQ84" si="87">IF(AO84=0, "    ---- ", IF(ABS(ROUND(100/AO84*AP84-100,1))&lt;999,ROUND(100/AO84*AP84-100,1),IF(ROUND(100/AO84*AP84-100,1)&gt;999,999,-999)))</f>
        <v>-15.2</v>
      </c>
      <c r="AR84" s="509">
        <f t="shared" ref="AR84" si="88">B84+E84+H84+K84+N84+Q84+T84+W84+Z84+AC84+AF84+AI84+AL84</f>
        <v>543.01997691999998</v>
      </c>
      <c r="AS84" s="509">
        <f t="shared" ref="AS84" si="89">C84+F84+I84+L84+O84+R84+U84+X84+AA84+AD84+AG84+AJ84+AM84</f>
        <v>460.45396892000002</v>
      </c>
      <c r="AT84" s="420"/>
    </row>
    <row r="85" spans="1:46" s="431" customFormat="1" ht="20.100000000000001" customHeight="1" x14ac:dyDescent="0.3">
      <c r="A85" s="564" t="s">
        <v>418</v>
      </c>
      <c r="B85" s="576">
        <v>57.1097362699999</v>
      </c>
      <c r="C85" s="320"/>
      <c r="D85" s="320">
        <f>IF(B85=0, "    ---- ", IF(ABS(ROUND(100/B85*C85-100,1))&lt;999,ROUND(100/B85*C85-100,1),IF(ROUND(100/B85*C85-100,1)&gt;999,999,-999)))</f>
        <v>-100</v>
      </c>
      <c r="E85" s="576">
        <v>541.61607374000005</v>
      </c>
      <c r="F85" s="320">
        <v>312.30864694999997</v>
      </c>
      <c r="G85" s="320">
        <f t="shared" si="46"/>
        <v>-42.3</v>
      </c>
      <c r="H85" s="178"/>
      <c r="I85" s="320"/>
      <c r="J85" s="320"/>
      <c r="K85" s="576"/>
      <c r="L85" s="320"/>
      <c r="M85" s="320"/>
      <c r="N85" s="576">
        <v>267</v>
      </c>
      <c r="O85" s="320">
        <v>116</v>
      </c>
      <c r="P85" s="320">
        <f>IF(N85=0, "    ---- ", IF(ABS(ROUND(100/N85*O85-100,1))&lt;999,ROUND(100/N85*O85-100,1),IF(ROUND(100/N85*O85-100,1)&gt;999,999,-999)))</f>
        <v>-56.6</v>
      </c>
      <c r="Q85" s="576"/>
      <c r="R85" s="320"/>
      <c r="S85" s="320"/>
      <c r="T85" s="576"/>
      <c r="U85" s="320"/>
      <c r="V85" s="320"/>
      <c r="W85" s="576"/>
      <c r="X85" s="320"/>
      <c r="Y85" s="320"/>
      <c r="Z85" s="576"/>
      <c r="AA85" s="320"/>
      <c r="AB85" s="320"/>
      <c r="AC85" s="576"/>
      <c r="AD85" s="320"/>
      <c r="AE85" s="320"/>
      <c r="AF85" s="576">
        <v>620.92999999999995</v>
      </c>
      <c r="AG85" s="320">
        <v>653.16200000000003</v>
      </c>
      <c r="AH85" s="320">
        <f t="shared" si="54"/>
        <v>5.2</v>
      </c>
      <c r="AI85" s="576"/>
      <c r="AJ85" s="320">
        <v>1</v>
      </c>
      <c r="AK85" s="320" t="str">
        <f t="shared" si="55"/>
        <v xml:space="preserve">    ---- </v>
      </c>
      <c r="AL85" s="576"/>
      <c r="AM85" s="320"/>
      <c r="AN85" s="320"/>
      <c r="AO85" s="509">
        <f t="shared" ref="AO85:AP91" si="90">B85+E85+H85+K85+N85+T85+W85+Z85+AF85+AI85</f>
        <v>1486.6558100099999</v>
      </c>
      <c r="AP85" s="509">
        <f t="shared" si="90"/>
        <v>1082.4706469499999</v>
      </c>
      <c r="AQ85" s="320">
        <f t="shared" si="48"/>
        <v>-27.2</v>
      </c>
      <c r="AR85" s="509">
        <f t="shared" ref="AR85:AS91" si="91">B85+E85+H85+K85+N85+Q85+T85+W85+Z85+AC85+AF85+AI85+AL85</f>
        <v>1486.6558100099999</v>
      </c>
      <c r="AS85" s="509">
        <f t="shared" si="91"/>
        <v>1082.4706469499999</v>
      </c>
      <c r="AT85" s="420">
        <f t="shared" si="50"/>
        <v>-27.2</v>
      </c>
    </row>
    <row r="86" spans="1:46" s="431" customFormat="1" ht="20.100000000000001" customHeight="1" x14ac:dyDescent="0.3">
      <c r="A86" s="564" t="s">
        <v>235</v>
      </c>
      <c r="B86" s="178"/>
      <c r="C86" s="419"/>
      <c r="D86" s="419"/>
      <c r="E86" s="178"/>
      <c r="F86" s="419"/>
      <c r="G86" s="419"/>
      <c r="H86" s="576"/>
      <c r="I86" s="419"/>
      <c r="J86" s="419"/>
      <c r="K86" s="178"/>
      <c r="L86" s="419"/>
      <c r="M86" s="419"/>
      <c r="N86" s="178"/>
      <c r="O86" s="419"/>
      <c r="P86" s="415"/>
      <c r="Q86" s="178"/>
      <c r="R86" s="419"/>
      <c r="S86" s="320"/>
      <c r="T86" s="178">
        <v>6.1357100000000004</v>
      </c>
      <c r="U86" s="419">
        <v>80.913332999999994</v>
      </c>
      <c r="V86" s="320">
        <f t="shared" si="84"/>
        <v>999</v>
      </c>
      <c r="W86" s="178"/>
      <c r="X86" s="419"/>
      <c r="Y86" s="320"/>
      <c r="Z86" s="178"/>
      <c r="AA86" s="419"/>
      <c r="AB86" s="320"/>
      <c r="AC86" s="178"/>
      <c r="AD86" s="419"/>
      <c r="AE86" s="419"/>
      <c r="AF86" s="178"/>
      <c r="AG86" s="419"/>
      <c r="AH86" s="320"/>
      <c r="AI86" s="178"/>
      <c r="AJ86" s="419">
        <v>-34</v>
      </c>
      <c r="AK86" s="320" t="str">
        <f t="shared" si="55"/>
        <v xml:space="preserve">    ---- </v>
      </c>
      <c r="AL86" s="178"/>
      <c r="AM86" s="419"/>
      <c r="AN86" s="320"/>
      <c r="AO86" s="509">
        <f t="shared" si="90"/>
        <v>6.1357100000000004</v>
      </c>
      <c r="AP86" s="509">
        <f t="shared" si="90"/>
        <v>46.913332999999994</v>
      </c>
      <c r="AQ86" s="320">
        <f t="shared" si="48"/>
        <v>664.6</v>
      </c>
      <c r="AR86" s="509">
        <f t="shared" si="91"/>
        <v>6.1357100000000004</v>
      </c>
      <c r="AS86" s="509">
        <f t="shared" si="91"/>
        <v>46.913332999999994</v>
      </c>
      <c r="AT86" s="420">
        <f t="shared" si="50"/>
        <v>664.6</v>
      </c>
    </row>
    <row r="87" spans="1:46" s="431" customFormat="1" ht="20.100000000000001" customHeight="1" x14ac:dyDescent="0.3">
      <c r="A87" s="614" t="s">
        <v>238</v>
      </c>
      <c r="B87" s="178">
        <v>26046.630689799997</v>
      </c>
      <c r="C87" s="419"/>
      <c r="D87" s="419">
        <f>IF(B87=0, "    ---- ", IF(ABS(ROUND(100/B87*C87-100,1))&lt;999,ROUND(100/B87*C87-100,1),IF(ROUND(100/B87*C87-100,1)&gt;999,999,-999)))</f>
        <v>-100</v>
      </c>
      <c r="E87" s="178">
        <v>128365.13936104999</v>
      </c>
      <c r="F87" s="419">
        <v>155131.32606870946</v>
      </c>
      <c r="G87" s="419">
        <f t="shared" si="46"/>
        <v>20.9</v>
      </c>
      <c r="H87" s="178"/>
      <c r="I87" s="419"/>
      <c r="J87" s="419"/>
      <c r="K87" s="178"/>
      <c r="L87" s="419"/>
      <c r="M87" s="419"/>
      <c r="N87" s="178">
        <v>40928</v>
      </c>
      <c r="O87" s="419">
        <v>55439</v>
      </c>
      <c r="P87" s="415">
        <f>IF(N87=0, "    ---- ", IF(ABS(ROUND(100/N87*O87-100,1))&lt;999,ROUND(100/N87*O87-100,1),IF(ROUND(100/N87*O87-100,1)&gt;999,999,-999)))</f>
        <v>35.5</v>
      </c>
      <c r="Q87" s="178"/>
      <c r="R87" s="419"/>
      <c r="S87" s="320"/>
      <c r="T87" s="178">
        <v>2585.2530519299999</v>
      </c>
      <c r="U87" s="419">
        <v>2915.4323388000003</v>
      </c>
      <c r="V87" s="320">
        <f t="shared" si="84"/>
        <v>12.8</v>
      </c>
      <c r="W87" s="178">
        <v>112327.4</v>
      </c>
      <c r="X87" s="419">
        <v>135812.76</v>
      </c>
      <c r="Y87" s="320">
        <f t="shared" si="52"/>
        <v>20.9</v>
      </c>
      <c r="Z87" s="178"/>
      <c r="AA87" s="419"/>
      <c r="AB87" s="320"/>
      <c r="AC87" s="178">
        <v>2698.3138460999999</v>
      </c>
      <c r="AD87" s="419"/>
      <c r="AE87" s="419">
        <f>IF(AC87=0, "    ---- ", IF(ABS(ROUND(100/AC87*AD87-100,1))&lt;999,ROUND(100/AC87*AD87-100,1),IF(ROUND(100/AC87*AD87-100,1)&gt;999,999,-999)))</f>
        <v>-100</v>
      </c>
      <c r="AF87" s="178">
        <v>51982.268000000004</v>
      </c>
      <c r="AG87" s="419">
        <v>63405.441999999995</v>
      </c>
      <c r="AH87" s="320">
        <f t="shared" si="54"/>
        <v>22</v>
      </c>
      <c r="AI87" s="178">
        <v>143644</v>
      </c>
      <c r="AJ87" s="419">
        <v>196645</v>
      </c>
      <c r="AK87" s="320">
        <f t="shared" si="55"/>
        <v>36.9</v>
      </c>
      <c r="AL87" s="178"/>
      <c r="AM87" s="419"/>
      <c r="AN87" s="320"/>
      <c r="AO87" s="509">
        <f t="shared" si="90"/>
        <v>505878.69110277999</v>
      </c>
      <c r="AP87" s="509">
        <f t="shared" si="90"/>
        <v>609348.96040750947</v>
      </c>
      <c r="AQ87" s="320">
        <f t="shared" si="48"/>
        <v>20.5</v>
      </c>
      <c r="AR87" s="509">
        <f t="shared" si="91"/>
        <v>508577.00494888</v>
      </c>
      <c r="AS87" s="509">
        <f t="shared" si="91"/>
        <v>609348.96040750947</v>
      </c>
      <c r="AT87" s="420">
        <f t="shared" si="50"/>
        <v>19.8</v>
      </c>
    </row>
    <row r="88" spans="1:46" s="431" customFormat="1" ht="20.100000000000001" customHeight="1" x14ac:dyDescent="0.3">
      <c r="A88" s="564" t="s">
        <v>239</v>
      </c>
      <c r="B88" s="178">
        <v>53.887164040000002</v>
      </c>
      <c r="C88" s="419"/>
      <c r="D88" s="320">
        <f>IF(B88=0, "    ---- ", IF(ABS(ROUND(100/B88*C88-100,1))&lt;999,ROUND(100/B88*C88-100,1),IF(ROUND(100/B88*C88-100,1)&gt;999,999,-999)))</f>
        <v>-100</v>
      </c>
      <c r="E88" s="178">
        <v>585.98280786999999</v>
      </c>
      <c r="F88" s="419">
        <v>989.02440819000003</v>
      </c>
      <c r="G88" s="320">
        <f t="shared" si="46"/>
        <v>68.8</v>
      </c>
      <c r="H88" s="178">
        <v>310.76529083000003</v>
      </c>
      <c r="I88" s="419">
        <v>205.60442728000001</v>
      </c>
      <c r="J88" s="320">
        <f>IF(H88=0, "    ---- ", IF(ABS(ROUND(100/H88*I88-100,1))&lt;999,ROUND(100/H88*I88-100,1),IF(ROUND(100/H88*I88-100,1)&gt;999,999,-999)))</f>
        <v>-33.799999999999997</v>
      </c>
      <c r="K88" s="178"/>
      <c r="L88" s="419"/>
      <c r="M88" s="320"/>
      <c r="N88" s="178">
        <v>58</v>
      </c>
      <c r="O88" s="419">
        <v>100</v>
      </c>
      <c r="P88" s="320">
        <f>IF(N88=0, "    ---- ", IF(ABS(ROUND(100/N88*O88-100,1))&lt;999,ROUND(100/N88*O88-100,1),IF(ROUND(100/N88*O88-100,1)&gt;999,999,-999)))</f>
        <v>72.400000000000006</v>
      </c>
      <c r="Q88" s="178">
        <v>6.9094064700000004</v>
      </c>
      <c r="R88" s="419"/>
      <c r="S88" s="320">
        <f>IF(Q88=0, "    ---- ", IF(ABS(ROUND(100/Q88*R88-100,1))&lt;999,ROUND(100/Q88*R88-100,1),IF(ROUND(100/Q88*R88-100,1)&gt;999,999,-999)))</f>
        <v>-100</v>
      </c>
      <c r="T88" s="178">
        <v>1068.5717248400001</v>
      </c>
      <c r="U88" s="419">
        <v>1061.90170046</v>
      </c>
      <c r="V88" s="320">
        <f t="shared" si="84"/>
        <v>-0.6</v>
      </c>
      <c r="W88" s="178">
        <v>407.58</v>
      </c>
      <c r="X88" s="419">
        <v>406.49</v>
      </c>
      <c r="Y88" s="320">
        <f t="shared" si="52"/>
        <v>-0.3</v>
      </c>
      <c r="Z88" s="178">
        <v>1268</v>
      </c>
      <c r="AA88" s="419">
        <v>1618</v>
      </c>
      <c r="AB88" s="320">
        <f>IF(Z88=0, "    ---- ", IF(ABS(ROUND(100/Z88*AA88-100,1))&lt;999,ROUND(100/Z88*AA88-100,1),IF(ROUND(100/Z88*AA88-100,1)&gt;999,999,-999)))</f>
        <v>27.6</v>
      </c>
      <c r="AC88" s="178"/>
      <c r="AD88" s="419"/>
      <c r="AE88" s="320"/>
      <c r="AF88" s="178">
        <v>567.45799999999997</v>
      </c>
      <c r="AG88" s="419">
        <v>294.774</v>
      </c>
      <c r="AH88" s="320">
        <f t="shared" si="54"/>
        <v>-48.1</v>
      </c>
      <c r="AI88" s="178">
        <v>2</v>
      </c>
      <c r="AJ88" s="419">
        <v>235</v>
      </c>
      <c r="AK88" s="320">
        <f t="shared" si="55"/>
        <v>999</v>
      </c>
      <c r="AL88" s="178"/>
      <c r="AM88" s="419"/>
      <c r="AN88" s="320"/>
      <c r="AO88" s="509">
        <f t="shared" si="90"/>
        <v>4322.2449875800003</v>
      </c>
      <c r="AP88" s="509">
        <f t="shared" si="90"/>
        <v>4910.7945359300002</v>
      </c>
      <c r="AQ88" s="320">
        <f t="shared" si="48"/>
        <v>13.6</v>
      </c>
      <c r="AR88" s="509">
        <f t="shared" si="91"/>
        <v>4329.1543940499996</v>
      </c>
      <c r="AS88" s="509">
        <f t="shared" si="91"/>
        <v>4910.7945359300002</v>
      </c>
      <c r="AT88" s="420">
        <f t="shared" si="50"/>
        <v>13.4</v>
      </c>
    </row>
    <row r="89" spans="1:46" s="431" customFormat="1" ht="20.100000000000001" customHeight="1" x14ac:dyDescent="0.3">
      <c r="A89" s="564" t="s">
        <v>240</v>
      </c>
      <c r="B89" s="178"/>
      <c r="C89" s="419"/>
      <c r="D89" s="320"/>
      <c r="E89" s="178"/>
      <c r="F89" s="419"/>
      <c r="G89" s="320"/>
      <c r="H89" s="178">
        <v>366.83817587999999</v>
      </c>
      <c r="I89" s="419">
        <v>306.87762663000001</v>
      </c>
      <c r="J89" s="320">
        <f t="shared" ref="J89:J90" si="92">IF(H89=0, "    ---- ", IF(ABS(ROUND(100/H89*I89-100,1))&lt;999,ROUND(100/H89*I89-100,1),IF(ROUND(100/H89*I89-100,1)&gt;999,999,-999)))</f>
        <v>-16.3</v>
      </c>
      <c r="K89" s="178"/>
      <c r="L89" s="419"/>
      <c r="M89" s="320"/>
      <c r="N89" s="178"/>
      <c r="O89" s="419"/>
      <c r="P89" s="320"/>
      <c r="Q89" s="178"/>
      <c r="R89" s="419"/>
      <c r="S89" s="320"/>
      <c r="T89" s="178"/>
      <c r="U89" s="419"/>
      <c r="V89" s="320"/>
      <c r="W89" s="178"/>
      <c r="X89" s="419"/>
      <c r="Y89" s="320"/>
      <c r="Z89" s="178"/>
      <c r="AA89" s="419"/>
      <c r="AB89" s="320"/>
      <c r="AC89" s="178"/>
      <c r="AD89" s="419"/>
      <c r="AE89" s="320"/>
      <c r="AF89" s="178">
        <v>7.9569999999999999</v>
      </c>
      <c r="AG89" s="419">
        <v>11.365</v>
      </c>
      <c r="AH89" s="320">
        <f t="shared" si="54"/>
        <v>42.8</v>
      </c>
      <c r="AI89" s="178"/>
      <c r="AJ89" s="419"/>
      <c r="AK89" s="320"/>
      <c r="AL89" s="178"/>
      <c r="AM89" s="419"/>
      <c r="AN89" s="320"/>
      <c r="AO89" s="509">
        <f t="shared" si="90"/>
        <v>374.79517587999999</v>
      </c>
      <c r="AP89" s="509">
        <f t="shared" si="90"/>
        <v>318.24262663000002</v>
      </c>
      <c r="AQ89" s="320">
        <f t="shared" si="48"/>
        <v>-15.1</v>
      </c>
      <c r="AR89" s="509">
        <f t="shared" si="91"/>
        <v>374.79517587999999</v>
      </c>
      <c r="AS89" s="509">
        <f t="shared" si="91"/>
        <v>318.24262663000002</v>
      </c>
      <c r="AT89" s="420">
        <f t="shared" si="50"/>
        <v>-15.1</v>
      </c>
    </row>
    <row r="90" spans="1:46" s="431" customFormat="1" ht="20.100000000000001" customHeight="1" x14ac:dyDescent="0.3">
      <c r="A90" s="564" t="s">
        <v>241</v>
      </c>
      <c r="B90" s="178">
        <v>603.94546326000204</v>
      </c>
      <c r="C90" s="419"/>
      <c r="D90" s="419">
        <f>IF(B90=0, "    ---- ", IF(ABS(ROUND(100/B90*C90-100,1))&lt;999,ROUND(100/B90*C90-100,1),IF(ROUND(100/B90*C90-100,1)&gt;999,999,-999)))</f>
        <v>-100</v>
      </c>
      <c r="E90" s="178">
        <v>7776.8000201500136</v>
      </c>
      <c r="F90" s="419">
        <v>5992.1418655105263</v>
      </c>
      <c r="G90" s="419">
        <f t="shared" si="46"/>
        <v>-22.9</v>
      </c>
      <c r="H90" s="178">
        <v>154.60385070000001</v>
      </c>
      <c r="I90" s="419">
        <v>222.12154298000002</v>
      </c>
      <c r="J90" s="320">
        <f t="shared" si="92"/>
        <v>43.7</v>
      </c>
      <c r="K90" s="178">
        <v>75.481999999999999</v>
      </c>
      <c r="L90" s="419">
        <v>80.256</v>
      </c>
      <c r="M90" s="419">
        <f t="shared" ref="M90" si="93">IF(K90=0, "    ---- ", IF(ABS(ROUND(100/K90*L90-100,1))&lt;999,ROUND(100/K90*L90-100,1),IF(ROUND(100/K90*L90-100,1)&gt;999,999,-999)))</f>
        <v>6.3</v>
      </c>
      <c r="N90" s="178">
        <v>156</v>
      </c>
      <c r="O90" s="419">
        <v>239</v>
      </c>
      <c r="P90" s="415">
        <f>IF(N90=0, "    ---- ", IF(ABS(ROUND(100/N90*O90-100,1))&lt;999,ROUND(100/N90*O90-100,1),IF(ROUND(100/N90*O90-100,1)&gt;999,999,-999)))</f>
        <v>53.2</v>
      </c>
      <c r="Q90" s="178">
        <v>3.5551016099999999</v>
      </c>
      <c r="R90" s="419"/>
      <c r="S90" s="320">
        <f>IF(Q90=0, "    ---- ", IF(ABS(ROUND(100/Q90*R90-100,1))&lt;999,ROUND(100/Q90*R90-100,1),IF(ROUND(100/Q90*R90-100,1)&gt;999,999,-999)))</f>
        <v>-100</v>
      </c>
      <c r="T90" s="178">
        <v>30548.427658479999</v>
      </c>
      <c r="U90" s="419">
        <v>15943.65904359</v>
      </c>
      <c r="V90" s="320">
        <f t="shared" si="84"/>
        <v>-47.8</v>
      </c>
      <c r="W90" s="178">
        <v>1484.11</v>
      </c>
      <c r="X90" s="419">
        <v>458.45</v>
      </c>
      <c r="Y90" s="320">
        <f t="shared" si="52"/>
        <v>-69.099999999999994</v>
      </c>
      <c r="Z90" s="178"/>
      <c r="AA90" s="419"/>
      <c r="AB90" s="320"/>
      <c r="AC90" s="178">
        <v>10.840981429999999</v>
      </c>
      <c r="AD90" s="419"/>
      <c r="AE90" s="320">
        <f>IF(AC90=0, "    ---- ", IF(ABS(ROUND(100/AC90*AD90-100,1))&lt;999,ROUND(100/AC90*AD90-100,1),IF(ROUND(100/AC90*AD90-100,1)&gt;999,999,-999)))</f>
        <v>-100</v>
      </c>
      <c r="AF90" s="178">
        <v>2136.0790000000002</v>
      </c>
      <c r="AG90" s="419">
        <v>543.19899999999996</v>
      </c>
      <c r="AH90" s="320">
        <f t="shared" si="54"/>
        <v>-74.599999999999994</v>
      </c>
      <c r="AI90" s="178">
        <v>14022</v>
      </c>
      <c r="AJ90" s="419">
        <v>40047</v>
      </c>
      <c r="AK90" s="320">
        <f t="shared" si="55"/>
        <v>185.6</v>
      </c>
      <c r="AL90" s="178">
        <v>6</v>
      </c>
      <c r="AM90" s="419">
        <v>17</v>
      </c>
      <c r="AN90" s="320">
        <f t="shared" ref="AN90" si="94">IF(AL90=0, "    ---- ", IF(ABS(ROUND(100/AL90*AM90-100,1))&lt;999,ROUND(100/AL90*AM90-100,1),IF(ROUND(100/AL90*AM90-100,1)&gt;999,999,-999)))</f>
        <v>183.3</v>
      </c>
      <c r="AO90" s="509">
        <f t="shared" si="90"/>
        <v>56957.447992590009</v>
      </c>
      <c r="AP90" s="509">
        <f t="shared" si="90"/>
        <v>63525.827452080528</v>
      </c>
      <c r="AQ90" s="320">
        <f t="shared" si="48"/>
        <v>11.5</v>
      </c>
      <c r="AR90" s="509">
        <f t="shared" si="91"/>
        <v>56977.844075630019</v>
      </c>
      <c r="AS90" s="509">
        <f t="shared" si="91"/>
        <v>63542.827452080528</v>
      </c>
      <c r="AT90" s="420">
        <f t="shared" si="50"/>
        <v>11.5</v>
      </c>
    </row>
    <row r="91" spans="1:46" s="431" customFormat="1" ht="20.100000000000001" customHeight="1" x14ac:dyDescent="0.3">
      <c r="A91" s="564" t="s">
        <v>242</v>
      </c>
      <c r="B91" s="178">
        <v>24.767217949999999</v>
      </c>
      <c r="C91" s="419"/>
      <c r="D91" s="419">
        <f>IF(B91=0, "    ---- ", IF(ABS(ROUND(100/B91*C91-100,1))&lt;999,ROUND(100/B91*C91-100,1),IF(ROUND(100/B91*C91-100,1)&gt;999,999,-999)))</f>
        <v>-100</v>
      </c>
      <c r="E91" s="178">
        <v>70.988611230000004</v>
      </c>
      <c r="F91" s="419">
        <v>71.476926059999997</v>
      </c>
      <c r="G91" s="419">
        <f t="shared" si="46"/>
        <v>0.7</v>
      </c>
      <c r="H91" s="178"/>
      <c r="I91" s="419"/>
      <c r="J91" s="419"/>
      <c r="K91" s="178">
        <v>23.358000000000001</v>
      </c>
      <c r="L91" s="419">
        <v>31.521999999999998</v>
      </c>
      <c r="M91" s="419">
        <f>IF(K91=0, "    ---- ", IF(ABS(ROUND(100/K91*L91-100,1))&lt;999,ROUND(100/K91*L91-100,1),IF(ROUND(100/K91*L91-100,1)&gt;999,999,-999)))</f>
        <v>35</v>
      </c>
      <c r="N91" s="178">
        <v>23</v>
      </c>
      <c r="O91" s="419">
        <v>27</v>
      </c>
      <c r="P91" s="320">
        <f>IF(N91=0, "    ---- ", IF(ABS(ROUND(100/N91*O91-100,1))&lt;999,ROUND(100/N91*O91-100,1),IF(ROUND(100/N91*O91-100,1)&gt;999,999,-999)))</f>
        <v>17.399999999999999</v>
      </c>
      <c r="Q91" s="178"/>
      <c r="R91" s="419"/>
      <c r="S91" s="320"/>
      <c r="T91" s="178">
        <v>80.650088370000006</v>
      </c>
      <c r="U91" s="419">
        <v>91.176303169999997</v>
      </c>
      <c r="V91" s="320">
        <f t="shared" si="84"/>
        <v>13.1</v>
      </c>
      <c r="W91" s="178">
        <v>46.15</v>
      </c>
      <c r="X91" s="419">
        <v>59.68</v>
      </c>
      <c r="Y91" s="320">
        <f t="shared" si="52"/>
        <v>29.3</v>
      </c>
      <c r="Z91" s="178"/>
      <c r="AA91" s="419"/>
      <c r="AB91" s="320"/>
      <c r="AC91" s="178"/>
      <c r="AD91" s="419"/>
      <c r="AE91" s="320"/>
      <c r="AF91" s="178">
        <v>34.256</v>
      </c>
      <c r="AG91" s="419">
        <v>33.820999999999998</v>
      </c>
      <c r="AH91" s="320">
        <f t="shared" si="54"/>
        <v>-1.3</v>
      </c>
      <c r="AI91" s="178">
        <v>391</v>
      </c>
      <c r="AJ91" s="419">
        <v>496</v>
      </c>
      <c r="AK91" s="320">
        <f t="shared" si="55"/>
        <v>26.9</v>
      </c>
      <c r="AL91" s="178"/>
      <c r="AM91" s="419"/>
      <c r="AN91" s="320"/>
      <c r="AO91" s="509">
        <f t="shared" si="90"/>
        <v>694.16991755000004</v>
      </c>
      <c r="AP91" s="509">
        <f t="shared" si="90"/>
        <v>810.67622922999999</v>
      </c>
      <c r="AQ91" s="320">
        <f t="shared" si="48"/>
        <v>16.8</v>
      </c>
      <c r="AR91" s="509">
        <f t="shared" si="91"/>
        <v>694.16991755000004</v>
      </c>
      <c r="AS91" s="509">
        <f t="shared" si="91"/>
        <v>810.67622922999999</v>
      </c>
      <c r="AT91" s="420">
        <f t="shared" si="50"/>
        <v>16.8</v>
      </c>
    </row>
    <row r="92" spans="1:46" s="431" customFormat="1" ht="20.100000000000001" customHeight="1" x14ac:dyDescent="0.3">
      <c r="A92" s="564"/>
      <c r="B92" s="178"/>
      <c r="C92" s="419"/>
      <c r="D92" s="320"/>
      <c r="E92" s="178"/>
      <c r="F92" s="419"/>
      <c r="G92" s="320"/>
      <c r="H92" s="89"/>
      <c r="I92" s="419"/>
      <c r="J92" s="320"/>
      <c r="K92" s="178"/>
      <c r="L92" s="419"/>
      <c r="M92" s="320"/>
      <c r="N92" s="178"/>
      <c r="O92" s="419"/>
      <c r="P92" s="320"/>
      <c r="Q92" s="178"/>
      <c r="R92" s="419"/>
      <c r="S92" s="320"/>
      <c r="T92" s="178"/>
      <c r="U92" s="419"/>
      <c r="V92" s="320"/>
      <c r="W92" s="178"/>
      <c r="X92" s="419"/>
      <c r="Y92" s="320"/>
      <c r="Z92" s="178"/>
      <c r="AA92" s="419"/>
      <c r="AB92" s="320"/>
      <c r="AC92" s="178"/>
      <c r="AD92" s="419"/>
      <c r="AE92" s="320"/>
      <c r="AF92" s="178"/>
      <c r="AG92" s="419"/>
      <c r="AH92" s="320"/>
      <c r="AI92" s="178"/>
      <c r="AJ92" s="419"/>
      <c r="AK92" s="320"/>
      <c r="AL92" s="178"/>
      <c r="AM92" s="419"/>
      <c r="AN92" s="320"/>
      <c r="AO92" s="415"/>
      <c r="AP92" s="415"/>
      <c r="AQ92" s="320"/>
      <c r="AR92" s="415"/>
      <c r="AS92" s="415"/>
      <c r="AT92" s="420"/>
    </row>
    <row r="93" spans="1:46" s="452" customFormat="1" ht="20.100000000000001" customHeight="1" x14ac:dyDescent="0.3">
      <c r="A93" s="585" t="s">
        <v>243</v>
      </c>
      <c r="B93" s="181">
        <v>29297.584820390006</v>
      </c>
      <c r="C93" s="423"/>
      <c r="D93" s="424">
        <f>IF(B93=0, "    ---- ", IF(ABS(ROUND(100/B93*C93-100,1))&lt;999,ROUND(100/B93*C93-100,1),IF(ROUND(100/B93*C93-100,1)&gt;999,999,-999)))</f>
        <v>-100</v>
      </c>
      <c r="E93" s="181">
        <v>360740.82455015002</v>
      </c>
      <c r="F93" s="423">
        <v>382720.47933</v>
      </c>
      <c r="G93" s="424">
        <f t="shared" si="46"/>
        <v>6.1</v>
      </c>
      <c r="H93" s="181">
        <v>12018.02277731</v>
      </c>
      <c r="I93" s="423">
        <v>13061.031436390003</v>
      </c>
      <c r="J93" s="424">
        <f>IF(H93=0, "    ---- ", IF(ABS(ROUND(100/H93*I93-100,1))&lt;999,ROUND(100/H93*I93-100,1),IF(ROUND(100/H93*I93-100,1)&gt;999,999,-999)))</f>
        <v>8.6999999999999993</v>
      </c>
      <c r="K93" s="181">
        <v>2135.6650000000004</v>
      </c>
      <c r="L93" s="423">
        <v>2495.0491000000002</v>
      </c>
      <c r="M93" s="424">
        <f>IF(K93=0, "    ---- ", IF(ABS(ROUND(100/K93*L93-100,1))&lt;999,ROUND(100/K93*L93-100,1),IF(ROUND(100/K93*L93-100,1)&gt;999,999,-999)))</f>
        <v>16.8</v>
      </c>
      <c r="N93" s="181">
        <v>51329</v>
      </c>
      <c r="O93" s="423">
        <v>66425</v>
      </c>
      <c r="P93" s="424">
        <f>IF(N93=0, "    ---- ", IF(ABS(ROUND(100/N93*O93-100,1))&lt;999,ROUND(100/N93*O93-100,1),IF(ROUND(100/N93*O93-100,1)&gt;999,999,-999)))</f>
        <v>29.4</v>
      </c>
      <c r="Q93" s="181">
        <v>158.94991403</v>
      </c>
      <c r="R93" s="423"/>
      <c r="S93" s="424">
        <f>IF(Q93=0, "    ---- ", IF(ABS(ROUND(100/Q93*R93-100,1))&lt;999,ROUND(100/Q93*R93-100,1),IF(ROUND(100/Q93*R93-100,1)&gt;999,999,-999)))</f>
        <v>-100</v>
      </c>
      <c r="T93" s="181">
        <v>720770.63887605001</v>
      </c>
      <c r="U93" s="423">
        <v>771808.41893518006</v>
      </c>
      <c r="V93" s="424">
        <f t="shared" si="84"/>
        <v>7.1</v>
      </c>
      <c r="W93" s="181">
        <v>181082.79999999996</v>
      </c>
      <c r="X93" s="423">
        <v>202845.34</v>
      </c>
      <c r="Y93" s="424">
        <f t="shared" si="52"/>
        <v>12</v>
      </c>
      <c r="Z93" s="181">
        <v>123845</v>
      </c>
      <c r="AA93" s="423">
        <v>134271</v>
      </c>
      <c r="AB93" s="424">
        <f>IF(Z93=0, "    ---- ", IF(ABS(ROUND(100/Z93*AA93-100,1))&lt;999,ROUND(100/Z93*AA93-100,1),IF(ROUND(100/Z93*AA93-100,1)&gt;999,999,-999)))</f>
        <v>8.4</v>
      </c>
      <c r="AC93" s="181">
        <v>2805.6437457099996</v>
      </c>
      <c r="AD93" s="423"/>
      <c r="AE93" s="424">
        <f>IF(AC93=0, "    ---- ", IF(ABS(ROUND(100/AC93*AD93-100,1))&lt;999,ROUND(100/AC93*AD93-100,1),IF(ROUND(100/AC93*AD93-100,1)&gt;999,999,-999)))</f>
        <v>-100</v>
      </c>
      <c r="AF93" s="181">
        <v>82977.411302809996</v>
      </c>
      <c r="AG93" s="423">
        <v>93233.838186909998</v>
      </c>
      <c r="AH93" s="424">
        <f t="shared" si="54"/>
        <v>12.4</v>
      </c>
      <c r="AI93" s="181">
        <v>398483</v>
      </c>
      <c r="AJ93" s="423">
        <v>482047</v>
      </c>
      <c r="AK93" s="424">
        <f t="shared" si="55"/>
        <v>21</v>
      </c>
      <c r="AL93" s="181">
        <v>11</v>
      </c>
      <c r="AM93" s="423">
        <v>28</v>
      </c>
      <c r="AN93" s="424">
        <f t="shared" ref="AN93" si="95">IF(AL93=0, "    ---- ", IF(ABS(ROUND(100/AL93*AM93-100,1))&lt;999,ROUND(100/AL93*AM93-100,1),IF(ROUND(100/AL93*AM93-100,1)&gt;999,999,-999)))</f>
        <v>154.5</v>
      </c>
      <c r="AO93" s="697">
        <f t="shared" ref="AO93:AP93" si="96">B93+E93+H93+K93+N93+T93+W93+Z93+AF93+AI93</f>
        <v>1962679.9473267102</v>
      </c>
      <c r="AP93" s="697">
        <f t="shared" si="96"/>
        <v>2148907.1569884801</v>
      </c>
      <c r="AQ93" s="698">
        <f t="shared" si="48"/>
        <v>9.5</v>
      </c>
      <c r="AR93" s="697">
        <f t="shared" ref="AR93:AS93" si="97">B93+E93+H93+K93+N93+Q93+T93+W93+Z93+AC93+AF93+AI93+AL93</f>
        <v>1965655.5409864499</v>
      </c>
      <c r="AS93" s="698">
        <f t="shared" si="97"/>
        <v>2148935.1569884801</v>
      </c>
      <c r="AT93" s="699">
        <f t="shared" si="50"/>
        <v>9.3000000000000007</v>
      </c>
    </row>
    <row r="94" spans="1:46" ht="18.75" customHeight="1" x14ac:dyDescent="0.3">
      <c r="A94" s="429" t="s">
        <v>244</v>
      </c>
      <c r="B94" s="429"/>
      <c r="T94" s="429"/>
      <c r="X94" s="617"/>
      <c r="Y94" s="617"/>
      <c r="Z94" s="617"/>
      <c r="AA94" s="617"/>
      <c r="AB94" s="617"/>
      <c r="AC94" s="617"/>
      <c r="AD94" s="617"/>
      <c r="AE94" s="617"/>
      <c r="AF94" s="429"/>
      <c r="AI94" s="429"/>
      <c r="AL94" s="429"/>
    </row>
    <row r="95" spans="1:46" ht="18.75" customHeight="1" x14ac:dyDescent="0.3">
      <c r="A95" s="429" t="s">
        <v>245</v>
      </c>
      <c r="T95" s="429"/>
      <c r="X95" s="617"/>
      <c r="Y95" s="617"/>
      <c r="Z95" s="617"/>
      <c r="AA95" s="617"/>
      <c r="AB95" s="617"/>
      <c r="AC95" s="617"/>
      <c r="AD95" s="617"/>
      <c r="AE95" s="617"/>
      <c r="AF95" s="429"/>
      <c r="AI95" s="429"/>
      <c r="AL95" s="429"/>
    </row>
    <row r="96" spans="1:46" s="432" customFormat="1" ht="18.75" customHeight="1" x14ac:dyDescent="0.3">
      <c r="A96" s="429" t="s">
        <v>246</v>
      </c>
      <c r="Y96" s="618"/>
      <c r="Z96" s="618"/>
      <c r="AA96" s="618"/>
      <c r="AB96" s="618"/>
      <c r="AC96" s="618"/>
      <c r="AD96" s="618"/>
      <c r="AE96" s="618"/>
    </row>
    <row r="97" spans="20:21" s="432" customFormat="1" ht="18.75" x14ac:dyDescent="0.3"/>
    <row r="98" spans="20:21" s="432" customFormat="1" ht="18.75" x14ac:dyDescent="0.3"/>
    <row r="99" spans="20:21" s="432" customFormat="1" ht="18.75" x14ac:dyDescent="0.3"/>
    <row r="100" spans="20:21" s="432" customFormat="1" ht="18.75" x14ac:dyDescent="0.3"/>
    <row r="101" spans="20:21" s="432" customFormat="1" ht="18.75" x14ac:dyDescent="0.3"/>
    <row r="102" spans="20:21" s="432" customFormat="1" ht="18.75" x14ac:dyDescent="0.3"/>
    <row r="103" spans="20:21" s="432" customFormat="1" ht="18.75" x14ac:dyDescent="0.3"/>
    <row r="104" spans="20:21" s="432" customFormat="1" ht="18.75" x14ac:dyDescent="0.3">
      <c r="T104" s="429"/>
      <c r="U104" s="429"/>
    </row>
    <row r="105" spans="20:21" s="432" customFormat="1" ht="18.75" x14ac:dyDescent="0.3">
      <c r="T105" s="429"/>
      <c r="U105" s="429"/>
    </row>
    <row r="106" spans="20:21" s="432" customFormat="1" ht="18.75" x14ac:dyDescent="0.3">
      <c r="T106" s="429"/>
      <c r="U106" s="429"/>
    </row>
    <row r="107" spans="20:21" s="432" customFormat="1" ht="18.75" x14ac:dyDescent="0.3">
      <c r="T107" s="429"/>
      <c r="U107" s="429"/>
    </row>
    <row r="108" spans="20:21" s="432" customFormat="1" ht="18.75" x14ac:dyDescent="0.3">
      <c r="T108" s="429"/>
      <c r="U108" s="429"/>
    </row>
    <row r="109" spans="20:21" s="432" customFormat="1" ht="18.75" x14ac:dyDescent="0.3">
      <c r="T109" s="429"/>
      <c r="U109" s="429"/>
    </row>
    <row r="110" spans="20:21" s="432" customFormat="1" ht="18.75" x14ac:dyDescent="0.3">
      <c r="T110" s="429"/>
      <c r="U110" s="429"/>
    </row>
    <row r="111" spans="20:21" s="454" customFormat="1" ht="15.75" x14ac:dyDescent="0.25">
      <c r="T111" s="453"/>
      <c r="U111" s="453"/>
    </row>
    <row r="112" spans="20:21" s="454" customFormat="1" ht="15.75" x14ac:dyDescent="0.25">
      <c r="T112" s="453"/>
      <c r="U112" s="453"/>
    </row>
    <row r="113" spans="20:21" x14ac:dyDescent="0.2">
      <c r="T113" s="431"/>
      <c r="U113" s="431"/>
    </row>
    <row r="114" spans="20:21" x14ac:dyDescent="0.2">
      <c r="T114" s="431"/>
      <c r="U114" s="431"/>
    </row>
    <row r="115" spans="20:21" x14ac:dyDescent="0.2">
      <c r="T115" s="431"/>
      <c r="U115" s="431"/>
    </row>
    <row r="116" spans="20:21" x14ac:dyDescent="0.2">
      <c r="T116" s="431"/>
      <c r="U116" s="431"/>
    </row>
    <row r="117" spans="20:21" x14ac:dyDescent="0.2">
      <c r="T117" s="431"/>
      <c r="U117" s="431"/>
    </row>
    <row r="118" spans="20:21" x14ac:dyDescent="0.2">
      <c r="T118" s="431"/>
      <c r="U118" s="431"/>
    </row>
    <row r="119" spans="20:21" x14ac:dyDescent="0.2">
      <c r="T119" s="431"/>
      <c r="U119" s="431"/>
    </row>
    <row r="120" spans="20:21" x14ac:dyDescent="0.2">
      <c r="T120" s="431"/>
      <c r="U120" s="431"/>
    </row>
    <row r="121" spans="20:21" x14ac:dyDescent="0.2">
      <c r="T121" s="431"/>
      <c r="U121" s="431"/>
    </row>
    <row r="122" spans="20:21" x14ac:dyDescent="0.2">
      <c r="T122" s="431"/>
      <c r="U122" s="431"/>
    </row>
    <row r="123" spans="20:21" x14ac:dyDescent="0.2">
      <c r="T123" s="431"/>
      <c r="U123" s="431"/>
    </row>
    <row r="124" spans="20:21" x14ac:dyDescent="0.2">
      <c r="T124" s="431"/>
      <c r="U124" s="431"/>
    </row>
    <row r="125" spans="20:21" x14ac:dyDescent="0.2">
      <c r="T125" s="431"/>
      <c r="U125" s="431"/>
    </row>
    <row r="126" spans="20:21" x14ac:dyDescent="0.2">
      <c r="T126" s="431"/>
      <c r="U126" s="431"/>
    </row>
    <row r="127" spans="20:21" x14ac:dyDescent="0.2">
      <c r="T127" s="431"/>
      <c r="U127" s="431"/>
    </row>
    <row r="128" spans="20:21" x14ac:dyDescent="0.2">
      <c r="T128" s="431"/>
      <c r="U128" s="431"/>
    </row>
    <row r="129" spans="20:21" x14ac:dyDescent="0.2">
      <c r="T129" s="431"/>
      <c r="U129" s="431"/>
    </row>
    <row r="130" spans="20:21" x14ac:dyDescent="0.2">
      <c r="T130" s="431"/>
      <c r="U130" s="431"/>
    </row>
  </sheetData>
  <mergeCells count="32">
    <mergeCell ref="B5:D5"/>
    <mergeCell ref="E5:G5"/>
    <mergeCell ref="AW5:AY5"/>
    <mergeCell ref="AZ5:BB5"/>
    <mergeCell ref="Q6:S6"/>
    <mergeCell ref="T6:V6"/>
    <mergeCell ref="W6:Y6"/>
    <mergeCell ref="Z6:AB6"/>
    <mergeCell ref="AC6:AE6"/>
    <mergeCell ref="AW6:AY6"/>
    <mergeCell ref="AZ6:BB6"/>
    <mergeCell ref="B6:D6"/>
    <mergeCell ref="E6:G6"/>
    <mergeCell ref="AL5:AN5"/>
    <mergeCell ref="AL6:AN6"/>
    <mergeCell ref="H6:J6"/>
    <mergeCell ref="K6:M6"/>
    <mergeCell ref="N6:P6"/>
    <mergeCell ref="H5:J5"/>
    <mergeCell ref="K5:M5"/>
    <mergeCell ref="N5:P5"/>
    <mergeCell ref="AR5:AT5"/>
    <mergeCell ref="AR6:AT6"/>
    <mergeCell ref="BC5:BE5"/>
    <mergeCell ref="Z5:AB5"/>
    <mergeCell ref="AI5:AK5"/>
    <mergeCell ref="AO5:AQ5"/>
    <mergeCell ref="BC6:BE6"/>
    <mergeCell ref="AF5:AH5"/>
    <mergeCell ref="AI6:AK6"/>
    <mergeCell ref="AO6:AQ6"/>
    <mergeCell ref="AF6:AH6"/>
  </mergeCells>
  <conditionalFormatting sqref="AF35">
    <cfRule type="expression" dxfId="168" priority="312">
      <formula>#REF! ="35≠36+38"</formula>
    </cfRule>
  </conditionalFormatting>
  <conditionalFormatting sqref="AF39">
    <cfRule type="expression" dxfId="167" priority="313">
      <formula>#REF! ="39≠40+41+42+43+44"</formula>
    </cfRule>
  </conditionalFormatting>
  <conditionalFormatting sqref="AF45">
    <cfRule type="expression" dxfId="166" priority="314">
      <formula>#REF! ="45≠33+34+35+39"</formula>
    </cfRule>
  </conditionalFormatting>
  <conditionalFormatting sqref="AF50">
    <cfRule type="expression" dxfId="165" priority="315">
      <formula>#REF! ="50≠51+53"</formula>
    </cfRule>
  </conditionalFormatting>
  <conditionalFormatting sqref="AF54">
    <cfRule type="expression" dxfId="164" priority="316">
      <formula>#REF! ="54≠55+56+57+58+59"</formula>
    </cfRule>
  </conditionalFormatting>
  <conditionalFormatting sqref="AF60">
    <cfRule type="expression" dxfId="163" priority="317">
      <formula>#REF! ="60≠48+49+50+54"</formula>
    </cfRule>
  </conditionalFormatting>
  <conditionalFormatting sqref="AF62">
    <cfRule type="expression" dxfId="162" priority="318">
      <formula>#REF! ="62≠45+46+60+61"</formula>
    </cfRule>
  </conditionalFormatting>
  <conditionalFormatting sqref="AF64">
    <cfRule type="expression" dxfId="161" priority="319">
      <formula>#REF! ="64≠29+62"</formula>
    </cfRule>
  </conditionalFormatting>
  <conditionalFormatting sqref="AF80">
    <cfRule type="expression" dxfId="160" priority="320">
      <formula>#REF! ="80≠73+74+75+76+77+78+79"</formula>
    </cfRule>
  </conditionalFormatting>
  <conditionalFormatting sqref="AF87">
    <cfRule type="expression" dxfId="159" priority="321">
      <formula>#REF! ="88≠82+83+84+85+86+87"</formula>
    </cfRule>
  </conditionalFormatting>
  <conditionalFormatting sqref="AF93">
    <cfRule type="expression" dxfId="158" priority="322">
      <formula>#REF! = "64≠94"</formula>
    </cfRule>
    <cfRule type="expression" dxfId="157" priority="323">
      <formula>#REF! = "94≠68+69+71+80+88+89+90+91+92"</formula>
    </cfRule>
  </conditionalFormatting>
  <conditionalFormatting sqref="W35">
    <cfRule type="expression" dxfId="156" priority="288">
      <formula>#REF! ="35≠36+38"</formula>
    </cfRule>
  </conditionalFormatting>
  <conditionalFormatting sqref="W39">
    <cfRule type="expression" dxfId="155" priority="289">
      <formula>#REF! ="39≠40+41+42+43+44"</formula>
    </cfRule>
  </conditionalFormatting>
  <conditionalFormatting sqref="W45">
    <cfRule type="expression" dxfId="154" priority="290">
      <formula>#REF! ="45≠33+34+35+39"</formula>
    </cfRule>
  </conditionalFormatting>
  <conditionalFormatting sqref="W50">
    <cfRule type="expression" dxfId="153" priority="291">
      <formula>#REF! ="50≠51+53"</formula>
    </cfRule>
  </conditionalFormatting>
  <conditionalFormatting sqref="W54">
    <cfRule type="expression" dxfId="152" priority="292">
      <formula>#REF! ="54≠55+56+57+58+59"</formula>
    </cfRule>
  </conditionalFormatting>
  <conditionalFormatting sqref="W60">
    <cfRule type="expression" dxfId="151" priority="293">
      <formula>#REF! ="60≠48+49+50+54"</formula>
    </cfRule>
  </conditionalFormatting>
  <conditionalFormatting sqref="W62">
    <cfRule type="expression" dxfId="150" priority="294">
      <formula>#REF! ="62≠45+46+60+61"</formula>
    </cfRule>
  </conditionalFormatting>
  <conditionalFormatting sqref="W64">
    <cfRule type="expression" dxfId="149" priority="295">
      <formula>#REF! ="64≠29+62"</formula>
    </cfRule>
  </conditionalFormatting>
  <conditionalFormatting sqref="W80">
    <cfRule type="expression" dxfId="148" priority="296">
      <formula>#REF! ="80≠73+74+75+76+77+78+79"</formula>
    </cfRule>
  </conditionalFormatting>
  <conditionalFormatting sqref="W87">
    <cfRule type="expression" dxfId="147" priority="297">
      <formula>#REF! ="88≠82+83+84+85+86+87"</formula>
    </cfRule>
  </conditionalFormatting>
  <conditionalFormatting sqref="W93">
    <cfRule type="expression" dxfId="146" priority="298">
      <formula>#REF! = "64≠94"</formula>
    </cfRule>
  </conditionalFormatting>
  <conditionalFormatting sqref="W93">
    <cfRule type="expression" dxfId="145" priority="299">
      <formula>#REF! = "94≠68+69+71+80+88+89+90+91+92"</formula>
    </cfRule>
  </conditionalFormatting>
  <conditionalFormatting sqref="N35">
    <cfRule type="expression" dxfId="144" priority="264">
      <formula>#REF! ="35≠36+38"</formula>
    </cfRule>
  </conditionalFormatting>
  <conditionalFormatting sqref="N39">
    <cfRule type="expression" dxfId="143" priority="265">
      <formula>#REF! ="39≠40+41+42+43+44"</formula>
    </cfRule>
  </conditionalFormatting>
  <conditionalFormatting sqref="N45">
    <cfRule type="expression" dxfId="142" priority="266">
      <formula>#REF! ="45≠33+34+35+39"</formula>
    </cfRule>
  </conditionalFormatting>
  <conditionalFormatting sqref="N50">
    <cfRule type="expression" dxfId="141" priority="267">
      <formula>#REF! ="50≠51+53"</formula>
    </cfRule>
  </conditionalFormatting>
  <conditionalFormatting sqref="N54">
    <cfRule type="expression" dxfId="140" priority="268">
      <formula>#REF! ="54≠55+56+57+58+59"</formula>
    </cfRule>
  </conditionalFormatting>
  <conditionalFormatting sqref="N60">
    <cfRule type="expression" dxfId="139" priority="269">
      <formula>#REF! ="60≠48+49+50+54"</formula>
    </cfRule>
  </conditionalFormatting>
  <conditionalFormatting sqref="N62">
    <cfRule type="expression" dxfId="138" priority="270">
      <formula>#REF! ="62≠45+46+60+61"</formula>
    </cfRule>
  </conditionalFormatting>
  <conditionalFormatting sqref="N64">
    <cfRule type="expression" dxfId="137" priority="271">
      <formula>#REF! ="64≠29+62"</formula>
    </cfRule>
  </conditionalFormatting>
  <conditionalFormatting sqref="N80">
    <cfRule type="expression" dxfId="136" priority="272">
      <formula>#REF! ="80≠73+74+75+76+77+78+79"</formula>
    </cfRule>
  </conditionalFormatting>
  <conditionalFormatting sqref="N87">
    <cfRule type="expression" dxfId="135" priority="273">
      <formula>#REF! ="88≠82+83+84+85+86+87"</formula>
    </cfRule>
  </conditionalFormatting>
  <conditionalFormatting sqref="N93">
    <cfRule type="expression" dxfId="134" priority="274">
      <formula>#REF! = "64≠94"</formula>
    </cfRule>
  </conditionalFormatting>
  <conditionalFormatting sqref="N93">
    <cfRule type="expression" dxfId="133" priority="275">
      <formula>#REF! = "94≠68+69+71+80+88+89+90+91+92"</formula>
    </cfRule>
  </conditionalFormatting>
  <conditionalFormatting sqref="B35">
    <cfRule type="expression" dxfId="132" priority="241">
      <formula>#REF! ="35≠36+38"</formula>
    </cfRule>
  </conditionalFormatting>
  <conditionalFormatting sqref="B39">
    <cfRule type="expression" dxfId="131" priority="242">
      <formula>#REF! ="39≠40+41+42+43+44"</formula>
    </cfRule>
  </conditionalFormatting>
  <conditionalFormatting sqref="B45">
    <cfRule type="expression" dxfId="130" priority="243">
      <formula>#REF! ="45≠33+34+35+39"</formula>
    </cfRule>
  </conditionalFormatting>
  <conditionalFormatting sqref="B50">
    <cfRule type="expression" dxfId="129" priority="244">
      <formula>#REF! ="50≠51+53"</formula>
    </cfRule>
  </conditionalFormatting>
  <conditionalFormatting sqref="B54">
    <cfRule type="expression" dxfId="128" priority="245">
      <formula>#REF! ="54≠55+56+57+58+59"</formula>
    </cfRule>
  </conditionalFormatting>
  <conditionalFormatting sqref="B60">
    <cfRule type="expression" dxfId="127" priority="246">
      <formula>#REF! ="60≠48+49+50+54"</formula>
    </cfRule>
  </conditionalFormatting>
  <conditionalFormatting sqref="B62">
    <cfRule type="expression" dxfId="126" priority="247">
      <formula>#REF! ="62≠45+46+60+61"</formula>
    </cfRule>
  </conditionalFormatting>
  <conditionalFormatting sqref="B64">
    <cfRule type="expression" dxfId="125" priority="248">
      <formula>#REF! ="64≠29+62"</formula>
    </cfRule>
  </conditionalFormatting>
  <conditionalFormatting sqref="B87">
    <cfRule type="expression" dxfId="124" priority="249">
      <formula>#REF! ="88≠82+83+84+85+86+87"</formula>
    </cfRule>
  </conditionalFormatting>
  <conditionalFormatting sqref="B93">
    <cfRule type="expression" dxfId="123" priority="250">
      <formula>#REF! = "64≠94"</formula>
    </cfRule>
    <cfRule type="expression" dxfId="122" priority="251">
      <formula>#REF! = "94≠68+69+71+80+88+89+90+91+92"</formula>
    </cfRule>
  </conditionalFormatting>
  <conditionalFormatting sqref="Q35">
    <cfRule type="expression" dxfId="121" priority="193">
      <formula>#REF! ="35≠36+38"</formula>
    </cfRule>
  </conditionalFormatting>
  <conditionalFormatting sqref="Q39">
    <cfRule type="expression" dxfId="120" priority="194">
      <formula>#REF! ="39≠40+41+42+43+44"</formula>
    </cfRule>
  </conditionalFormatting>
  <conditionalFormatting sqref="Q45">
    <cfRule type="expression" dxfId="119" priority="195">
      <formula>#REF! ="45≠33+34+35+39"</formula>
    </cfRule>
  </conditionalFormatting>
  <conditionalFormatting sqref="Q50">
    <cfRule type="expression" dxfId="118" priority="196">
      <formula>#REF! ="50≠51+53"</formula>
    </cfRule>
  </conditionalFormatting>
  <conditionalFormatting sqref="Q54">
    <cfRule type="expression" dxfId="117" priority="197">
      <formula>#REF! ="54≠55+56+57+58+59"</formula>
    </cfRule>
  </conditionalFormatting>
  <conditionalFormatting sqref="Q60">
    <cfRule type="expression" dxfId="116" priority="198">
      <formula>#REF! ="60≠48+49+50+54"</formula>
    </cfRule>
  </conditionalFormatting>
  <conditionalFormatting sqref="Q62">
    <cfRule type="expression" dxfId="115" priority="199">
      <formula>#REF! ="62≠45+46+60+61"</formula>
    </cfRule>
  </conditionalFormatting>
  <conditionalFormatting sqref="Q64">
    <cfRule type="expression" dxfId="114" priority="200">
      <formula>#REF! ="64≠29+62"</formula>
    </cfRule>
  </conditionalFormatting>
  <conditionalFormatting sqref="Q80">
    <cfRule type="expression" dxfId="113" priority="201">
      <formula>#REF! ="80≠73+74+75+76+77+78+79"</formula>
    </cfRule>
  </conditionalFormatting>
  <conditionalFormatting sqref="Q87">
    <cfRule type="expression" dxfId="112" priority="202">
      <formula>#REF! ="88≠82+83+84+85+86+87"</formula>
    </cfRule>
  </conditionalFormatting>
  <conditionalFormatting sqref="Q93">
    <cfRule type="expression" dxfId="111" priority="203">
      <formula>#REF! = "64≠94"</formula>
    </cfRule>
    <cfRule type="expression" dxfId="110" priority="204">
      <formula>#REF! = "94≠68+69+71+80+88+89+90+91+92"</formula>
    </cfRule>
  </conditionalFormatting>
  <conditionalFormatting sqref="AC35">
    <cfRule type="expression" dxfId="109" priority="169">
      <formula>#REF! ="35≠36+38"</formula>
    </cfRule>
  </conditionalFormatting>
  <conditionalFormatting sqref="AC39">
    <cfRule type="expression" dxfId="108" priority="170">
      <formula>#REF! ="39≠40+41+42+43+44"</formula>
    </cfRule>
  </conditionalFormatting>
  <conditionalFormatting sqref="AC45">
    <cfRule type="expression" dxfId="107" priority="171">
      <formula>#REF! ="45≠33+34+35+39"</formula>
    </cfRule>
  </conditionalFormatting>
  <conditionalFormatting sqref="AC50">
    <cfRule type="expression" dxfId="106" priority="172">
      <formula>#REF! ="50≠51+53"</formula>
    </cfRule>
  </conditionalFormatting>
  <conditionalFormatting sqref="AC54">
    <cfRule type="expression" dxfId="105" priority="173">
      <formula>#REF! ="54≠55+56+57+58+59"</formula>
    </cfRule>
  </conditionalFormatting>
  <conditionalFormatting sqref="AC60">
    <cfRule type="expression" dxfId="104" priority="174">
      <formula>#REF! ="60≠48+49+50+54"</formula>
    </cfRule>
  </conditionalFormatting>
  <conditionalFormatting sqref="AC62">
    <cfRule type="expression" dxfId="103" priority="175">
      <formula>#REF! ="62≠45+46+60+61"</formula>
    </cfRule>
  </conditionalFormatting>
  <conditionalFormatting sqref="AC64">
    <cfRule type="expression" dxfId="102" priority="176">
      <formula>#REF! ="64≠29+62"</formula>
    </cfRule>
  </conditionalFormatting>
  <conditionalFormatting sqref="AC80">
    <cfRule type="expression" dxfId="101" priority="177">
      <formula>#REF! ="80≠73+74+75+76+77+78+79"</formula>
    </cfRule>
  </conditionalFormatting>
  <conditionalFormatting sqref="AC87">
    <cfRule type="expression" dxfId="100" priority="178">
      <formula>#REF! ="88≠82+83+84+85+86+87"</formula>
    </cfRule>
  </conditionalFormatting>
  <conditionalFormatting sqref="AC93">
    <cfRule type="expression" dxfId="99" priority="179">
      <formula>#REF! = "64≠94"</formula>
    </cfRule>
    <cfRule type="expression" dxfId="98" priority="180">
      <formula>#REF! = "94≠68+69+71+80+88+89+90+91+92"</formula>
    </cfRule>
  </conditionalFormatting>
  <conditionalFormatting sqref="E35">
    <cfRule type="expression" dxfId="97" priority="145">
      <formula>#REF! ="35≠36+38"</formula>
    </cfRule>
  </conditionalFormatting>
  <conditionalFormatting sqref="E39">
    <cfRule type="expression" dxfId="96" priority="146">
      <formula>#REF! ="39≠40+41+42+43+44"</formula>
    </cfRule>
  </conditionalFormatting>
  <conditionalFormatting sqref="E45">
    <cfRule type="expression" dxfId="95" priority="147">
      <formula>#REF! ="45≠33+34+35+39"</formula>
    </cfRule>
  </conditionalFormatting>
  <conditionalFormatting sqref="E50">
    <cfRule type="expression" dxfId="94" priority="148">
      <formula>#REF! ="50≠51+53"</formula>
    </cfRule>
  </conditionalFormatting>
  <conditionalFormatting sqref="E54">
    <cfRule type="expression" dxfId="93" priority="149">
      <formula>#REF! ="54≠55+56+57+58+59"</formula>
    </cfRule>
  </conditionalFormatting>
  <conditionalFormatting sqref="E60">
    <cfRule type="expression" dxfId="92" priority="150">
      <formula>#REF! ="60≠48+49+50+54"</formula>
    </cfRule>
  </conditionalFormatting>
  <conditionalFormatting sqref="E62">
    <cfRule type="expression" dxfId="91" priority="151">
      <formula>#REF! ="62≠45+46+60+61"</formula>
    </cfRule>
  </conditionalFormatting>
  <conditionalFormatting sqref="E64">
    <cfRule type="expression" dxfId="90" priority="152">
      <formula>#REF! ="64≠29+62"</formula>
    </cfRule>
  </conditionalFormatting>
  <conditionalFormatting sqref="E80">
    <cfRule type="expression" dxfId="89" priority="153">
      <formula>#REF! ="80≠73+74+75+76+77+78+79"</formula>
    </cfRule>
  </conditionalFormatting>
  <conditionalFormatting sqref="E87">
    <cfRule type="expression" dxfId="88" priority="154">
      <formula>#REF! ="88≠82+83+84+85+86+87"</formula>
    </cfRule>
  </conditionalFormatting>
  <conditionalFormatting sqref="E93">
    <cfRule type="expression" dxfId="87" priority="155">
      <formula>#REF! = "64≠94"</formula>
    </cfRule>
    <cfRule type="expression" dxfId="86" priority="156">
      <formula>#REF! = "94≠68+69+71+80+88+89+90+91+92"</formula>
    </cfRule>
  </conditionalFormatting>
  <conditionalFormatting sqref="H35">
    <cfRule type="expression" dxfId="85" priority="121">
      <formula>#REF! ="35≠36+38"</formula>
    </cfRule>
  </conditionalFormatting>
  <conditionalFormatting sqref="H39">
    <cfRule type="expression" dxfId="84" priority="122">
      <formula>#REF! ="39≠40+41+42+43+44"</formula>
    </cfRule>
  </conditionalFormatting>
  <conditionalFormatting sqref="H45">
    <cfRule type="expression" dxfId="83" priority="123">
      <formula>#REF! ="45≠33+34+35+39"</formula>
    </cfRule>
  </conditionalFormatting>
  <conditionalFormatting sqref="H50">
    <cfRule type="expression" dxfId="82" priority="124">
      <formula>#REF! ="50≠51+53"</formula>
    </cfRule>
  </conditionalFormatting>
  <conditionalFormatting sqref="H54">
    <cfRule type="expression" dxfId="81" priority="125">
      <formula>#REF! ="54≠55+56+57+58+59"</formula>
    </cfRule>
  </conditionalFormatting>
  <conditionalFormatting sqref="H60">
    <cfRule type="expression" dxfId="80" priority="126">
      <formula>#REF! ="60≠48+49+50+54"</formula>
    </cfRule>
  </conditionalFormatting>
  <conditionalFormatting sqref="H62">
    <cfRule type="expression" dxfId="79" priority="127">
      <formula>#REF! ="62≠45+46+60+61"</formula>
    </cfRule>
  </conditionalFormatting>
  <conditionalFormatting sqref="H64">
    <cfRule type="expression" dxfId="78" priority="128">
      <formula>#REF! ="64≠29+62"</formula>
    </cfRule>
  </conditionalFormatting>
  <conditionalFormatting sqref="H80:H81">
    <cfRule type="expression" dxfId="77" priority="129">
      <formula>#REF! ="80≠73+74+75+76+77+78+79"</formula>
    </cfRule>
  </conditionalFormatting>
  <conditionalFormatting sqref="H87 H89">
    <cfRule type="expression" dxfId="76" priority="130">
      <formula>#REF! ="88≠82+83+84+85+86+87"</formula>
    </cfRule>
  </conditionalFormatting>
  <conditionalFormatting sqref="H93">
    <cfRule type="expression" dxfId="75" priority="131">
      <formula>#REF! = "64≠94"</formula>
    </cfRule>
    <cfRule type="expression" dxfId="74" priority="132">
      <formula>#REF! = "94≠68+69+71+80+88+89+90+91+92"</formula>
    </cfRule>
  </conditionalFormatting>
  <conditionalFormatting sqref="AI35">
    <cfRule type="expression" dxfId="73" priority="97">
      <formula>#REF! ="35≠36+38"</formula>
    </cfRule>
  </conditionalFormatting>
  <conditionalFormatting sqref="AI39">
    <cfRule type="expression" dxfId="72" priority="98">
      <formula>#REF! ="39≠40+41+42+43+44"</formula>
    </cfRule>
  </conditionalFormatting>
  <conditionalFormatting sqref="AI45">
    <cfRule type="expression" dxfId="71" priority="99">
      <formula>#REF! ="45≠33+34+35+39"</formula>
    </cfRule>
  </conditionalFormatting>
  <conditionalFormatting sqref="AI50">
    <cfRule type="expression" dxfId="70" priority="100">
      <formula>#REF! ="50≠51+53"</formula>
    </cfRule>
  </conditionalFormatting>
  <conditionalFormatting sqref="AI54">
    <cfRule type="expression" dxfId="69" priority="101">
      <formula>#REF! ="54≠55+56+57+58+59"</formula>
    </cfRule>
  </conditionalFormatting>
  <conditionalFormatting sqref="AI60">
    <cfRule type="expression" dxfId="68" priority="102">
      <formula>#REF! ="60≠48+49+50+54"</formula>
    </cfRule>
  </conditionalFormatting>
  <conditionalFormatting sqref="AI62">
    <cfRule type="expression" dxfId="67" priority="103">
      <formula>#REF! ="62≠45+46+60+61"</formula>
    </cfRule>
  </conditionalFormatting>
  <conditionalFormatting sqref="AI64">
    <cfRule type="expression" dxfId="66" priority="104">
      <formula>#REF! ="64≠29+62"</formula>
    </cfRule>
  </conditionalFormatting>
  <conditionalFormatting sqref="AI80">
    <cfRule type="expression" dxfId="65" priority="105">
      <formula>#REF! ="80≠73+74+75+76+77+78+79"</formula>
    </cfRule>
  </conditionalFormatting>
  <conditionalFormatting sqref="AI87">
    <cfRule type="expression" dxfId="64" priority="106">
      <formula>#REF! ="88≠82+83+84+85+86+87"</formula>
    </cfRule>
  </conditionalFormatting>
  <conditionalFormatting sqref="AI93">
    <cfRule type="expression" dxfId="63" priority="107">
      <formula>#REF! = "64≠94"</formula>
    </cfRule>
    <cfRule type="expression" dxfId="62" priority="108">
      <formula>#REF! = "94≠68+69+71+80+88+89+90+91+92"</formula>
    </cfRule>
  </conditionalFormatting>
  <conditionalFormatting sqref="K35">
    <cfRule type="expression" dxfId="61" priority="73">
      <formula>#REF! ="35≠36+38"</formula>
    </cfRule>
  </conditionalFormatting>
  <conditionalFormatting sqref="K39">
    <cfRule type="expression" dxfId="60" priority="74">
      <formula>#REF! ="39≠40+41+42+43+44"</formula>
    </cfRule>
  </conditionalFormatting>
  <conditionalFormatting sqref="K45">
    <cfRule type="expression" dxfId="59" priority="75">
      <formula>#REF! ="45≠33+34+35+39"</formula>
    </cfRule>
  </conditionalFormatting>
  <conditionalFormatting sqref="K50">
    <cfRule type="expression" dxfId="58" priority="76">
      <formula>#REF! ="50≠51+53"</formula>
    </cfRule>
  </conditionalFormatting>
  <conditionalFormatting sqref="K54">
    <cfRule type="expression" dxfId="57" priority="77">
      <formula>#REF! ="54≠55+56+57+58+59"</formula>
    </cfRule>
  </conditionalFormatting>
  <conditionalFormatting sqref="K60">
    <cfRule type="expression" dxfId="56" priority="78">
      <formula>#REF! ="60≠48+49+50+54"</formula>
    </cfRule>
  </conditionalFormatting>
  <conditionalFormatting sqref="K62">
    <cfRule type="expression" dxfId="55" priority="79">
      <formula>#REF! ="62≠45+46+60+61"</formula>
    </cfRule>
  </conditionalFormatting>
  <conditionalFormatting sqref="K64">
    <cfRule type="expression" dxfId="54" priority="80">
      <formula>#REF! ="64≠29+62"</formula>
    </cfRule>
  </conditionalFormatting>
  <conditionalFormatting sqref="K80">
    <cfRule type="expression" dxfId="53" priority="81">
      <formula>#REF! ="80≠73+74+75+76+77+78+79"</formula>
    </cfRule>
  </conditionalFormatting>
  <conditionalFormatting sqref="K87">
    <cfRule type="expression" dxfId="52" priority="82">
      <formula>#REF! ="88≠82+83+84+85+86+87"</formula>
    </cfRule>
  </conditionalFormatting>
  <conditionalFormatting sqref="K93">
    <cfRule type="expression" dxfId="51" priority="83">
      <formula>#REF! = "64≠94"</formula>
    </cfRule>
    <cfRule type="expression" dxfId="50" priority="84">
      <formula>#REF! = "94≠68+69+71+80+88+89+90+91+92"</formula>
    </cfRule>
  </conditionalFormatting>
  <conditionalFormatting sqref="Z35">
    <cfRule type="expression" dxfId="49" priority="49">
      <formula>#REF! ="35≠36+38"</formula>
    </cfRule>
  </conditionalFormatting>
  <conditionalFormatting sqref="Z39">
    <cfRule type="expression" dxfId="48" priority="50">
      <formula>#REF! ="39≠40+41+42+43+44"</formula>
    </cfRule>
  </conditionalFormatting>
  <conditionalFormatting sqref="Z45">
    <cfRule type="expression" dxfId="47" priority="51">
      <formula>#REF! ="45≠33+34+35+39"</formula>
    </cfRule>
  </conditionalFormatting>
  <conditionalFormatting sqref="Z50">
    <cfRule type="expression" dxfId="46" priority="52">
      <formula>#REF! ="50≠51+53"</formula>
    </cfRule>
  </conditionalFormatting>
  <conditionalFormatting sqref="Z54">
    <cfRule type="expression" dxfId="45" priority="53">
      <formula>#REF! ="54≠55+56+57+58+59"</formula>
    </cfRule>
  </conditionalFormatting>
  <conditionalFormatting sqref="Z60">
    <cfRule type="expression" dxfId="44" priority="54">
      <formula>#REF! ="60≠48+49+50+54"</formula>
    </cfRule>
  </conditionalFormatting>
  <conditionalFormatting sqref="Z62">
    <cfRule type="expression" dxfId="43" priority="55">
      <formula>#REF! ="62≠45+46+60+61"</formula>
    </cfRule>
  </conditionalFormatting>
  <conditionalFormatting sqref="Z64">
    <cfRule type="expression" dxfId="42" priority="56">
      <formula>#REF! ="64≠29+62"</formula>
    </cfRule>
  </conditionalFormatting>
  <conditionalFormatting sqref="Z80">
    <cfRule type="expression" dxfId="41" priority="57">
      <formula>#REF! ="80≠73+74+75+76+77+78+79"</formula>
    </cfRule>
  </conditionalFormatting>
  <conditionalFormatting sqref="Z87">
    <cfRule type="expression" dxfId="40" priority="58">
      <formula>#REF! ="88≠82+83+84+85+86+87"</formula>
    </cfRule>
  </conditionalFormatting>
  <conditionalFormatting sqref="Z93">
    <cfRule type="expression" dxfId="39" priority="59">
      <formula>#REF! = "64≠94"</formula>
    </cfRule>
    <cfRule type="expression" dxfId="38" priority="60">
      <formula>#REF! = "94≠68+69+71+80+88+89+90+91+92"</formula>
    </cfRule>
  </conditionalFormatting>
  <conditionalFormatting sqref="AL35">
    <cfRule type="expression" dxfId="37" priority="25">
      <formula>#REF! ="35≠36+38"</formula>
    </cfRule>
  </conditionalFormatting>
  <conditionalFormatting sqref="AL39">
    <cfRule type="expression" dxfId="36" priority="26">
      <formula>#REF! ="39≠40+41+42+43+44"</formula>
    </cfRule>
  </conditionalFormatting>
  <conditionalFormatting sqref="AL45">
    <cfRule type="expression" dxfId="35" priority="27">
      <formula>#REF! ="45≠33+34+35+39"</formula>
    </cfRule>
  </conditionalFormatting>
  <conditionalFormatting sqref="AL50">
    <cfRule type="expression" dxfId="34" priority="28">
      <formula>#REF! ="50≠51+53"</formula>
    </cfRule>
  </conditionalFormatting>
  <conditionalFormatting sqref="AL54">
    <cfRule type="expression" dxfId="33" priority="29">
      <formula>#REF! ="54≠55+56+57+58+59"</formula>
    </cfRule>
  </conditionalFormatting>
  <conditionalFormatting sqref="AL60">
    <cfRule type="expression" dxfId="32" priority="30">
      <formula>#REF! ="60≠48+49+50+54"</formula>
    </cfRule>
  </conditionalFormatting>
  <conditionalFormatting sqref="AL62">
    <cfRule type="expression" dxfId="31" priority="31">
      <formula>#REF! ="62≠45+46+60+61"</formula>
    </cfRule>
  </conditionalFormatting>
  <conditionalFormatting sqref="AL64">
    <cfRule type="expression" dxfId="30" priority="32">
      <formula>#REF! ="64≠29+62"</formula>
    </cfRule>
  </conditionalFormatting>
  <conditionalFormatting sqref="AL80">
    <cfRule type="expression" dxfId="29" priority="33">
      <formula>#REF! ="80≠73+74+75+76+77+78+79"</formula>
    </cfRule>
  </conditionalFormatting>
  <conditionalFormatting sqref="AL87">
    <cfRule type="expression" dxfId="28" priority="34">
      <formula>#REF! ="88≠82+83+84+85+86+87"</formula>
    </cfRule>
  </conditionalFormatting>
  <conditionalFormatting sqref="AL93">
    <cfRule type="expression" dxfId="27" priority="35">
      <formula>#REF! = "64≠94"</formula>
    </cfRule>
    <cfRule type="expression" dxfId="26" priority="36">
      <formula>#REF! = "94≠68+69+71+80+88+89+90+91+92"</formula>
    </cfRule>
  </conditionalFormatting>
  <conditionalFormatting sqref="T35">
    <cfRule type="expression" dxfId="25" priority="1">
      <formula>#REF! ="35≠36+38"</formula>
    </cfRule>
  </conditionalFormatting>
  <conditionalFormatting sqref="T39">
    <cfRule type="expression" dxfId="24" priority="2">
      <formula>#REF! ="39≠40+41+42+43+44"</formula>
    </cfRule>
  </conditionalFormatting>
  <conditionalFormatting sqref="T45">
    <cfRule type="expression" dxfId="23" priority="3">
      <formula>#REF! ="45≠33+34+35+39"</formula>
    </cfRule>
  </conditionalFormatting>
  <conditionalFormatting sqref="T50">
    <cfRule type="expression" dxfId="22" priority="4">
      <formula>#REF! ="50≠51+53"</formula>
    </cfRule>
  </conditionalFormatting>
  <conditionalFormatting sqref="T54">
    <cfRule type="expression" dxfId="21" priority="5">
      <formula>#REF! ="54≠55+56+57+58+59"</formula>
    </cfRule>
  </conditionalFormatting>
  <conditionalFormatting sqref="T60">
    <cfRule type="expression" dxfId="20" priority="6">
      <formula>#REF! ="60≠48+49+50+54"</formula>
    </cfRule>
  </conditionalFormatting>
  <conditionalFormatting sqref="T62">
    <cfRule type="expression" dxfId="19" priority="7">
      <formula>#REF! ="62≠45+46+60+61"</formula>
    </cfRule>
  </conditionalFormatting>
  <conditionalFormatting sqref="T64">
    <cfRule type="expression" dxfId="18" priority="8">
      <formula>#REF! ="64≠29+62"</formula>
    </cfRule>
  </conditionalFormatting>
  <conditionalFormatting sqref="T80">
    <cfRule type="expression" dxfId="17" priority="9">
      <formula>#REF! ="80≠73+74+75+76+77+78+79"</formula>
    </cfRule>
  </conditionalFormatting>
  <conditionalFormatting sqref="T87">
    <cfRule type="expression" dxfId="16" priority="10">
      <formula>#REF! ="88≠82+83+84+85+86+87"</formula>
    </cfRule>
  </conditionalFormatting>
  <conditionalFormatting sqref="T93">
    <cfRule type="expression" dxfId="15" priority="11">
      <formula>#REF! = "64≠94"</formula>
    </cfRule>
    <cfRule type="expression" dxfId="14" priority="12">
      <formula>#REF! = "94≠68+69+71+80+88+89+90+91+92"</formula>
    </cfRule>
  </conditionalFormatting>
  <conditionalFormatting sqref="AG35 X35 O35 C35 R35 AD35 F35 I35 AJ35 L35 AA35 AM35 U35">
    <cfRule type="expression" dxfId="13" priority="336">
      <formula>#REF! ="35≠36+38"</formula>
    </cfRule>
  </conditionalFormatting>
  <conditionalFormatting sqref="AG39 X39 O39 C39 R39 AD39 F39 I39 AJ39 L39 AA39 AM39 U39">
    <cfRule type="expression" dxfId="12" priority="337">
      <formula>#REF! ="39≠40+41+42+43+44"</formula>
    </cfRule>
  </conditionalFormatting>
  <conditionalFormatting sqref="AG45 X45 O45 C45 R45 AD45 F45 I45 AJ45 L45 AA45 AM45 U45">
    <cfRule type="expression" dxfId="11" priority="338">
      <formula>#REF! ="45≠33+34+35+39"</formula>
    </cfRule>
  </conditionalFormatting>
  <conditionalFormatting sqref="AG50 X50 O50 C50 R50 AD50 F50 I50 AJ50 L50 AA50 AM50 U50">
    <cfRule type="expression" dxfId="10" priority="339">
      <formula>#REF! ="50≠51+53"</formula>
    </cfRule>
  </conditionalFormatting>
  <conditionalFormatting sqref="AG54 X54 O54 C54 R54 AD54 F54 I54 AJ54 L54 AA54 AM54 U54">
    <cfRule type="expression" dxfId="9" priority="340">
      <formula>#REF! ="54≠55+56+57+58+59"</formula>
    </cfRule>
  </conditionalFormatting>
  <conditionalFormatting sqref="AG60 X60 O60 C60 R60 AD60 F60 I60 AJ60 L60 AA60 AM60 U60">
    <cfRule type="expression" dxfId="8" priority="341">
      <formula>#REF! ="60≠48+49+50+54"</formula>
    </cfRule>
  </conditionalFormatting>
  <conditionalFormatting sqref="AG62 X62 O62 C62 R62 AD62 F62 I62 AJ62 L62 AA62 AM62 U62">
    <cfRule type="expression" dxfId="7" priority="342">
      <formula>#REF! ="62≠45+46+60+61"</formula>
    </cfRule>
  </conditionalFormatting>
  <conditionalFormatting sqref="AG64 X64 O64 C64 R64 AD64 F64 I64 AJ64 L64 AA64 AM64 U64">
    <cfRule type="expression" dxfId="6" priority="343">
      <formula>#REF! ="64≠29+62"</formula>
    </cfRule>
  </conditionalFormatting>
  <conditionalFormatting sqref="AG80 X80 O80 C80 R80 AD80 F80 I80 AJ80 L80 AA80 AM80 U80">
    <cfRule type="expression" dxfId="5" priority="344">
      <formula>#REF! ="80≠73+74+75+76+77+78+79"</formula>
    </cfRule>
  </conditionalFormatting>
  <conditionalFormatting sqref="AG87 X87 O87 C87 R87 AD87 F87 I87 AJ87 L87 AA87 AM87 U87">
    <cfRule type="expression" dxfId="4" priority="345">
      <formula>#REF! ="88≠82+83+84+85+86+87"</formula>
    </cfRule>
  </conditionalFormatting>
  <conditionalFormatting sqref="AG93 C93 R93 AD93 F93 I93 AJ93 L93 AA93 AM93 U93">
    <cfRule type="expression" dxfId="3" priority="346">
      <formula>#REF! = "94≠68+69+71+80+88+89+90+91+92"</formula>
    </cfRule>
    <cfRule type="expression" dxfId="2" priority="347">
      <formula>#REF! = "64≠94"</formula>
    </cfRule>
  </conditionalFormatting>
  <conditionalFormatting sqref="X93 O93">
    <cfRule type="expression" dxfId="1" priority="358">
      <formula>#REF! = "64≠94"</formula>
    </cfRule>
  </conditionalFormatting>
  <conditionalFormatting sqref="X93 O93">
    <cfRule type="expression" dxfId="0" priority="359">
      <formula>#REF! = "94≠68+69+71+80+88+89+90+91+92"</formula>
    </cfRule>
  </conditionalFormatting>
  <hyperlinks>
    <hyperlink ref="B1" location="Innhold!A1" display="Tilbake" xr:uid="{00000000-0004-0000-22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20"/>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512" customWidth="1"/>
    <col min="2" max="34" width="11.7109375" style="512" customWidth="1"/>
    <col min="35" max="250" width="11.42578125" style="512"/>
    <col min="251" max="251" width="62" style="512" customWidth="1"/>
    <col min="252" max="287" width="11.7109375" style="512" customWidth="1"/>
    <col min="288" max="506" width="11.42578125" style="512"/>
    <col min="507" max="507" width="62" style="512" customWidth="1"/>
    <col min="508" max="543" width="11.7109375" style="512" customWidth="1"/>
    <col min="544" max="762" width="11.42578125" style="512"/>
    <col min="763" max="763" width="62" style="512" customWidth="1"/>
    <col min="764" max="799" width="11.7109375" style="512" customWidth="1"/>
    <col min="800" max="1018" width="11.42578125" style="512"/>
    <col min="1019" max="1019" width="62" style="512" customWidth="1"/>
    <col min="1020" max="1055" width="11.7109375" style="512" customWidth="1"/>
    <col min="1056" max="1274" width="11.42578125" style="512"/>
    <col min="1275" max="1275" width="62" style="512" customWidth="1"/>
    <col min="1276" max="1311" width="11.7109375" style="512" customWidth="1"/>
    <col min="1312" max="1530" width="11.42578125" style="512"/>
    <col min="1531" max="1531" width="62" style="512" customWidth="1"/>
    <col min="1532" max="1567" width="11.7109375" style="512" customWidth="1"/>
    <col min="1568" max="1786" width="11.42578125" style="512"/>
    <col min="1787" max="1787" width="62" style="512" customWidth="1"/>
    <col min="1788" max="1823" width="11.7109375" style="512" customWidth="1"/>
    <col min="1824" max="2042" width="11.42578125" style="512"/>
    <col min="2043" max="2043" width="62" style="512" customWidth="1"/>
    <col min="2044" max="2079" width="11.7109375" style="512" customWidth="1"/>
    <col min="2080" max="2298" width="11.42578125" style="512"/>
    <col min="2299" max="2299" width="62" style="512" customWidth="1"/>
    <col min="2300" max="2335" width="11.7109375" style="512" customWidth="1"/>
    <col min="2336" max="2554" width="11.42578125" style="512"/>
    <col min="2555" max="2555" width="62" style="512" customWidth="1"/>
    <col min="2556" max="2591" width="11.7109375" style="512" customWidth="1"/>
    <col min="2592" max="2810" width="11.42578125" style="512"/>
    <col min="2811" max="2811" width="62" style="512" customWidth="1"/>
    <col min="2812" max="2847" width="11.7109375" style="512" customWidth="1"/>
    <col min="2848" max="3066" width="11.42578125" style="512"/>
    <col min="3067" max="3067" width="62" style="512" customWidth="1"/>
    <col min="3068" max="3103" width="11.7109375" style="512" customWidth="1"/>
    <col min="3104" max="3322" width="11.42578125" style="512"/>
    <col min="3323" max="3323" width="62" style="512" customWidth="1"/>
    <col min="3324" max="3359" width="11.7109375" style="512" customWidth="1"/>
    <col min="3360" max="3578" width="11.42578125" style="512"/>
    <col min="3579" max="3579" width="62" style="512" customWidth="1"/>
    <col min="3580" max="3615" width="11.7109375" style="512" customWidth="1"/>
    <col min="3616" max="3834" width="11.42578125" style="512"/>
    <col min="3835" max="3835" width="62" style="512" customWidth="1"/>
    <col min="3836" max="3871" width="11.7109375" style="512" customWidth="1"/>
    <col min="3872" max="4090" width="11.42578125" style="512"/>
    <col min="4091" max="4091" width="62" style="512" customWidth="1"/>
    <col min="4092" max="4127" width="11.7109375" style="512" customWidth="1"/>
    <col min="4128" max="4346" width="11.42578125" style="512"/>
    <col min="4347" max="4347" width="62" style="512" customWidth="1"/>
    <col min="4348" max="4383" width="11.7109375" style="512" customWidth="1"/>
    <col min="4384" max="4602" width="11.42578125" style="512"/>
    <col min="4603" max="4603" width="62" style="512" customWidth="1"/>
    <col min="4604" max="4639" width="11.7109375" style="512" customWidth="1"/>
    <col min="4640" max="4858" width="11.42578125" style="512"/>
    <col min="4859" max="4859" width="62" style="512" customWidth="1"/>
    <col min="4860" max="4895" width="11.7109375" style="512" customWidth="1"/>
    <col min="4896" max="5114" width="11.42578125" style="512"/>
    <col min="5115" max="5115" width="62" style="512" customWidth="1"/>
    <col min="5116" max="5151" width="11.7109375" style="512" customWidth="1"/>
    <col min="5152" max="5370" width="11.42578125" style="512"/>
    <col min="5371" max="5371" width="62" style="512" customWidth="1"/>
    <col min="5372" max="5407" width="11.7109375" style="512" customWidth="1"/>
    <col min="5408" max="5626" width="11.42578125" style="512"/>
    <col min="5627" max="5627" width="62" style="512" customWidth="1"/>
    <col min="5628" max="5663" width="11.7109375" style="512" customWidth="1"/>
    <col min="5664" max="5882" width="11.42578125" style="512"/>
    <col min="5883" max="5883" width="62" style="512" customWidth="1"/>
    <col min="5884" max="5919" width="11.7109375" style="512" customWidth="1"/>
    <col min="5920" max="6138" width="11.42578125" style="512"/>
    <col min="6139" max="6139" width="62" style="512" customWidth="1"/>
    <col min="6140" max="6175" width="11.7109375" style="512" customWidth="1"/>
    <col min="6176" max="6394" width="11.42578125" style="512"/>
    <col min="6395" max="6395" width="62" style="512" customWidth="1"/>
    <col min="6396" max="6431" width="11.7109375" style="512" customWidth="1"/>
    <col min="6432" max="6650" width="11.42578125" style="512"/>
    <col min="6651" max="6651" width="62" style="512" customWidth="1"/>
    <col min="6652" max="6687" width="11.7109375" style="512" customWidth="1"/>
    <col min="6688" max="6906" width="11.42578125" style="512"/>
    <col min="6907" max="6907" width="62" style="512" customWidth="1"/>
    <col min="6908" max="6943" width="11.7109375" style="512" customWidth="1"/>
    <col min="6944" max="7162" width="11.42578125" style="512"/>
    <col min="7163" max="7163" width="62" style="512" customWidth="1"/>
    <col min="7164" max="7199" width="11.7109375" style="512" customWidth="1"/>
    <col min="7200" max="7418" width="11.42578125" style="512"/>
    <col min="7419" max="7419" width="62" style="512" customWidth="1"/>
    <col min="7420" max="7455" width="11.7109375" style="512" customWidth="1"/>
    <col min="7456" max="7674" width="11.42578125" style="512"/>
    <col min="7675" max="7675" width="62" style="512" customWidth="1"/>
    <col min="7676" max="7711" width="11.7109375" style="512" customWidth="1"/>
    <col min="7712" max="7930" width="11.42578125" style="512"/>
    <col min="7931" max="7931" width="62" style="512" customWidth="1"/>
    <col min="7932" max="7967" width="11.7109375" style="512" customWidth="1"/>
    <col min="7968" max="8186" width="11.42578125" style="512"/>
    <col min="8187" max="8187" width="62" style="512" customWidth="1"/>
    <col min="8188" max="8223" width="11.7109375" style="512" customWidth="1"/>
    <col min="8224" max="8442" width="11.42578125" style="512"/>
    <col min="8443" max="8443" width="62" style="512" customWidth="1"/>
    <col min="8444" max="8479" width="11.7109375" style="512" customWidth="1"/>
    <col min="8480" max="8698" width="11.42578125" style="512"/>
    <col min="8699" max="8699" width="62" style="512" customWidth="1"/>
    <col min="8700" max="8735" width="11.7109375" style="512" customWidth="1"/>
    <col min="8736" max="8954" width="11.42578125" style="512"/>
    <col min="8955" max="8955" width="62" style="512" customWidth="1"/>
    <col min="8956" max="8991" width="11.7109375" style="512" customWidth="1"/>
    <col min="8992" max="9210" width="11.42578125" style="512"/>
    <col min="9211" max="9211" width="62" style="512" customWidth="1"/>
    <col min="9212" max="9247" width="11.7109375" style="512" customWidth="1"/>
    <col min="9248" max="9466" width="11.42578125" style="512"/>
    <col min="9467" max="9467" width="62" style="512" customWidth="1"/>
    <col min="9468" max="9503" width="11.7109375" style="512" customWidth="1"/>
    <col min="9504" max="9722" width="11.42578125" style="512"/>
    <col min="9723" max="9723" width="62" style="512" customWidth="1"/>
    <col min="9724" max="9759" width="11.7109375" style="512" customWidth="1"/>
    <col min="9760" max="9978" width="11.42578125" style="512"/>
    <col min="9979" max="9979" width="62" style="512" customWidth="1"/>
    <col min="9980" max="10015" width="11.7109375" style="512" customWidth="1"/>
    <col min="10016" max="10234" width="11.42578125" style="512"/>
    <col min="10235" max="10235" width="62" style="512" customWidth="1"/>
    <col min="10236" max="10271" width="11.7109375" style="512" customWidth="1"/>
    <col min="10272" max="10490" width="11.42578125" style="512"/>
    <col min="10491" max="10491" width="62" style="512" customWidth="1"/>
    <col min="10492" max="10527" width="11.7109375" style="512" customWidth="1"/>
    <col min="10528" max="10746" width="11.42578125" style="512"/>
    <col min="10747" max="10747" width="62" style="512" customWidth="1"/>
    <col min="10748" max="10783" width="11.7109375" style="512" customWidth="1"/>
    <col min="10784" max="11002" width="11.42578125" style="512"/>
    <col min="11003" max="11003" width="62" style="512" customWidth="1"/>
    <col min="11004" max="11039" width="11.7109375" style="512" customWidth="1"/>
    <col min="11040" max="11258" width="11.42578125" style="512"/>
    <col min="11259" max="11259" width="62" style="512" customWidth="1"/>
    <col min="11260" max="11295" width="11.7109375" style="512" customWidth="1"/>
    <col min="11296" max="11514" width="11.42578125" style="512"/>
    <col min="11515" max="11515" width="62" style="512" customWidth="1"/>
    <col min="11516" max="11551" width="11.7109375" style="512" customWidth="1"/>
    <col min="11552" max="11770" width="11.42578125" style="512"/>
    <col min="11771" max="11771" width="62" style="512" customWidth="1"/>
    <col min="11772" max="11807" width="11.7109375" style="512" customWidth="1"/>
    <col min="11808" max="12026" width="11.42578125" style="512"/>
    <col min="12027" max="12027" width="62" style="512" customWidth="1"/>
    <col min="12028" max="12063" width="11.7109375" style="512" customWidth="1"/>
    <col min="12064" max="12282" width="11.42578125" style="512"/>
    <col min="12283" max="12283" width="62" style="512" customWidth="1"/>
    <col min="12284" max="12319" width="11.7109375" style="512" customWidth="1"/>
    <col min="12320" max="12538" width="11.42578125" style="512"/>
    <col min="12539" max="12539" width="62" style="512" customWidth="1"/>
    <col min="12540" max="12575" width="11.7109375" style="512" customWidth="1"/>
    <col min="12576" max="12794" width="11.42578125" style="512"/>
    <col min="12795" max="12795" width="62" style="512" customWidth="1"/>
    <col min="12796" max="12831" width="11.7109375" style="512" customWidth="1"/>
    <col min="12832" max="13050" width="11.42578125" style="512"/>
    <col min="13051" max="13051" width="62" style="512" customWidth="1"/>
    <col min="13052" max="13087" width="11.7109375" style="512" customWidth="1"/>
    <col min="13088" max="13306" width="11.42578125" style="512"/>
    <col min="13307" max="13307" width="62" style="512" customWidth="1"/>
    <col min="13308" max="13343" width="11.7109375" style="512" customWidth="1"/>
    <col min="13344" max="13562" width="11.42578125" style="512"/>
    <col min="13563" max="13563" width="62" style="512" customWidth="1"/>
    <col min="13564" max="13599" width="11.7109375" style="512" customWidth="1"/>
    <col min="13600" max="13818" width="11.42578125" style="512"/>
    <col min="13819" max="13819" width="62" style="512" customWidth="1"/>
    <col min="13820" max="13855" width="11.7109375" style="512" customWidth="1"/>
    <col min="13856" max="14074" width="11.42578125" style="512"/>
    <col min="14075" max="14075" width="62" style="512" customWidth="1"/>
    <col min="14076" max="14111" width="11.7109375" style="512" customWidth="1"/>
    <col min="14112" max="14330" width="11.42578125" style="512"/>
    <col min="14331" max="14331" width="62" style="512" customWidth="1"/>
    <col min="14332" max="14367" width="11.7109375" style="512" customWidth="1"/>
    <col min="14368" max="14586" width="11.42578125" style="512"/>
    <col min="14587" max="14587" width="62" style="512" customWidth="1"/>
    <col min="14588" max="14623" width="11.7109375" style="512" customWidth="1"/>
    <col min="14624" max="14842" width="11.42578125" style="512"/>
    <col min="14843" max="14843" width="62" style="512" customWidth="1"/>
    <col min="14844" max="14879" width="11.7109375" style="512" customWidth="1"/>
    <col min="14880" max="15098" width="11.42578125" style="512"/>
    <col min="15099" max="15099" width="62" style="512" customWidth="1"/>
    <col min="15100" max="15135" width="11.7109375" style="512" customWidth="1"/>
    <col min="15136" max="15354" width="11.42578125" style="512"/>
    <col min="15355" max="15355" width="62" style="512" customWidth="1"/>
    <col min="15356" max="15391" width="11.7109375" style="512" customWidth="1"/>
    <col min="15392" max="15610" width="11.42578125" style="512"/>
    <col min="15611" max="15611" width="62" style="512" customWidth="1"/>
    <col min="15612" max="15647" width="11.7109375" style="512" customWidth="1"/>
    <col min="15648" max="15866" width="11.42578125" style="512"/>
    <col min="15867" max="15867" width="62" style="512" customWidth="1"/>
    <col min="15868" max="15903" width="11.7109375" style="512" customWidth="1"/>
    <col min="15904" max="16122" width="11.42578125" style="512"/>
    <col min="16123" max="16123" width="62" style="512" customWidth="1"/>
    <col min="16124" max="16159" width="11.7109375" style="512" customWidth="1"/>
    <col min="16160" max="16384" width="11.42578125" style="512"/>
  </cols>
  <sheetData>
    <row r="1" spans="1:48" ht="20.25" x14ac:dyDescent="0.3">
      <c r="A1" s="510" t="s">
        <v>166</v>
      </c>
      <c r="B1" s="511" t="s">
        <v>52</v>
      </c>
    </row>
    <row r="2" spans="1:48" ht="20.25" x14ac:dyDescent="0.3">
      <c r="A2" s="510" t="s">
        <v>261</v>
      </c>
    </row>
    <row r="3" spans="1:48" ht="18.75" x14ac:dyDescent="0.3">
      <c r="A3" s="513" t="s">
        <v>321</v>
      </c>
    </row>
    <row r="4" spans="1:48" ht="18.75" x14ac:dyDescent="0.3">
      <c r="A4" s="514" t="s">
        <v>425</v>
      </c>
      <c r="B4" s="515"/>
      <c r="C4" s="516"/>
      <c r="D4" s="517"/>
      <c r="E4" s="515"/>
      <c r="F4" s="516"/>
      <c r="G4" s="517"/>
      <c r="H4" s="516"/>
      <c r="I4" s="516"/>
      <c r="J4" s="517"/>
      <c r="K4" s="516"/>
      <c r="L4" s="516"/>
      <c r="M4" s="517"/>
      <c r="N4" s="515"/>
      <c r="O4" s="516"/>
      <c r="P4" s="517"/>
      <c r="Q4" s="515"/>
      <c r="R4" s="516"/>
      <c r="S4" s="517"/>
      <c r="T4" s="515"/>
      <c r="U4" s="516"/>
      <c r="V4" s="517"/>
      <c r="W4" s="515"/>
      <c r="X4" s="516"/>
      <c r="Y4" s="517"/>
      <c r="Z4" s="515"/>
      <c r="AA4" s="516"/>
      <c r="AB4" s="517"/>
      <c r="AC4" s="515"/>
      <c r="AD4" s="516"/>
      <c r="AE4" s="517"/>
      <c r="AF4" s="515"/>
      <c r="AG4" s="518"/>
      <c r="AH4" s="517"/>
      <c r="AI4" s="519"/>
      <c r="AJ4" s="519"/>
      <c r="AK4" s="519"/>
      <c r="AL4" s="519"/>
      <c r="AM4" s="519"/>
      <c r="AN4" s="519"/>
      <c r="AO4" s="519"/>
      <c r="AP4" s="519"/>
      <c r="AQ4" s="519"/>
      <c r="AR4" s="519"/>
      <c r="AS4" s="519"/>
      <c r="AT4" s="519"/>
      <c r="AU4" s="519"/>
      <c r="AV4" s="519"/>
    </row>
    <row r="5" spans="1:48" ht="18.75" x14ac:dyDescent="0.3">
      <c r="A5" s="520"/>
      <c r="B5" s="760" t="s">
        <v>424</v>
      </c>
      <c r="C5" s="761"/>
      <c r="D5" s="762"/>
      <c r="E5" s="763" t="s">
        <v>169</v>
      </c>
      <c r="F5" s="764"/>
      <c r="G5" s="765"/>
      <c r="H5" s="655"/>
      <c r="I5" s="655"/>
      <c r="J5" s="656"/>
      <c r="K5" s="763" t="s">
        <v>170</v>
      </c>
      <c r="L5" s="764"/>
      <c r="M5" s="765"/>
      <c r="N5" s="763" t="s">
        <v>171</v>
      </c>
      <c r="O5" s="764"/>
      <c r="P5" s="765"/>
      <c r="Q5" s="678" t="s">
        <v>172</v>
      </c>
      <c r="R5" s="679"/>
      <c r="S5" s="680"/>
      <c r="T5" s="646"/>
      <c r="U5" s="647"/>
      <c r="V5" s="648"/>
      <c r="W5" s="763" t="s">
        <v>173</v>
      </c>
      <c r="X5" s="764"/>
      <c r="Y5" s="765"/>
      <c r="Z5" s="748" t="s">
        <v>66</v>
      </c>
      <c r="AA5" s="749"/>
      <c r="AB5" s="750"/>
      <c r="AC5" s="763" t="s">
        <v>70</v>
      </c>
      <c r="AD5" s="764"/>
      <c r="AE5" s="765"/>
      <c r="AF5" s="760" t="s">
        <v>279</v>
      </c>
      <c r="AG5" s="761"/>
      <c r="AH5" s="762"/>
      <c r="AI5" s="549"/>
      <c r="AJ5" s="549"/>
      <c r="AK5" s="772"/>
      <c r="AL5" s="772"/>
      <c r="AM5" s="772"/>
      <c r="AN5" s="772"/>
      <c r="AO5" s="772"/>
      <c r="AP5" s="772"/>
      <c r="AQ5" s="772"/>
      <c r="AR5" s="772"/>
      <c r="AS5" s="772"/>
      <c r="AT5" s="772"/>
      <c r="AU5" s="772"/>
      <c r="AV5" s="772"/>
    </row>
    <row r="6" spans="1:48" ht="18.75" x14ac:dyDescent="0.3">
      <c r="A6" s="522"/>
      <c r="B6" s="766" t="s">
        <v>174</v>
      </c>
      <c r="C6" s="767"/>
      <c r="D6" s="768"/>
      <c r="E6" s="769" t="s">
        <v>175</v>
      </c>
      <c r="F6" s="770"/>
      <c r="G6" s="771"/>
      <c r="H6" s="769" t="s">
        <v>384</v>
      </c>
      <c r="I6" s="770"/>
      <c r="J6" s="771"/>
      <c r="K6" s="769" t="s">
        <v>175</v>
      </c>
      <c r="L6" s="770"/>
      <c r="M6" s="771"/>
      <c r="N6" s="769" t="s">
        <v>176</v>
      </c>
      <c r="O6" s="770"/>
      <c r="P6" s="771"/>
      <c r="Q6" s="769" t="s">
        <v>62</v>
      </c>
      <c r="R6" s="770"/>
      <c r="S6" s="771"/>
      <c r="T6" s="769" t="s">
        <v>64</v>
      </c>
      <c r="U6" s="770"/>
      <c r="V6" s="771"/>
      <c r="W6" s="769" t="s">
        <v>174</v>
      </c>
      <c r="X6" s="770"/>
      <c r="Y6" s="771"/>
      <c r="Z6" s="751" t="s">
        <v>397</v>
      </c>
      <c r="AA6" s="752"/>
      <c r="AB6" s="753"/>
      <c r="AC6" s="769" t="s">
        <v>175</v>
      </c>
      <c r="AD6" s="770"/>
      <c r="AE6" s="771"/>
      <c r="AF6" s="766" t="s">
        <v>280</v>
      </c>
      <c r="AG6" s="767"/>
      <c r="AH6" s="768"/>
      <c r="AI6" s="549"/>
      <c r="AJ6" s="549"/>
      <c r="AK6" s="772"/>
      <c r="AL6" s="772"/>
      <c r="AM6" s="772"/>
      <c r="AN6" s="772"/>
      <c r="AO6" s="772"/>
      <c r="AP6" s="772"/>
      <c r="AQ6" s="772"/>
      <c r="AR6" s="772"/>
      <c r="AS6" s="772"/>
      <c r="AT6" s="772"/>
      <c r="AU6" s="772"/>
      <c r="AV6" s="772"/>
    </row>
    <row r="7" spans="1:48" ht="18.75" x14ac:dyDescent="0.3">
      <c r="A7" s="522"/>
      <c r="B7" s="523"/>
      <c r="C7" s="523"/>
      <c r="D7" s="524" t="s">
        <v>78</v>
      </c>
      <c r="E7" s="523"/>
      <c r="F7" s="523"/>
      <c r="G7" s="524" t="s">
        <v>78</v>
      </c>
      <c r="H7" s="523"/>
      <c r="I7" s="523"/>
      <c r="J7" s="524" t="s">
        <v>78</v>
      </c>
      <c r="K7" s="523"/>
      <c r="L7" s="523"/>
      <c r="M7" s="524" t="s">
        <v>78</v>
      </c>
      <c r="N7" s="523"/>
      <c r="O7" s="523"/>
      <c r="P7" s="524" t="s">
        <v>78</v>
      </c>
      <c r="Q7" s="523"/>
      <c r="R7" s="523"/>
      <c r="S7" s="524" t="s">
        <v>78</v>
      </c>
      <c r="T7" s="523"/>
      <c r="U7" s="523"/>
      <c r="V7" s="524" t="s">
        <v>78</v>
      </c>
      <c r="W7" s="523"/>
      <c r="X7" s="523"/>
      <c r="Y7" s="524" t="s">
        <v>78</v>
      </c>
      <c r="Z7" s="523"/>
      <c r="AA7" s="523"/>
      <c r="AB7" s="524" t="s">
        <v>78</v>
      </c>
      <c r="AC7" s="523"/>
      <c r="AD7" s="523"/>
      <c r="AE7" s="524" t="s">
        <v>78</v>
      </c>
      <c r="AF7" s="523"/>
      <c r="AG7" s="523"/>
      <c r="AH7" s="524" t="s">
        <v>78</v>
      </c>
      <c r="AI7" s="549"/>
      <c r="AJ7" s="549"/>
      <c r="AK7" s="521"/>
      <c r="AL7" s="521"/>
      <c r="AM7" s="521"/>
      <c r="AN7" s="521"/>
      <c r="AO7" s="521"/>
      <c r="AP7" s="521"/>
      <c r="AQ7" s="521"/>
      <c r="AR7" s="521"/>
      <c r="AS7" s="521"/>
      <c r="AT7" s="521"/>
      <c r="AU7" s="521"/>
      <c r="AV7" s="521"/>
    </row>
    <row r="8" spans="1:48" ht="15.75" x14ac:dyDescent="0.25">
      <c r="A8" s="525" t="s">
        <v>282</v>
      </c>
      <c r="B8" s="526">
        <v>2022</v>
      </c>
      <c r="C8" s="526">
        <v>2023</v>
      </c>
      <c r="D8" s="527" t="s">
        <v>80</v>
      </c>
      <c r="E8" s="526">
        <f t="shared" ref="E8" si="0">$B$8</f>
        <v>2022</v>
      </c>
      <c r="F8" s="526">
        <f t="shared" ref="F8" si="1">$C$8</f>
        <v>2023</v>
      </c>
      <c r="G8" s="527" t="s">
        <v>80</v>
      </c>
      <c r="H8" s="526">
        <f t="shared" ref="H8" si="2">$B$8</f>
        <v>2022</v>
      </c>
      <c r="I8" s="526">
        <f t="shared" ref="I8" si="3">$C$8</f>
        <v>2023</v>
      </c>
      <c r="J8" s="527" t="s">
        <v>80</v>
      </c>
      <c r="K8" s="526">
        <f t="shared" ref="K8" si="4">$B$8</f>
        <v>2022</v>
      </c>
      <c r="L8" s="526">
        <f t="shared" ref="L8" si="5">$C$8</f>
        <v>2023</v>
      </c>
      <c r="M8" s="527" t="s">
        <v>80</v>
      </c>
      <c r="N8" s="526">
        <f t="shared" ref="N8" si="6">$B$8</f>
        <v>2022</v>
      </c>
      <c r="O8" s="526">
        <f t="shared" ref="O8" si="7">$C$8</f>
        <v>2023</v>
      </c>
      <c r="P8" s="527" t="s">
        <v>80</v>
      </c>
      <c r="Q8" s="526">
        <f t="shared" ref="Q8" si="8">$B$8</f>
        <v>2022</v>
      </c>
      <c r="R8" s="526">
        <f t="shared" ref="R8" si="9">$C$8</f>
        <v>2023</v>
      </c>
      <c r="S8" s="527" t="s">
        <v>80</v>
      </c>
      <c r="T8" s="526">
        <f t="shared" ref="T8" si="10">$B$8</f>
        <v>2022</v>
      </c>
      <c r="U8" s="526">
        <f t="shared" ref="U8" si="11">$C$8</f>
        <v>2023</v>
      </c>
      <c r="V8" s="527" t="s">
        <v>80</v>
      </c>
      <c r="W8" s="526">
        <f t="shared" ref="W8" si="12">$B$8</f>
        <v>2022</v>
      </c>
      <c r="X8" s="526">
        <f t="shared" ref="X8" si="13">$C$8</f>
        <v>2023</v>
      </c>
      <c r="Y8" s="527" t="s">
        <v>80</v>
      </c>
      <c r="Z8" s="526">
        <f t="shared" ref="Z8" si="14">$B$8</f>
        <v>2022</v>
      </c>
      <c r="AA8" s="526">
        <f t="shared" ref="AA8" si="15">$C$8</f>
        <v>2023</v>
      </c>
      <c r="AB8" s="527" t="s">
        <v>80</v>
      </c>
      <c r="AC8" s="526">
        <f t="shared" ref="AC8" si="16">$B$8</f>
        <v>2022</v>
      </c>
      <c r="AD8" s="526">
        <f t="shared" ref="AD8" si="17">$C$8</f>
        <v>2023</v>
      </c>
      <c r="AE8" s="527" t="s">
        <v>80</v>
      </c>
      <c r="AF8" s="526">
        <f t="shared" ref="AF8" si="18">$B$8</f>
        <v>2022</v>
      </c>
      <c r="AG8" s="526">
        <f t="shared" ref="AG8" si="19">$C$8</f>
        <v>2023</v>
      </c>
      <c r="AH8" s="527" t="s">
        <v>80</v>
      </c>
      <c r="AI8" s="529"/>
      <c r="AJ8" s="528"/>
      <c r="AK8" s="529"/>
      <c r="AL8" s="529"/>
      <c r="AM8" s="528"/>
      <c r="AN8" s="529"/>
      <c r="AO8" s="529"/>
      <c r="AP8" s="528"/>
      <c r="AQ8" s="529"/>
      <c r="AR8" s="529"/>
      <c r="AS8" s="528"/>
      <c r="AT8" s="529"/>
      <c r="AU8" s="529"/>
      <c r="AV8" s="528"/>
    </row>
    <row r="9" spans="1:48" s="498" customFormat="1" ht="18.75" x14ac:dyDescent="0.3">
      <c r="A9" s="530"/>
      <c r="B9" s="531"/>
      <c r="C9" s="531"/>
      <c r="D9" s="531"/>
      <c r="E9" s="537"/>
      <c r="F9" s="537"/>
      <c r="G9" s="537"/>
      <c r="H9" s="537"/>
      <c r="I9" s="537"/>
      <c r="J9" s="537"/>
      <c r="K9" s="537"/>
      <c r="L9" s="537"/>
      <c r="M9" s="537"/>
      <c r="N9" s="537"/>
      <c r="O9" s="537"/>
      <c r="P9" s="537"/>
      <c r="Q9" s="537"/>
      <c r="R9" s="537"/>
      <c r="S9" s="537"/>
      <c r="T9" s="499"/>
      <c r="U9" s="499"/>
      <c r="V9" s="537"/>
      <c r="W9" s="537"/>
      <c r="X9" s="537"/>
      <c r="Y9" s="537"/>
      <c r="Z9" s="537"/>
      <c r="AA9" s="537"/>
      <c r="AB9" s="537"/>
      <c r="AC9" s="537"/>
      <c r="AD9" s="537"/>
      <c r="AE9" s="537"/>
      <c r="AF9" s="531"/>
      <c r="AG9" s="531"/>
      <c r="AH9" s="531"/>
    </row>
    <row r="10" spans="1:48" s="498" customFormat="1" ht="18.75" x14ac:dyDescent="0.3">
      <c r="A10" s="532" t="s">
        <v>385</v>
      </c>
      <c r="B10" s="537"/>
      <c r="C10" s="537"/>
      <c r="D10" s="537"/>
      <c r="E10" s="537"/>
      <c r="F10" s="537"/>
      <c r="G10" s="537"/>
      <c r="H10" s="537"/>
      <c r="I10" s="537"/>
      <c r="J10" s="537"/>
      <c r="K10" s="537"/>
      <c r="L10" s="537"/>
      <c r="M10" s="537"/>
      <c r="N10" s="537"/>
      <c r="O10" s="537"/>
      <c r="P10" s="537"/>
      <c r="Q10" s="537"/>
      <c r="R10" s="537"/>
      <c r="S10" s="537"/>
      <c r="T10" s="499"/>
      <c r="U10" s="499"/>
      <c r="V10" s="537"/>
      <c r="W10" s="499"/>
      <c r="X10" s="499"/>
      <c r="Y10" s="537"/>
      <c r="Z10" s="499"/>
      <c r="AA10" s="499"/>
      <c r="AB10" s="537"/>
      <c r="AC10" s="499"/>
      <c r="AD10" s="499"/>
      <c r="AE10" s="537"/>
      <c r="AF10" s="537"/>
      <c r="AG10" s="537"/>
      <c r="AH10" s="538"/>
    </row>
    <row r="11" spans="1:48" ht="22.5" x14ac:dyDescent="0.3">
      <c r="A11" s="532" t="s">
        <v>386</v>
      </c>
      <c r="B11" s="537">
        <v>-2.08</v>
      </c>
      <c r="C11" s="537"/>
      <c r="D11" s="538"/>
      <c r="E11" s="537">
        <v>1.4224981944600099</v>
      </c>
      <c r="F11" s="537">
        <v>1.33</v>
      </c>
      <c r="G11" s="538"/>
      <c r="H11" s="537">
        <v>0.48</v>
      </c>
      <c r="I11" s="537">
        <v>2.4</v>
      </c>
      <c r="J11" s="537"/>
      <c r="K11" s="537"/>
      <c r="L11" s="537"/>
      <c r="M11" s="537"/>
      <c r="N11" s="537">
        <v>1.37</v>
      </c>
      <c r="O11" s="537">
        <v>1.9</v>
      </c>
      <c r="P11" s="537"/>
      <c r="Q11" s="537">
        <v>-2.6477417808863479</v>
      </c>
      <c r="R11" s="537">
        <v>3.89</v>
      </c>
      <c r="S11" s="537"/>
      <c r="T11" s="499">
        <v>3.1</v>
      </c>
      <c r="U11" s="499">
        <v>2.2999999999999998</v>
      </c>
      <c r="V11" s="537"/>
      <c r="W11" s="499"/>
      <c r="X11" s="499"/>
      <c r="Y11" s="537"/>
      <c r="Z11" s="499">
        <v>0.29229221035898001</v>
      </c>
      <c r="AA11" s="499">
        <v>0.76860480670810605</v>
      </c>
      <c r="AB11" s="537"/>
      <c r="AC11" s="499">
        <v>0.52</v>
      </c>
      <c r="AD11" s="499">
        <v>1</v>
      </c>
      <c r="AE11" s="537"/>
      <c r="AF11" s="538"/>
      <c r="AG11" s="538"/>
      <c r="AH11" s="538"/>
    </row>
    <row r="12" spans="1:48" ht="18.75" x14ac:dyDescent="0.3">
      <c r="A12" s="532" t="s">
        <v>387</v>
      </c>
      <c r="B12" s="537">
        <v>-6.1</v>
      </c>
      <c r="C12" s="537"/>
      <c r="D12" s="538"/>
      <c r="E12" s="537">
        <v>-0.19612590096197399</v>
      </c>
      <c r="F12" s="537">
        <v>2.2400000000000002</v>
      </c>
      <c r="G12" s="538"/>
      <c r="H12" s="537">
        <v>-2.5099999999999998</v>
      </c>
      <c r="I12" s="537">
        <v>1.22</v>
      </c>
      <c r="J12" s="537"/>
      <c r="K12" s="537"/>
      <c r="L12" s="537"/>
      <c r="M12" s="537"/>
      <c r="N12" s="537">
        <v>1.22</v>
      </c>
      <c r="O12" s="537">
        <v>1.95</v>
      </c>
      <c r="P12" s="537"/>
      <c r="Q12" s="537">
        <v>-5.8731450233747378</v>
      </c>
      <c r="R12" s="537">
        <v>2.8</v>
      </c>
      <c r="S12" s="537"/>
      <c r="T12" s="499">
        <v>0.3</v>
      </c>
      <c r="U12" s="499">
        <v>1.8</v>
      </c>
      <c r="V12" s="537"/>
      <c r="W12" s="499">
        <v>-3.37</v>
      </c>
      <c r="X12" s="499">
        <v>3</v>
      </c>
      <c r="Y12" s="537"/>
      <c r="Z12" s="499">
        <v>-3.66577631520645</v>
      </c>
      <c r="AA12" s="499">
        <v>1.4036101000281</v>
      </c>
      <c r="AB12" s="537"/>
      <c r="AC12" s="499">
        <v>-2.13</v>
      </c>
      <c r="AD12" s="499">
        <v>1.1200000000000001</v>
      </c>
      <c r="AE12" s="537"/>
      <c r="AF12" s="538"/>
      <c r="AG12" s="538"/>
      <c r="AH12" s="538"/>
    </row>
    <row r="13" spans="1:48" ht="18.75" x14ac:dyDescent="0.3">
      <c r="A13" s="532"/>
      <c r="B13" s="537"/>
      <c r="C13" s="537"/>
      <c r="D13" s="537"/>
      <c r="E13" s="537"/>
      <c r="F13" s="537"/>
      <c r="G13" s="537"/>
      <c r="H13" s="537"/>
      <c r="I13" s="537"/>
      <c r="J13" s="537"/>
      <c r="K13" s="537"/>
      <c r="L13" s="537"/>
      <c r="M13" s="537"/>
      <c r="N13" s="537"/>
      <c r="O13" s="537"/>
      <c r="P13" s="537"/>
      <c r="Q13" s="537"/>
      <c r="R13" s="537"/>
      <c r="S13" s="537"/>
      <c r="T13" s="499"/>
      <c r="U13" s="499"/>
      <c r="V13" s="537"/>
      <c r="W13" s="499"/>
      <c r="X13" s="499"/>
      <c r="Y13" s="537"/>
      <c r="Z13" s="499"/>
      <c r="AA13" s="499"/>
      <c r="AB13" s="537"/>
      <c r="AC13" s="499"/>
      <c r="AD13" s="499"/>
      <c r="AE13" s="537"/>
      <c r="AF13" s="537"/>
      <c r="AG13" s="537"/>
      <c r="AH13" s="537"/>
    </row>
    <row r="14" spans="1:48" ht="18.75" x14ac:dyDescent="0.3">
      <c r="A14" s="532" t="s">
        <v>388</v>
      </c>
      <c r="B14" s="537"/>
      <c r="C14" s="537"/>
      <c r="D14" s="538"/>
      <c r="E14" s="537">
        <v>16.748102079702502</v>
      </c>
      <c r="F14" s="537">
        <v>16.059999999999999</v>
      </c>
      <c r="G14" s="538"/>
      <c r="H14" s="537">
        <v>40.29</v>
      </c>
      <c r="I14" s="537">
        <v>40.700000000000003</v>
      </c>
      <c r="J14" s="538"/>
      <c r="K14" s="537">
        <v>38.200000000000003</v>
      </c>
      <c r="L14" s="537">
        <v>29.9</v>
      </c>
      <c r="M14" s="538"/>
      <c r="N14" s="537">
        <v>9.0500000000000007</v>
      </c>
      <c r="O14" s="537">
        <v>3.61</v>
      </c>
      <c r="P14" s="538"/>
      <c r="Q14" s="537">
        <v>20.186262191855899</v>
      </c>
      <c r="R14" s="537">
        <v>25.2</v>
      </c>
      <c r="S14" s="538"/>
      <c r="T14" s="499">
        <v>29.8</v>
      </c>
      <c r="U14" s="499"/>
      <c r="V14" s="538"/>
      <c r="W14" s="537">
        <f>(1430+9983+1240+24635-1842)/(77308+7448+389+146)*100</f>
        <v>41.558898359733149</v>
      </c>
      <c r="X14" s="537">
        <f>(1430+10598+1240+27647-2043)/(85445+3907+370+2016)*100</f>
        <v>42.372844404717789</v>
      </c>
      <c r="Y14" s="538"/>
      <c r="Z14" s="499">
        <f>('[2]Tabell 6'!AF68+'[2]Tabell 6'!AF71+'[2]Tabell 6'!AF74+'[2]Tabell 6'!AF75+'[2]Tabell 6'!AF78-511.248)/('[2]Tabell 6'!AF80)*100</f>
        <v>38.128825911818588</v>
      </c>
      <c r="AA14" s="499">
        <f>('[3]Tabell 6'!AG68+'[3]Tabell 6'!AG71+'[3]Tabell 6'!AG74+'[3]Tabell 6'!AG75+'[3]Tabell 6'!AG78-724.642)/('[3]Tabell 6'!AG80)*100</f>
        <v>32.833317942609149</v>
      </c>
      <c r="AB14" s="538"/>
      <c r="AC14" s="499">
        <v>18.899999999999999</v>
      </c>
      <c r="AD14" s="499">
        <v>6.9</v>
      </c>
      <c r="AE14" s="538"/>
      <c r="AF14" s="538"/>
      <c r="AG14" s="538"/>
      <c r="AH14" s="538"/>
    </row>
    <row r="15" spans="1:48" ht="18.75" x14ac:dyDescent="0.3">
      <c r="A15" s="532"/>
      <c r="B15" s="537"/>
      <c r="C15" s="537"/>
      <c r="D15" s="537"/>
      <c r="E15" s="537"/>
      <c r="F15" s="537"/>
      <c r="G15" s="537"/>
      <c r="H15" s="537"/>
      <c r="I15" s="537"/>
      <c r="J15" s="537"/>
      <c r="K15" s="537"/>
      <c r="L15" s="537"/>
      <c r="M15" s="537"/>
      <c r="N15" s="537"/>
      <c r="O15" s="537"/>
      <c r="P15" s="537"/>
      <c r="Q15" s="537"/>
      <c r="R15" s="537"/>
      <c r="S15" s="537"/>
      <c r="T15" s="499"/>
      <c r="U15" s="499"/>
      <c r="V15" s="537"/>
      <c r="W15" s="673" t="s">
        <v>426</v>
      </c>
      <c r="X15" s="499"/>
      <c r="Y15" s="537"/>
      <c r="Z15" s="499"/>
      <c r="AA15" s="499"/>
      <c r="AB15" s="537"/>
      <c r="AC15" s="499"/>
      <c r="AD15" s="499"/>
      <c r="AE15" s="537"/>
      <c r="AF15" s="537"/>
      <c r="AG15" s="537"/>
      <c r="AH15" s="537"/>
    </row>
    <row r="16" spans="1:48" ht="18.75" x14ac:dyDescent="0.3">
      <c r="A16" s="532" t="s">
        <v>330</v>
      </c>
      <c r="B16" s="538"/>
      <c r="C16" s="538"/>
      <c r="D16" s="538"/>
      <c r="E16" s="538"/>
      <c r="F16" s="538"/>
      <c r="G16" s="538"/>
      <c r="H16" s="538"/>
      <c r="I16" s="538">
        <v>50.9</v>
      </c>
      <c r="J16" s="538" t="str">
        <f>IF(H16=0, "    ---- ", IF(ABS(ROUND(100/H16*I16-100,1))&lt;999,ROUND(100/H16*I16-100,1),IF(ROUND(100/H16*I16-100,1)&gt;999,999,-999)))</f>
        <v xml:space="preserve">    ---- </v>
      </c>
      <c r="K16" s="538"/>
      <c r="L16" s="538"/>
      <c r="M16" s="538"/>
      <c r="N16" s="538">
        <v>0</v>
      </c>
      <c r="O16" s="538">
        <v>5</v>
      </c>
      <c r="P16" s="538" t="str">
        <f>IF(N16=0, "    ---- ", IF(ABS(ROUND(100/N16*O16-100,1))&lt;999,ROUND(100/N16*O16-100,1),IF(ROUND(100/N16*O16-100,1)&gt;999,999,-999)))</f>
        <v xml:space="preserve">    ---- </v>
      </c>
      <c r="Q16" s="538">
        <v>97984.670942919998</v>
      </c>
      <c r="R16" s="538">
        <v>101806.72428621</v>
      </c>
      <c r="S16" s="538">
        <f>IF(Q16=0, "    ---- ", IF(ABS(ROUND(100/Q16*R16-100,1))&lt;999,ROUND(100/Q16*R16-100,1),IF(ROUND(100/Q16*R16-100,1)&gt;999,999,-999)))</f>
        <v>3.9</v>
      </c>
      <c r="T16" s="500">
        <v>1897</v>
      </c>
      <c r="U16" s="500">
        <v>1874</v>
      </c>
      <c r="V16" s="538">
        <f>IF(T16=0, "    ---- ", IF(ABS(ROUND(100/T16*U16-100,1))&lt;999,ROUND(100/T16*U16-100,1),IF(ROUND(100/T16*U16-100,1)&gt;999,999,-999)))</f>
        <v>-1.2</v>
      </c>
      <c r="W16" s="500">
        <v>0</v>
      </c>
      <c r="X16" s="500"/>
      <c r="Y16" s="538" t="str">
        <f>IF(W16=0, "    ---- ", IF(ABS(ROUND(100/W16*X16-100,1))&lt;999,ROUND(100/W16*X16-100,1),IF(ROUND(100/W16*X16-100,1)&gt;999,999,-999)))</f>
        <v xml:space="preserve">    ---- </v>
      </c>
      <c r="Z16" s="419">
        <v>1859.2809999999999</v>
      </c>
      <c r="AA16" s="419">
        <v>2245.5540000000001</v>
      </c>
      <c r="AB16" s="538">
        <f>IF(Z16=0, "    ---- ", IF(ABS(ROUND(100/Z16*AA16-100,1))&lt;999,ROUND(100/Z16*AA16-100,1),IF(ROUND(100/Z16*AA16-100,1)&gt;999,999,-999)))</f>
        <v>20.8</v>
      </c>
      <c r="AC16" s="500">
        <v>361</v>
      </c>
      <c r="AD16" s="500">
        <v>891</v>
      </c>
      <c r="AE16" s="538">
        <f>IF(AC16=0, "    ---- ", IF(ABS(ROUND(100/AC16*AD16-100,1))&lt;999,ROUND(100/AC16*AD16-100,1),IF(ROUND(100/AC16*AD16-100,1)&gt;999,999,-999)))</f>
        <v>146.80000000000001</v>
      </c>
      <c r="AF16" s="538">
        <f>B16+E16+H16+K16+N16+Q16+T16+W16+Z16+AC16</f>
        <v>102101.95194292</v>
      </c>
      <c r="AG16" s="538">
        <f>C16+F16+I16+L16+O16+R16+U16+X16+AA16+AD16</f>
        <v>106873.17828620999</v>
      </c>
      <c r="AH16" s="538">
        <f>IF(AF16=0, "    ---- ", IF(ABS(ROUND(100/AF16*AG16-100,1))&lt;999,ROUND(100/AF16*AG16-100,1),IF(ROUND(100/AF16*AG16-100,1)&gt;999,999,-999)))</f>
        <v>4.7</v>
      </c>
    </row>
    <row r="17" spans="1:34" ht="18.75" x14ac:dyDescent="0.3">
      <c r="A17" s="532"/>
      <c r="B17" s="538"/>
      <c r="C17" s="538"/>
      <c r="D17" s="538"/>
      <c r="E17" s="538"/>
      <c r="F17" s="538"/>
      <c r="G17" s="538"/>
      <c r="H17" s="538"/>
      <c r="I17" s="538"/>
      <c r="J17" s="538"/>
      <c r="K17" s="538"/>
      <c r="L17" s="538"/>
      <c r="M17" s="538"/>
      <c r="N17" s="538"/>
      <c r="O17" s="538"/>
      <c r="P17" s="538"/>
      <c r="Q17" s="538"/>
      <c r="R17" s="538"/>
      <c r="S17" s="538"/>
      <c r="T17" s="500"/>
      <c r="U17" s="500"/>
      <c r="V17" s="538"/>
      <c r="W17" s="500"/>
      <c r="X17" s="500"/>
      <c r="Y17" s="538"/>
      <c r="Z17" s="509"/>
      <c r="AA17" s="509"/>
      <c r="AB17" s="538"/>
      <c r="AC17" s="500"/>
      <c r="AD17" s="500"/>
      <c r="AE17" s="538"/>
      <c r="AF17" s="538"/>
      <c r="AG17" s="538"/>
      <c r="AH17" s="538"/>
    </row>
    <row r="18" spans="1:34" ht="18.75" x14ac:dyDescent="0.3">
      <c r="A18" s="532" t="s">
        <v>419</v>
      </c>
      <c r="B18" s="538"/>
      <c r="C18" s="538"/>
      <c r="D18" s="538"/>
      <c r="E18" s="538"/>
      <c r="F18" s="538"/>
      <c r="G18" s="538"/>
      <c r="H18" s="538"/>
      <c r="I18" s="538"/>
      <c r="J18" s="538"/>
      <c r="K18" s="538"/>
      <c r="L18" s="538"/>
      <c r="M18" s="538"/>
      <c r="N18" s="538"/>
      <c r="O18" s="538"/>
      <c r="P18" s="538"/>
      <c r="Q18" s="538"/>
      <c r="R18" s="538"/>
      <c r="S18" s="538"/>
      <c r="T18" s="500"/>
      <c r="U18" s="500"/>
      <c r="V18" s="538"/>
      <c r="W18" s="500">
        <v>54635</v>
      </c>
      <c r="X18" s="500">
        <v>27647</v>
      </c>
      <c r="Y18" s="538"/>
      <c r="Z18" s="500"/>
      <c r="AA18" s="500"/>
      <c r="AB18" s="538"/>
      <c r="AC18" s="500">
        <v>1047</v>
      </c>
      <c r="AD18" s="500">
        <v>1668</v>
      </c>
      <c r="AE18" s="538"/>
      <c r="AF18" s="538">
        <f>B18+E18+H18+K18+N18+Q18+T18+W18+Z18+AC18</f>
        <v>55682</v>
      </c>
      <c r="AG18" s="538">
        <f>C18+F18+I18+L18+O18+R18+U18+X18+AA18+AD18</f>
        <v>29315</v>
      </c>
      <c r="AH18" s="538">
        <f>IF(AF18=0, "    ---- ", IF(ABS(ROUND(100/AF18*AG18-100,1))&lt;999,ROUND(100/AF18*AG18-100,1),IF(ROUND(100/AF18*AG18-100,1)&gt;999,999,-999)))</f>
        <v>-47.4</v>
      </c>
    </row>
    <row r="19" spans="1:34" ht="18.75" x14ac:dyDescent="0.3">
      <c r="A19" s="532"/>
      <c r="B19" s="538"/>
      <c r="C19" s="538"/>
      <c r="D19" s="538"/>
      <c r="E19" s="538"/>
      <c r="F19" s="538"/>
      <c r="G19" s="538"/>
      <c r="H19" s="538"/>
      <c r="I19" s="538"/>
      <c r="J19" s="538"/>
      <c r="K19" s="538"/>
      <c r="L19" s="538"/>
      <c r="M19" s="538"/>
      <c r="N19" s="538"/>
      <c r="O19" s="538"/>
      <c r="P19" s="538"/>
      <c r="Q19" s="538"/>
      <c r="R19" s="538"/>
      <c r="S19" s="538"/>
      <c r="T19" s="500"/>
      <c r="U19" s="500"/>
      <c r="V19" s="538"/>
      <c r="W19" s="500"/>
      <c r="X19" s="500"/>
      <c r="Y19" s="538"/>
      <c r="Z19" s="500"/>
      <c r="AA19" s="500"/>
      <c r="AB19" s="538"/>
      <c r="AC19" s="500"/>
      <c r="AD19" s="500"/>
      <c r="AE19" s="538"/>
      <c r="AF19" s="538"/>
      <c r="AG19" s="538"/>
      <c r="AH19" s="538"/>
    </row>
    <row r="20" spans="1:34" ht="18.75" x14ac:dyDescent="0.3">
      <c r="A20" s="533" t="s">
        <v>389</v>
      </c>
      <c r="B20" s="539"/>
      <c r="C20" s="539"/>
      <c r="D20" s="539"/>
      <c r="E20" s="539">
        <v>-6991.0053133399897</v>
      </c>
      <c r="F20" s="539">
        <v>-9888.21208931</v>
      </c>
      <c r="G20" s="539">
        <f>IF(E20=0, "    ---- ", IF(ABS(ROUND(100/E20*F20-100,1))&lt;999,ROUND(100/E20*F20-100,1),IF(ROUND(100/E20*F20-100,1)&gt;999,999,-999)))</f>
        <v>41.4</v>
      </c>
      <c r="H20" s="541">
        <v>-24</v>
      </c>
      <c r="I20" s="541">
        <v>-22.8</v>
      </c>
      <c r="J20" s="539">
        <f>IF(H20=0, "    ---- ", IF(ABS(ROUND(100/H20*I20-100,1))&lt;999,ROUND(100/H20*I20-100,1),IF(ROUND(100/H20*I20-100,1)&gt;999,999,-999)))</f>
        <v>-5</v>
      </c>
      <c r="K20" s="539"/>
      <c r="L20" s="539"/>
      <c r="M20" s="539"/>
      <c r="N20" s="539">
        <v>-26</v>
      </c>
      <c r="O20" s="539">
        <v>-24</v>
      </c>
      <c r="P20" s="539">
        <f>IF(N20=0, "    ---- ", IF(ABS(ROUND(100/N20*O20-100,1))&lt;999,ROUND(100/N20*O20-100,1),IF(ROUND(100/N20*O20-100,1)&gt;999,999,-999)))</f>
        <v>-7.7</v>
      </c>
      <c r="Q20" s="539">
        <v>-1261</v>
      </c>
      <c r="R20" s="539">
        <v>-1533.204</v>
      </c>
      <c r="S20" s="539">
        <f>IF(Q20=0, "    ---- ", IF(ABS(ROUND(100/Q20*R20-100,1))&lt;999,ROUND(100/Q20*R20-100,1),IF(ROUND(100/Q20*R20-100,1)&gt;999,999,-999)))</f>
        <v>21.6</v>
      </c>
      <c r="T20" s="501">
        <v>-3056</v>
      </c>
      <c r="U20" s="501">
        <v>-4048</v>
      </c>
      <c r="V20" s="539">
        <f>IF(T20=0, "    ---- ", IF(ABS(ROUND(100/T20*U20-100,1))&lt;999,ROUND(100/T20*U20-100,1),IF(ROUND(100/T20*U20-100,1)&gt;999,999,-999)))</f>
        <v>32.5</v>
      </c>
      <c r="W20" s="501">
        <v>-1842</v>
      </c>
      <c r="X20" s="501">
        <v>-2043</v>
      </c>
      <c r="Y20" s="539">
        <f>IF(W20=0, "    ---- ", IF(ABS(ROUND(100/W20*X20-100,1))&lt;999,ROUND(100/W20*X20-100,1),IF(ROUND(100/W20*X20-100,1)&gt;999,999,-999)))</f>
        <v>10.9</v>
      </c>
      <c r="Z20" s="501">
        <v>-82</v>
      </c>
      <c r="AA20" s="501">
        <v>-105.03700000000001</v>
      </c>
      <c r="AB20" s="539">
        <f>IF(Z20=0, "    ---- ", IF(ABS(ROUND(100/Z20*AA20-100,1))&lt;999,ROUND(100/Z20*AA20-100,1),IF(ROUND(100/Z20*AA20-100,1)&gt;999,999,-999)))</f>
        <v>28.1</v>
      </c>
      <c r="AC20" s="501">
        <v>-13247</v>
      </c>
      <c r="AD20" s="501">
        <v>-17086</v>
      </c>
      <c r="AE20" s="539">
        <f>IF(AC20=0, "    ---- ", IF(ABS(ROUND(100/AC20*AD20-100,1))&lt;999,ROUND(100/AC20*AD20-100,1),IF(ROUND(100/AC20*AD20-100,1)&gt;999,999,-999)))</f>
        <v>29</v>
      </c>
      <c r="AF20" s="539">
        <f>B20+E20+H20+K20+N20+Q20+T20+W20+Z20+AC20</f>
        <v>-26529.005313339989</v>
      </c>
      <c r="AG20" s="539">
        <f>C20+F20+I20+L20+O20+R20+U20+X20+AA20+AD20</f>
        <v>-34750.253089310005</v>
      </c>
      <c r="AH20" s="539">
        <f>IF(AF20=0, "    ---- ", IF(ABS(ROUND(100/AF20*AG20-100,1))&lt;999,ROUND(100/AF20*AG20-100,1),IF(ROUND(100/AF20*AG20-100,1)&gt;999,999,-999)))</f>
        <v>31</v>
      </c>
    </row>
  </sheetData>
  <protectedRanges>
    <protectedRange sqref="AA9:AA20" name="Område1_11_1_1_1_2"/>
    <protectedRange sqref="U11:U20" name="Område1_5_1_2_1_2"/>
    <protectedRange sqref="T9:T10" name="Område1_13_3_1_1_2_1"/>
    <protectedRange sqref="T11:T20" name="Område1_5_1_2_1_2_1"/>
    <protectedRange sqref="O9:O13 O15:O20" name="Område1_9_6_1"/>
    <protectedRange sqref="O14" name="Område1_4_2_6_1"/>
    <protectedRange sqref="N9:N13 N15:N20" name="Område1_9_6_1_2"/>
    <protectedRange sqref="N14" name="Område1_4_2_6_1_2"/>
    <protectedRange sqref="F9:F10" name="Område1_13_5_1_1_2"/>
    <protectedRange sqref="F11:F20" name="Område1_2_1_2_1_1_2"/>
    <protectedRange sqref="E9:E10" name="Område1_13_5_1_1_1_1"/>
    <protectedRange sqref="E11:E20" name="Område1_2_1_2_1_1_1_1"/>
    <protectedRange sqref="I9:I10" name="Område1_13_5_2_2"/>
    <protectedRange sqref="I11:I20" name="Område1_2_1_2_2_2"/>
    <protectedRange sqref="H9:H10" name="Område1_13_5_2_2_1"/>
    <protectedRange sqref="H11:H20" name="Område1_2_1_2_2_2_1"/>
    <protectedRange sqref="AD9:AD10" name="Område1_10_1_1_1"/>
    <protectedRange sqref="AD11:AD20" name="Område1_8_1_1_1_1"/>
    <protectedRange sqref="AC9:AC10" name="Område1_10_1_1_1_1_2"/>
    <protectedRange sqref="AC19" name="Område1_8_1_1_1_1_1_2"/>
    <protectedRange sqref="AC11:AC18" name="Område1_8_1_1_1_1_1_2_1"/>
    <protectedRange sqref="K9:K13 K15:K20" name="Område1_13_1_1_1_2_1"/>
    <protectedRange sqref="K14" name="Område1_4_1_2_1_2_1"/>
    <protectedRange sqref="C9:C10 C18:C20" name="Område1_12_1_1_1_2"/>
    <protectedRange sqref="C11:C17" name="Område1_1_1_1_1_1_2"/>
    <protectedRange sqref="B9:B10 B18:B20" name="Område1_12_1_1_1_2_1"/>
    <protectedRange sqref="B11:B17" name="Område1_1_1_1_1_1_2_1"/>
    <protectedRange sqref="X9:X10" name="Område1_13_4_1_1_3"/>
    <protectedRange sqref="X11:X13 X15:X20" name="Område1_6_1_2_1_3"/>
    <protectedRange sqref="W9:W10" name="Område1_13_4_1_1_2_2"/>
    <protectedRange sqref="W11:W13 W15:W20" name="Område1_6_1_2_1_2_2"/>
    <protectedRange sqref="W14:X14" name="Område1_4_2_1_1_1"/>
    <protectedRange sqref="R9:R10" name="Område1_13_2_1_1_2"/>
    <protectedRange sqref="R11:R20" name="Område1_3_1_2_1_2"/>
    <protectedRange sqref="Q9:Q10" name="Område1_13_2_1_1_1_1"/>
    <protectedRange sqref="Q11:Q20" name="Område1_3_1_2_1_1_1"/>
  </protectedRanges>
  <mergeCells count="27">
    <mergeCell ref="N5:P5"/>
    <mergeCell ref="T6:V6"/>
    <mergeCell ref="W6:Y6"/>
    <mergeCell ref="Z6:AB6"/>
    <mergeCell ref="Q6:S6"/>
    <mergeCell ref="W5:Y5"/>
    <mergeCell ref="Z5:AB5"/>
    <mergeCell ref="N6:P6"/>
    <mergeCell ref="AN5:AP5"/>
    <mergeCell ref="AQ5:AS5"/>
    <mergeCell ref="AT5:AV5"/>
    <mergeCell ref="AK5:AM5"/>
    <mergeCell ref="AC6:AE6"/>
    <mergeCell ref="AF6:AH6"/>
    <mergeCell ref="AC5:AE5"/>
    <mergeCell ref="AF5:AH5"/>
    <mergeCell ref="AK6:AM6"/>
    <mergeCell ref="AN6:AP6"/>
    <mergeCell ref="AQ6:AS6"/>
    <mergeCell ref="AT6:AV6"/>
    <mergeCell ref="B5:D5"/>
    <mergeCell ref="E5:G5"/>
    <mergeCell ref="K5:M5"/>
    <mergeCell ref="B6:D6"/>
    <mergeCell ref="E6:G6"/>
    <mergeCell ref="H6:J6"/>
    <mergeCell ref="K6:M6"/>
  </mergeCells>
  <hyperlinks>
    <hyperlink ref="B1" location="Innhold!A1" display="Tilbake" xr:uid="{10497701-2AA6-4565-8F01-4AFD14AEF8B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12"/>
      <c r="D2" s="312"/>
      <c r="E2" s="312"/>
    </row>
    <row r="3" spans="1:17" x14ac:dyDescent="0.2">
      <c r="A3" s="43" t="s">
        <v>51</v>
      </c>
    </row>
    <row r="4" spans="1:17" x14ac:dyDescent="0.2">
      <c r="C4" s="312"/>
      <c r="D4" s="312"/>
      <c r="E4" s="312"/>
      <c r="F4" s="312"/>
      <c r="G4" s="312"/>
      <c r="H4" s="312"/>
      <c r="I4" s="312"/>
      <c r="J4" s="312"/>
      <c r="K4" s="312"/>
    </row>
    <row r="6" spans="1:17" ht="15.75" x14ac:dyDescent="0.25">
      <c r="C6" s="319" t="s">
        <v>16</v>
      </c>
      <c r="D6" s="3"/>
      <c r="E6" s="319"/>
    </row>
    <row r="7" spans="1:17" ht="18.75" customHeight="1" x14ac:dyDescent="0.2">
      <c r="C7" s="3"/>
      <c r="D7" s="3"/>
      <c r="E7" s="50"/>
    </row>
    <row r="8" spans="1:17" ht="15.75" x14ac:dyDescent="0.25">
      <c r="B8" s="313">
        <v>1</v>
      </c>
      <c r="C8" s="314" t="s">
        <v>335</v>
      </c>
      <c r="E8" s="323"/>
    </row>
    <row r="9" spans="1:17" ht="31.5" x14ac:dyDescent="0.2">
      <c r="B9" s="313">
        <v>2</v>
      </c>
      <c r="C9" s="316" t="s">
        <v>269</v>
      </c>
      <c r="E9" s="8"/>
      <c r="Q9" s="3"/>
    </row>
    <row r="10" spans="1:17" ht="47.25" x14ac:dyDescent="0.2">
      <c r="B10" s="313">
        <v>3</v>
      </c>
      <c r="C10" s="314" t="s">
        <v>270</v>
      </c>
      <c r="E10" s="8"/>
    </row>
    <row r="11" spans="1:17" ht="47.25" x14ac:dyDescent="0.2">
      <c r="B11" s="313">
        <v>4</v>
      </c>
      <c r="C11" s="316" t="s">
        <v>271</v>
      </c>
      <c r="E11" s="8"/>
    </row>
    <row r="12" spans="1:17" ht="31.5" x14ac:dyDescent="0.2">
      <c r="B12" s="313">
        <v>5</v>
      </c>
      <c r="C12" s="314" t="s">
        <v>21</v>
      </c>
      <c r="E12" s="3"/>
    </row>
    <row r="13" spans="1:17" ht="15.75" x14ac:dyDescent="0.2">
      <c r="B13" s="313">
        <v>6</v>
      </c>
      <c r="C13" s="314" t="s">
        <v>336</v>
      </c>
      <c r="E13" s="3"/>
    </row>
    <row r="14" spans="1:17" ht="15.75" x14ac:dyDescent="0.2">
      <c r="B14" s="313">
        <v>7</v>
      </c>
      <c r="C14" s="314" t="s">
        <v>17</v>
      </c>
    </row>
    <row r="15" spans="1:17" ht="18.75" customHeight="1" x14ac:dyDescent="0.2">
      <c r="B15" s="313">
        <v>8</v>
      </c>
      <c r="C15" s="314" t="s">
        <v>18</v>
      </c>
    </row>
    <row r="16" spans="1:17" ht="18.75" customHeight="1" x14ac:dyDescent="0.2">
      <c r="B16" s="313">
        <v>9</v>
      </c>
      <c r="C16" s="314" t="s">
        <v>22</v>
      </c>
    </row>
    <row r="17" spans="2:9" ht="63" x14ac:dyDescent="0.25">
      <c r="B17" s="313">
        <v>10</v>
      </c>
      <c r="C17" s="314" t="s">
        <v>345</v>
      </c>
      <c r="E17" s="319"/>
    </row>
    <row r="18" spans="2:9" ht="15.75" x14ac:dyDescent="0.2">
      <c r="B18" s="313">
        <v>11</v>
      </c>
      <c r="C18" s="314" t="s">
        <v>19</v>
      </c>
      <c r="E18" s="8"/>
    </row>
    <row r="19" spans="2:9" ht="15.75" x14ac:dyDescent="0.2">
      <c r="B19" s="313">
        <v>12</v>
      </c>
      <c r="C19" s="314" t="s">
        <v>273</v>
      </c>
      <c r="E19" s="8"/>
    </row>
    <row r="20" spans="2:9" ht="15.75" x14ac:dyDescent="0.2">
      <c r="B20" s="313">
        <v>13</v>
      </c>
      <c r="C20" s="314" t="s">
        <v>20</v>
      </c>
      <c r="E20" s="3"/>
    </row>
    <row r="21" spans="2:9" ht="47.25" x14ac:dyDescent="0.2">
      <c r="B21" s="313">
        <v>14</v>
      </c>
      <c r="C21" s="314" t="s">
        <v>274</v>
      </c>
      <c r="E21" s="324"/>
    </row>
    <row r="22" spans="2:9" ht="31.5" x14ac:dyDescent="0.2">
      <c r="B22" s="313">
        <v>15</v>
      </c>
      <c r="C22" s="316" t="s">
        <v>324</v>
      </c>
      <c r="E22" s="3"/>
    </row>
    <row r="23" spans="2:9" ht="15.75" x14ac:dyDescent="0.25">
      <c r="B23" s="313">
        <v>16</v>
      </c>
      <c r="C23" s="318" t="s">
        <v>272</v>
      </c>
      <c r="D23" s="317"/>
      <c r="E23" s="312"/>
      <c r="F23" s="317"/>
      <c r="G23" s="2"/>
      <c r="H23" s="2"/>
      <c r="I23" s="2"/>
    </row>
    <row r="24" spans="2:9" ht="18.75" customHeight="1" x14ac:dyDescent="0.25">
      <c r="B24" s="315">
        <v>17</v>
      </c>
      <c r="C24" s="318" t="s">
        <v>275</v>
      </c>
    </row>
    <row r="25" spans="2:9" ht="18.75" customHeight="1" x14ac:dyDescent="0.2">
      <c r="B25" s="562">
        <v>18</v>
      </c>
      <c r="C25" s="773" t="s">
        <v>403</v>
      </c>
    </row>
    <row r="26" spans="2:9" ht="18.75" customHeight="1" x14ac:dyDescent="0.25">
      <c r="B26" s="563"/>
      <c r="C26" s="773"/>
    </row>
    <row r="27" spans="2:9" ht="18.75" customHeight="1" x14ac:dyDescent="0.2">
      <c r="C27" s="321"/>
    </row>
    <row r="28" spans="2:9" ht="18.75" customHeight="1" x14ac:dyDescent="0.2">
      <c r="C28" s="321"/>
    </row>
    <row r="29" spans="2:9" ht="18.75" customHeight="1" x14ac:dyDescent="0.2">
      <c r="C29" s="32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22"/>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12"/>
      <c r="E50" s="312"/>
      <c r="F50" s="312"/>
      <c r="G50" s="312"/>
      <c r="H50" s="312"/>
      <c r="I50" s="312"/>
      <c r="J50" s="312"/>
      <c r="K50" s="312"/>
      <c r="L50" s="312"/>
      <c r="M50" s="312"/>
      <c r="N50" s="31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2"/>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2.75" x14ac:dyDescent="0.2"/>
  <cols>
    <col min="1" max="1" width="49" style="71" customWidth="1"/>
    <col min="2" max="3" width="15.7109375" style="71" customWidth="1"/>
    <col min="4" max="4" width="8.7109375" style="71" customWidth="1"/>
    <col min="5" max="5" width="12.140625" style="71" bestFit="1" customWidth="1"/>
    <col min="6" max="6" width="4.7109375" style="71" customWidth="1"/>
    <col min="7" max="7" width="18.42578125" style="71" customWidth="1"/>
    <col min="8" max="8" width="17.7109375" style="71" customWidth="1"/>
    <col min="9" max="9" width="8.7109375" style="71" customWidth="1"/>
    <col min="10" max="10" width="12.140625" style="71" bestFit="1" customWidth="1"/>
    <col min="11" max="11" width="13.42578125" style="71" hidden="1" customWidth="1"/>
    <col min="12" max="12" width="14.7109375" style="170" hidden="1" customWidth="1"/>
    <col min="13" max="13" width="13.7109375" style="170" hidden="1" customWidth="1"/>
    <col min="14" max="15" width="15.7109375" style="170" hidden="1" customWidth="1"/>
    <col min="16" max="16" width="11.42578125" style="71" hidden="1" customWidth="1"/>
    <col min="17" max="19" width="11.42578125" style="71" customWidth="1"/>
    <col min="20" max="16384" width="11.42578125" style="71"/>
  </cols>
  <sheetData>
    <row r="1" spans="1:16" ht="20.25" x14ac:dyDescent="0.3">
      <c r="A1" s="64" t="s">
        <v>74</v>
      </c>
      <c r="B1" s="57" t="s">
        <v>52</v>
      </c>
      <c r="C1" s="58"/>
      <c r="D1" s="58"/>
      <c r="E1" s="58"/>
      <c r="F1" s="58"/>
      <c r="G1" s="58"/>
      <c r="H1" s="58"/>
      <c r="I1" s="58"/>
      <c r="J1" s="58"/>
      <c r="K1" s="58"/>
    </row>
    <row r="2" spans="1:16" ht="20.25" x14ac:dyDescent="0.3">
      <c r="A2" s="64" t="s">
        <v>75</v>
      </c>
      <c r="B2" s="58"/>
      <c r="C2" s="58"/>
      <c r="D2" s="58"/>
      <c r="E2" s="58"/>
      <c r="F2" s="58"/>
      <c r="G2" s="58"/>
      <c r="H2" s="58"/>
      <c r="I2" s="58"/>
      <c r="J2" s="58"/>
      <c r="K2" s="58"/>
    </row>
    <row r="3" spans="1:16" ht="18.75" x14ac:dyDescent="0.3">
      <c r="A3" s="703" t="s">
        <v>76</v>
      </c>
      <c r="B3" s="703"/>
      <c r="C3" s="58"/>
      <c r="D3" s="58"/>
      <c r="E3" s="58"/>
      <c r="F3" s="58"/>
      <c r="G3" s="58"/>
      <c r="H3" s="58"/>
      <c r="I3" s="58"/>
      <c r="J3" s="58"/>
      <c r="K3" s="58"/>
    </row>
    <row r="4" spans="1:16" ht="18.75" x14ac:dyDescent="0.3">
      <c r="A4" s="66" t="s">
        <v>425</v>
      </c>
      <c r="B4" s="67"/>
      <c r="C4" s="68"/>
      <c r="D4" s="68"/>
      <c r="E4" s="69"/>
      <c r="F4" s="70"/>
      <c r="G4" s="67"/>
      <c r="H4" s="68"/>
      <c r="I4" s="68"/>
      <c r="J4" s="69"/>
      <c r="K4" s="97"/>
      <c r="L4" s="193"/>
      <c r="M4" s="194"/>
      <c r="N4" s="195"/>
      <c r="O4" s="194"/>
    </row>
    <row r="5" spans="1:16" ht="22.5" x14ac:dyDescent="0.3">
      <c r="A5" s="72"/>
      <c r="B5" s="704" t="s">
        <v>77</v>
      </c>
      <c r="C5" s="705"/>
      <c r="D5" s="705"/>
      <c r="E5" s="706"/>
      <c r="F5" s="74"/>
      <c r="G5" s="704" t="s">
        <v>375</v>
      </c>
      <c r="H5" s="705"/>
      <c r="I5" s="705"/>
      <c r="J5" s="706"/>
      <c r="K5" s="73"/>
      <c r="L5" s="707" t="s">
        <v>133</v>
      </c>
      <c r="M5" s="702"/>
      <c r="N5" s="701" t="s">
        <v>134</v>
      </c>
      <c r="O5" s="702"/>
    </row>
    <row r="6" spans="1:16" ht="18.75" x14ac:dyDescent="0.3">
      <c r="A6" s="75"/>
      <c r="B6" s="76"/>
      <c r="C6" s="77"/>
      <c r="D6" s="77" t="s">
        <v>78</v>
      </c>
      <c r="E6" s="78" t="s">
        <v>29</v>
      </c>
      <c r="F6" s="79"/>
      <c r="G6" s="76"/>
      <c r="H6" s="77"/>
      <c r="I6" s="77" t="s">
        <v>78</v>
      </c>
      <c r="J6" s="78" t="s">
        <v>29</v>
      </c>
      <c r="K6" s="84"/>
      <c r="L6" s="196"/>
      <c r="M6" s="197"/>
      <c r="N6" s="198"/>
      <c r="O6" s="197"/>
    </row>
    <row r="7" spans="1:16" ht="15.75" x14ac:dyDescent="0.25">
      <c r="A7" s="80" t="s">
        <v>79</v>
      </c>
      <c r="B7" s="81">
        <v>2022</v>
      </c>
      <c r="C7" s="81">
        <v>2023</v>
      </c>
      <c r="D7" s="82" t="s">
        <v>80</v>
      </c>
      <c r="E7" s="83" t="s">
        <v>30</v>
      </c>
      <c r="F7" s="79"/>
      <c r="G7" s="81">
        <v>2022</v>
      </c>
      <c r="H7" s="81">
        <v>2023</v>
      </c>
      <c r="I7" s="82" t="s">
        <v>80</v>
      </c>
      <c r="J7" s="83" t="s">
        <v>30</v>
      </c>
      <c r="K7" s="84"/>
      <c r="L7" s="199">
        <v>2015</v>
      </c>
      <c r="M7" s="200">
        <v>2016</v>
      </c>
      <c r="N7" s="201">
        <v>2015</v>
      </c>
      <c r="O7" s="200">
        <v>2016</v>
      </c>
      <c r="P7" s="71" t="s">
        <v>137</v>
      </c>
    </row>
    <row r="8" spans="1:16" ht="18.75" x14ac:dyDescent="0.3">
      <c r="A8" s="85" t="s">
        <v>0</v>
      </c>
      <c r="B8" s="113"/>
      <c r="C8" s="87"/>
      <c r="D8" s="88"/>
      <c r="E8" s="387"/>
      <c r="F8" s="161"/>
      <c r="G8" s="113"/>
      <c r="H8" s="113"/>
      <c r="I8" s="87"/>
      <c r="J8" s="387"/>
      <c r="K8" s="123"/>
      <c r="L8" s="202" t="s">
        <v>0</v>
      </c>
      <c r="M8" s="203"/>
      <c r="N8" s="204"/>
      <c r="O8" s="203"/>
      <c r="P8" s="71" t="s">
        <v>144</v>
      </c>
    </row>
    <row r="9" spans="1:16" ht="18.75" x14ac:dyDescent="0.3">
      <c r="A9" s="175" t="s">
        <v>421</v>
      </c>
      <c r="B9" s="161">
        <f>'Storebrand Danica Pensjon'!B7+'Storebrand Danica Pensjon'!B22+'Storebrand Danica Pensjon'!B36+'Storebrand Danica Pensjon'!B47+'Storebrand Danica Pensjon'!B66+'Storebrand Danica Pensjon'!B134</f>
        <v>337291.24852000002</v>
      </c>
      <c r="C9" s="161">
        <f>'Storebrand Danica Pensjon'!C7+'Storebrand Danica Pensjon'!C22+'Storebrand Danica Pensjon'!C36+'Storebrand Danica Pensjon'!C47+'Storebrand Danica Pensjon'!C66+'Storebrand Danica Pensjon'!C134</f>
        <v>0</v>
      </c>
      <c r="D9" s="88">
        <f t="shared" ref="D9:D31" si="0">IF(B9=0, "    ---- ", IF(ABS(ROUND(100/B9*C9-100,1))&lt;999,ROUND(100/B9*C9-100,1),IF(ROUND(100/B9*C9-100,1)&gt;999,999,-999)))</f>
        <v>-100</v>
      </c>
      <c r="E9" s="387">
        <f t="shared" ref="E9:E32" si="1">100/C$33*C9</f>
        <v>0</v>
      </c>
      <c r="F9" s="87"/>
      <c r="G9" s="161">
        <f>'Storebrand Danica Pensjon'!B10+'Storebrand Danica Pensjon'!B29+'Storebrand Danica Pensjon'!B37+'Storebrand Danica Pensjon'!B87+'Storebrand Danica Pensjon'!B135</f>
        <v>1511060.2339999999</v>
      </c>
      <c r="H9" s="161">
        <f>'Storebrand Danica Pensjon'!C10+'Storebrand Danica Pensjon'!C29+'Storebrand Danica Pensjon'!C37+'Storebrand Danica Pensjon'!C87+'Storebrand Danica Pensjon'!C135</f>
        <v>0</v>
      </c>
      <c r="I9" s="88">
        <f t="shared" ref="I9:I28" si="2">IF(G9=0, "    ---- ", IF(ABS(ROUND(100/G9*H9-100,1))&lt;999,ROUND(100/G9*H9-100,1),IF(ROUND(100/G9*H9-100,1)&gt;999,999,-999)))</f>
        <v>-100</v>
      </c>
      <c r="J9" s="387">
        <f>100/H$33*H9</f>
        <v>0</v>
      </c>
      <c r="K9" s="189" t="s">
        <v>140</v>
      </c>
      <c r="L9" s="205" t="e">
        <f ca="1">INDIRECT("'" &amp;#REF! &amp; "'!" &amp; $P$7)</f>
        <v>#REF!</v>
      </c>
      <c r="M9" s="203" t="e">
        <f ca="1">INDIRECT("'" &amp;#REF! &amp; "'!" &amp; $P$8)</f>
        <v>#REF!</v>
      </c>
      <c r="N9" s="205" t="e">
        <f ca="1">INDIRECT("'" &amp;#REF! &amp; "'!" &amp; $P$9)</f>
        <v>#REF!</v>
      </c>
      <c r="O9" s="203" t="e">
        <f ca="1">INDIRECT("'" &amp;#REF! &amp; "'!" &amp; $P$10)</f>
        <v>#REF!</v>
      </c>
      <c r="P9" s="71" t="s">
        <v>147</v>
      </c>
    </row>
    <row r="10" spans="1:16" ht="18.75" x14ac:dyDescent="0.3">
      <c r="A10" s="175" t="s">
        <v>81</v>
      </c>
      <c r="B10" s="161">
        <f>'DNB Livsforsikring'!B7+'DNB Livsforsikring'!B22+'DNB Livsforsikring'!B36+'DNB Livsforsikring'!B47+'DNB Livsforsikring'!B66+'DNB Livsforsikring'!B134</f>
        <v>2702411</v>
      </c>
      <c r="C10" s="161">
        <f>'DNB Livsforsikring'!C7+'DNB Livsforsikring'!C22+'DNB Livsforsikring'!C36+'DNB Livsforsikring'!C47+'DNB Livsforsikring'!C66+'DNB Livsforsikring'!C134</f>
        <v>2668490</v>
      </c>
      <c r="D10" s="88">
        <f t="shared" si="0"/>
        <v>-1.3</v>
      </c>
      <c r="E10" s="387">
        <f t="shared" si="1"/>
        <v>3.0034733505161113</v>
      </c>
      <c r="F10" s="87"/>
      <c r="G10" s="161">
        <f>'DNB Livsforsikring'!B10+'DNB Livsforsikring'!B29+'DNB Livsforsikring'!B37+'DNB Livsforsikring'!B87+'DNB Livsforsikring'!B135</f>
        <v>189898877.81169999</v>
      </c>
      <c r="H10" s="161">
        <f>'DNB Livsforsikring'!C10+'DNB Livsforsikring'!C29+'DNB Livsforsikring'!C37+'DNB Livsforsikring'!C87+'DNB Livsforsikring'!C135</f>
        <v>183219364</v>
      </c>
      <c r="I10" s="88">
        <f t="shared" si="2"/>
        <v>-3.5</v>
      </c>
      <c r="J10" s="387">
        <f t="shared" ref="J10:J32" si="3">100/H$33*H10</f>
        <v>14.381173162001298</v>
      </c>
      <c r="K10" s="190" t="s">
        <v>141</v>
      </c>
      <c r="L10" s="205" t="e">
        <f ca="1">INDIRECT("'" &amp; $A9 &amp; "'!" &amp; $P$7)</f>
        <v>#REF!</v>
      </c>
      <c r="M10" s="203" t="e">
        <f ca="1">INDIRECT("'" &amp; $A9 &amp; "'!" &amp; $P$8)</f>
        <v>#REF!</v>
      </c>
      <c r="N10" s="205" t="e">
        <f ca="1">INDIRECT("'" &amp; $A9 &amp; "'!" &amp; $P$9)</f>
        <v>#REF!</v>
      </c>
      <c r="O10" s="203" t="e">
        <f ca="1">INDIRECT("'" &amp; $A9 &amp; "'!" &amp; $P$10)</f>
        <v>#REF!</v>
      </c>
      <c r="P10" s="71" t="s">
        <v>151</v>
      </c>
    </row>
    <row r="11" spans="1:16" ht="18.75" x14ac:dyDescent="0.3">
      <c r="A11" s="175" t="s">
        <v>82</v>
      </c>
      <c r="B11" s="161">
        <f>'Eika Forsikring AS'!B7+'Eika Forsikring AS'!B22+'Eika Forsikring AS'!B36+'Eika Forsikring AS'!B47+'Eika Forsikring AS'!B66+'Eika Forsikring AS'!B134</f>
        <v>335934</v>
      </c>
      <c r="C11" s="161">
        <f>'Eika Forsikring AS'!C7+'Eika Forsikring AS'!C22+'Eika Forsikring AS'!C36+'Eika Forsikring AS'!C47+'Eika Forsikring AS'!C66+'Eika Forsikring AS'!C134</f>
        <v>419288</v>
      </c>
      <c r="D11" s="88">
        <f t="shared" si="0"/>
        <v>24.8</v>
      </c>
      <c r="E11" s="387">
        <f t="shared" si="1"/>
        <v>0.47192244834764202</v>
      </c>
      <c r="F11" s="87"/>
      <c r="G11" s="161">
        <f>'Eika Forsikring AS'!B10+'Eika Forsikring AS'!B29+'Eika Forsikring AS'!B37+'Eika Forsikring AS'!B87+'Eika Forsikring AS'!B135</f>
        <v>0</v>
      </c>
      <c r="H11" s="161">
        <f>'Eika Forsikring AS'!C10+'Eika Forsikring AS'!C29+'Eika Forsikring AS'!C37+'Eika Forsikring AS'!C87+'Eika Forsikring AS'!C135</f>
        <v>0</v>
      </c>
      <c r="I11" s="88"/>
      <c r="J11" s="387">
        <f t="shared" si="3"/>
        <v>0</v>
      </c>
      <c r="K11" s="71" t="s">
        <v>135</v>
      </c>
      <c r="L11" s="205">
        <f ca="1">INDIRECT("'" &amp; $A10 &amp; "'!" &amp; $P$7)</f>
        <v>0</v>
      </c>
      <c r="M11" s="203">
        <f ca="1">INDIRECT("'" &amp; $A10 &amp; "'!" &amp; $P$8)</f>
        <v>0</v>
      </c>
      <c r="N11" s="205">
        <f ca="1">INDIRECT("'" &amp; $A10 &amp; "'!" &amp; $P$9)</f>
        <v>0</v>
      </c>
      <c r="O11" s="203">
        <f ca="1">INDIRECT("'" &amp; $A10 &amp; "'!" &amp; $P$10)</f>
        <v>0</v>
      </c>
    </row>
    <row r="12" spans="1:16" ht="18.75" x14ac:dyDescent="0.3">
      <c r="A12" s="175" t="s">
        <v>395</v>
      </c>
      <c r="B12" s="161">
        <f>'Euro Accident'!B7+'Euro Accident'!B22+'Euro Accident'!B36+'Euro Accident'!B47+'Euro Accident'!B66+'Euro Accident'!B134</f>
        <v>26920</v>
      </c>
      <c r="C12" s="161">
        <f>'Euro Accident'!C7+'Euro Accident'!C22+'Euro Accident'!C36+'Euro Accident'!C47+'Euro Accident'!C66+'Euro Accident'!C134</f>
        <v>42908</v>
      </c>
      <c r="D12" s="88">
        <f t="shared" ref="D12" si="4">IF(B12=0, "    ---- ", IF(ABS(ROUND(100/B12*C12-100,1))&lt;999,ROUND(100/B12*C12-100,1),IF(ROUND(100/B12*C12-100,1)&gt;999,999,-999)))</f>
        <v>59.4</v>
      </c>
      <c r="E12" s="387">
        <f t="shared" si="1"/>
        <v>4.8294366673266642E-2</v>
      </c>
      <c r="F12" s="87"/>
      <c r="G12" s="161">
        <f>'Euro Accident'!B10+'Euro Accident'!B29+'Euro Accident'!B37+'Euro Accident'!B87+'Euro Accident'!B135</f>
        <v>0</v>
      </c>
      <c r="H12" s="161">
        <f>'Euro Accident'!C10+'Euro Accident'!C29+'Euro Accident'!C37+'Euro Accident'!C87+'Euro Accident'!C135</f>
        <v>0</v>
      </c>
      <c r="I12" s="88"/>
      <c r="J12" s="387">
        <f t="shared" si="3"/>
        <v>0</v>
      </c>
      <c r="L12" s="205"/>
      <c r="M12" s="203"/>
      <c r="N12" s="205"/>
      <c r="O12" s="203"/>
    </row>
    <row r="13" spans="1:16" ht="18.75" x14ac:dyDescent="0.3">
      <c r="A13" s="93" t="s">
        <v>380</v>
      </c>
      <c r="B13" s="161">
        <f>'Fremtind Livsforsikring'!B7+'Fremtind Livsforsikring'!B22+'Fremtind Livsforsikring'!B36+'Fremtind Livsforsikring'!B47+'Fremtind Livsforsikring'!B66+'Fremtind Livsforsikring'!B134</f>
        <v>2472117.6320799999</v>
      </c>
      <c r="C13" s="161">
        <f>'Fremtind Livsforsikring'!C7+'Fremtind Livsforsikring'!C22+'Fremtind Livsforsikring'!C36+'Fremtind Livsforsikring'!C47+'Fremtind Livsforsikring'!C66+'Fremtind Livsforsikring'!C134</f>
        <v>2646203.67337</v>
      </c>
      <c r="D13" s="88">
        <f t="shared" si="0"/>
        <v>7</v>
      </c>
      <c r="E13" s="387">
        <f t="shared" si="1"/>
        <v>2.9783893561544676</v>
      </c>
      <c r="F13" s="87"/>
      <c r="G13" s="161">
        <f>'Fremtind Livsforsikring'!B10+'Fremtind Livsforsikring'!B29+'Fremtind Livsforsikring'!B37+'Fremtind Livsforsikring'!B87+'Fremtind Livsforsikring'!B135</f>
        <v>4663711.9526500003</v>
      </c>
      <c r="H13" s="161">
        <f>'Fremtind Livsforsikring'!C10+'Fremtind Livsforsikring'!C29+'Fremtind Livsforsikring'!C37+'Fremtind Livsforsikring'!C87+'Fremtind Livsforsikring'!C135</f>
        <v>5178287.9737800006</v>
      </c>
      <c r="I13" s="88">
        <f t="shared" si="2"/>
        <v>11</v>
      </c>
      <c r="J13" s="387">
        <f t="shared" si="3"/>
        <v>0.40645188591331982</v>
      </c>
      <c r="K13" s="71" t="s">
        <v>142</v>
      </c>
      <c r="L13" s="205">
        <f ca="1">INDIRECT("'" &amp; $A11 &amp; "'!" &amp; $P$7)</f>
        <v>0</v>
      </c>
      <c r="M13" s="203">
        <f ca="1">INDIRECT("'" &amp; $A11 &amp; "'!" &amp; $P$8)</f>
        <v>0</v>
      </c>
      <c r="N13" s="205">
        <f ca="1">INDIRECT("'" &amp; $A11 &amp; "'!" &amp; $P$9)</f>
        <v>0</v>
      </c>
      <c r="O13" s="203">
        <f ca="1">INDIRECT("'" &amp; $A11 &amp; "'!" &amp; $P$10)</f>
        <v>0</v>
      </c>
    </row>
    <row r="14" spans="1:16" ht="18.75" x14ac:dyDescent="0.3">
      <c r="A14" s="175" t="s">
        <v>83</v>
      </c>
      <c r="B14" s="162">
        <f>'Frende Livsforsikring'!B7+'Frende Livsforsikring'!B22+'Frende Livsforsikring'!B36+'Frende Livsforsikring'!B47+'Frende Livsforsikring'!B66+'Frende Livsforsikring'!B134</f>
        <v>507793</v>
      </c>
      <c r="C14" s="162">
        <f>'Frende Livsforsikring'!C7+'Frende Livsforsikring'!C22+'Frende Livsforsikring'!C36+'Frende Livsforsikring'!C47+'Frende Livsforsikring'!C66+'Frende Livsforsikring'!C134</f>
        <v>558666</v>
      </c>
      <c r="D14" s="88">
        <f t="shared" si="0"/>
        <v>10</v>
      </c>
      <c r="E14" s="387">
        <f t="shared" si="1"/>
        <v>0.62879697613235719</v>
      </c>
      <c r="F14" s="87"/>
      <c r="G14" s="161">
        <f>'Frende Livsforsikring'!B10+'Frende Livsforsikring'!B29+'Frende Livsforsikring'!B37+'Frende Livsforsikring'!B87+'Frende Livsforsikring'!B135</f>
        <v>1264435</v>
      </c>
      <c r="H14" s="161">
        <f>'Frende Livsforsikring'!C10+'Frende Livsforsikring'!C29+'Frende Livsforsikring'!C37+'Frende Livsforsikring'!C87+'Frende Livsforsikring'!C135</f>
        <v>1615536</v>
      </c>
      <c r="I14" s="88">
        <f t="shared" si="2"/>
        <v>27.8</v>
      </c>
      <c r="J14" s="387">
        <f t="shared" si="3"/>
        <v>0.12680593610971669</v>
      </c>
      <c r="L14" s="205"/>
      <c r="M14" s="203"/>
      <c r="N14" s="205"/>
      <c r="O14" s="203"/>
    </row>
    <row r="15" spans="1:16" ht="18.75" x14ac:dyDescent="0.3">
      <c r="A15" s="175" t="s">
        <v>84</v>
      </c>
      <c r="B15" s="161">
        <f>'Frende Skadeforsikring'!B7+'Frende Skadeforsikring'!B22+'Frende Skadeforsikring'!B36+'Frende Skadeforsikring'!B47+'Frende Skadeforsikring'!B66+'Frende Skadeforsikring'!B134</f>
        <v>6370.085</v>
      </c>
      <c r="C15" s="161">
        <f>'Frende Skadeforsikring'!C7+'Frende Skadeforsikring'!C22+'Frende Skadeforsikring'!C36+'Frende Skadeforsikring'!C47+'Frende Skadeforsikring'!C66+'Frende Skadeforsikring'!C134</f>
        <v>6433.6</v>
      </c>
      <c r="D15" s="88">
        <f t="shared" si="0"/>
        <v>1</v>
      </c>
      <c r="E15" s="387">
        <f t="shared" si="1"/>
        <v>7.241228615389398E-3</v>
      </c>
      <c r="F15" s="87"/>
      <c r="G15" s="161">
        <f>'Frende Skadeforsikring'!B10+'Frende Skadeforsikring'!B29+'Frende Skadeforsikring'!B37+'Frende Skadeforsikring'!B87+'Frende Skadeforsikring'!B135</f>
        <v>0</v>
      </c>
      <c r="H15" s="161">
        <f>'Frende Skadeforsikring'!C10+'Frende Skadeforsikring'!C29+'Frende Skadeforsikring'!C37+'Frende Skadeforsikring'!C87+'Frende Skadeforsikring'!C135</f>
        <v>0</v>
      </c>
      <c r="I15" s="88"/>
      <c r="J15" s="387">
        <f t="shared" si="3"/>
        <v>0</v>
      </c>
      <c r="K15" s="71" t="s">
        <v>136</v>
      </c>
      <c r="L15" s="205">
        <f t="shared" ref="L15:L31" ca="1" si="5">INDIRECT("'" &amp; $A14 &amp; "'!" &amp; $P$7)</f>
        <v>0</v>
      </c>
      <c r="M15" s="203">
        <f t="shared" ref="M15:M31" ca="1" si="6">INDIRECT("'" &amp; $A14 &amp; "'!" &amp; $P$8)</f>
        <v>0</v>
      </c>
      <c r="N15" s="205">
        <f t="shared" ref="N15:N31" ca="1" si="7">INDIRECT("'" &amp; $A14 &amp; "'!" &amp; $P$9)</f>
        <v>0</v>
      </c>
      <c r="O15" s="203">
        <f t="shared" ref="O15:O31" ca="1" si="8">INDIRECT("'" &amp; $A14 &amp; "'!" &amp; $P$10)</f>
        <v>0</v>
      </c>
    </row>
    <row r="16" spans="1:16" ht="18.75" x14ac:dyDescent="0.3">
      <c r="A16" s="175" t="s">
        <v>85</v>
      </c>
      <c r="B16" s="161">
        <f>'Gjensidige Forsikring'!B7+'Gjensidige Forsikring'!B22+'Gjensidige Forsikring'!B36+'Gjensidige Forsikring'!B47+'Gjensidige Forsikring'!B66+'Gjensidige Forsikring'!B134</f>
        <v>1802206.75</v>
      </c>
      <c r="C16" s="161">
        <f>'Gjensidige Forsikring'!C7+'Gjensidige Forsikring'!C22+'Gjensidige Forsikring'!C36+'Gjensidige Forsikring'!C47+'Gjensidige Forsikring'!C66+'Gjensidige Forsikring'!C134</f>
        <v>1932975.6639999999</v>
      </c>
      <c r="D16" s="88">
        <f t="shared" si="0"/>
        <v>7.3</v>
      </c>
      <c r="E16" s="387">
        <f t="shared" si="1"/>
        <v>2.1756277497836547</v>
      </c>
      <c r="F16" s="87"/>
      <c r="G16" s="161">
        <f>'Gjensidige Forsikring'!B10+'Gjensidige Forsikring'!B29+'Gjensidige Forsikring'!B37+'Gjensidige Forsikring'!B87+'Gjensidige Forsikring'!B135</f>
        <v>0</v>
      </c>
      <c r="H16" s="161">
        <f>'Gjensidige Forsikring'!C10+'Gjensidige Forsikring'!C29+'Gjensidige Forsikring'!C37+'Gjensidige Forsikring'!C87+'Gjensidige Forsikring'!C135</f>
        <v>0</v>
      </c>
      <c r="I16" s="88"/>
      <c r="J16" s="387">
        <f t="shared" si="3"/>
        <v>0</v>
      </c>
      <c r="K16" s="71" t="s">
        <v>143</v>
      </c>
      <c r="L16" s="205">
        <f t="shared" ca="1" si="5"/>
        <v>0</v>
      </c>
      <c r="M16" s="203">
        <f t="shared" ca="1" si="6"/>
        <v>0</v>
      </c>
      <c r="N16" s="205">
        <f t="shared" ca="1" si="7"/>
        <v>0</v>
      </c>
      <c r="O16" s="203">
        <f t="shared" ca="1" si="8"/>
        <v>0</v>
      </c>
    </row>
    <row r="17" spans="1:18" ht="18.75" x14ac:dyDescent="0.3">
      <c r="A17" s="175" t="s">
        <v>86</v>
      </c>
      <c r="B17" s="161">
        <f>'Gjensidige Pensjon'!B7+'Gjensidige Pensjon'!B22+'Gjensidige Pensjon'!B36+'Gjensidige Pensjon'!B47+'Gjensidige Pensjon'!B66+'Gjensidige Pensjon'!B134</f>
        <v>625492</v>
      </c>
      <c r="C17" s="161">
        <f>'Gjensidige Pensjon'!C7+'Gjensidige Pensjon'!C22+'Gjensidige Pensjon'!C36+'Gjensidige Pensjon'!C47+'Gjensidige Pensjon'!C66+'Gjensidige Pensjon'!C134</f>
        <v>709364</v>
      </c>
      <c r="D17" s="88">
        <f t="shared" si="0"/>
        <v>13.4</v>
      </c>
      <c r="E17" s="387">
        <f t="shared" si="1"/>
        <v>0.79841253660891021</v>
      </c>
      <c r="F17" s="87"/>
      <c r="G17" s="161">
        <f>'Gjensidige Pensjon'!B10+'Gjensidige Pensjon'!B29+'Gjensidige Pensjon'!B37+'Gjensidige Pensjon'!B87+'Gjensidige Pensjon'!B135</f>
        <v>8716977</v>
      </c>
      <c r="H17" s="161">
        <f>'Gjensidige Pensjon'!C10+'Gjensidige Pensjon'!C29+'Gjensidige Pensjon'!C37+'Gjensidige Pensjon'!C87+'Gjensidige Pensjon'!C135</f>
        <v>11976354</v>
      </c>
      <c r="I17" s="88">
        <f t="shared" si="2"/>
        <v>37.4</v>
      </c>
      <c r="J17" s="387">
        <f t="shared" si="3"/>
        <v>0.94004267323745805</v>
      </c>
      <c r="K17" s="71" t="s">
        <v>137</v>
      </c>
      <c r="L17" s="205">
        <f t="shared" ca="1" si="5"/>
        <v>0</v>
      </c>
      <c r="M17" s="203">
        <f t="shared" ca="1" si="6"/>
        <v>0</v>
      </c>
      <c r="N17" s="205">
        <f t="shared" ca="1" si="7"/>
        <v>0</v>
      </c>
      <c r="O17" s="203">
        <f t="shared" ca="1" si="8"/>
        <v>0</v>
      </c>
    </row>
    <row r="18" spans="1:18" ht="18.75" x14ac:dyDescent="0.3">
      <c r="A18" s="175" t="s">
        <v>87</v>
      </c>
      <c r="B18" s="161">
        <f>'Handelsbanken Liv'!B7+'Handelsbanken Liv'!B22+'Handelsbanken Liv'!B36+'Handelsbanken Liv'!B47+'Handelsbanken Liv'!B66+'Handelsbanken Liv'!B134</f>
        <v>37716.661089999994</v>
      </c>
      <c r="C18" s="161">
        <f>'Handelsbanken Liv'!C7+'Handelsbanken Liv'!C22+'Handelsbanken Liv'!C36+'Handelsbanken Liv'!C47+'Handelsbanken Liv'!C66+'Handelsbanken Liv'!C134</f>
        <v>0</v>
      </c>
      <c r="D18" s="88">
        <f t="shared" si="0"/>
        <v>-100</v>
      </c>
      <c r="E18" s="387">
        <f t="shared" si="1"/>
        <v>0</v>
      </c>
      <c r="F18" s="87"/>
      <c r="G18" s="161">
        <f>'Handelsbanken Liv'!B10+'Handelsbanken Liv'!B29+'Handelsbanken Liv'!B37+'Handelsbanken Liv'!B87+'Handelsbanken Liv'!B135</f>
        <v>1519.5954100000001</v>
      </c>
      <c r="H18" s="161">
        <f>'Handelsbanken Liv'!C10+'Handelsbanken Liv'!C29+'Handelsbanken Liv'!C37+'Handelsbanken Liv'!C87+'Handelsbanken Liv'!C135</f>
        <v>0</v>
      </c>
      <c r="I18" s="88">
        <f t="shared" si="2"/>
        <v>-100</v>
      </c>
      <c r="J18" s="387">
        <f t="shared" si="3"/>
        <v>0</v>
      </c>
      <c r="K18" s="71" t="s">
        <v>144</v>
      </c>
      <c r="L18" s="205">
        <f t="shared" ca="1" si="5"/>
        <v>0</v>
      </c>
      <c r="M18" s="203">
        <f t="shared" ca="1" si="6"/>
        <v>0</v>
      </c>
      <c r="N18" s="205">
        <f t="shared" ca="1" si="7"/>
        <v>0</v>
      </c>
      <c r="O18" s="203">
        <f t="shared" ca="1" si="8"/>
        <v>0</v>
      </c>
    </row>
    <row r="19" spans="1:18" ht="18.75" x14ac:dyDescent="0.3">
      <c r="A19" s="175" t="s">
        <v>88</v>
      </c>
      <c r="B19" s="161">
        <f>'If Skadeforsikring NUF'!B7+'If Skadeforsikring NUF'!B22+'If Skadeforsikring NUF'!B36+'If Skadeforsikring NUF'!B47+'If Skadeforsikring NUF'!B66+'If Skadeforsikring NUF'!B134</f>
        <v>461957.49523765099</v>
      </c>
      <c r="C19" s="161">
        <f>'If Skadeforsikring NUF'!C7+'If Skadeforsikring NUF'!C22+'If Skadeforsikring NUF'!C36+'If Skadeforsikring NUF'!C47+'If Skadeforsikring NUF'!C66+'If Skadeforsikring NUF'!C134</f>
        <v>512230.04208588699</v>
      </c>
      <c r="D19" s="88">
        <f t="shared" si="0"/>
        <v>10.9</v>
      </c>
      <c r="E19" s="387">
        <f t="shared" si="1"/>
        <v>0.57653177667471411</v>
      </c>
      <c r="F19" s="87"/>
      <c r="G19" s="161">
        <f>'If Skadeforsikring NUF'!B10+'If Skadeforsikring NUF'!B29+'If Skadeforsikring NUF'!B37+'If Skadeforsikring NUF'!B87+'If Skadeforsikring NUF'!B135</f>
        <v>0</v>
      </c>
      <c r="H19" s="161">
        <f>'If Skadeforsikring NUF'!C10+'If Skadeforsikring NUF'!C29+'If Skadeforsikring NUF'!C37+'If Skadeforsikring NUF'!C87+'If Skadeforsikring NUF'!C135</f>
        <v>0</v>
      </c>
      <c r="I19" s="88"/>
      <c r="J19" s="387">
        <f t="shared" si="3"/>
        <v>0</v>
      </c>
      <c r="K19" s="123"/>
      <c r="L19" s="205">
        <f t="shared" ca="1" si="5"/>
        <v>0</v>
      </c>
      <c r="M19" s="203">
        <f t="shared" ca="1" si="6"/>
        <v>0</v>
      </c>
      <c r="N19" s="205">
        <f t="shared" ca="1" si="7"/>
        <v>0</v>
      </c>
      <c r="O19" s="203">
        <f t="shared" ca="1" si="8"/>
        <v>0</v>
      </c>
    </row>
    <row r="20" spans="1:18" ht="18.75" x14ac:dyDescent="0.3">
      <c r="A20" s="175" t="s">
        <v>62</v>
      </c>
      <c r="B20" s="161">
        <f>KLP!B7+KLP!B22+KLP!B36+KLP!B47+KLP!B66+KLP!B134</f>
        <v>40116042.616570003</v>
      </c>
      <c r="C20" s="161">
        <f>KLP!C7+KLP!C22+KLP!C36+KLP!C47+KLP!C66+KLP!C134</f>
        <v>59728575.081890002</v>
      </c>
      <c r="D20" s="88">
        <f t="shared" si="0"/>
        <v>48.9</v>
      </c>
      <c r="E20" s="387">
        <f t="shared" si="1"/>
        <v>67.226477716895062</v>
      </c>
      <c r="F20" s="87"/>
      <c r="G20" s="161">
        <f>KLP!B10+KLP!B29+KLP!B37+KLP!B87+KLP!B135</f>
        <v>639219292.35275996</v>
      </c>
      <c r="H20" s="161">
        <f>KLP!C10+KLP!C29+KLP!C37+KLP!C87+KLP!C135</f>
        <v>701899868.41477001</v>
      </c>
      <c r="I20" s="88">
        <f t="shared" si="2"/>
        <v>9.8000000000000007</v>
      </c>
      <c r="J20" s="387">
        <f t="shared" si="3"/>
        <v>55.093213564799477</v>
      </c>
      <c r="K20" s="123"/>
      <c r="L20" s="205" t="e">
        <f ca="1">INDIRECT("'" &amp;#REF! &amp; "'!" &amp; $P$7)</f>
        <v>#REF!</v>
      </c>
      <c r="M20" s="203" t="e">
        <f ca="1">INDIRECT("'" &amp;#REF! &amp; "'!" &amp; $P$8)</f>
        <v>#REF!</v>
      </c>
      <c r="N20" s="205" t="e">
        <f ca="1">INDIRECT("'" &amp;#REF! &amp; "'!" &amp; $P$9)</f>
        <v>#REF!</v>
      </c>
      <c r="O20" s="203" t="e">
        <f ca="1">INDIRECT("'" &amp;#REF! &amp; "'!" &amp; $P$10)</f>
        <v>#REF!</v>
      </c>
    </row>
    <row r="21" spans="1:18" ht="18.75" x14ac:dyDescent="0.3">
      <c r="A21" s="93" t="s">
        <v>89</v>
      </c>
      <c r="B21" s="161">
        <f>'KLP Skadeforsikring AS'!B7+'KLP Skadeforsikring AS'!B22+'KLP Skadeforsikring AS'!B36+'KLP Skadeforsikring AS'!B47+'KLP Skadeforsikring AS'!B66+'KLP Skadeforsikring AS'!B134</f>
        <v>293311.63199999998</v>
      </c>
      <c r="C21" s="161">
        <f>'KLP Skadeforsikring AS'!C7+'KLP Skadeforsikring AS'!C22+'KLP Skadeforsikring AS'!C36+'KLP Skadeforsikring AS'!C47+'KLP Skadeforsikring AS'!C66+'KLP Skadeforsikring AS'!C134</f>
        <v>312830.96100000001</v>
      </c>
      <c r="D21" s="88">
        <f t="shared" si="0"/>
        <v>6.7</v>
      </c>
      <c r="E21" s="387">
        <f t="shared" si="1"/>
        <v>0.35210154603534022</v>
      </c>
      <c r="F21" s="87"/>
      <c r="G21" s="161">
        <f>'KLP Skadeforsikring AS'!B10+'KLP Skadeforsikring AS'!B29+'KLP Skadeforsikring AS'!B37+'KLP Skadeforsikring AS'!B87+'KLP Skadeforsikring AS'!B135</f>
        <v>99044.30799999999</v>
      </c>
      <c r="H21" s="161">
        <f>'KLP Skadeforsikring AS'!C10+'KLP Skadeforsikring AS'!C29+'KLP Skadeforsikring AS'!C37+'KLP Skadeforsikring AS'!C87+'KLP Skadeforsikring AS'!C135</f>
        <v>127284.87</v>
      </c>
      <c r="I21" s="88">
        <f t="shared" si="2"/>
        <v>28.5</v>
      </c>
      <c r="J21" s="387">
        <f t="shared" si="3"/>
        <v>9.9907876351586072E-3</v>
      </c>
      <c r="K21" s="123"/>
      <c r="L21" s="205">
        <f ca="1">INDIRECT("'" &amp; $A32 &amp; "'!" &amp; $P$7)</f>
        <v>0</v>
      </c>
      <c r="M21" s="203">
        <f ca="1">INDIRECT("'" &amp; $A32 &amp; "'!" &amp; $P$8)</f>
        <v>0</v>
      </c>
      <c r="N21" s="205">
        <f ca="1">INDIRECT("'" &amp; $A32 &amp; "'!" &amp; $P$9)</f>
        <v>0</v>
      </c>
      <c r="O21" s="203">
        <f ca="1">INDIRECT("'" &amp; $A32 &amp; "'!" &amp; $P$10)</f>
        <v>0</v>
      </c>
    </row>
    <row r="22" spans="1:18" ht="18.75" x14ac:dyDescent="0.3">
      <c r="A22" s="93" t="s">
        <v>390</v>
      </c>
      <c r="B22" s="161">
        <f>'Landkreditt Forsikring'!B7+'Landkreditt Forsikring'!B22+'Landkreditt Forsikring'!B36+'Landkreditt Forsikring'!B47+'Landkreditt Forsikring'!B66+'Landkreditt Forsikring'!B134</f>
        <v>28431</v>
      </c>
      <c r="C22" s="161">
        <f>'Landkreditt Forsikring'!C7+'Landkreditt Forsikring'!C22+'Landkreditt Forsikring'!C36+'Landkreditt Forsikring'!C47+'Landkreditt Forsikring'!C66+'Landkreditt Forsikring'!C134</f>
        <v>29620</v>
      </c>
      <c r="D22" s="88">
        <f t="shared" si="0"/>
        <v>4.2</v>
      </c>
      <c r="E22" s="387">
        <f t="shared" si="1"/>
        <v>3.3338285188360163E-2</v>
      </c>
      <c r="F22" s="87"/>
      <c r="G22" s="161">
        <f>'Landkreditt Forsikring'!B10+'Landkreditt Forsikring'!B29+'Landkreditt Forsikring'!B37+'Landkreditt Forsikring'!B87+'Landkreditt Forsikring'!B135</f>
        <v>0</v>
      </c>
      <c r="H22" s="161">
        <f>'Landkreditt Forsikring'!C10+'Landkreditt Forsikring'!C29+'Landkreditt Forsikring'!C37+'Landkreditt Forsikring'!C87+'Landkreditt Forsikring'!C135</f>
        <v>0</v>
      </c>
      <c r="I22" s="88"/>
      <c r="J22" s="387">
        <f t="shared" si="3"/>
        <v>0</v>
      </c>
      <c r="K22" s="123"/>
      <c r="L22" s="205">
        <f t="shared" ca="1" si="5"/>
        <v>0</v>
      </c>
      <c r="M22" s="203">
        <f t="shared" ca="1" si="6"/>
        <v>0</v>
      </c>
      <c r="N22" s="205">
        <f t="shared" ca="1" si="7"/>
        <v>0</v>
      </c>
      <c r="O22" s="203">
        <f t="shared" ca="1" si="8"/>
        <v>0</v>
      </c>
    </row>
    <row r="23" spans="1:18" ht="18.75" x14ac:dyDescent="0.3">
      <c r="A23" s="93" t="s">
        <v>399</v>
      </c>
      <c r="B23" s="161">
        <f>'Ly Forsikring'!B7+'Ly Forsikring'!B22+'Ly Forsikring'!B36+'Ly Forsikring'!B47+'Ly Forsikring'!B66+'Ly Forsikring'!B134</f>
        <v>16353.946</v>
      </c>
      <c r="C23" s="161">
        <f>'Ly Forsikring'!C7+'Ly Forsikring'!C22+'Ly Forsikring'!C36+'Ly Forsikring'!C47+'Ly Forsikring'!C66+'Ly Forsikring'!C134</f>
        <v>21105.620999999999</v>
      </c>
      <c r="D23" s="88">
        <f t="shared" ref="D23" si="9">IF(B23=0, "    ---- ", IF(ABS(ROUND(100/B23*C23-100,1))&lt;999,ROUND(100/B23*C23-100,1),IF(ROUND(100/B23*C23-100,1)&gt;999,999,-999)))</f>
        <v>29.1</v>
      </c>
      <c r="E23" s="387">
        <f t="shared" si="1"/>
        <v>2.3755071302344472E-2</v>
      </c>
      <c r="F23" s="87"/>
      <c r="G23" s="161">
        <f>'Ly Forsikring'!B10+'Ly Forsikring'!B29+'Ly Forsikring'!B37+'Ly Forsikring'!B87+'Ly Forsikring'!B135</f>
        <v>0</v>
      </c>
      <c r="H23" s="161">
        <f>'Ly Forsikring'!C10+'Ly Forsikring'!C29+'Ly Forsikring'!C37+'Ly Forsikring'!C87+'Ly Forsikring'!C135</f>
        <v>0</v>
      </c>
      <c r="I23" s="88"/>
      <c r="J23" s="387">
        <f t="shared" si="3"/>
        <v>0</v>
      </c>
      <c r="K23" s="123"/>
      <c r="L23" s="205"/>
      <c r="M23" s="203"/>
      <c r="N23" s="205"/>
      <c r="O23" s="203"/>
    </row>
    <row r="24" spans="1:18" ht="18.75" x14ac:dyDescent="0.3">
      <c r="A24" s="93" t="s">
        <v>90</v>
      </c>
      <c r="B24" s="161">
        <f>'Nordea Liv '!B7+'Nordea Liv '!B22+'Nordea Liv '!B36+'Nordea Liv '!B47+'Nordea Liv '!B66+'Nordea Liv '!B134</f>
        <v>1272563.1350929129</v>
      </c>
      <c r="C24" s="161">
        <f>'Nordea Liv '!C7+'Nordea Liv '!C22+'Nordea Liv '!C36+'Nordea Liv '!C47+'Nordea Liv '!C66+'Nordea Liv '!C134</f>
        <v>1396771.9333553389</v>
      </c>
      <c r="D24" s="88">
        <f t="shared" si="0"/>
        <v>9.8000000000000007</v>
      </c>
      <c r="E24" s="387">
        <f t="shared" si="1"/>
        <v>1.5721127973429265</v>
      </c>
      <c r="F24" s="87"/>
      <c r="G24" s="162">
        <f>'Nordea Liv '!B10+'Nordea Liv '!B29+'Nordea Liv '!B37+'Nordea Liv '!B87+'Nordea Liv '!B135</f>
        <v>54880190.000008784</v>
      </c>
      <c r="H24" s="162">
        <f>'Nordea Liv '!C10+'Nordea Liv '!C29+'Nordea Liv '!C37+'Nordea Liv '!C87+'Nordea Liv '!C135</f>
        <v>54295670.000003412</v>
      </c>
      <c r="I24" s="88">
        <f t="shared" si="2"/>
        <v>-1.1000000000000001</v>
      </c>
      <c r="J24" s="387">
        <f t="shared" si="3"/>
        <v>4.2617516793526695</v>
      </c>
      <c r="K24" s="123"/>
      <c r="L24" s="205">
        <f ca="1">INDIRECT("'" &amp; $A22 &amp; "'!" &amp; $P$7)</f>
        <v>0</v>
      </c>
      <c r="M24" s="203">
        <f ca="1">INDIRECT("'" &amp; $A22 &amp; "'!" &amp; $P$8)</f>
        <v>0</v>
      </c>
      <c r="N24" s="205">
        <f ca="1">INDIRECT("'" &amp; $A22 &amp; "'!" &amp; $P$9)</f>
        <v>0</v>
      </c>
      <c r="O24" s="203">
        <f ca="1">INDIRECT("'" &amp; $A22 &amp; "'!" &amp; $P$10)</f>
        <v>0</v>
      </c>
    </row>
    <row r="25" spans="1:18" ht="18.75" x14ac:dyDescent="0.3">
      <c r="A25" s="93" t="s">
        <v>91</v>
      </c>
      <c r="B25" s="161">
        <f>'Oslo Pensjonsforsikring'!B7+'Oslo Pensjonsforsikring'!B22+'Oslo Pensjonsforsikring'!B36+'Oslo Pensjonsforsikring'!B47+'Oslo Pensjonsforsikring'!B66+'Oslo Pensjonsforsikring'!B134</f>
        <v>7048000</v>
      </c>
      <c r="C25" s="161">
        <f>'Oslo Pensjonsforsikring'!C7+'Oslo Pensjonsforsikring'!C22+'Oslo Pensjonsforsikring'!C36+'Oslo Pensjonsforsikring'!C47+'Oslo Pensjonsforsikring'!C66+'Oslo Pensjonsforsikring'!C134</f>
        <v>9303000</v>
      </c>
      <c r="D25" s="88">
        <f t="shared" si="0"/>
        <v>32</v>
      </c>
      <c r="E25" s="387">
        <f t="shared" si="1"/>
        <v>10.470832785527165</v>
      </c>
      <c r="F25" s="87"/>
      <c r="G25" s="161">
        <f>'Oslo Pensjonsforsikring'!B10+'Oslo Pensjonsforsikring'!B29+'Oslo Pensjonsforsikring'!B37+'Oslo Pensjonsforsikring'!B87+'Oslo Pensjonsforsikring'!B135</f>
        <v>85289000</v>
      </c>
      <c r="H25" s="161">
        <f>'Oslo Pensjonsforsikring'!C10+'Oslo Pensjonsforsikring'!C29+'Oslo Pensjonsforsikring'!C37+'Oslo Pensjonsforsikring'!C87+'Oslo Pensjonsforsikring'!C135</f>
        <v>91739000</v>
      </c>
      <c r="I25" s="88">
        <f t="shared" si="2"/>
        <v>7.6</v>
      </c>
      <c r="J25" s="387">
        <f t="shared" si="3"/>
        <v>7.2007369521751912</v>
      </c>
      <c r="K25" s="123"/>
      <c r="L25" s="205">
        <f t="shared" ca="1" si="5"/>
        <v>0</v>
      </c>
      <c r="M25" s="203">
        <f t="shared" ca="1" si="6"/>
        <v>0</v>
      </c>
      <c r="N25" s="205">
        <f t="shared" ca="1" si="7"/>
        <v>0</v>
      </c>
      <c r="O25" s="203">
        <f t="shared" ca="1" si="8"/>
        <v>0</v>
      </c>
    </row>
    <row r="26" spans="1:18" ht="18.75" x14ac:dyDescent="0.3">
      <c r="A26" s="93" t="s">
        <v>346</v>
      </c>
      <c r="B26" s="161">
        <f>'Protector Forsikring'!B7+'Protector Forsikring'!B22+'Protector Forsikring'!B36+'Protector Forsikring'!B47+'Protector Forsikring'!B66+'Protector Forsikring'!B134</f>
        <v>338102.51378736005</v>
      </c>
      <c r="C26" s="161">
        <f>'Protector Forsikring'!C7+'Protector Forsikring'!C22+'Protector Forsikring'!C36+'Protector Forsikring'!C47+'Protector Forsikring'!C66+'Protector Forsikring'!C134</f>
        <v>364919.81156887702</v>
      </c>
      <c r="D26" s="88">
        <f t="shared" si="0"/>
        <v>7.9</v>
      </c>
      <c r="E26" s="387">
        <f t="shared" si="1"/>
        <v>0.41072926228784185</v>
      </c>
      <c r="F26" s="87"/>
      <c r="G26" s="161">
        <f>'Protector Forsikring'!B10+'Protector Forsikring'!B29+'Protector Forsikring'!B37+'Protector Forsikring'!B87+'Protector Forsikring'!B135</f>
        <v>0</v>
      </c>
      <c r="H26" s="161">
        <f>'Protector Forsikring'!C10+'Protector Forsikring'!C29+'Protector Forsikring'!C37+'Protector Forsikring'!C87+'Protector Forsikring'!C135</f>
        <v>0</v>
      </c>
      <c r="I26" s="88"/>
      <c r="J26" s="387">
        <f t="shared" si="3"/>
        <v>0</v>
      </c>
      <c r="K26" s="123"/>
      <c r="L26" s="205">
        <f t="shared" ca="1" si="5"/>
        <v>0</v>
      </c>
      <c r="M26" s="203">
        <f t="shared" ca="1" si="6"/>
        <v>0</v>
      </c>
      <c r="N26" s="205">
        <f t="shared" ca="1" si="7"/>
        <v>0</v>
      </c>
      <c r="O26" s="203">
        <f t="shared" ca="1" si="8"/>
        <v>0</v>
      </c>
    </row>
    <row r="27" spans="1:18" ht="18.75" x14ac:dyDescent="0.3">
      <c r="A27" s="175" t="s">
        <v>398</v>
      </c>
      <c r="B27" s="161">
        <f>'Sparebank 1 Fors'!B7+'Sparebank 1 Fors'!B22+'Sparebank 1 Fors'!B36+'Sparebank 1 Fors'!B47+'Sparebank 1 Fors'!B66+'Sparebank 1 Fors'!B134</f>
        <v>621880.97281000006</v>
      </c>
      <c r="C27" s="161">
        <f>'Sparebank 1 Fors'!C7+'Sparebank 1 Fors'!C22+'Sparebank 1 Fors'!C36+'Sparebank 1 Fors'!C47+'Sparebank 1 Fors'!C66+'Sparebank 1 Fors'!C134</f>
        <v>672776.47189000004</v>
      </c>
      <c r="D27" s="88">
        <f t="shared" si="0"/>
        <v>8.1999999999999993</v>
      </c>
      <c r="E27" s="387">
        <f t="shared" si="1"/>
        <v>0.75723206913867647</v>
      </c>
      <c r="F27" s="87"/>
      <c r="G27" s="161">
        <f>'Sparebank 1 Fors'!B10+'Sparebank 1 Fors'!B29+'Sparebank 1 Fors'!B37+'Sparebank 1 Fors'!B87+'Sparebank 1 Fors'!B135</f>
        <v>20801168.00575</v>
      </c>
      <c r="H27" s="161">
        <f>'Sparebank 1 Fors'!C10+'Sparebank 1 Fors'!C29+'Sparebank 1 Fors'!C37+'Sparebank 1 Fors'!C87+'Sparebank 1 Fors'!C135</f>
        <v>19517824.671259999</v>
      </c>
      <c r="I27" s="88">
        <f t="shared" si="2"/>
        <v>-6.2</v>
      </c>
      <c r="J27" s="387">
        <f t="shared" si="3"/>
        <v>1.5319844486687066</v>
      </c>
      <c r="K27" s="123"/>
      <c r="L27" s="205">
        <f t="shared" ca="1" si="5"/>
        <v>0</v>
      </c>
      <c r="M27" s="203">
        <f t="shared" ca="1" si="6"/>
        <v>0</v>
      </c>
      <c r="N27" s="205">
        <f t="shared" ca="1" si="7"/>
        <v>0</v>
      </c>
      <c r="O27" s="203">
        <f t="shared" ca="1" si="8"/>
        <v>0</v>
      </c>
    </row>
    <row r="28" spans="1:18" ht="18.75" x14ac:dyDescent="0.3">
      <c r="A28" s="93" t="s">
        <v>92</v>
      </c>
      <c r="B28" s="161">
        <f>'Storebrand Livsforsikring'!B7+'Storebrand Livsforsikring'!B22+'Storebrand Livsforsikring'!B36+'Storebrand Livsforsikring'!B47+'Storebrand Livsforsikring'!B66+'Storebrand Livsforsikring'!B134</f>
        <v>5192979.767</v>
      </c>
      <c r="C28" s="161">
        <f>'Storebrand Livsforsikring'!C7+'Storebrand Livsforsikring'!C22+'Storebrand Livsforsikring'!C36+'Storebrand Livsforsikring'!C47+'Storebrand Livsforsikring'!C66+'Storebrand Livsforsikring'!C134</f>
        <v>6718868.0755500002</v>
      </c>
      <c r="D28" s="88">
        <f t="shared" si="0"/>
        <v>29.4</v>
      </c>
      <c r="E28" s="387">
        <f t="shared" si="1"/>
        <v>7.5623072263894171</v>
      </c>
      <c r="F28" s="87"/>
      <c r="G28" s="161">
        <f>'Storebrand Livsforsikring'!B10+'Storebrand Livsforsikring'!B29+'Storebrand Livsforsikring'!B37+'Storebrand Livsforsikring'!B87+'Storebrand Livsforsikring'!B135</f>
        <v>200165633.33700004</v>
      </c>
      <c r="H28" s="161">
        <f>'Storebrand Livsforsikring'!C10+'Storebrand Livsforsikring'!C29+'Storebrand Livsforsikring'!C37+'Storebrand Livsforsikring'!C87+'Storebrand Livsforsikring'!C135</f>
        <v>204439320.96447003</v>
      </c>
      <c r="I28" s="88">
        <f t="shared" si="2"/>
        <v>2.1</v>
      </c>
      <c r="J28" s="387">
        <f t="shared" si="3"/>
        <v>16.046760624668501</v>
      </c>
      <c r="K28" s="123"/>
      <c r="L28" s="205" t="e">
        <f t="shared" ca="1" si="5"/>
        <v>#REF!</v>
      </c>
      <c r="M28" s="203" t="e">
        <f t="shared" ca="1" si="6"/>
        <v>#REF!</v>
      </c>
      <c r="N28" s="205" t="e">
        <f t="shared" ca="1" si="7"/>
        <v>#REF!</v>
      </c>
      <c r="O28" s="203" t="e">
        <f t="shared" ca="1" si="8"/>
        <v>#REF!</v>
      </c>
    </row>
    <row r="29" spans="1:18" ht="18.75" x14ac:dyDescent="0.3">
      <c r="A29" s="93" t="s">
        <v>93</v>
      </c>
      <c r="B29" s="161">
        <f>'Telenor Forsikring'!B7+'Telenor Forsikring'!B22+'Telenor Forsikring'!B36+'Telenor Forsikring'!B47+'Telenor Forsikring'!B66+'Telenor Forsikring'!B134</f>
        <v>0</v>
      </c>
      <c r="C29" s="161">
        <f>'Telenor Forsikring'!C7+'Telenor Forsikring'!C22+'Telenor Forsikring'!C36+'Telenor Forsikring'!C47+'Telenor Forsikring'!C66+'Telenor Forsikring'!C134</f>
        <v>10042</v>
      </c>
      <c r="D29" s="88" t="str">
        <f t="shared" si="0"/>
        <v xml:space="preserve">    ---- </v>
      </c>
      <c r="E29" s="387">
        <f t="shared" si="1"/>
        <v>1.1302601615851207E-2</v>
      </c>
      <c r="F29" s="87"/>
      <c r="G29" s="161">
        <f>'Telenor Forsikring'!B10+'Telenor Forsikring'!B29+'Telenor Forsikring'!B37+'Telenor Forsikring'!B87+'Telenor Forsikring'!B135</f>
        <v>0</v>
      </c>
      <c r="H29" s="161">
        <f>'Telenor Forsikring'!C10+'Telenor Forsikring'!C29+'Telenor Forsikring'!C37+'Telenor Forsikring'!C87+'Telenor Forsikring'!C135</f>
        <v>0</v>
      </c>
      <c r="I29" s="88"/>
      <c r="J29" s="387">
        <f t="shared" si="3"/>
        <v>0</v>
      </c>
      <c r="K29" s="123"/>
      <c r="L29" s="205">
        <f t="shared" ca="1" si="5"/>
        <v>0</v>
      </c>
      <c r="M29" s="203">
        <f t="shared" ca="1" si="6"/>
        <v>0</v>
      </c>
      <c r="N29" s="205">
        <f t="shared" ca="1" si="7"/>
        <v>0</v>
      </c>
      <c r="O29" s="203">
        <f t="shared" ca="1" si="8"/>
        <v>0</v>
      </c>
      <c r="R29" s="542"/>
    </row>
    <row r="30" spans="1:18" ht="18.75" x14ac:dyDescent="0.3">
      <c r="A30" s="93" t="s">
        <v>94</v>
      </c>
      <c r="B30" s="161">
        <f>'Tryg Forsikring'!B7+'Tryg Forsikring'!B22+'Tryg Forsikring'!B36+'Tryg Forsikring'!B47+'Tryg Forsikring'!B66+'Tryg Forsikring'!B134</f>
        <v>636479</v>
      </c>
      <c r="C30" s="161">
        <f>'Tryg Forsikring'!C7+'Tryg Forsikring'!C22+'Tryg Forsikring'!C36+'Tryg Forsikring'!C47+'Tryg Forsikring'!C66+'Tryg Forsikring'!C134</f>
        <v>773050</v>
      </c>
      <c r="D30" s="88">
        <f t="shared" si="0"/>
        <v>21.5</v>
      </c>
      <c r="E30" s="387">
        <f t="shared" si="1"/>
        <v>0.87009322636265451</v>
      </c>
      <c r="F30" s="87"/>
      <c r="G30" s="689"/>
      <c r="I30" s="88"/>
      <c r="J30" s="387">
        <f t="shared" si="3"/>
        <v>0</v>
      </c>
      <c r="K30" s="189"/>
      <c r="L30" s="205">
        <f t="shared" ca="1" si="5"/>
        <v>0</v>
      </c>
      <c r="M30" s="203">
        <f t="shared" ca="1" si="6"/>
        <v>0</v>
      </c>
      <c r="N30" s="205">
        <f t="shared" ca="1" si="7"/>
        <v>0</v>
      </c>
      <c r="O30" s="203">
        <f t="shared" ca="1" si="8"/>
        <v>0</v>
      </c>
    </row>
    <row r="31" spans="1:18" ht="18.75" x14ac:dyDescent="0.3">
      <c r="A31" s="175" t="s">
        <v>393</v>
      </c>
      <c r="B31" s="161">
        <f>'WaterCircles F'!B7+'WaterCircles F'!B22+'WaterCircles F'!B36+'WaterCircles F'!B47+'WaterCircles F'!B66+'WaterCircles F'!B136</f>
        <v>2123</v>
      </c>
      <c r="C31" s="161">
        <f>'WaterCircles F'!C7+'WaterCircles F'!C22+'WaterCircles F'!C36+'WaterCircles F'!C47+'WaterCircles F'!C66+'WaterCircles F'!C136</f>
        <v>1778.3699000000001</v>
      </c>
      <c r="D31" s="88">
        <f t="shared" si="0"/>
        <v>-16.2</v>
      </c>
      <c r="E31" s="387">
        <f t="shared" si="1"/>
        <v>2.0016138722685874E-3</v>
      </c>
      <c r="F31" s="175"/>
      <c r="G31" s="87">
        <f>'WaterCircles F'!B10+'WaterCircles F'!B29+'WaterCircles F'!B37+'WaterCircles F'!B87+'WaterCircles F'!B135</f>
        <v>0</v>
      </c>
      <c r="H31" s="87">
        <f>'WaterCircles F'!C10+'WaterCircles F'!C29+'WaterCircles F'!C37+'WaterCircles F'!C87+'WaterCircles F'!C135</f>
        <v>0</v>
      </c>
      <c r="I31" s="88"/>
      <c r="J31" s="387">
        <f t="shared" si="3"/>
        <v>0</v>
      </c>
      <c r="K31" s="189"/>
      <c r="L31" s="205">
        <f t="shared" ca="1" si="5"/>
        <v>0</v>
      </c>
      <c r="M31" s="203">
        <f t="shared" ca="1" si="6"/>
        <v>0</v>
      </c>
      <c r="N31" s="205">
        <f t="shared" ca="1" si="7"/>
        <v>0</v>
      </c>
      <c r="O31" s="203">
        <f t="shared" ca="1" si="8"/>
        <v>0</v>
      </c>
    </row>
    <row r="32" spans="1:18" ht="18.75" x14ac:dyDescent="0.3">
      <c r="A32" s="93" t="s">
        <v>400</v>
      </c>
      <c r="B32" s="161">
        <f>'Youplus Livsforsikring'!B7+'Youplus Livsforsikring'!B22+'Youplus Livsforsikring'!B36+'Youplus Livsforsikring'!B47+'Youplus Livsforsikring'!B66+'Youplus Livsforsikring'!B134</f>
        <v>3579</v>
      </c>
      <c r="C32" s="161">
        <f>'Youplus Livsforsikring'!C7+'Youplus Livsforsikring'!C22+'Youplus Livsforsikring'!C36+'Youplus Livsforsikring'!C47+'Youplus Livsforsikring'!C66+'Youplus Livsforsikring'!C134</f>
        <v>16904</v>
      </c>
      <c r="D32" s="88">
        <f>IF(B32=0, "    ---- ", IF(ABS(ROUND(100/B32*C32-100,1))&lt;999,ROUND(100/B32*C32-100,1),IF(ROUND(100/B32*C32-100,1)&gt;999,999,-999)))</f>
        <v>372.3</v>
      </c>
      <c r="E32" s="387">
        <f t="shared" si="1"/>
        <v>1.9026008535585424E-2</v>
      </c>
      <c r="F32" s="87"/>
      <c r="G32" s="161">
        <f>'Youplus Livsforsikring'!B10+'Youplus Livsforsikring'!B29+'Youplus Livsforsikring'!B37+'Youplus Livsforsikring'!B87+'Youplus Livsforsikring'!B135</f>
        <v>3017</v>
      </c>
      <c r="H32" s="161">
        <f>'Youplus Livsforsikring'!C10+'Youplus Livsforsikring'!C29+'Youplus Livsforsikring'!C37+'Youplus Livsforsikring'!C87+'Youplus Livsforsikring'!C135</f>
        <v>13865</v>
      </c>
      <c r="I32" s="88">
        <f>IF(G32=0, "    ---- ", IF(ABS(ROUND(100/G32*H32-100,1))&lt;999,ROUND(100/G32*H32-100,1),IF(ROUND(100/G32*H32-100,1)&gt;999,999,-999)))</f>
        <v>359.6</v>
      </c>
      <c r="J32" s="387">
        <f t="shared" si="3"/>
        <v>1.0882854384929967E-3</v>
      </c>
      <c r="K32" s="123"/>
      <c r="L32" s="205">
        <f ca="1">INDIRECT("'" &amp; $A20 &amp; "'!" &amp; $P$7)</f>
        <v>0</v>
      </c>
      <c r="M32" s="203">
        <f ca="1">INDIRECT("'" &amp; $A20 &amp; "'!" &amp; $P$8)</f>
        <v>0</v>
      </c>
      <c r="N32" s="205">
        <f ca="1">INDIRECT("'" &amp; $A20 &amp; "'!" &amp; $P$9)</f>
        <v>0</v>
      </c>
      <c r="O32" s="203">
        <f ca="1">INDIRECT("'" &amp; $A20 &amp; "'!" &amp; $P$10)</f>
        <v>0</v>
      </c>
    </row>
    <row r="33" spans="1:21" s="96" customFormat="1" ht="18.75" x14ac:dyDescent="0.3">
      <c r="A33" s="121" t="s">
        <v>95</v>
      </c>
      <c r="B33" s="163">
        <f>SUM(B9:B32)</f>
        <v>64886056.455187924</v>
      </c>
      <c r="C33" s="223">
        <f>SUM(C9:C32)</f>
        <v>88846801.305610105</v>
      </c>
      <c r="D33" s="88">
        <f t="shared" ref="D33" si="10">IF(B33=0, "    ---- ", IF(ABS(ROUND(100/B33*C33-100,1))&lt;999,ROUND(100/B33*C33-100,1),IF(ROUND(100/B33*C33-100,1)&gt;999,999,-999)))</f>
        <v>36.9</v>
      </c>
      <c r="E33" s="388">
        <f>SUM(E9:E32)</f>
        <v>100.00000000000003</v>
      </c>
      <c r="F33" s="94"/>
      <c r="G33" s="163">
        <f>SUM(G9:G32)</f>
        <v>1206513926.5972788</v>
      </c>
      <c r="H33" s="163">
        <f>SUM(H9:H32)</f>
        <v>1274022375.8942835</v>
      </c>
      <c r="I33" s="88">
        <f t="shared" ref="I33" si="11">IF(G33=0, "    ---- ", IF(ABS(ROUND(100/G33*H33-100,1))&lt;999,ROUND(100/G33*H33-100,1),IF(ROUND(100/G33*H33-100,1)&gt;999,999,-999)))</f>
        <v>5.6</v>
      </c>
      <c r="J33" s="388">
        <f>SUM(J9:J32)</f>
        <v>100</v>
      </c>
      <c r="K33" s="191"/>
      <c r="L33" s="205" t="e">
        <f ca="1">SUM(L9:L31)</f>
        <v>#REF!</v>
      </c>
      <c r="M33" s="203" t="e">
        <f ca="1">SUM(M9:M31)</f>
        <v>#REF!</v>
      </c>
      <c r="N33" s="205" t="e">
        <f ca="1">SUM(N9:N31)</f>
        <v>#REF!</v>
      </c>
      <c r="O33" s="203" t="e">
        <f ca="1">SUM(O9:O31)</f>
        <v>#REF!</v>
      </c>
      <c r="U33" s="187"/>
    </row>
    <row r="34" spans="1:21" ht="18.75" x14ac:dyDescent="0.3">
      <c r="A34" s="70"/>
      <c r="B34" s="161"/>
      <c r="C34" s="123"/>
      <c r="D34" s="88"/>
      <c r="E34" s="387"/>
      <c r="F34" s="87"/>
      <c r="G34" s="161"/>
      <c r="H34" s="87"/>
      <c r="I34" s="88"/>
      <c r="J34" s="387"/>
      <c r="K34" s="189"/>
      <c r="L34" s="202" t="s">
        <v>1</v>
      </c>
      <c r="M34" s="203"/>
      <c r="N34" s="205"/>
      <c r="O34" s="203"/>
    </row>
    <row r="35" spans="1:21" ht="18.75" x14ac:dyDescent="0.3">
      <c r="A35" s="85" t="s">
        <v>1</v>
      </c>
      <c r="B35" s="161"/>
      <c r="C35" s="123"/>
      <c r="D35" s="88"/>
      <c r="E35" s="387"/>
      <c r="F35" s="87"/>
      <c r="G35" s="161"/>
      <c r="H35" s="87"/>
      <c r="I35" s="88"/>
      <c r="J35" s="387"/>
      <c r="K35" s="189"/>
      <c r="L35" s="206">
        <v>2015</v>
      </c>
      <c r="M35" s="207">
        <v>2016</v>
      </c>
      <c r="N35" s="206">
        <v>2015</v>
      </c>
      <c r="O35" s="207">
        <v>2016</v>
      </c>
      <c r="P35" s="71" t="s">
        <v>148</v>
      </c>
    </row>
    <row r="36" spans="1:21" ht="18.75" x14ac:dyDescent="0.3">
      <c r="A36" s="175" t="s">
        <v>421</v>
      </c>
      <c r="B36" s="114">
        <f>'Storebrand Danica Pensjon'!F7+'Storebrand Danica Pensjon'!F22+'Storebrand Danica Pensjon'!F66+'Storebrand Danica Pensjon'!F134</f>
        <v>1811787.2900899998</v>
      </c>
      <c r="C36" s="114">
        <f>'Storebrand Danica Pensjon'!G7+'Storebrand Danica Pensjon'!G22+'Storebrand Danica Pensjon'!G66+'Storebrand Danica Pensjon'!G134</f>
        <v>0</v>
      </c>
      <c r="D36" s="88">
        <f t="shared" ref="D36:D44" si="12">IF(B36=0, "    ---- ", IF(ABS(ROUND(100/B36*C36-100,1))&lt;999,ROUND(100/B36*C36-100,1),IF(ROUND(100/B36*C36-100,1)&gt;999,999,-999)))</f>
        <v>-100</v>
      </c>
      <c r="E36" s="387">
        <f t="shared" ref="E36:E43" si="13">100/C$44*C36</f>
        <v>0</v>
      </c>
      <c r="F36" s="87"/>
      <c r="G36" s="161">
        <f>'Storebrand Danica Pensjon'!F10+'Storebrand Danica Pensjon'!F29+'Storebrand Danica Pensjon'!F87+'Storebrand Danica Pensjon'!F135</f>
        <v>26046630.689800002</v>
      </c>
      <c r="H36" s="161">
        <f>'Storebrand Danica Pensjon'!G10+'Storebrand Danica Pensjon'!G29+'Storebrand Danica Pensjon'!G87+'Storebrand Danica Pensjon'!G135</f>
        <v>0</v>
      </c>
      <c r="I36" s="88">
        <f t="shared" ref="I36:I44" si="14">IF(G36=0, "    ---- ", IF(ABS(ROUND(100/G36*H36-100,1))&lt;999,ROUND(100/G36*H36-100,1),IF(ROUND(100/G36*H36-100,1)&gt;999,999,-999)))</f>
        <v>-100</v>
      </c>
      <c r="J36" s="387">
        <f t="shared" ref="J36:J43" si="15">100/H$44*H36</f>
        <v>0</v>
      </c>
      <c r="K36" s="189" t="s">
        <v>138</v>
      </c>
      <c r="L36" s="205" t="e">
        <f t="shared" ref="L36:L43" ca="1" si="16">INDIRECT("'" &amp; $A36 &amp; "'!" &amp; $P$35)</f>
        <v>#REF!</v>
      </c>
      <c r="M36" s="203" t="e">
        <f t="shared" ref="M36:M43" ca="1" si="17">INDIRECT("'" &amp; $A36 &amp; "'!" &amp; $P$36)</f>
        <v>#REF!</v>
      </c>
      <c r="N36" s="205" t="e">
        <f t="shared" ref="N36:N43" ca="1" si="18">INDIRECT("'" &amp; $A36 &amp; "'!" &amp; $P$37)</f>
        <v>#REF!</v>
      </c>
      <c r="O36" s="203" t="e">
        <f ca="1">INDIRECT("'"&amp;$A36&amp;"'!"&amp;#REF!)</f>
        <v>#REF!</v>
      </c>
      <c r="P36" s="71" t="s">
        <v>150</v>
      </c>
    </row>
    <row r="37" spans="1:21" ht="18.75" x14ac:dyDescent="0.3">
      <c r="A37" s="70" t="s">
        <v>81</v>
      </c>
      <c r="B37" s="114">
        <f>'DNB Livsforsikring'!F7+'DNB Livsforsikring'!F22+'DNB Livsforsikring'!F66+'DNB Livsforsikring'!F134</f>
        <v>9504232</v>
      </c>
      <c r="C37" s="114">
        <f>'DNB Livsforsikring'!G7+'DNB Livsforsikring'!G22+'DNB Livsforsikring'!G66+'DNB Livsforsikring'!G134</f>
        <v>10894333</v>
      </c>
      <c r="D37" s="88">
        <f t="shared" si="12"/>
        <v>14.6</v>
      </c>
      <c r="E37" s="387">
        <f t="shared" si="13"/>
        <v>24.159502902163773</v>
      </c>
      <c r="F37" s="87"/>
      <c r="G37" s="161">
        <f>'DNB Livsforsikring'!F10+'DNB Livsforsikring'!F29+'DNB Livsforsikring'!F87+'DNB Livsforsikring'!F135</f>
        <v>128365139</v>
      </c>
      <c r="H37" s="161">
        <f>'DNB Livsforsikring'!G10+'DNB Livsforsikring'!G29+'DNB Livsforsikring'!G87+'DNB Livsforsikring'!G135</f>
        <v>155131325</v>
      </c>
      <c r="I37" s="88">
        <f t="shared" si="14"/>
        <v>20.9</v>
      </c>
      <c r="J37" s="387">
        <f t="shared" si="15"/>
        <v>25.407246432756811</v>
      </c>
      <c r="K37" s="71" t="s">
        <v>145</v>
      </c>
      <c r="L37" s="205">
        <f t="shared" ca="1" si="16"/>
        <v>0</v>
      </c>
      <c r="M37" s="203">
        <f t="shared" ca="1" si="17"/>
        <v>0</v>
      </c>
      <c r="N37" s="205">
        <f t="shared" ca="1" si="18"/>
        <v>0</v>
      </c>
      <c r="O37" s="203" t="e">
        <f ca="1">INDIRECT("'"&amp;$A37&amp;"'!"&amp;#REF!)</f>
        <v>#REF!</v>
      </c>
      <c r="P37" s="71" t="s">
        <v>149</v>
      </c>
    </row>
    <row r="38" spans="1:21" ht="18.75" x14ac:dyDescent="0.3">
      <c r="A38" s="92" t="s">
        <v>86</v>
      </c>
      <c r="B38" s="114">
        <f>'Gjensidige Pensjon'!F7+'Gjensidige Pensjon'!F22+'Gjensidige Pensjon'!F66+'Gjensidige Pensjon'!F134</f>
        <v>3199959</v>
      </c>
      <c r="C38" s="114">
        <f>'Gjensidige Pensjon'!G7+'Gjensidige Pensjon'!G22+'Gjensidige Pensjon'!G66+'Gjensidige Pensjon'!G134</f>
        <v>3973127</v>
      </c>
      <c r="D38" s="88">
        <f t="shared" si="12"/>
        <v>24.2</v>
      </c>
      <c r="E38" s="387">
        <f t="shared" si="13"/>
        <v>8.8108903305200279</v>
      </c>
      <c r="F38" s="87"/>
      <c r="G38" s="161">
        <f>'Gjensidige Pensjon'!F10+'Gjensidige Pensjon'!F29+'Gjensidige Pensjon'!F87+'Gjensidige Pensjon'!F135</f>
        <v>40928356</v>
      </c>
      <c r="H38" s="161">
        <f>'Gjensidige Pensjon'!G10+'Gjensidige Pensjon'!G29+'Gjensidige Pensjon'!G87+'Gjensidige Pensjon'!G135</f>
        <v>55439027</v>
      </c>
      <c r="I38" s="88">
        <f t="shared" si="14"/>
        <v>35.5</v>
      </c>
      <c r="J38" s="387">
        <f t="shared" si="15"/>
        <v>9.0797459570545058</v>
      </c>
      <c r="K38" s="71" t="s">
        <v>146</v>
      </c>
      <c r="L38" s="205">
        <f t="shared" ca="1" si="16"/>
        <v>0</v>
      </c>
      <c r="M38" s="203">
        <f t="shared" ca="1" si="17"/>
        <v>0</v>
      </c>
      <c r="N38" s="205">
        <f t="shared" ca="1" si="18"/>
        <v>0</v>
      </c>
      <c r="O38" s="203" t="e">
        <f ca="1">INDIRECT("'"&amp;$A38&amp;"'!"&amp;#REF!)</f>
        <v>#REF!</v>
      </c>
    </row>
    <row r="39" spans="1:21" ht="18.75" x14ac:dyDescent="0.3">
      <c r="A39" s="92" t="s">
        <v>62</v>
      </c>
      <c r="B39" s="114">
        <f>KLP!F7+KLP!F22+KLP!F66+KLP!F134</f>
        <v>131709.47200000001</v>
      </c>
      <c r="C39" s="114">
        <f>KLP!G7+KLP!G22+KLP!G66+KLP!G134</f>
        <v>212341.89300000001</v>
      </c>
      <c r="D39" s="88">
        <f t="shared" si="12"/>
        <v>61.2</v>
      </c>
      <c r="E39" s="387">
        <f t="shared" si="13"/>
        <v>0.4708938656624917</v>
      </c>
      <c r="F39" s="87"/>
      <c r="G39" s="161">
        <f>KLP!F10+KLP!F29+KLP!F87+KLP!F135</f>
        <v>2548669.2979299999</v>
      </c>
      <c r="H39" s="161">
        <f>KLP!G10+KLP!G29+KLP!G87+KLP!G135</f>
        <v>2854115.91493</v>
      </c>
      <c r="I39" s="88">
        <f t="shared" si="14"/>
        <v>12</v>
      </c>
      <c r="J39" s="387">
        <f t="shared" si="15"/>
        <v>0.46744412450728234</v>
      </c>
      <c r="K39" s="71" t="s">
        <v>139</v>
      </c>
      <c r="L39" s="205">
        <f t="shared" ca="1" si="16"/>
        <v>0</v>
      </c>
      <c r="M39" s="203">
        <f t="shared" ca="1" si="17"/>
        <v>0</v>
      </c>
      <c r="N39" s="205">
        <f t="shared" ca="1" si="18"/>
        <v>0</v>
      </c>
      <c r="O39" s="203" t="e">
        <f ca="1">INDIRECT("'"&amp;$A39&amp;"'!"&amp;#REF!)</f>
        <v>#REF!</v>
      </c>
    </row>
    <row r="40" spans="1:21" ht="18.75" x14ac:dyDescent="0.3">
      <c r="A40" s="92" t="s">
        <v>90</v>
      </c>
      <c r="B40" s="114">
        <f>'Nordea Liv '!F7+'Nordea Liv '!F22+'Nordea Liv '!F66+'Nordea Liv '!F134</f>
        <v>10389567.608209999</v>
      </c>
      <c r="C40" s="114">
        <f>'Nordea Liv '!G7+'Nordea Liv '!G22+'Nordea Liv '!G66+'Nordea Liv '!G134</f>
        <v>11926469.427130001</v>
      </c>
      <c r="D40" s="88">
        <f t="shared" si="12"/>
        <v>14.8</v>
      </c>
      <c r="E40" s="387">
        <f t="shared" si="13"/>
        <v>26.448390437240608</v>
      </c>
      <c r="F40" s="87"/>
      <c r="G40" s="161">
        <f>'Nordea Liv '!F10+'Nordea Liv '!F29+'Nordea Liv '!F87+'Nordea Liv '!F135</f>
        <v>112327400</v>
      </c>
      <c r="H40" s="161">
        <f>'Nordea Liv '!G10+'Nordea Liv '!G29+'Nordea Liv '!G87+'Nordea Liv '!G135</f>
        <v>135812760</v>
      </c>
      <c r="I40" s="88">
        <f t="shared" si="14"/>
        <v>20.9</v>
      </c>
      <c r="J40" s="387">
        <f t="shared" si="15"/>
        <v>22.243272027959904</v>
      </c>
      <c r="K40" s="189"/>
      <c r="L40" s="205">
        <f t="shared" ca="1" si="16"/>
        <v>0</v>
      </c>
      <c r="M40" s="203">
        <f t="shared" ca="1" si="17"/>
        <v>0</v>
      </c>
      <c r="N40" s="205">
        <f t="shared" ca="1" si="18"/>
        <v>0</v>
      </c>
      <c r="O40" s="203" t="e">
        <f ca="1">INDIRECT("'"&amp;$A40&amp;"'!"&amp;#REF!)</f>
        <v>#REF!</v>
      </c>
    </row>
    <row r="41" spans="1:21" ht="18.75" x14ac:dyDescent="0.3">
      <c r="A41" s="92" t="s">
        <v>69</v>
      </c>
      <c r="B41" s="114">
        <f>'SHB Liv'!F7+'SHB Liv'!F22+'SHB Liv'!F66+'SHB Liv'!F134</f>
        <v>82933.019990000015</v>
      </c>
      <c r="C41" s="114">
        <f>'SHB Liv'!G7+'SHB Liv'!G22+'SHB Liv'!G66+'SHB Liv'!G134</f>
        <v>0</v>
      </c>
      <c r="D41" s="88">
        <f t="shared" si="12"/>
        <v>-100</v>
      </c>
      <c r="E41" s="387">
        <f t="shared" si="13"/>
        <v>0</v>
      </c>
      <c r="F41" s="87"/>
      <c r="G41" s="161">
        <f>'SHB Liv'!F10+'SHB Liv'!F29+'SHB Liv'!F87+'SHB Liv'!F135</f>
        <v>2698313.8461000002</v>
      </c>
      <c r="H41" s="161">
        <f>'SHB Liv'!G10+'SHB Liv'!G29+'SHB Liv'!G87+'SHB Liv'!G135</f>
        <v>0</v>
      </c>
      <c r="I41" s="88">
        <f t="shared" si="14"/>
        <v>-100</v>
      </c>
      <c r="J41" s="387">
        <f t="shared" si="15"/>
        <v>0</v>
      </c>
      <c r="K41" s="189"/>
      <c r="L41" s="205">
        <f t="shared" ca="1" si="16"/>
        <v>0</v>
      </c>
      <c r="M41" s="203">
        <f t="shared" ca="1" si="17"/>
        <v>0</v>
      </c>
      <c r="N41" s="205">
        <f t="shared" ca="1" si="18"/>
        <v>0</v>
      </c>
      <c r="O41" s="203" t="e">
        <f ca="1">INDIRECT("'"&amp;$A41&amp;"'!"&amp;#REF!)</f>
        <v>#REF!</v>
      </c>
    </row>
    <row r="42" spans="1:21" ht="18.75" x14ac:dyDescent="0.3">
      <c r="A42" s="70" t="s">
        <v>398</v>
      </c>
      <c r="B42" s="114">
        <f>'Sparebank 1 Fors'!F7+'Sparebank 1 Fors'!F22+'Sparebank 1 Fors'!F66+'Sparebank 1 Fors'!F134</f>
        <v>4592774.7892099991</v>
      </c>
      <c r="C42" s="114">
        <f>'Sparebank 1 Fors'!G7+'Sparebank 1 Fors'!G22+'Sparebank 1 Fors'!G66+'Sparebank 1 Fors'!G134</f>
        <v>5140181.3108099997</v>
      </c>
      <c r="D42" s="88">
        <f t="shared" si="12"/>
        <v>11.9</v>
      </c>
      <c r="E42" s="387">
        <f t="shared" si="13"/>
        <v>11.398974613329901</v>
      </c>
      <c r="F42" s="87"/>
      <c r="G42" s="161">
        <f>'Sparebank 1 Fors'!F10+'Sparebank 1 Fors'!F29+'Sparebank 1 Fors'!F87+'Sparebank 1 Fors'!F135</f>
        <v>51982267.810209997</v>
      </c>
      <c r="H42" s="161">
        <f>'Sparebank 1 Fors'!G10+'Sparebank 1 Fors'!G29+'Sparebank 1 Fors'!G87+'Sparebank 1 Fors'!G135</f>
        <v>64667976.779430002</v>
      </c>
      <c r="I42" s="88">
        <f t="shared" si="14"/>
        <v>24.4</v>
      </c>
      <c r="J42" s="387">
        <f t="shared" si="15"/>
        <v>10.591253715797071</v>
      </c>
      <c r="K42" s="123"/>
      <c r="L42" s="205" t="e">
        <f t="shared" ca="1" si="16"/>
        <v>#REF!</v>
      </c>
      <c r="M42" s="203" t="e">
        <f t="shared" ca="1" si="17"/>
        <v>#REF!</v>
      </c>
      <c r="N42" s="205" t="e">
        <f t="shared" ca="1" si="18"/>
        <v>#REF!</v>
      </c>
      <c r="O42" s="203" t="e">
        <f ca="1">INDIRECT("'"&amp;$A42&amp;"'!"&amp;#REF!)</f>
        <v>#REF!</v>
      </c>
    </row>
    <row r="43" spans="1:21" ht="18.75" x14ac:dyDescent="0.3">
      <c r="A43" s="70" t="s">
        <v>92</v>
      </c>
      <c r="B43" s="114">
        <f>'Storebrand Livsforsikring'!F7+'Storebrand Livsforsikring'!F22+'Storebrand Livsforsikring'!F66+'Storebrand Livsforsikring'!F134</f>
        <v>9839028.0860000011</v>
      </c>
      <c r="C43" s="114">
        <f>'Storebrand Livsforsikring'!G7+'Storebrand Livsforsikring'!G22+'Storebrand Livsforsikring'!G66+'Storebrand Livsforsikring'!G134</f>
        <v>12946913.08986</v>
      </c>
      <c r="D43" s="88">
        <f t="shared" si="12"/>
        <v>31.6</v>
      </c>
      <c r="E43" s="387">
        <f t="shared" si="13"/>
        <v>28.711347851083204</v>
      </c>
      <c r="F43" s="87"/>
      <c r="G43" s="161">
        <f>'Storebrand Livsforsikring'!F10+'Storebrand Livsforsikring'!F29+'Storebrand Livsforsikring'!F87+'Storebrand Livsforsikring'!F135</f>
        <v>143649383.581</v>
      </c>
      <c r="H43" s="161">
        <f>'Storebrand Livsforsikring'!G10+'Storebrand Livsforsikring'!G29+'Storebrand Livsforsikring'!G87+'Storebrand Livsforsikring'!G135</f>
        <v>196673849.63398999</v>
      </c>
      <c r="I43" s="88">
        <f t="shared" si="14"/>
        <v>36.9</v>
      </c>
      <c r="J43" s="387">
        <f t="shared" si="15"/>
        <v>32.211037741924407</v>
      </c>
      <c r="K43" s="123"/>
      <c r="L43" s="205">
        <f t="shared" ca="1" si="16"/>
        <v>0</v>
      </c>
      <c r="M43" s="203">
        <f t="shared" ca="1" si="17"/>
        <v>0</v>
      </c>
      <c r="N43" s="205">
        <f t="shared" ca="1" si="18"/>
        <v>0</v>
      </c>
      <c r="O43" s="203" t="e">
        <f ca="1">INDIRECT("'"&amp;$A43&amp;"'!"&amp;#REF!)</f>
        <v>#REF!</v>
      </c>
    </row>
    <row r="44" spans="1:21" s="96" customFormat="1" ht="18.75" x14ac:dyDescent="0.3">
      <c r="A44" s="85" t="s">
        <v>96</v>
      </c>
      <c r="B44" s="223">
        <f>SUM(B36:B43)</f>
        <v>39551991.265500002</v>
      </c>
      <c r="C44" s="223">
        <f>SUM(C36:C43)</f>
        <v>45093365.720799997</v>
      </c>
      <c r="D44" s="88">
        <f t="shared" si="12"/>
        <v>14</v>
      </c>
      <c r="E44" s="388">
        <f>SUM(E36:E43)</f>
        <v>100</v>
      </c>
      <c r="F44" s="94"/>
      <c r="G44" s="163">
        <f>SUM(G36:G43)</f>
        <v>508546160.22503996</v>
      </c>
      <c r="H44" s="163">
        <f>SUM(H36:H43)</f>
        <v>610579054.32835007</v>
      </c>
      <c r="I44" s="88">
        <f t="shared" si="14"/>
        <v>20.100000000000001</v>
      </c>
      <c r="J44" s="388">
        <f>SUM(J36:J43)</f>
        <v>99.999999999999972</v>
      </c>
      <c r="K44" s="123"/>
      <c r="L44" s="205" t="e">
        <f ca="1">SUM(L36:L43)</f>
        <v>#REF!</v>
      </c>
      <c r="M44" s="203" t="e">
        <f ca="1">SUM(M36:M43)</f>
        <v>#REF!</v>
      </c>
      <c r="N44" s="205" t="e">
        <f ca="1">SUM(N36:N43)</f>
        <v>#REF!</v>
      </c>
      <c r="O44" s="203" t="e">
        <f ca="1">SUM(O36:O43)</f>
        <v>#REF!</v>
      </c>
    </row>
    <row r="45" spans="1:21" ht="18.75" x14ac:dyDescent="0.3">
      <c r="A45" s="85"/>
      <c r="B45" s="114"/>
      <c r="C45" s="94"/>
      <c r="D45" s="95"/>
      <c r="E45" s="387"/>
      <c r="F45" s="94"/>
      <c r="G45" s="163"/>
      <c r="H45" s="94"/>
      <c r="I45" s="95"/>
      <c r="J45" s="388"/>
      <c r="K45" s="123"/>
      <c r="L45" s="202" t="s">
        <v>97</v>
      </c>
      <c r="M45" s="208"/>
      <c r="N45" s="209"/>
      <c r="O45" s="208"/>
    </row>
    <row r="46" spans="1:21" ht="18.75" x14ac:dyDescent="0.3">
      <c r="A46" s="70"/>
      <c r="B46" s="114"/>
      <c r="C46" s="87"/>
      <c r="D46" s="88"/>
      <c r="E46" s="387"/>
      <c r="F46" s="87"/>
      <c r="G46" s="161"/>
      <c r="H46" s="87"/>
      <c r="I46" s="88"/>
      <c r="J46" s="387"/>
      <c r="K46" s="123"/>
      <c r="L46" s="206">
        <v>2015</v>
      </c>
      <c r="M46" s="207">
        <v>2016</v>
      </c>
      <c r="N46" s="206">
        <v>2015</v>
      </c>
      <c r="O46" s="207">
        <v>2016</v>
      </c>
    </row>
    <row r="47" spans="1:21" ht="18.75" x14ac:dyDescent="0.3">
      <c r="A47" s="85" t="s">
        <v>97</v>
      </c>
      <c r="B47" s="114"/>
      <c r="C47" s="87"/>
      <c r="D47" s="88"/>
      <c r="E47" s="387"/>
      <c r="F47" s="87"/>
      <c r="G47" s="161"/>
      <c r="H47" s="87"/>
      <c r="I47" s="88"/>
      <c r="J47" s="387"/>
      <c r="K47" s="123"/>
      <c r="L47" s="205"/>
      <c r="M47" s="203"/>
      <c r="N47" s="205"/>
      <c r="O47" s="203"/>
      <c r="P47" s="189"/>
      <c r="Q47" s="189"/>
      <c r="R47" s="189"/>
      <c r="S47" s="166"/>
      <c r="T47" s="123"/>
    </row>
    <row r="48" spans="1:21" ht="18.75" x14ac:dyDescent="0.3">
      <c r="A48" s="175" t="s">
        <v>421</v>
      </c>
      <c r="B48" s="114">
        <f>B9+B36</f>
        <v>2149078.5386099997</v>
      </c>
      <c r="C48" s="87">
        <f>C9+C36</f>
        <v>0</v>
      </c>
      <c r="D48" s="88">
        <f t="shared" ref="D48:D71" si="19">IF(B48=0, "    ---- ", IF(ABS(ROUND(100/B48*C48-100,1))&lt;999,ROUND(100/B48*C48-100,1),IF(ROUND(100/B48*C48-100,1)&gt;999,999,-999)))</f>
        <v>-100</v>
      </c>
      <c r="E48" s="387">
        <f t="shared" ref="E48:E70" si="20">100/C$73*C48</f>
        <v>0</v>
      </c>
      <c r="F48" s="87"/>
      <c r="G48" s="161">
        <f>G9+G36</f>
        <v>27557690.923800003</v>
      </c>
      <c r="H48" s="161">
        <f>H9+H36</f>
        <v>0</v>
      </c>
      <c r="I48" s="88">
        <f t="shared" ref="I48:I68" si="21">IF(G48=0, "    ---- ", IF(ABS(ROUND(100/G48*H48-100,1))&lt;999,ROUND(100/G48*H48-100,1),IF(ROUND(100/G48*H48-100,1)&gt;999,999,-999)))</f>
        <v>-100</v>
      </c>
      <c r="J48" s="387">
        <f t="shared" ref="J48:J70" si="22">100/H$73*H48</f>
        <v>0</v>
      </c>
      <c r="K48" s="123"/>
      <c r="L48" s="205" t="e">
        <f ca="1">L10+L36</f>
        <v>#REF!</v>
      </c>
      <c r="M48" s="203" t="e">
        <f ca="1">M10+M36</f>
        <v>#REF!</v>
      </c>
      <c r="N48" s="205" t="e">
        <f ca="1">N10+N36</f>
        <v>#REF!</v>
      </c>
      <c r="O48" s="203" t="e">
        <f ca="1">O10+O36</f>
        <v>#REF!</v>
      </c>
      <c r="P48" s="189"/>
      <c r="Q48" s="189"/>
      <c r="R48" s="189"/>
      <c r="S48" s="166"/>
      <c r="T48" s="123"/>
    </row>
    <row r="49" spans="1:20" ht="18.75" x14ac:dyDescent="0.3">
      <c r="A49" s="70" t="s">
        <v>81</v>
      </c>
      <c r="B49" s="114">
        <f>B10+B37</f>
        <v>12206643</v>
      </c>
      <c r="C49" s="87">
        <f>+C10+C37</f>
        <v>13562823</v>
      </c>
      <c r="D49" s="88">
        <f t="shared" si="19"/>
        <v>11.1</v>
      </c>
      <c r="E49" s="387">
        <f t="shared" si="20"/>
        <v>10.126031123528243</v>
      </c>
      <c r="F49" s="87"/>
      <c r="G49" s="161">
        <f>+G10+G37</f>
        <v>318264016.81169999</v>
      </c>
      <c r="H49" s="161">
        <f>+H10+H37</f>
        <v>338350689</v>
      </c>
      <c r="I49" s="88">
        <f t="shared" si="21"/>
        <v>6.3</v>
      </c>
      <c r="J49" s="387">
        <f t="shared" si="22"/>
        <v>17.953434799210022</v>
      </c>
      <c r="K49" s="123"/>
      <c r="L49" s="205">
        <f ca="1">L11+L37</f>
        <v>0</v>
      </c>
      <c r="M49" s="203">
        <f ca="1">+M11+M37</f>
        <v>0</v>
      </c>
      <c r="N49" s="205">
        <f ca="1">+N11+N37</f>
        <v>0</v>
      </c>
      <c r="O49" s="203" t="e">
        <f ca="1">+O11+O37</f>
        <v>#REF!</v>
      </c>
      <c r="P49" s="189"/>
      <c r="Q49" s="189"/>
      <c r="R49" s="189"/>
      <c r="S49" s="166"/>
      <c r="T49" s="123"/>
    </row>
    <row r="50" spans="1:20" ht="18.75" x14ac:dyDescent="0.3">
      <c r="A50" s="70" t="s">
        <v>82</v>
      </c>
      <c r="B50" s="114">
        <f t="shared" ref="B50:C54" si="23">B11</f>
        <v>335934</v>
      </c>
      <c r="C50" s="87">
        <f t="shared" si="23"/>
        <v>419288</v>
      </c>
      <c r="D50" s="88">
        <f t="shared" si="19"/>
        <v>24.8</v>
      </c>
      <c r="E50" s="387">
        <f t="shared" si="20"/>
        <v>0.3130412700749623</v>
      </c>
      <c r="F50" s="87"/>
      <c r="G50" s="161">
        <f t="shared" ref="G50:H54" si="24">G11</f>
        <v>0</v>
      </c>
      <c r="H50" s="161">
        <f t="shared" si="24"/>
        <v>0</v>
      </c>
      <c r="I50" s="88"/>
      <c r="J50" s="387">
        <f t="shared" si="22"/>
        <v>0</v>
      </c>
      <c r="K50" s="123"/>
      <c r="L50" s="205">
        <f ca="1">L13</f>
        <v>0</v>
      </c>
      <c r="M50" s="203">
        <f ca="1">M13</f>
        <v>0</v>
      </c>
      <c r="N50" s="205">
        <f ca="1">N13</f>
        <v>0</v>
      </c>
      <c r="O50" s="203" t="e">
        <f ca="1">+O13+#REF!</f>
        <v>#REF!</v>
      </c>
      <c r="P50" s="189"/>
      <c r="Q50" s="189"/>
      <c r="R50" s="189"/>
      <c r="S50" s="166"/>
      <c r="T50" s="123"/>
    </row>
    <row r="51" spans="1:20" ht="18.75" x14ac:dyDescent="0.3">
      <c r="A51" s="70" t="s">
        <v>395</v>
      </c>
      <c r="B51" s="114">
        <f t="shared" si="23"/>
        <v>26920</v>
      </c>
      <c r="C51" s="114">
        <f t="shared" si="23"/>
        <v>42908</v>
      </c>
      <c r="D51" s="88">
        <f t="shared" ref="D51" si="25">IF(B51=0, "    ---- ", IF(ABS(ROUND(100/B51*C51-100,1))&lt;999,ROUND(100/B51*C51-100,1),IF(ROUND(100/B51*C51-100,1)&gt;999,999,-999)))</f>
        <v>59.4</v>
      </c>
      <c r="E51" s="387">
        <f t="shared" si="20"/>
        <v>3.203519971088245E-2</v>
      </c>
      <c r="F51" s="87"/>
      <c r="G51" s="161">
        <f t="shared" si="24"/>
        <v>0</v>
      </c>
      <c r="H51" s="161">
        <f t="shared" si="24"/>
        <v>0</v>
      </c>
      <c r="I51" s="88"/>
      <c r="J51" s="387">
        <f t="shared" si="22"/>
        <v>0</v>
      </c>
      <c r="K51" s="123"/>
      <c r="L51" s="205"/>
      <c r="M51" s="203"/>
      <c r="N51" s="205"/>
      <c r="O51" s="203"/>
      <c r="P51" s="189"/>
      <c r="Q51" s="189"/>
      <c r="R51" s="189"/>
      <c r="S51" s="166"/>
      <c r="T51" s="123"/>
    </row>
    <row r="52" spans="1:20" ht="18.75" x14ac:dyDescent="0.3">
      <c r="A52" s="92" t="s">
        <v>380</v>
      </c>
      <c r="B52" s="114">
        <f t="shared" si="23"/>
        <v>2472117.6320799999</v>
      </c>
      <c r="C52" s="114">
        <f t="shared" si="23"/>
        <v>2646203.67337</v>
      </c>
      <c r="D52" s="88">
        <f t="shared" ref="D52" si="26">IF(B52=0, "    ---- ", IF(ABS(ROUND(100/B52*C52-100,1))&lt;999,ROUND(100/B52*C52-100,1),IF(ROUND(100/B52*C52-100,1)&gt;999,999,-999)))</f>
        <v>7</v>
      </c>
      <c r="E52" s="387">
        <f t="shared" si="20"/>
        <v>1.9756610224685072</v>
      </c>
      <c r="F52" s="87"/>
      <c r="G52" s="161">
        <f t="shared" si="24"/>
        <v>4663711.9526500003</v>
      </c>
      <c r="H52" s="161">
        <f t="shared" si="24"/>
        <v>5178287.9737800006</v>
      </c>
      <c r="I52" s="88">
        <f t="shared" ref="I52" si="27">IF(G52=0, "    ---- ", IF(ABS(ROUND(100/G52*H52-100,1))&lt;999,ROUND(100/G52*H52-100,1),IF(ROUND(100/G52*H52-100,1)&gt;999,999,-999)))</f>
        <v>11</v>
      </c>
      <c r="J52" s="387">
        <f t="shared" si="22"/>
        <v>0.27476833513642596</v>
      </c>
      <c r="K52" s="123"/>
      <c r="L52" s="205"/>
      <c r="M52" s="203"/>
      <c r="N52" s="205"/>
      <c r="O52" s="203"/>
      <c r="P52" s="189"/>
      <c r="Q52" s="189"/>
      <c r="R52" s="189"/>
      <c r="S52" s="166"/>
      <c r="T52" s="123"/>
    </row>
    <row r="53" spans="1:20" ht="18.75" x14ac:dyDescent="0.3">
      <c r="A53" s="92" t="s">
        <v>83</v>
      </c>
      <c r="B53" s="114">
        <f t="shared" si="23"/>
        <v>507793</v>
      </c>
      <c r="C53" s="90">
        <f t="shared" si="23"/>
        <v>558666</v>
      </c>
      <c r="D53" s="91">
        <f t="shared" si="19"/>
        <v>10</v>
      </c>
      <c r="E53" s="389">
        <f t="shared" si="20"/>
        <v>0.41710116718746748</v>
      </c>
      <c r="F53" s="90"/>
      <c r="G53" s="162">
        <f t="shared" si="24"/>
        <v>1264435</v>
      </c>
      <c r="H53" s="162">
        <f t="shared" si="24"/>
        <v>1615536</v>
      </c>
      <c r="I53" s="88">
        <f t="shared" si="21"/>
        <v>27.8</v>
      </c>
      <c r="J53" s="387">
        <f t="shared" si="22"/>
        <v>8.5722953091951784E-2</v>
      </c>
      <c r="K53" s="123"/>
      <c r="L53" s="205" t="e">
        <f ca="1">L15+#REF!</f>
        <v>#REF!</v>
      </c>
      <c r="M53" s="203" t="e">
        <f ca="1">M15+#REF!</f>
        <v>#REF!</v>
      </c>
      <c r="N53" s="205" t="e">
        <f ca="1">N15+#REF!</f>
        <v>#REF!</v>
      </c>
      <c r="O53" s="203" t="e">
        <f ca="1">O15+#REF!</f>
        <v>#REF!</v>
      </c>
      <c r="P53" s="192"/>
      <c r="Q53" s="192"/>
      <c r="R53" s="192"/>
      <c r="S53" s="166"/>
      <c r="T53" s="123"/>
    </row>
    <row r="54" spans="1:20" ht="18.75" x14ac:dyDescent="0.3">
      <c r="A54" s="92" t="s">
        <v>84</v>
      </c>
      <c r="B54" s="114">
        <f t="shared" si="23"/>
        <v>6370.085</v>
      </c>
      <c r="C54" s="90">
        <f t="shared" si="23"/>
        <v>6433.6</v>
      </c>
      <c r="D54" s="91">
        <f t="shared" si="19"/>
        <v>1</v>
      </c>
      <c r="E54" s="389">
        <f t="shared" si="20"/>
        <v>4.8033387913660238E-3</v>
      </c>
      <c r="F54" s="90"/>
      <c r="G54" s="162">
        <f t="shared" si="24"/>
        <v>0</v>
      </c>
      <c r="H54" s="162">
        <f t="shared" si="24"/>
        <v>0</v>
      </c>
      <c r="I54" s="88"/>
      <c r="J54" s="387">
        <f t="shared" si="22"/>
        <v>0</v>
      </c>
      <c r="K54" s="123"/>
      <c r="L54" s="205">
        <f ca="1">L16</f>
        <v>0</v>
      </c>
      <c r="M54" s="203">
        <f ca="1">M16</f>
        <v>0</v>
      </c>
      <c r="N54" s="205">
        <f ca="1">N16</f>
        <v>0</v>
      </c>
      <c r="O54" s="203">
        <f ca="1">O16</f>
        <v>0</v>
      </c>
      <c r="P54" s="192"/>
      <c r="Q54" s="192"/>
      <c r="R54" s="192"/>
      <c r="S54" s="166"/>
      <c r="T54" s="123"/>
    </row>
    <row r="55" spans="1:20" ht="18.75" x14ac:dyDescent="0.3">
      <c r="A55" s="70" t="s">
        <v>85</v>
      </c>
      <c r="B55" s="87">
        <f>B16</f>
        <v>1802206.75</v>
      </c>
      <c r="C55" s="87">
        <f>+C16</f>
        <v>1932975.6639999999</v>
      </c>
      <c r="D55" s="88">
        <f t="shared" si="19"/>
        <v>7.3</v>
      </c>
      <c r="E55" s="387">
        <f t="shared" si="20"/>
        <v>1.4431635460174235</v>
      </c>
      <c r="F55" s="87"/>
      <c r="G55" s="161">
        <f>+G16</f>
        <v>0</v>
      </c>
      <c r="H55" s="161">
        <f>+H16</f>
        <v>0</v>
      </c>
      <c r="I55" s="88"/>
      <c r="J55" s="387">
        <f t="shared" si="22"/>
        <v>0</v>
      </c>
      <c r="K55" s="123"/>
      <c r="L55" s="205">
        <f ca="1">L17</f>
        <v>0</v>
      </c>
      <c r="M55" s="203">
        <f ca="1">+M17</f>
        <v>0</v>
      </c>
      <c r="N55" s="205">
        <f ca="1">+N17</f>
        <v>0</v>
      </c>
      <c r="O55" s="203">
        <f ca="1">+O17</f>
        <v>0</v>
      </c>
      <c r="P55" s="189"/>
      <c r="Q55" s="189"/>
      <c r="R55" s="189"/>
      <c r="S55" s="166"/>
      <c r="T55" s="123"/>
    </row>
    <row r="56" spans="1:20" ht="18.75" x14ac:dyDescent="0.3">
      <c r="A56" s="70" t="s">
        <v>86</v>
      </c>
      <c r="B56" s="87">
        <f>B17+B38</f>
        <v>3825451</v>
      </c>
      <c r="C56" s="87">
        <f>C17+C38</f>
        <v>4682491</v>
      </c>
      <c r="D56" s="88">
        <f t="shared" si="19"/>
        <v>22.4</v>
      </c>
      <c r="E56" s="387">
        <f t="shared" si="20"/>
        <v>3.4959572650650155</v>
      </c>
      <c r="F56" s="87"/>
      <c r="G56" s="161">
        <f>G17+G38</f>
        <v>49645333</v>
      </c>
      <c r="H56" s="161">
        <f>H17+H38</f>
        <v>67415381</v>
      </c>
      <c r="I56" s="88">
        <f t="shared" si="21"/>
        <v>35.799999999999997</v>
      </c>
      <c r="J56" s="387">
        <f t="shared" si="22"/>
        <v>3.5771691519960291</v>
      </c>
      <c r="K56" s="123"/>
      <c r="L56" s="205">
        <f ca="1">L18+L38</f>
        <v>0</v>
      </c>
      <c r="M56" s="203">
        <f ca="1">M18+M38</f>
        <v>0</v>
      </c>
      <c r="N56" s="205">
        <f ca="1">N18+N38</f>
        <v>0</v>
      </c>
      <c r="O56" s="203" t="e">
        <f ca="1">O18+O38</f>
        <v>#REF!</v>
      </c>
      <c r="P56" s="189"/>
      <c r="Q56" s="189"/>
      <c r="R56" s="189"/>
      <c r="S56" s="166"/>
      <c r="T56" s="123"/>
    </row>
    <row r="57" spans="1:20" ht="18.75" x14ac:dyDescent="0.3">
      <c r="A57" s="70" t="s">
        <v>87</v>
      </c>
      <c r="B57" s="87">
        <f>B18</f>
        <v>37716.661089999994</v>
      </c>
      <c r="C57" s="87">
        <f>+C18</f>
        <v>0</v>
      </c>
      <c r="D57" s="88">
        <f t="shared" si="19"/>
        <v>-100</v>
      </c>
      <c r="E57" s="387">
        <f t="shared" si="20"/>
        <v>0</v>
      </c>
      <c r="F57" s="87"/>
      <c r="G57" s="161">
        <f>+G18</f>
        <v>1519.5954100000001</v>
      </c>
      <c r="H57" s="161">
        <f>+H18</f>
        <v>0</v>
      </c>
      <c r="I57" s="88">
        <f t="shared" si="21"/>
        <v>-100</v>
      </c>
      <c r="J57" s="387">
        <f t="shared" si="22"/>
        <v>0</v>
      </c>
      <c r="K57" s="123"/>
      <c r="L57" s="205">
        <f ca="1">L19</f>
        <v>0</v>
      </c>
      <c r="M57" s="203">
        <f ca="1">+M19</f>
        <v>0</v>
      </c>
      <c r="N57" s="205">
        <f ca="1">+N19</f>
        <v>0</v>
      </c>
      <c r="O57" s="203">
        <f ca="1">+O19</f>
        <v>0</v>
      </c>
      <c r="P57" s="189"/>
      <c r="Q57" s="189"/>
      <c r="R57" s="189"/>
      <c r="S57" s="166"/>
      <c r="T57" s="123"/>
    </row>
    <row r="58" spans="1:20" ht="18.75" x14ac:dyDescent="0.3">
      <c r="A58" s="70" t="s">
        <v>88</v>
      </c>
      <c r="B58" s="87">
        <f>B19</f>
        <v>461957.49523765099</v>
      </c>
      <c r="C58" s="87">
        <f>+C19</f>
        <v>512230.04208588699</v>
      </c>
      <c r="D58" s="88">
        <f t="shared" si="19"/>
        <v>10.9</v>
      </c>
      <c r="E58" s="387">
        <f t="shared" si="20"/>
        <v>0.38243198695196962</v>
      </c>
      <c r="F58" s="87"/>
      <c r="G58" s="161">
        <f>+G19</f>
        <v>0</v>
      </c>
      <c r="H58" s="161">
        <f>+H19</f>
        <v>0</v>
      </c>
      <c r="I58" s="88"/>
      <c r="J58" s="387">
        <f t="shared" si="22"/>
        <v>0</v>
      </c>
      <c r="K58" s="123"/>
      <c r="L58" s="205" t="e">
        <f>#REF!</f>
        <v>#REF!</v>
      </c>
      <c r="M58" s="203" t="e">
        <f>+#REF!</f>
        <v>#REF!</v>
      </c>
      <c r="N58" s="205" t="e">
        <f>+#REF!</f>
        <v>#REF!</v>
      </c>
      <c r="O58" s="203" t="e">
        <f>+#REF!</f>
        <v>#REF!</v>
      </c>
      <c r="P58" s="189"/>
      <c r="Q58" s="189"/>
      <c r="R58" s="189"/>
      <c r="S58" s="166"/>
      <c r="T58" s="123"/>
    </row>
    <row r="59" spans="1:20" ht="18.75" x14ac:dyDescent="0.3">
      <c r="A59" s="70" t="s">
        <v>62</v>
      </c>
      <c r="B59" s="90">
        <f>B20+B39</f>
        <v>40247752.088570006</v>
      </c>
      <c r="C59" s="90">
        <f>C20+C39</f>
        <v>59940916.974890001</v>
      </c>
      <c r="D59" s="91">
        <f t="shared" si="19"/>
        <v>48.9</v>
      </c>
      <c r="E59" s="389">
        <f t="shared" si="20"/>
        <v>44.752010024797826</v>
      </c>
      <c r="F59" s="90"/>
      <c r="G59" s="162">
        <f>G20+G39</f>
        <v>641767961.65068996</v>
      </c>
      <c r="H59" s="162">
        <f>H20+H39</f>
        <v>704753984.32969999</v>
      </c>
      <c r="I59" s="88">
        <f t="shared" si="21"/>
        <v>9.8000000000000007</v>
      </c>
      <c r="J59" s="387">
        <f t="shared" si="22"/>
        <v>37.395386261934732</v>
      </c>
      <c r="K59" s="123"/>
      <c r="L59" s="205">
        <f ca="1">L32+L39</f>
        <v>0</v>
      </c>
      <c r="M59" s="203">
        <f ca="1">M32+M39</f>
        <v>0</v>
      </c>
      <c r="N59" s="205">
        <f ca="1">N32+N39</f>
        <v>0</v>
      </c>
      <c r="O59" s="203" t="e">
        <f ca="1">O32+O39</f>
        <v>#REF!</v>
      </c>
      <c r="P59" s="192"/>
      <c r="Q59" s="192"/>
      <c r="R59" s="192"/>
      <c r="S59" s="166"/>
      <c r="T59" s="123"/>
    </row>
    <row r="60" spans="1:20" ht="18.75" x14ac:dyDescent="0.3">
      <c r="A60" s="70" t="s">
        <v>89</v>
      </c>
      <c r="B60" s="87">
        <f t="shared" ref="B60:C62" si="28">B21</f>
        <v>293311.63199999998</v>
      </c>
      <c r="C60" s="87">
        <f t="shared" si="28"/>
        <v>312830.96100000001</v>
      </c>
      <c r="D60" s="88">
        <f t="shared" si="19"/>
        <v>6.7</v>
      </c>
      <c r="E60" s="387">
        <f t="shared" si="20"/>
        <v>0.23356022912702246</v>
      </c>
      <c r="F60" s="87"/>
      <c r="G60" s="161">
        <f t="shared" ref="G60:H62" si="29">G21</f>
        <v>99044.30799999999</v>
      </c>
      <c r="H60" s="161">
        <f t="shared" si="29"/>
        <v>127284.87</v>
      </c>
      <c r="I60" s="88">
        <f t="shared" si="21"/>
        <v>28.5</v>
      </c>
      <c r="J60" s="387">
        <f t="shared" si="22"/>
        <v>6.7539410699143688E-3</v>
      </c>
      <c r="K60" s="123"/>
      <c r="L60" s="205">
        <f ca="1">L22</f>
        <v>0</v>
      </c>
      <c r="M60" s="203">
        <f ca="1">M22</f>
        <v>0</v>
      </c>
      <c r="N60" s="205">
        <f ca="1">N22</f>
        <v>0</v>
      </c>
      <c r="O60" s="203">
        <f ca="1">O22</f>
        <v>0</v>
      </c>
      <c r="P60" s="189"/>
      <c r="Q60" s="189"/>
      <c r="R60" s="189"/>
      <c r="S60" s="166"/>
      <c r="T60" s="123"/>
    </row>
    <row r="61" spans="1:20" ht="18.75" x14ac:dyDescent="0.3">
      <c r="A61" s="93" t="s">
        <v>390</v>
      </c>
      <c r="B61" s="87">
        <f t="shared" si="28"/>
        <v>28431</v>
      </c>
      <c r="C61" s="87">
        <f t="shared" si="28"/>
        <v>29620</v>
      </c>
      <c r="D61" s="88">
        <f t="shared" si="19"/>
        <v>4.2</v>
      </c>
      <c r="E61" s="387">
        <f t="shared" si="20"/>
        <v>2.211435199581286E-2</v>
      </c>
      <c r="F61" s="87"/>
      <c r="G61" s="161">
        <f t="shared" si="29"/>
        <v>0</v>
      </c>
      <c r="H61" s="161">
        <f t="shared" si="29"/>
        <v>0</v>
      </c>
      <c r="I61" s="88"/>
      <c r="J61" s="387">
        <f t="shared" si="22"/>
        <v>0</v>
      </c>
      <c r="K61" s="123"/>
      <c r="L61" s="205">
        <f ca="1">L24</f>
        <v>0</v>
      </c>
      <c r="M61" s="203">
        <f ca="1">M24</f>
        <v>0</v>
      </c>
      <c r="N61" s="205">
        <f ca="1">N24</f>
        <v>0</v>
      </c>
      <c r="O61" s="203">
        <f ca="1">O24</f>
        <v>0</v>
      </c>
      <c r="P61" s="189"/>
      <c r="Q61" s="189"/>
      <c r="R61" s="189"/>
      <c r="S61" s="166"/>
      <c r="T61" s="123"/>
    </row>
    <row r="62" spans="1:20" ht="18.75" x14ac:dyDescent="0.3">
      <c r="A62" s="93" t="s">
        <v>399</v>
      </c>
      <c r="B62" s="87">
        <f t="shared" si="28"/>
        <v>16353.946</v>
      </c>
      <c r="C62" s="87">
        <f t="shared" si="28"/>
        <v>21105.620999999999</v>
      </c>
      <c r="D62" s="88">
        <f t="shared" ref="D62" si="30">IF(B62=0, "    ---- ", IF(ABS(ROUND(100/B62*C62-100,1))&lt;999,ROUND(100/B62*C62-100,1),IF(ROUND(100/B62*C62-100,1)&gt;999,999,-999)))</f>
        <v>29.1</v>
      </c>
      <c r="E62" s="387">
        <f t="shared" si="20"/>
        <v>1.5757499388393645E-2</v>
      </c>
      <c r="F62" s="87"/>
      <c r="G62" s="161">
        <f t="shared" si="29"/>
        <v>0</v>
      </c>
      <c r="H62" s="161">
        <f t="shared" si="29"/>
        <v>0</v>
      </c>
      <c r="I62" s="88"/>
      <c r="J62" s="387">
        <f t="shared" si="22"/>
        <v>0</v>
      </c>
      <c r="K62" s="123"/>
      <c r="L62" s="205"/>
      <c r="M62" s="203"/>
      <c r="N62" s="205"/>
      <c r="O62" s="203"/>
      <c r="P62" s="189"/>
      <c r="Q62" s="189"/>
      <c r="R62" s="189"/>
      <c r="S62" s="166"/>
      <c r="T62" s="123"/>
    </row>
    <row r="63" spans="1:20" ht="18.75" x14ac:dyDescent="0.3">
      <c r="A63" s="92" t="s">
        <v>64</v>
      </c>
      <c r="B63" s="87">
        <f>B24+B40</f>
        <v>11662130.743302912</v>
      </c>
      <c r="C63" s="87">
        <f>+C24+C40</f>
        <v>13323241.36048534</v>
      </c>
      <c r="D63" s="88">
        <f t="shared" si="19"/>
        <v>14.2</v>
      </c>
      <c r="E63" s="387">
        <f t="shared" si="20"/>
        <v>9.947158986189919</v>
      </c>
      <c r="F63" s="87"/>
      <c r="G63" s="161">
        <f>+G24+G40</f>
        <v>167207590.00000879</v>
      </c>
      <c r="H63" s="161">
        <f>+H24+H40</f>
        <v>190108430.0000034</v>
      </c>
      <c r="I63" s="88">
        <f t="shared" si="21"/>
        <v>13.7</v>
      </c>
      <c r="J63" s="387">
        <f t="shared" si="22"/>
        <v>10.087460772941544</v>
      </c>
      <c r="K63" s="123"/>
      <c r="L63" s="205">
        <f ca="1">L25+L40</f>
        <v>0</v>
      </c>
      <c r="M63" s="203">
        <f ca="1">+M25+M40</f>
        <v>0</v>
      </c>
      <c r="N63" s="205">
        <f ca="1">+N25+N40</f>
        <v>0</v>
      </c>
      <c r="O63" s="203" t="e">
        <f ca="1">+O25+O40</f>
        <v>#REF!</v>
      </c>
      <c r="P63" s="189"/>
      <c r="Q63" s="189"/>
      <c r="R63" s="189"/>
      <c r="S63" s="166"/>
      <c r="T63" s="123"/>
    </row>
    <row r="64" spans="1:20" ht="18.75" customHeight="1" x14ac:dyDescent="0.3">
      <c r="A64" s="92" t="s">
        <v>91</v>
      </c>
      <c r="B64" s="87">
        <f>B25</f>
        <v>7048000</v>
      </c>
      <c r="C64" s="87">
        <f>C25</f>
        <v>9303000</v>
      </c>
      <c r="D64" s="88">
        <f t="shared" si="19"/>
        <v>32</v>
      </c>
      <c r="E64" s="387">
        <f t="shared" si="20"/>
        <v>6.945638643384437</v>
      </c>
      <c r="F64" s="87"/>
      <c r="G64" s="161">
        <f>G25</f>
        <v>85289000</v>
      </c>
      <c r="H64" s="161">
        <f>H25</f>
        <v>91739000</v>
      </c>
      <c r="I64" s="88">
        <f t="shared" si="21"/>
        <v>7.6</v>
      </c>
      <c r="J64" s="387">
        <f t="shared" si="22"/>
        <v>4.8678197166157631</v>
      </c>
      <c r="K64" s="123"/>
      <c r="L64" s="205">
        <f ca="1">L26</f>
        <v>0</v>
      </c>
      <c r="M64" s="203">
        <f ca="1">M26</f>
        <v>0</v>
      </c>
      <c r="N64" s="205">
        <f ca="1">N26</f>
        <v>0</v>
      </c>
      <c r="O64" s="203">
        <f ca="1">O26</f>
        <v>0</v>
      </c>
      <c r="P64" s="189"/>
      <c r="Q64" s="189"/>
      <c r="R64" s="189"/>
      <c r="S64" s="166"/>
      <c r="T64" s="123"/>
    </row>
    <row r="65" spans="1:240" ht="18.75" customHeight="1" x14ac:dyDescent="0.3">
      <c r="A65" s="92" t="s">
        <v>346</v>
      </c>
      <c r="B65" s="87">
        <f>B26</f>
        <v>338102.51378736005</v>
      </c>
      <c r="C65" s="87">
        <f>C26</f>
        <v>364919.81156887702</v>
      </c>
      <c r="D65" s="88">
        <f t="shared" ref="D65" si="31">IF(B65=0, "    ---- ", IF(ABS(ROUND(100/B65*C65-100,1))&lt;999,ROUND(100/B65*C65-100,1),IF(ROUND(100/B65*C65-100,1)&gt;999,999,-999)))</f>
        <v>7.9</v>
      </c>
      <c r="E65" s="387">
        <f t="shared" si="20"/>
        <v>0.2724498704685972</v>
      </c>
      <c r="F65" s="87"/>
      <c r="G65" s="161">
        <f>G26</f>
        <v>0</v>
      </c>
      <c r="H65" s="161">
        <f>H26</f>
        <v>0</v>
      </c>
      <c r="I65" s="88"/>
      <c r="J65" s="387">
        <f t="shared" si="22"/>
        <v>0</v>
      </c>
      <c r="K65" s="123"/>
      <c r="L65" s="205"/>
      <c r="M65" s="203"/>
      <c r="N65" s="205"/>
      <c r="O65" s="203"/>
      <c r="P65" s="189"/>
      <c r="Q65" s="189"/>
      <c r="R65" s="189"/>
      <c r="S65" s="166"/>
      <c r="T65" s="123"/>
    </row>
    <row r="66" spans="1:240" ht="18.75" customHeight="1" x14ac:dyDescent="0.3">
      <c r="A66" s="92" t="s">
        <v>69</v>
      </c>
      <c r="B66" s="87">
        <f>B41</f>
        <v>82933.019990000015</v>
      </c>
      <c r="C66" s="87">
        <f>C41</f>
        <v>0</v>
      </c>
      <c r="D66" s="88">
        <f t="shared" si="19"/>
        <v>-100</v>
      </c>
      <c r="E66" s="387">
        <f t="shared" si="20"/>
        <v>0</v>
      </c>
      <c r="F66" s="87"/>
      <c r="G66" s="161">
        <f>G41</f>
        <v>2698313.8461000002</v>
      </c>
      <c r="H66" s="161">
        <f>H41</f>
        <v>0</v>
      </c>
      <c r="I66" s="88">
        <f t="shared" si="21"/>
        <v>-100</v>
      </c>
      <c r="J66" s="387">
        <f t="shared" si="22"/>
        <v>0</v>
      </c>
      <c r="K66" s="123"/>
      <c r="L66" s="205">
        <f ca="1">L41</f>
        <v>0</v>
      </c>
      <c r="M66" s="203">
        <f ca="1">M41</f>
        <v>0</v>
      </c>
      <c r="N66" s="205">
        <f ca="1">N41</f>
        <v>0</v>
      </c>
      <c r="O66" s="203" t="e">
        <f ca="1">O41</f>
        <v>#REF!</v>
      </c>
      <c r="P66" s="189"/>
      <c r="Q66" s="189"/>
      <c r="R66" s="189"/>
      <c r="S66" s="166"/>
      <c r="T66" s="123"/>
    </row>
    <row r="67" spans="1:240" ht="18.75" customHeight="1" x14ac:dyDescent="0.3">
      <c r="A67" s="70" t="s">
        <v>398</v>
      </c>
      <c r="B67" s="87">
        <f>B27+B42</f>
        <v>5214655.7620199993</v>
      </c>
      <c r="C67" s="87">
        <f>+C27+C42</f>
        <v>5812957.7826999994</v>
      </c>
      <c r="D67" s="88">
        <f t="shared" si="19"/>
        <v>11.5</v>
      </c>
      <c r="E67" s="387">
        <f t="shared" si="20"/>
        <v>4.3399660548084951</v>
      </c>
      <c r="F67" s="87"/>
      <c r="G67" s="161">
        <f>+G27+G42</f>
        <v>72783435.81595999</v>
      </c>
      <c r="H67" s="161">
        <f>+H27+H42</f>
        <v>84185801.450690001</v>
      </c>
      <c r="I67" s="88">
        <f t="shared" si="21"/>
        <v>15.7</v>
      </c>
      <c r="J67" s="387">
        <f t="shared" si="22"/>
        <v>4.4670347852142349</v>
      </c>
      <c r="K67" s="123"/>
      <c r="L67" s="205" t="e">
        <f ca="1">L28+L42</f>
        <v>#REF!</v>
      </c>
      <c r="M67" s="203" t="e">
        <f t="shared" ref="M67:O68" ca="1" si="32">+M28+M42</f>
        <v>#REF!</v>
      </c>
      <c r="N67" s="205" t="e">
        <f t="shared" ca="1" si="32"/>
        <v>#REF!</v>
      </c>
      <c r="O67" s="203" t="e">
        <f t="shared" ca="1" si="32"/>
        <v>#REF!</v>
      </c>
      <c r="P67" s="189"/>
      <c r="Q67" s="189"/>
      <c r="R67" s="189"/>
      <c r="S67" s="166"/>
      <c r="T67" s="123"/>
    </row>
    <row r="68" spans="1:240" ht="18.75" customHeight="1" x14ac:dyDescent="0.3">
      <c r="A68" s="92" t="s">
        <v>92</v>
      </c>
      <c r="B68" s="87">
        <f>B43+B28</f>
        <v>15032007.853</v>
      </c>
      <c r="C68" s="87">
        <f>+C28+C43</f>
        <v>19665781.165410001</v>
      </c>
      <c r="D68" s="88">
        <f t="shared" si="19"/>
        <v>30.8</v>
      </c>
      <c r="E68" s="387">
        <f t="shared" si="20"/>
        <v>14.682512051468724</v>
      </c>
      <c r="F68" s="87"/>
      <c r="G68" s="161">
        <f>+G28+G43</f>
        <v>343815016.91800004</v>
      </c>
      <c r="H68" s="161">
        <f>+H28+H43</f>
        <v>401113170.59846002</v>
      </c>
      <c r="I68" s="88">
        <f t="shared" si="21"/>
        <v>16.7</v>
      </c>
      <c r="J68" s="387">
        <f t="shared" si="22"/>
        <v>21.283713583464458</v>
      </c>
      <c r="K68" s="123"/>
      <c r="L68" s="205">
        <f ca="1">L43+L29</f>
        <v>0</v>
      </c>
      <c r="M68" s="203">
        <f t="shared" ca="1" si="32"/>
        <v>0</v>
      </c>
      <c r="N68" s="205">
        <f t="shared" ca="1" si="32"/>
        <v>0</v>
      </c>
      <c r="O68" s="203" t="e">
        <f t="shared" ca="1" si="32"/>
        <v>#REF!</v>
      </c>
      <c r="P68" s="189"/>
      <c r="Q68" s="189"/>
      <c r="R68" s="189"/>
      <c r="S68" s="166"/>
      <c r="T68" s="123"/>
    </row>
    <row r="69" spans="1:240" ht="18.75" customHeight="1" x14ac:dyDescent="0.3">
      <c r="A69" s="92" t="s">
        <v>93</v>
      </c>
      <c r="B69" s="87">
        <f>B29</f>
        <v>0</v>
      </c>
      <c r="C69" s="87">
        <f>+C29</f>
        <v>10042</v>
      </c>
      <c r="D69" s="88" t="str">
        <f t="shared" si="19"/>
        <v xml:space="preserve">    ---- </v>
      </c>
      <c r="E69" s="387">
        <f t="shared" si="20"/>
        <v>7.4973775402414839E-3</v>
      </c>
      <c r="F69" s="87"/>
      <c r="G69" s="161">
        <f t="shared" ref="G69:H71" si="33">+G29</f>
        <v>0</v>
      </c>
      <c r="H69" s="161">
        <f t="shared" si="33"/>
        <v>0</v>
      </c>
      <c r="I69" s="88"/>
      <c r="J69" s="387">
        <f t="shared" si="22"/>
        <v>0</v>
      </c>
      <c r="K69" s="123"/>
      <c r="L69" s="205">
        <f ca="1">L30</f>
        <v>0</v>
      </c>
      <c r="M69" s="203">
        <f t="shared" ref="M69:O70" ca="1" si="34">+M30</f>
        <v>0</v>
      </c>
      <c r="N69" s="205">
        <f t="shared" ca="1" si="34"/>
        <v>0</v>
      </c>
      <c r="O69" s="203">
        <f t="shared" ca="1" si="34"/>
        <v>0</v>
      </c>
      <c r="P69" s="189"/>
      <c r="Q69" s="189"/>
      <c r="R69" s="189"/>
      <c r="S69" s="166"/>
      <c r="T69" s="123"/>
    </row>
    <row r="70" spans="1:240" ht="18.75" customHeight="1" x14ac:dyDescent="0.3">
      <c r="A70" s="92" t="s">
        <v>94</v>
      </c>
      <c r="B70" s="87">
        <f>B30</f>
        <v>636479</v>
      </c>
      <c r="C70" s="87">
        <f>+C30</f>
        <v>773050</v>
      </c>
      <c r="D70" s="88">
        <f t="shared" si="19"/>
        <v>21.5</v>
      </c>
      <c r="E70" s="387">
        <f t="shared" si="20"/>
        <v>0.57716069582589913</v>
      </c>
      <c r="F70" s="87"/>
      <c r="G70" s="161">
        <f t="shared" si="33"/>
        <v>0</v>
      </c>
      <c r="H70" s="161">
        <f t="shared" si="33"/>
        <v>0</v>
      </c>
      <c r="I70" s="88"/>
      <c r="J70" s="387">
        <f t="shared" si="22"/>
        <v>0</v>
      </c>
      <c r="K70" s="123"/>
      <c r="L70" s="205">
        <f ca="1">L31</f>
        <v>0</v>
      </c>
      <c r="M70" s="203">
        <f t="shared" ca="1" si="34"/>
        <v>0</v>
      </c>
      <c r="N70" s="205">
        <f t="shared" ca="1" si="34"/>
        <v>0</v>
      </c>
      <c r="O70" s="203">
        <f t="shared" ca="1" si="34"/>
        <v>0</v>
      </c>
      <c r="P70" s="189"/>
      <c r="Q70" s="189"/>
      <c r="R70" s="189"/>
      <c r="S70" s="166"/>
      <c r="T70" s="123"/>
    </row>
    <row r="71" spans="1:240" ht="18.75" x14ac:dyDescent="0.3">
      <c r="A71" s="175" t="s">
        <v>393</v>
      </c>
      <c r="B71" s="87">
        <f>B31</f>
        <v>2123</v>
      </c>
      <c r="C71" s="87">
        <f>C31</f>
        <v>1778.3699000000001</v>
      </c>
      <c r="D71" s="88">
        <f t="shared" si="19"/>
        <v>-16.2</v>
      </c>
      <c r="E71" s="387">
        <f t="shared" ref="E71" si="35">100/C$33*C71</f>
        <v>2.0016138722685874E-3</v>
      </c>
      <c r="F71" s="175"/>
      <c r="G71" s="161">
        <f t="shared" si="33"/>
        <v>0</v>
      </c>
      <c r="H71" s="161">
        <f t="shared" si="33"/>
        <v>0</v>
      </c>
      <c r="I71" s="175"/>
      <c r="J71" s="387">
        <f>100/H$73*H71</f>
        <v>0</v>
      </c>
      <c r="K71" s="189"/>
      <c r="L71" s="205">
        <f t="shared" ref="L71" ca="1" si="36">INDIRECT("'" &amp; $A70 &amp; "'!" &amp; $P$7)</f>
        <v>0</v>
      </c>
      <c r="M71" s="203">
        <f t="shared" ref="M71" ca="1" si="37">INDIRECT("'" &amp; $A70 &amp; "'!" &amp; $P$8)</f>
        <v>0</v>
      </c>
      <c r="N71" s="205">
        <f t="shared" ref="N71" ca="1" si="38">INDIRECT("'" &amp; $A70 &amp; "'!" &amp; $P$9)</f>
        <v>0</v>
      </c>
      <c r="O71" s="203">
        <f t="shared" ref="O71" ca="1" si="39">INDIRECT("'" &amp; $A70 &amp; "'!" &amp; $P$10)</f>
        <v>0</v>
      </c>
    </row>
    <row r="72" spans="1:240" ht="18.75" x14ac:dyDescent="0.3">
      <c r="A72" s="92" t="s">
        <v>400</v>
      </c>
      <c r="B72" s="87">
        <f>B32</f>
        <v>3579</v>
      </c>
      <c r="C72" s="87">
        <f>+C32</f>
        <v>16904</v>
      </c>
      <c r="D72" s="88">
        <f>IF(B72=0, "    ---- ", IF(ABS(ROUND(100/B72*C72-100,1))&lt;999,ROUND(100/B72*C72-100,1),IF(ROUND(100/B72*C72-100,1)&gt;999,999,-999)))</f>
        <v>372.3</v>
      </c>
      <c r="E72" s="387">
        <f>100/C$73*C72</f>
        <v>1.262056063933898E-2</v>
      </c>
      <c r="F72" s="87"/>
      <c r="G72" s="161">
        <f>G32</f>
        <v>3017</v>
      </c>
      <c r="H72" s="161">
        <f>H32</f>
        <v>13865</v>
      </c>
      <c r="I72" s="88">
        <f>IF(G72=0, "    ---- ", IF(ABS(ROUND(100/G72*H72-100,1))&lt;999,ROUND(100/G72*H72-100,1),IF(ROUND(100/G72*H72-100,1)&gt;999,999,-999)))</f>
        <v>359.6</v>
      </c>
      <c r="J72" s="387">
        <f>100/H$73*H72</f>
        <v>7.3569932494225532E-4</v>
      </c>
      <c r="K72" s="123"/>
      <c r="L72" s="205" t="e">
        <f ca="1">L21+#REF!</f>
        <v>#REF!</v>
      </c>
      <c r="M72" s="203" t="e">
        <f ca="1">+M21+#REF!</f>
        <v>#REF!</v>
      </c>
      <c r="N72" s="205" t="e">
        <f ca="1">N21+#REF!</f>
        <v>#REF!</v>
      </c>
      <c r="O72" s="203" t="e">
        <f ca="1">O21+#REF!</f>
        <v>#REF!</v>
      </c>
      <c r="P72" s="189"/>
      <c r="Q72" s="189"/>
      <c r="R72" s="189"/>
      <c r="S72" s="166"/>
      <c r="T72" s="123"/>
    </row>
    <row r="73" spans="1:240" s="96" customFormat="1" ht="18.75" customHeight="1" x14ac:dyDescent="0.3">
      <c r="A73" s="98" t="s">
        <v>2</v>
      </c>
      <c r="B73" s="99">
        <f>SUM(B48:B72)</f>
        <v>104438047.72068791</v>
      </c>
      <c r="C73" s="99">
        <f>SUM(C48:C72)</f>
        <v>133940167.0264101</v>
      </c>
      <c r="D73" s="100">
        <f>IF(B73=0, "    ---- ", IF(ABS(ROUND(100/B73*C73-100,1))&lt;999,ROUND(100/B73*C73-100,1),IF(ROUND(100/B73*C73-100,1)&gt;999,999,-999)))</f>
        <v>28.2</v>
      </c>
      <c r="E73" s="390">
        <f>SUM(E48:E72)</f>
        <v>100.00067387930279</v>
      </c>
      <c r="F73" s="94"/>
      <c r="G73" s="165">
        <f>SUM(G48:G72)</f>
        <v>1715060086.8223186</v>
      </c>
      <c r="H73" s="165">
        <f>SUM(H48:H72)</f>
        <v>1884601430.2226331</v>
      </c>
      <c r="I73" s="100">
        <f>IF(G73=0, "    ---- ", IF(ABS(ROUND(100/G73*H73-100,1))&lt;999,ROUND(100/G73*H73-100,1),IF(ROUND(100/G73*H73-100,1)&gt;999,999,-999)))</f>
        <v>9.9</v>
      </c>
      <c r="J73" s="390">
        <f>SUM(J48:J72)</f>
        <v>100.00000000000004</v>
      </c>
      <c r="K73" s="164"/>
      <c r="L73" s="210" t="e">
        <f ca="1">SUM(L48:L70)</f>
        <v>#REF!</v>
      </c>
      <c r="M73" s="211" t="e">
        <f ca="1">SUM(M48:M70)</f>
        <v>#REF!</v>
      </c>
      <c r="N73" s="210" t="e">
        <f ca="1">SUM(N48:N70)</f>
        <v>#REF!</v>
      </c>
      <c r="O73" s="211" t="e">
        <f ca="1">SUM(O48:O70)</f>
        <v>#REF!</v>
      </c>
      <c r="P73" s="191"/>
      <c r="Q73" s="191"/>
      <c r="R73" s="191"/>
      <c r="S73" s="122"/>
      <c r="T73" s="164"/>
    </row>
    <row r="74" spans="1:240" ht="18.75" customHeight="1" x14ac:dyDescent="0.3">
      <c r="A74" s="97" t="s">
        <v>98</v>
      </c>
      <c r="B74" s="97"/>
      <c r="C74" s="97"/>
      <c r="D74" s="97"/>
      <c r="E74" s="97"/>
      <c r="F74" s="97"/>
      <c r="G74" s="97"/>
      <c r="H74" s="97"/>
      <c r="I74" s="97"/>
      <c r="J74" s="97"/>
      <c r="K74" s="97"/>
      <c r="L74" s="168"/>
      <c r="M74" s="168"/>
      <c r="N74" s="168"/>
      <c r="O74" s="168"/>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97"/>
      <c r="HQ74" s="97"/>
      <c r="HR74" s="97"/>
      <c r="HS74" s="97"/>
      <c r="HT74" s="97"/>
      <c r="HU74" s="97"/>
      <c r="HV74" s="97"/>
      <c r="HW74" s="97"/>
      <c r="HX74" s="97"/>
      <c r="HY74" s="97"/>
      <c r="HZ74" s="97"/>
      <c r="IA74" s="97"/>
      <c r="IB74" s="97"/>
      <c r="IC74" s="97"/>
      <c r="ID74" s="97"/>
      <c r="IE74" s="97"/>
      <c r="IF74" s="97"/>
    </row>
    <row r="75" spans="1:240" ht="18.75" customHeight="1" x14ac:dyDescent="0.3">
      <c r="A75" s="58"/>
      <c r="B75" s="58"/>
      <c r="C75" s="58"/>
      <c r="D75" s="58"/>
      <c r="E75" s="58"/>
      <c r="F75" s="58"/>
      <c r="G75" s="58"/>
      <c r="H75" s="58"/>
      <c r="I75" s="58"/>
      <c r="J75" s="58"/>
      <c r="K75" s="58"/>
    </row>
    <row r="76" spans="1:240" ht="18.75" customHeight="1" x14ac:dyDescent="0.3">
      <c r="A76" s="58"/>
      <c r="B76" s="58"/>
      <c r="C76" s="58"/>
      <c r="D76" s="58"/>
      <c r="E76" s="58"/>
      <c r="F76" s="58"/>
      <c r="G76" s="58"/>
      <c r="H76" s="58"/>
      <c r="I76" s="58"/>
      <c r="J76" s="58"/>
      <c r="K76" s="58"/>
    </row>
    <row r="77" spans="1:240" ht="18.75" customHeight="1" x14ac:dyDescent="0.3">
      <c r="A77" s="58"/>
      <c r="B77" s="61"/>
      <c r="C77" s="61"/>
      <c r="D77" s="58"/>
      <c r="E77" s="58"/>
      <c r="F77" s="58"/>
      <c r="G77" s="61"/>
      <c r="H77" s="61"/>
      <c r="I77" s="58"/>
      <c r="J77" s="58"/>
      <c r="K77" s="58"/>
    </row>
    <row r="78" spans="1:240" ht="18.75" customHeight="1" x14ac:dyDescent="0.3">
      <c r="A78" s="58"/>
      <c r="B78" s="58"/>
      <c r="C78" s="58"/>
      <c r="D78" s="58"/>
      <c r="E78" s="58"/>
      <c r="F78" s="58"/>
      <c r="G78" s="58"/>
      <c r="H78" s="58"/>
      <c r="I78" s="58"/>
      <c r="J78" s="58"/>
      <c r="K78" s="58"/>
    </row>
    <row r="79" spans="1:240" ht="18.75" customHeight="1" x14ac:dyDescent="0.3">
      <c r="A79" s="58"/>
      <c r="B79" s="58"/>
      <c r="C79" s="58"/>
      <c r="D79" s="58"/>
      <c r="E79" s="58"/>
      <c r="F79" s="58"/>
      <c r="G79" s="58"/>
      <c r="H79" s="58"/>
      <c r="I79" s="58"/>
      <c r="J79" s="58"/>
      <c r="K79" s="58"/>
    </row>
    <row r="80" spans="1:240" ht="18.75" customHeight="1" x14ac:dyDescent="0.3">
      <c r="A80" s="58"/>
      <c r="B80" s="58"/>
      <c r="C80" s="58"/>
      <c r="D80" s="58"/>
      <c r="E80" s="58"/>
      <c r="F80" s="58"/>
      <c r="G80" s="58"/>
      <c r="H80" s="58"/>
      <c r="I80" s="58"/>
      <c r="J80" s="58"/>
      <c r="K80" s="58"/>
    </row>
    <row r="81" spans="1:11" ht="18.75" customHeight="1" x14ac:dyDescent="0.3">
      <c r="A81" s="58"/>
      <c r="B81" s="58"/>
      <c r="C81" s="58"/>
      <c r="D81" s="58"/>
      <c r="E81" s="58"/>
      <c r="F81" s="58"/>
      <c r="G81" s="58"/>
      <c r="H81" s="58"/>
      <c r="I81" s="58"/>
      <c r="J81" s="58"/>
      <c r="K81" s="58"/>
    </row>
    <row r="82" spans="1:11" ht="18.75" x14ac:dyDescent="0.3">
      <c r="A82" s="58"/>
      <c r="B82" s="58"/>
      <c r="C82" s="58"/>
      <c r="D82" s="58"/>
      <c r="E82" s="58"/>
      <c r="F82" s="58"/>
      <c r="G82" s="58"/>
      <c r="H82" s="58"/>
      <c r="I82" s="58"/>
      <c r="J82" s="58"/>
      <c r="K82" s="58"/>
    </row>
    <row r="83" spans="1:11" ht="18.75" x14ac:dyDescent="0.3">
      <c r="A83" s="58"/>
      <c r="B83" s="58"/>
      <c r="C83" s="58"/>
      <c r="D83" s="58"/>
      <c r="E83" s="58"/>
      <c r="F83" s="58"/>
      <c r="G83" s="58"/>
      <c r="H83" s="58"/>
      <c r="I83" s="58"/>
      <c r="J83" s="58"/>
      <c r="K83" s="58"/>
    </row>
    <row r="84" spans="1:11" ht="18.75" x14ac:dyDescent="0.3">
      <c r="A84" s="58"/>
      <c r="B84" s="58"/>
      <c r="C84" s="58"/>
      <c r="D84" s="58"/>
      <c r="E84" s="58"/>
      <c r="F84" s="58"/>
      <c r="G84" s="58"/>
      <c r="H84" s="58"/>
      <c r="I84" s="58"/>
      <c r="J84" s="58"/>
      <c r="K84" s="58"/>
    </row>
    <row r="85" spans="1:11" ht="18.75" x14ac:dyDescent="0.3">
      <c r="A85" s="58"/>
      <c r="B85" s="58"/>
      <c r="C85" s="58"/>
      <c r="D85" s="58"/>
      <c r="E85" s="58"/>
      <c r="F85" s="58"/>
      <c r="G85" s="58"/>
      <c r="H85" s="58"/>
      <c r="I85" s="58"/>
      <c r="J85" s="58"/>
      <c r="K85" s="58"/>
    </row>
    <row r="86" spans="1:11" ht="18.75" x14ac:dyDescent="0.3">
      <c r="A86" s="58"/>
      <c r="B86" s="58"/>
      <c r="C86" s="58"/>
      <c r="D86" s="58"/>
      <c r="E86" s="58"/>
      <c r="F86" s="58"/>
      <c r="G86" s="58"/>
      <c r="H86" s="58"/>
      <c r="I86" s="58"/>
      <c r="J86" s="58"/>
      <c r="K86" s="58"/>
    </row>
    <row r="87" spans="1:11" ht="18.75" x14ac:dyDescent="0.3">
      <c r="A87" s="58"/>
      <c r="B87" s="58"/>
      <c r="C87" s="58"/>
      <c r="D87" s="58"/>
      <c r="E87" s="58"/>
      <c r="F87" s="58"/>
      <c r="G87" s="58"/>
      <c r="H87" s="58"/>
      <c r="I87" s="58"/>
      <c r="J87" s="58"/>
      <c r="K87" s="58"/>
    </row>
    <row r="88" spans="1:11" ht="18.75" x14ac:dyDescent="0.3">
      <c r="A88" s="58"/>
      <c r="B88" s="58"/>
      <c r="C88" s="58"/>
      <c r="D88" s="58"/>
      <c r="E88" s="58"/>
      <c r="F88" s="58"/>
      <c r="G88" s="58"/>
      <c r="H88" s="58"/>
      <c r="I88" s="58"/>
      <c r="J88" s="58"/>
      <c r="K88" s="58"/>
    </row>
    <row r="89" spans="1:11" ht="18.75" x14ac:dyDescent="0.3">
      <c r="A89" s="58"/>
      <c r="B89" s="58"/>
      <c r="C89" s="58"/>
      <c r="D89" s="58"/>
      <c r="E89" s="58"/>
      <c r="F89" s="58"/>
      <c r="G89" s="58"/>
      <c r="H89" s="58"/>
      <c r="I89" s="58"/>
      <c r="J89" s="58"/>
      <c r="K89" s="58"/>
    </row>
    <row r="90" spans="1:11" ht="18.75" x14ac:dyDescent="0.3">
      <c r="A90" s="58"/>
      <c r="B90" s="58"/>
      <c r="C90" s="58"/>
      <c r="D90" s="58"/>
      <c r="E90" s="58"/>
      <c r="F90" s="58"/>
      <c r="G90" s="58"/>
      <c r="H90" s="58"/>
      <c r="I90" s="58"/>
      <c r="J90" s="58"/>
      <c r="K90" s="58"/>
    </row>
    <row r="91" spans="1:11" ht="18.75" x14ac:dyDescent="0.3">
      <c r="A91" s="58"/>
      <c r="B91" s="58"/>
      <c r="C91" s="58"/>
      <c r="D91" s="58"/>
      <c r="E91" s="58"/>
      <c r="F91" s="58"/>
      <c r="G91" s="58"/>
      <c r="H91" s="58"/>
      <c r="I91" s="58"/>
      <c r="J91" s="58"/>
      <c r="K91" s="58"/>
    </row>
    <row r="92" spans="1:11" ht="18.75" x14ac:dyDescent="0.3">
      <c r="A92" s="58"/>
      <c r="B92" s="58"/>
      <c r="C92" s="58"/>
      <c r="D92" s="58"/>
      <c r="E92" s="58"/>
      <c r="F92" s="58"/>
      <c r="G92" s="58"/>
      <c r="H92" s="58"/>
      <c r="I92" s="58"/>
      <c r="J92" s="58"/>
      <c r="K92" s="58"/>
    </row>
    <row r="93" spans="1:11" ht="18.75" x14ac:dyDescent="0.3">
      <c r="A93" s="58"/>
      <c r="B93" s="58"/>
      <c r="C93" s="58"/>
      <c r="D93" s="58"/>
      <c r="E93" s="58"/>
      <c r="F93" s="58"/>
      <c r="G93" s="58"/>
      <c r="H93" s="58"/>
      <c r="I93" s="58"/>
      <c r="J93" s="58"/>
      <c r="K93" s="58"/>
    </row>
    <row r="94" spans="1:11" ht="18.75" x14ac:dyDescent="0.3">
      <c r="A94" s="58"/>
      <c r="B94" s="58"/>
      <c r="C94" s="58"/>
      <c r="D94" s="58"/>
      <c r="E94" s="58"/>
      <c r="F94" s="58"/>
      <c r="G94" s="58"/>
      <c r="H94" s="58"/>
      <c r="I94" s="58"/>
      <c r="J94" s="58"/>
      <c r="K94" s="58"/>
    </row>
    <row r="95" spans="1:11" ht="18.75" x14ac:dyDescent="0.3">
      <c r="A95" s="58"/>
      <c r="B95" s="58"/>
      <c r="C95" s="58"/>
      <c r="D95" s="58"/>
      <c r="E95" s="58"/>
      <c r="F95" s="58"/>
      <c r="G95" s="58"/>
      <c r="H95" s="58"/>
      <c r="I95" s="58"/>
      <c r="J95" s="58"/>
      <c r="K95" s="58"/>
    </row>
    <row r="96" spans="1:11" ht="18.75" x14ac:dyDescent="0.3">
      <c r="A96" s="58"/>
      <c r="B96" s="58"/>
      <c r="C96" s="58"/>
      <c r="D96" s="58"/>
      <c r="E96" s="58"/>
      <c r="F96" s="58"/>
      <c r="G96" s="58"/>
      <c r="H96" s="58"/>
      <c r="I96" s="58"/>
      <c r="J96" s="58"/>
      <c r="K96" s="58"/>
    </row>
    <row r="97" spans="1:11" ht="18.75" x14ac:dyDescent="0.3">
      <c r="A97" s="58"/>
      <c r="B97" s="58"/>
      <c r="C97" s="58"/>
      <c r="D97" s="58"/>
      <c r="E97" s="58"/>
      <c r="F97" s="58"/>
      <c r="G97" s="58"/>
      <c r="H97" s="58"/>
      <c r="I97" s="58"/>
      <c r="J97" s="58"/>
      <c r="K97" s="58"/>
    </row>
    <row r="98" spans="1:11" ht="18.75" x14ac:dyDescent="0.3">
      <c r="A98" s="58"/>
      <c r="B98" s="58"/>
      <c r="C98" s="58"/>
      <c r="D98" s="58"/>
      <c r="E98" s="58"/>
      <c r="F98" s="58"/>
      <c r="G98" s="58"/>
      <c r="H98" s="58"/>
      <c r="I98" s="58"/>
      <c r="J98" s="58"/>
      <c r="K98" s="58"/>
    </row>
    <row r="99" spans="1:11" ht="18.75" x14ac:dyDescent="0.3">
      <c r="A99" s="97"/>
      <c r="B99" s="97"/>
      <c r="C99" s="97"/>
      <c r="D99" s="97"/>
      <c r="E99" s="97"/>
      <c r="F99" s="97"/>
      <c r="G99" s="97"/>
      <c r="H99" s="97"/>
      <c r="I99" s="97"/>
      <c r="J99" s="97"/>
      <c r="K99" s="97"/>
    </row>
    <row r="100" spans="1:11" ht="18.75" x14ac:dyDescent="0.3">
      <c r="A100" s="101"/>
      <c r="B100" s="102"/>
      <c r="C100" s="102"/>
      <c r="D100" s="102"/>
      <c r="E100" s="58"/>
      <c r="F100" s="58"/>
      <c r="G100" s="58"/>
      <c r="H100" s="58"/>
      <c r="I100" s="58"/>
      <c r="J100" s="59"/>
      <c r="K100" s="59"/>
    </row>
    <row r="101" spans="1:11" ht="18.75" x14ac:dyDescent="0.3">
      <c r="A101" s="58"/>
      <c r="B101" s="58"/>
      <c r="C101" s="58"/>
      <c r="D101" s="58"/>
      <c r="E101" s="58"/>
      <c r="F101" s="58"/>
      <c r="G101" s="58"/>
      <c r="H101" s="58"/>
      <c r="I101" s="58"/>
      <c r="J101" s="58"/>
      <c r="K101" s="58"/>
    </row>
    <row r="102" spans="1:11" ht="18.75" x14ac:dyDescent="0.3">
      <c r="A102" s="58"/>
      <c r="B102" s="58"/>
      <c r="C102" s="58"/>
      <c r="D102" s="58"/>
      <c r="E102" s="58"/>
      <c r="F102" s="58"/>
      <c r="G102" s="58"/>
      <c r="H102" s="58"/>
      <c r="I102" s="58"/>
      <c r="J102" s="58"/>
      <c r="K102" s="58"/>
    </row>
    <row r="103" spans="1:11" ht="18.75" x14ac:dyDescent="0.3">
      <c r="A103" s="58"/>
      <c r="B103" s="58"/>
      <c r="C103" s="58"/>
      <c r="D103" s="58"/>
      <c r="E103" s="58"/>
      <c r="F103" s="58"/>
      <c r="G103" s="58"/>
      <c r="H103" s="58"/>
      <c r="I103" s="58"/>
      <c r="J103" s="58"/>
      <c r="K103" s="58"/>
    </row>
    <row r="104" spans="1:11" ht="18.75" x14ac:dyDescent="0.3">
      <c r="A104" s="58"/>
      <c r="B104" s="58"/>
      <c r="C104" s="58"/>
      <c r="D104" s="58"/>
      <c r="E104" s="58"/>
      <c r="F104" s="58"/>
      <c r="G104" s="58"/>
      <c r="H104" s="58"/>
      <c r="I104" s="58"/>
      <c r="J104" s="58"/>
      <c r="K104" s="58"/>
    </row>
    <row r="105" spans="1:11" ht="18.75" x14ac:dyDescent="0.3">
      <c r="A105" s="58"/>
      <c r="B105" s="58"/>
      <c r="C105" s="58"/>
      <c r="D105" s="58"/>
      <c r="E105" s="58"/>
      <c r="F105" s="58"/>
      <c r="G105" s="58"/>
      <c r="H105" s="58"/>
      <c r="I105" s="58"/>
      <c r="J105" s="58"/>
      <c r="K105" s="58"/>
    </row>
    <row r="106" spans="1:11" ht="18.75" x14ac:dyDescent="0.3">
      <c r="A106" s="58"/>
      <c r="B106" s="58"/>
      <c r="C106" s="58"/>
      <c r="D106" s="58"/>
      <c r="E106" s="58"/>
      <c r="F106" s="58"/>
      <c r="G106" s="58"/>
      <c r="H106" s="58"/>
      <c r="I106" s="58"/>
      <c r="J106" s="58"/>
      <c r="K106" s="58"/>
    </row>
    <row r="107" spans="1:11" ht="18.75" x14ac:dyDescent="0.3">
      <c r="A107" s="58"/>
      <c r="B107" s="58"/>
      <c r="C107" s="58"/>
      <c r="D107" s="58"/>
      <c r="E107" s="58"/>
      <c r="F107" s="58"/>
      <c r="G107" s="58"/>
      <c r="H107" s="58"/>
      <c r="I107" s="58"/>
      <c r="J107" s="58"/>
      <c r="K107" s="58"/>
    </row>
    <row r="108" spans="1:11" ht="18.75" x14ac:dyDescent="0.3">
      <c r="A108" s="58"/>
      <c r="B108" s="58"/>
      <c r="C108" s="58"/>
      <c r="D108" s="58"/>
      <c r="E108" s="58"/>
      <c r="F108" s="58"/>
      <c r="G108" s="58"/>
      <c r="H108" s="58"/>
      <c r="I108" s="58"/>
      <c r="J108" s="58"/>
      <c r="K108" s="58"/>
    </row>
    <row r="109" spans="1:11" ht="18.75" x14ac:dyDescent="0.3">
      <c r="A109" s="58"/>
      <c r="B109" s="58"/>
      <c r="C109" s="58"/>
      <c r="D109" s="58"/>
      <c r="E109" s="58"/>
      <c r="F109" s="58"/>
      <c r="G109" s="58"/>
      <c r="H109" s="58"/>
      <c r="I109" s="58"/>
      <c r="J109" s="58"/>
      <c r="K109" s="58"/>
    </row>
    <row r="110" spans="1:11" ht="18.75" x14ac:dyDescent="0.3">
      <c r="A110" s="58"/>
      <c r="B110" s="58"/>
      <c r="C110" s="58"/>
      <c r="D110" s="58"/>
      <c r="E110" s="58"/>
      <c r="F110" s="58"/>
      <c r="G110" s="58"/>
      <c r="H110" s="58"/>
      <c r="I110" s="58"/>
      <c r="J110" s="58"/>
      <c r="K110" s="58"/>
    </row>
    <row r="111" spans="1:11" ht="18.75" x14ac:dyDescent="0.3">
      <c r="A111" s="58"/>
      <c r="B111" s="58"/>
      <c r="C111" s="58"/>
      <c r="D111" s="58"/>
      <c r="E111" s="58"/>
      <c r="F111" s="58"/>
      <c r="G111" s="58"/>
      <c r="H111" s="58"/>
      <c r="I111" s="58"/>
      <c r="J111" s="58"/>
      <c r="K111" s="58"/>
    </row>
    <row r="112" spans="1:11" ht="18.75" x14ac:dyDescent="0.3">
      <c r="A112" s="58"/>
      <c r="B112" s="58"/>
      <c r="C112" s="58"/>
      <c r="D112" s="58"/>
      <c r="E112" s="58"/>
      <c r="F112" s="58"/>
      <c r="G112" s="58"/>
      <c r="H112" s="58"/>
      <c r="I112" s="58"/>
      <c r="J112" s="58"/>
      <c r="K112" s="58"/>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65" customWidth="1"/>
    <col min="2" max="3" width="17.85546875" style="65" bestFit="1" customWidth="1"/>
    <col min="4" max="4" width="9.28515625" style="65" bestFit="1" customWidth="1"/>
    <col min="5" max="5" width="4.7109375" style="65" customWidth="1"/>
    <col min="6" max="7" width="16.7109375" style="65" customWidth="1"/>
    <col min="8" max="8" width="9.28515625" style="65" bestFit="1" customWidth="1"/>
    <col min="9" max="9" width="4.7109375" style="65" customWidth="1"/>
    <col min="10" max="10" width="18.7109375" style="65" customWidth="1"/>
    <col min="11" max="11" width="18" style="65" bestFit="1" customWidth="1"/>
    <col min="12" max="12" width="9.28515625" style="65" bestFit="1" customWidth="1"/>
    <col min="13" max="13" width="11.42578125" style="65"/>
    <col min="14" max="15" width="17.28515625" style="65" bestFit="1" customWidth="1"/>
    <col min="16" max="16384" width="11.42578125" style="65"/>
  </cols>
  <sheetData>
    <row r="1" spans="1:13" ht="20.25" x14ac:dyDescent="0.3">
      <c r="A1" s="64" t="s">
        <v>74</v>
      </c>
      <c r="B1" s="57" t="s">
        <v>52</v>
      </c>
      <c r="C1" s="58"/>
      <c r="D1" s="58"/>
      <c r="E1" s="58"/>
      <c r="F1" s="58"/>
      <c r="G1" s="58"/>
      <c r="H1" s="58"/>
      <c r="I1" s="58"/>
      <c r="J1" s="58"/>
      <c r="K1" s="58"/>
      <c r="L1" s="58"/>
      <c r="M1" s="58"/>
    </row>
    <row r="2" spans="1:13" ht="20.25" x14ac:dyDescent="0.3">
      <c r="A2" s="64" t="s">
        <v>99</v>
      </c>
      <c r="B2" s="57"/>
      <c r="C2" s="58"/>
      <c r="D2" s="58"/>
      <c r="E2" s="58"/>
      <c r="F2" s="58"/>
      <c r="G2" s="58"/>
      <c r="H2" s="58"/>
      <c r="I2" s="58"/>
      <c r="J2" s="58"/>
      <c r="K2" s="58"/>
      <c r="L2" s="58"/>
      <c r="M2" s="58"/>
    </row>
    <row r="3" spans="1:13" ht="18.75" x14ac:dyDescent="0.3">
      <c r="A3" s="59" t="s">
        <v>100</v>
      </c>
      <c r="B3" s="58"/>
      <c r="C3" s="58"/>
      <c r="D3" s="58"/>
      <c r="E3" s="58"/>
      <c r="F3" s="58"/>
      <c r="G3" s="58"/>
      <c r="H3" s="58"/>
      <c r="I3" s="58"/>
      <c r="J3" s="58"/>
      <c r="K3" s="58"/>
      <c r="L3" s="58"/>
      <c r="M3" s="58"/>
    </row>
    <row r="4" spans="1:13" ht="18.75" x14ac:dyDescent="0.3">
      <c r="A4" s="66" t="s">
        <v>425</v>
      </c>
      <c r="B4" s="86"/>
      <c r="C4" s="103"/>
      <c r="D4" s="104"/>
      <c r="E4" s="97"/>
      <c r="F4" s="67"/>
      <c r="G4" s="68"/>
      <c r="H4" s="69"/>
      <c r="I4" s="97"/>
      <c r="J4" s="67"/>
      <c r="K4" s="68"/>
      <c r="L4" s="69"/>
      <c r="M4" s="58"/>
    </row>
    <row r="5" spans="1:13" ht="18.75" x14ac:dyDescent="0.3">
      <c r="A5" s="105"/>
      <c r="B5" s="704" t="s">
        <v>0</v>
      </c>
      <c r="C5" s="705"/>
      <c r="D5" s="706"/>
      <c r="E5" s="73"/>
      <c r="F5" s="704" t="s">
        <v>1</v>
      </c>
      <c r="G5" s="705"/>
      <c r="H5" s="706"/>
      <c r="I5" s="106"/>
      <c r="J5" s="704" t="s">
        <v>101</v>
      </c>
      <c r="K5" s="705"/>
      <c r="L5" s="706"/>
      <c r="M5" s="58"/>
    </row>
    <row r="6" spans="1:13" ht="18.75" x14ac:dyDescent="0.3">
      <c r="A6" s="107"/>
      <c r="B6" s="108"/>
      <c r="C6" s="109"/>
      <c r="D6" s="78" t="s">
        <v>102</v>
      </c>
      <c r="E6" s="84"/>
      <c r="F6" s="108"/>
      <c r="G6" s="109"/>
      <c r="H6" s="78" t="s">
        <v>102</v>
      </c>
      <c r="I6" s="110"/>
      <c r="J6" s="108"/>
      <c r="K6" s="109"/>
      <c r="L6" s="78" t="s">
        <v>102</v>
      </c>
      <c r="M6" s="58"/>
    </row>
    <row r="7" spans="1:13" ht="18.75" x14ac:dyDescent="0.3">
      <c r="A7" s="111" t="s">
        <v>103</v>
      </c>
      <c r="B7" s="681">
        <v>2022</v>
      </c>
      <c r="C7" s="682">
        <v>2023</v>
      </c>
      <c r="D7" s="683" t="s">
        <v>80</v>
      </c>
      <c r="E7" s="684"/>
      <c r="F7" s="685">
        <v>2022</v>
      </c>
      <c r="G7" s="681">
        <v>2023</v>
      </c>
      <c r="H7" s="683" t="s">
        <v>80</v>
      </c>
      <c r="I7" s="686"/>
      <c r="J7" s="687">
        <v>2022</v>
      </c>
      <c r="K7" s="682">
        <v>2023</v>
      </c>
      <c r="L7" s="83" t="s">
        <v>80</v>
      </c>
      <c r="M7" s="58"/>
    </row>
    <row r="8" spans="1:13" ht="22.5" x14ac:dyDescent="0.3">
      <c r="A8" s="174" t="s">
        <v>104</v>
      </c>
      <c r="B8" s="213"/>
      <c r="C8" s="183"/>
      <c r="D8" s="183"/>
      <c r="E8" s="166"/>
      <c r="F8" s="183"/>
      <c r="G8" s="183"/>
      <c r="H8" s="183"/>
      <c r="I8" s="184"/>
      <c r="J8" s="183"/>
      <c r="K8" s="183"/>
      <c r="L8" s="183"/>
      <c r="M8" s="58"/>
    </row>
    <row r="9" spans="1:13" ht="18.75" x14ac:dyDescent="0.3">
      <c r="A9" s="175" t="s">
        <v>105</v>
      </c>
      <c r="B9" s="88">
        <f>'Skjema total MA'!B7</f>
        <v>3985789.7528075869</v>
      </c>
      <c r="C9" s="88">
        <f>'Skjema total MA'!C7</f>
        <v>4243608.5728469938</v>
      </c>
      <c r="D9" s="214">
        <f>IF(B9=0, "    ---- ", IF(ABS(ROUND(100/B9*C9-100,1))&lt;999,ROUND(100/B9*C9-100,1),IF(ROUND(100/B9*C9-100,1)&gt;999,999,-999)))</f>
        <v>6.5</v>
      </c>
      <c r="E9" s="166"/>
      <c r="F9" s="178">
        <f>'Skjema total MA'!E7</f>
        <v>7212186.1206099996</v>
      </c>
      <c r="G9" s="178">
        <f>'Skjema total MA'!F7</f>
        <v>7698503.7211500006</v>
      </c>
      <c r="H9" s="214">
        <f>IF(F9=0, "    ---- ", IF(ABS(ROUND(100/F9*G9-100,1))&lt;999,ROUND(100/F9*G9-100,1),IF(ROUND(100/F9*G9-100,1)&gt;999,999,-999)))</f>
        <v>6.7</v>
      </c>
      <c r="I9" s="166"/>
      <c r="J9" s="178">
        <f t="shared" ref="J9:K60" si="0">SUM(B9+F9)</f>
        <v>11197975.873417586</v>
      </c>
      <c r="K9" s="178">
        <f t="shared" si="0"/>
        <v>11942112.293996993</v>
      </c>
      <c r="L9" s="212">
        <f>IF(J9=0, "    ---- ", IF(ABS(ROUND(100/J9*K9-100,1))&lt;999,ROUND(100/J9*K9-100,1),IF(ROUND(100/J9*K9-100,1)&gt;999,999,-999)))</f>
        <v>6.6</v>
      </c>
      <c r="M9" s="58"/>
    </row>
    <row r="10" spans="1:13" ht="18.75" x14ac:dyDescent="0.3">
      <c r="A10" s="175" t="s">
        <v>106</v>
      </c>
      <c r="B10" s="88">
        <f>'Skjema total MA'!B22</f>
        <v>1677054.951081509</v>
      </c>
      <c r="C10" s="88">
        <f>'Skjema total MA'!C22</f>
        <v>1738930.5416757741</v>
      </c>
      <c r="D10" s="214">
        <f t="shared" ref="D10:D17" si="1">IF(B10=0, "    ---- ", IF(ABS(ROUND(100/B10*C10-100,1))&lt;999,ROUND(100/B10*C10-100,1),IF(ROUND(100/B10*C10-100,1)&gt;999,999,-999)))</f>
        <v>3.7</v>
      </c>
      <c r="E10" s="166"/>
      <c r="F10" s="178">
        <f>'Skjema total MA'!E22</f>
        <v>703799.34444999998</v>
      </c>
      <c r="G10" s="178">
        <f>'Skjema total MA'!F22</f>
        <v>649364.92402999999</v>
      </c>
      <c r="H10" s="214">
        <f t="shared" ref="H10:H57" si="2">IF(F10=0, "    ---- ", IF(ABS(ROUND(100/F10*G10-100,1))&lt;999,ROUND(100/F10*G10-100,1),IF(ROUND(100/F10*G10-100,1)&gt;999,999,-999)))</f>
        <v>-7.7</v>
      </c>
      <c r="I10" s="166"/>
      <c r="J10" s="178">
        <f t="shared" si="0"/>
        <v>2380854.295531509</v>
      </c>
      <c r="K10" s="178">
        <f t="shared" si="0"/>
        <v>2388295.4657057743</v>
      </c>
      <c r="L10" s="212">
        <f t="shared" ref="L10:L60" si="3">IF(J10=0, "    ---- ", IF(ABS(ROUND(100/J10*K10-100,1))&lt;999,ROUND(100/J10*K10-100,1),IF(ROUND(100/J10*K10-100,1)&gt;999,999,-999)))</f>
        <v>0.3</v>
      </c>
      <c r="M10" s="58"/>
    </row>
    <row r="11" spans="1:13" ht="18.75" x14ac:dyDescent="0.3">
      <c r="A11" s="175" t="s">
        <v>107</v>
      </c>
      <c r="B11" s="88">
        <f>'Skjema total MA'!B47</f>
        <v>4862420.9721488282</v>
      </c>
      <c r="C11" s="88">
        <f>'Skjema total MA'!C47</f>
        <v>5332620.9711173344</v>
      </c>
      <c r="D11" s="214">
        <f t="shared" si="1"/>
        <v>9.6999999999999993</v>
      </c>
      <c r="E11" s="166"/>
      <c r="F11" s="178"/>
      <c r="G11" s="178"/>
      <c r="H11" s="214" t="str">
        <f t="shared" si="2"/>
        <v xml:space="preserve">    ---- </v>
      </c>
      <c r="I11" s="166"/>
      <c r="J11" s="178">
        <f t="shared" si="0"/>
        <v>4862420.9721488282</v>
      </c>
      <c r="K11" s="178">
        <f t="shared" si="0"/>
        <v>5332620.9711173344</v>
      </c>
      <c r="L11" s="212">
        <f t="shared" si="3"/>
        <v>9.6999999999999993</v>
      </c>
      <c r="M11" s="58"/>
    </row>
    <row r="12" spans="1:13" ht="18.75" x14ac:dyDescent="0.3">
      <c r="A12" s="175" t="s">
        <v>108</v>
      </c>
      <c r="B12" s="88">
        <f>'Skjema total MA'!B66</f>
        <v>6157253.76358</v>
      </c>
      <c r="C12" s="88">
        <f>'Skjema total MA'!C66</f>
        <v>6853127.3595500002</v>
      </c>
      <c r="D12" s="214">
        <f t="shared" si="1"/>
        <v>11.3</v>
      </c>
      <c r="E12" s="166"/>
      <c r="F12" s="178">
        <f>'Skjema total MA'!E66</f>
        <v>31504296.328440003</v>
      </c>
      <c r="G12" s="178">
        <f>'Skjema total MA'!F66</f>
        <v>36533155.182619996</v>
      </c>
      <c r="H12" s="214">
        <f t="shared" si="2"/>
        <v>16</v>
      </c>
      <c r="I12" s="166"/>
      <c r="J12" s="178">
        <f t="shared" si="0"/>
        <v>37661550.092020005</v>
      </c>
      <c r="K12" s="178">
        <f t="shared" si="0"/>
        <v>43386282.542169996</v>
      </c>
      <c r="L12" s="212">
        <f t="shared" si="3"/>
        <v>15.2</v>
      </c>
      <c r="M12" s="58"/>
    </row>
    <row r="13" spans="1:13" ht="18.75" x14ac:dyDescent="0.3">
      <c r="A13" s="175" t="s">
        <v>109</v>
      </c>
      <c r="B13" s="88">
        <f>'Skjema total MA'!B68</f>
        <v>44307.17669</v>
      </c>
      <c r="C13" s="88">
        <f>'Skjema total MA'!C68</f>
        <v>29178.142199999998</v>
      </c>
      <c r="D13" s="214">
        <f t="shared" si="1"/>
        <v>-34.1</v>
      </c>
      <c r="E13" s="166"/>
      <c r="F13" s="178">
        <f>'Skjema total MA'!E68</f>
        <v>30300641.07102</v>
      </c>
      <c r="G13" s="178">
        <f>'Skjema total MA'!F68</f>
        <v>34910274.627669998</v>
      </c>
      <c r="H13" s="214">
        <f t="shared" si="2"/>
        <v>15.2</v>
      </c>
      <c r="I13" s="166"/>
      <c r="J13" s="178">
        <f t="shared" si="0"/>
        <v>30344948.247710001</v>
      </c>
      <c r="K13" s="178">
        <f t="shared" si="0"/>
        <v>34939452.769869998</v>
      </c>
      <c r="L13" s="212">
        <f t="shared" si="3"/>
        <v>15.1</v>
      </c>
      <c r="M13" s="58"/>
    </row>
    <row r="14" spans="1:13" s="117" customFormat="1" ht="18.75" x14ac:dyDescent="0.3">
      <c r="A14" s="176" t="s">
        <v>110</v>
      </c>
      <c r="B14" s="115">
        <f>'Skjema total MA'!B75</f>
        <v>483612.14775</v>
      </c>
      <c r="C14" s="115">
        <f>'Skjema total MA'!C75</f>
        <v>586985.46886000002</v>
      </c>
      <c r="D14" s="214">
        <f t="shared" si="1"/>
        <v>21.4</v>
      </c>
      <c r="E14" s="167"/>
      <c r="F14" s="179">
        <f>'Skjema total MA'!E75</f>
        <v>1203655.2574200002</v>
      </c>
      <c r="G14" s="179">
        <f>'Skjema total MA'!F75</f>
        <v>1622880.55495</v>
      </c>
      <c r="H14" s="214">
        <f t="shared" si="2"/>
        <v>34.799999999999997</v>
      </c>
      <c r="I14" s="167"/>
      <c r="J14" s="178">
        <f t="shared" si="0"/>
        <v>1687267.4051700002</v>
      </c>
      <c r="K14" s="178">
        <f t="shared" si="0"/>
        <v>2209866.0238100002</v>
      </c>
      <c r="L14" s="212">
        <f t="shared" si="3"/>
        <v>31</v>
      </c>
      <c r="M14" s="116"/>
    </row>
    <row r="15" spans="1:13" ht="22.5" x14ac:dyDescent="0.3">
      <c r="A15" s="175" t="s">
        <v>337</v>
      </c>
      <c r="B15" s="88">
        <f>'Skjema total MA'!B134</f>
        <v>48200907.117570005</v>
      </c>
      <c r="C15" s="88">
        <f>'Skjema total MA'!C134</f>
        <v>70676914.116419986</v>
      </c>
      <c r="D15" s="214">
        <f t="shared" si="1"/>
        <v>46.6</v>
      </c>
      <c r="E15" s="166"/>
      <c r="F15" s="178">
        <f>'Skjema total MA'!E134</f>
        <v>131709.47200000001</v>
      </c>
      <c r="G15" s="178">
        <f>'Skjema total MA'!F134</f>
        <v>212341.89300000001</v>
      </c>
      <c r="H15" s="214">
        <f t="shared" si="2"/>
        <v>61.2</v>
      </c>
      <c r="I15" s="166"/>
      <c r="J15" s="178">
        <f t="shared" si="0"/>
        <v>48332616.589570008</v>
      </c>
      <c r="K15" s="178">
        <f t="shared" si="0"/>
        <v>70889256.009419993</v>
      </c>
      <c r="L15" s="212">
        <f t="shared" si="3"/>
        <v>46.7</v>
      </c>
      <c r="M15" s="58"/>
    </row>
    <row r="16" spans="1:13" ht="18.75" x14ac:dyDescent="0.3">
      <c r="A16" s="175" t="s">
        <v>111</v>
      </c>
      <c r="B16" s="88">
        <f>'Skjema total MA'!B36</f>
        <v>2629.8980000000001</v>
      </c>
      <c r="C16" s="88">
        <f>'Skjema total MA'!C36</f>
        <v>1599.7439999999999</v>
      </c>
      <c r="D16" s="214">
        <f t="shared" si="1"/>
        <v>-39.200000000000003</v>
      </c>
      <c r="E16" s="166"/>
      <c r="F16" s="178">
        <f>'Skjema total MA'!E36</f>
        <v>0</v>
      </c>
      <c r="G16" s="178">
        <f>'Skjema total MA'!F36</f>
        <v>0</v>
      </c>
      <c r="H16" s="214" t="str">
        <f t="shared" si="2"/>
        <v xml:space="preserve">    ---- </v>
      </c>
      <c r="I16" s="166"/>
      <c r="J16" s="178">
        <f t="shared" si="0"/>
        <v>2629.8980000000001</v>
      </c>
      <c r="K16" s="178">
        <f t="shared" si="0"/>
        <v>1599.7439999999999</v>
      </c>
      <c r="L16" s="212">
        <f t="shared" si="3"/>
        <v>-39.200000000000003</v>
      </c>
      <c r="M16" s="58"/>
    </row>
    <row r="17" spans="1:23" s="119" customFormat="1" ht="18.75" customHeight="1" x14ac:dyDescent="0.3">
      <c r="A17" s="121" t="s">
        <v>112</v>
      </c>
      <c r="B17" s="95">
        <f>'Tabel 1.1'!B33</f>
        <v>64886056.455187924</v>
      </c>
      <c r="C17" s="180">
        <f>'Tabel 1.1'!C33</f>
        <v>88846801.305610105</v>
      </c>
      <c r="D17" s="214">
        <f t="shared" si="1"/>
        <v>36.9</v>
      </c>
      <c r="E17" s="122"/>
      <c r="F17" s="180">
        <f>'Tabel 1.1'!B44</f>
        <v>39551991.265500002</v>
      </c>
      <c r="G17" s="180">
        <f>'Tabel 1.1'!C44</f>
        <v>45093365.720799997</v>
      </c>
      <c r="H17" s="214">
        <f t="shared" si="2"/>
        <v>14</v>
      </c>
      <c r="I17" s="122"/>
      <c r="J17" s="180">
        <f t="shared" si="0"/>
        <v>104438047.72068793</v>
      </c>
      <c r="K17" s="180">
        <f t="shared" si="0"/>
        <v>133940167.0264101</v>
      </c>
      <c r="L17" s="212">
        <f t="shared" si="3"/>
        <v>28.2</v>
      </c>
      <c r="M17" s="59"/>
      <c r="N17" s="118"/>
      <c r="O17" s="118"/>
      <c r="Q17" s="120"/>
      <c r="R17" s="120"/>
      <c r="S17" s="120"/>
      <c r="T17" s="120"/>
      <c r="U17" s="120"/>
      <c r="V17" s="120"/>
      <c r="W17" s="120"/>
    </row>
    <row r="18" spans="1:23" ht="18.75" customHeight="1" x14ac:dyDescent="0.3">
      <c r="A18" s="121"/>
      <c r="B18" s="88"/>
      <c r="C18" s="178"/>
      <c r="D18" s="178"/>
      <c r="E18" s="166"/>
      <c r="F18" s="178"/>
      <c r="G18" s="178"/>
      <c r="H18" s="214"/>
      <c r="I18" s="166"/>
      <c r="J18" s="178"/>
      <c r="K18" s="178"/>
      <c r="L18" s="212"/>
      <c r="M18" s="58"/>
    </row>
    <row r="19" spans="1:23" ht="18.75" customHeight="1" x14ac:dyDescent="0.3">
      <c r="A19" s="174" t="s">
        <v>338</v>
      </c>
      <c r="B19" s="182"/>
      <c r="C19" s="185"/>
      <c r="D19" s="178"/>
      <c r="E19" s="166"/>
      <c r="F19" s="185"/>
      <c r="G19" s="185"/>
      <c r="H19" s="214"/>
      <c r="I19" s="166"/>
      <c r="J19" s="178"/>
      <c r="K19" s="178"/>
      <c r="L19" s="212"/>
      <c r="M19" s="58"/>
    </row>
    <row r="20" spans="1:23" ht="18.75" customHeight="1" x14ac:dyDescent="0.3">
      <c r="A20" s="175" t="s">
        <v>105</v>
      </c>
      <c r="B20" s="88">
        <f>'Skjema total MA'!B10</f>
        <v>15731663.249415958</v>
      </c>
      <c r="C20" s="88">
        <f>'Skjema total MA'!C10</f>
        <v>13869894.225528225</v>
      </c>
      <c r="D20" s="214">
        <f>IF(B20=0, "    ---- ", IF(ABS(ROUND(100/B20*C20-100,1))&lt;999,ROUND(100/B20*C20-100,1),IF(ROUND(100/B20*C20-100,1)&gt;999,999,-999)))</f>
        <v>-11.8</v>
      </c>
      <c r="E20" s="166"/>
      <c r="F20" s="178">
        <f>'Skjema total MA'!E10</f>
        <v>68979516.335089996</v>
      </c>
      <c r="G20" s="178">
        <f>'Skjema total MA'!F10</f>
        <v>77938973.112900004</v>
      </c>
      <c r="H20" s="214">
        <f t="shared" si="2"/>
        <v>13</v>
      </c>
      <c r="I20" s="166"/>
      <c r="J20" s="178">
        <f t="shared" si="0"/>
        <v>84711179.58450596</v>
      </c>
      <c r="K20" s="178">
        <f t="shared" si="0"/>
        <v>91808867.338428229</v>
      </c>
      <c r="L20" s="212">
        <f t="shared" si="3"/>
        <v>8.4</v>
      </c>
      <c r="M20" s="58"/>
    </row>
    <row r="21" spans="1:23" ht="18.75" customHeight="1" x14ac:dyDescent="0.3">
      <c r="A21" s="175" t="s">
        <v>106</v>
      </c>
      <c r="B21" s="88">
        <f>'Skjema total MA'!B29</f>
        <v>44571492.069532573</v>
      </c>
      <c r="C21" s="88">
        <f>'Skjema total MA'!C29</f>
        <v>45807160.3183515</v>
      </c>
      <c r="D21" s="214">
        <f t="shared" ref="D21:D27" si="4">IF(B21=0, "    ---- ", IF(ABS(ROUND(100/B21*C21-100,1))&lt;999,ROUND(100/B21*C21-100,1),IF(ROUND(100/B21*C21-100,1)&gt;999,999,-999)))</f>
        <v>2.8</v>
      </c>
      <c r="E21" s="166"/>
      <c r="F21" s="178">
        <f>'Skjema total MA'!E29</f>
        <v>23101830.050409999</v>
      </c>
      <c r="G21" s="178">
        <f>'Skjema total MA'!F29</f>
        <v>24887860.27138</v>
      </c>
      <c r="H21" s="214">
        <f t="shared" si="2"/>
        <v>7.7</v>
      </c>
      <c r="I21" s="166"/>
      <c r="J21" s="178">
        <f t="shared" si="0"/>
        <v>67673322.119942576</v>
      </c>
      <c r="K21" s="178">
        <f t="shared" si="0"/>
        <v>70695020.5897315</v>
      </c>
      <c r="L21" s="212">
        <f t="shared" si="3"/>
        <v>4.5</v>
      </c>
      <c r="M21" s="58"/>
    </row>
    <row r="22" spans="1:23" ht="18.75" x14ac:dyDescent="0.3">
      <c r="A22" s="175" t="s">
        <v>108</v>
      </c>
      <c r="B22" s="88">
        <f>'Skjema total MA'!B87</f>
        <v>402303545.52387029</v>
      </c>
      <c r="C22" s="88">
        <f>'Skjema total MA'!C87</f>
        <v>399491907.99928373</v>
      </c>
      <c r="D22" s="214">
        <f t="shared" si="4"/>
        <v>-0.7</v>
      </c>
      <c r="E22" s="166"/>
      <c r="F22" s="178">
        <f>'Skjema total MA'!E87</f>
        <v>413916144.54160994</v>
      </c>
      <c r="G22" s="178">
        <f>'Skjema total MA'!F87</f>
        <v>504898105.02914</v>
      </c>
      <c r="H22" s="214">
        <f t="shared" si="2"/>
        <v>22</v>
      </c>
      <c r="I22" s="166"/>
      <c r="J22" s="178">
        <f t="shared" si="0"/>
        <v>816219690.06548023</v>
      </c>
      <c r="K22" s="178">
        <f t="shared" si="0"/>
        <v>904390013.02842379</v>
      </c>
      <c r="L22" s="212">
        <f t="shared" si="3"/>
        <v>10.8</v>
      </c>
      <c r="M22" s="58"/>
    </row>
    <row r="23" spans="1:23" ht="22.5" x14ac:dyDescent="0.3">
      <c r="A23" s="175" t="s">
        <v>113</v>
      </c>
      <c r="B23" s="88">
        <f>'Skjema total MA'!B89</f>
        <v>3323113.22309196</v>
      </c>
      <c r="C23" s="88">
        <f>'Skjema total MA'!C89</f>
        <v>2195751.0445485902</v>
      </c>
      <c r="D23" s="214">
        <f t="shared" si="4"/>
        <v>-33.9</v>
      </c>
      <c r="E23" s="166"/>
      <c r="F23" s="178">
        <f>'Skjema total MA'!E89</f>
        <v>408964418.35354</v>
      </c>
      <c r="G23" s="178">
        <f>'Skjema total MA'!F89</f>
        <v>497749693.82200003</v>
      </c>
      <c r="H23" s="214">
        <f t="shared" si="2"/>
        <v>21.7</v>
      </c>
      <c r="I23" s="166"/>
      <c r="J23" s="178">
        <f t="shared" si="0"/>
        <v>412287531.57663196</v>
      </c>
      <c r="K23" s="178">
        <f t="shared" si="0"/>
        <v>499945444.8665486</v>
      </c>
      <c r="L23" s="212">
        <f t="shared" si="3"/>
        <v>21.3</v>
      </c>
      <c r="M23" s="58"/>
    </row>
    <row r="24" spans="1:23" ht="18.75" x14ac:dyDescent="0.3">
      <c r="A24" s="176" t="s">
        <v>110</v>
      </c>
      <c r="B24" s="88">
        <f>'Skjema total MA'!B96</f>
        <v>3529793.7596100001</v>
      </c>
      <c r="C24" s="88">
        <f>'Skjema total MA'!C96</f>
        <v>4582050.5574099999</v>
      </c>
      <c r="D24" s="214">
        <f t="shared" si="4"/>
        <v>29.8</v>
      </c>
      <c r="E24" s="166"/>
      <c r="F24" s="178">
        <f>'Skjema total MA'!E96</f>
        <v>4951726.1880700001</v>
      </c>
      <c r="G24" s="178">
        <f>'Skjema total MA'!F96</f>
        <v>7148411.2071400005</v>
      </c>
      <c r="H24" s="214">
        <f t="shared" si="2"/>
        <v>44.4</v>
      </c>
      <c r="I24" s="166"/>
      <c r="J24" s="178">
        <f t="shared" si="0"/>
        <v>8481519.9476800002</v>
      </c>
      <c r="K24" s="178">
        <f t="shared" si="0"/>
        <v>11730461.76455</v>
      </c>
      <c r="L24" s="212">
        <f t="shared" si="3"/>
        <v>38.299999999999997</v>
      </c>
      <c r="M24" s="58"/>
    </row>
    <row r="25" spans="1:23" ht="22.5" x14ac:dyDescent="0.3">
      <c r="A25" s="175" t="s">
        <v>337</v>
      </c>
      <c r="B25" s="88">
        <f>'Skjema total MA'!B135</f>
        <v>740916103.81475997</v>
      </c>
      <c r="C25" s="88">
        <f>'Skjema total MA'!C135</f>
        <v>812108033.80353999</v>
      </c>
      <c r="D25" s="214">
        <f t="shared" si="4"/>
        <v>9.6</v>
      </c>
      <c r="E25" s="166"/>
      <c r="F25" s="178">
        <f>'Skjema total MA'!E135</f>
        <v>2548669.2979299999</v>
      </c>
      <c r="G25" s="178">
        <f>'Skjema total MA'!F135</f>
        <v>2854115.91493</v>
      </c>
      <c r="H25" s="214">
        <f t="shared" si="2"/>
        <v>12</v>
      </c>
      <c r="I25" s="166"/>
      <c r="J25" s="178">
        <f t="shared" si="0"/>
        <v>743464773.11268997</v>
      </c>
      <c r="K25" s="178">
        <f t="shared" si="0"/>
        <v>814962149.71846998</v>
      </c>
      <c r="L25" s="212">
        <f t="shared" si="3"/>
        <v>9.6</v>
      </c>
      <c r="M25" s="58"/>
    </row>
    <row r="26" spans="1:23" ht="18.75" x14ac:dyDescent="0.3">
      <c r="A26" s="175" t="s">
        <v>111</v>
      </c>
      <c r="B26" s="88">
        <f>'Skjema total MA'!B37</f>
        <v>2991121.9397</v>
      </c>
      <c r="C26" s="88">
        <f>'Skjema total MA'!C37</f>
        <v>2745379.54758</v>
      </c>
      <c r="D26" s="214">
        <f t="shared" si="4"/>
        <v>-8.1999999999999993</v>
      </c>
      <c r="E26" s="166"/>
      <c r="F26" s="178">
        <f>'Skjema total MA'!E37</f>
        <v>0</v>
      </c>
      <c r="G26" s="178">
        <f>'Skjema total MA'!F37</f>
        <v>0</v>
      </c>
      <c r="H26" s="214" t="str">
        <f t="shared" si="2"/>
        <v xml:space="preserve">    ---- </v>
      </c>
      <c r="I26" s="166"/>
      <c r="J26" s="178">
        <f t="shared" si="0"/>
        <v>2991121.9397</v>
      </c>
      <c r="K26" s="178">
        <f t="shared" si="0"/>
        <v>2745379.54758</v>
      </c>
      <c r="L26" s="212">
        <f t="shared" si="3"/>
        <v>-8.1999999999999993</v>
      </c>
      <c r="M26" s="58"/>
    </row>
    <row r="27" spans="1:23" s="119" customFormat="1" ht="18.75" x14ac:dyDescent="0.3">
      <c r="A27" s="121" t="s">
        <v>114</v>
      </c>
      <c r="B27" s="95">
        <f>'Tabel 1.1'!G33</f>
        <v>1206513926.5972788</v>
      </c>
      <c r="C27" s="180">
        <f>'Tabel 1.1'!H33</f>
        <v>1274022375.8942835</v>
      </c>
      <c r="D27" s="214">
        <f t="shared" si="4"/>
        <v>5.6</v>
      </c>
      <c r="E27" s="122"/>
      <c r="F27" s="180">
        <f>'Tabel 1.1'!G44</f>
        <v>508546160.22503996</v>
      </c>
      <c r="G27" s="180">
        <f>'Tabel 1.1'!H44</f>
        <v>610579054.32835007</v>
      </c>
      <c r="H27" s="214">
        <f t="shared" si="2"/>
        <v>20.100000000000001</v>
      </c>
      <c r="I27" s="122"/>
      <c r="J27" s="180">
        <f t="shared" si="0"/>
        <v>1715060086.8223188</v>
      </c>
      <c r="K27" s="180">
        <f t="shared" si="0"/>
        <v>1884601430.2226336</v>
      </c>
      <c r="L27" s="212">
        <f t="shared" si="3"/>
        <v>9.9</v>
      </c>
      <c r="M27" s="59"/>
      <c r="N27" s="118"/>
      <c r="O27" s="118"/>
    </row>
    <row r="28" spans="1:23" ht="18.75" x14ac:dyDescent="0.3">
      <c r="A28" s="121"/>
      <c r="B28" s="88"/>
      <c r="C28" s="178"/>
      <c r="D28" s="214"/>
      <c r="E28" s="166"/>
      <c r="F28" s="178"/>
      <c r="G28" s="178"/>
      <c r="H28" s="214"/>
      <c r="I28" s="166"/>
      <c r="J28" s="178">
        <f t="shared" si="0"/>
        <v>0</v>
      </c>
      <c r="K28" s="178">
        <f t="shared" si="0"/>
        <v>0</v>
      </c>
      <c r="L28" s="212"/>
      <c r="M28" s="58"/>
    </row>
    <row r="29" spans="1:23" ht="22.5" x14ac:dyDescent="0.3">
      <c r="A29" s="174" t="s">
        <v>339</v>
      </c>
      <c r="B29" s="182"/>
      <c r="C29" s="185"/>
      <c r="D29" s="178"/>
      <c r="E29" s="166"/>
      <c r="F29" s="178"/>
      <c r="G29" s="178"/>
      <c r="H29" s="214"/>
      <c r="I29" s="166"/>
      <c r="J29" s="178"/>
      <c r="K29" s="178"/>
      <c r="L29" s="212"/>
      <c r="M29" s="58"/>
    </row>
    <row r="30" spans="1:23" ht="18.75" x14ac:dyDescent="0.3">
      <c r="A30" s="175" t="s">
        <v>105</v>
      </c>
      <c r="B30" s="88">
        <f>'Skjema total MA'!B11</f>
        <v>32737</v>
      </c>
      <c r="C30" s="88">
        <f>'Skjema total MA'!C11</f>
        <v>26026</v>
      </c>
      <c r="D30" s="214">
        <f>IF(B30=0, "    ---- ", IF(ABS(ROUND(100/B30*C30-100,1))&lt;999,ROUND(100/B30*C30-100,1),IF(ROUND(100/B30*C30-100,1)&gt;999,999,-999)))</f>
        <v>-20.5</v>
      </c>
      <c r="E30" s="166"/>
      <c r="F30" s="178">
        <f>'Skjema total MA'!E11</f>
        <v>169041.93180000002</v>
      </c>
      <c r="G30" s="178">
        <f>'Skjema total MA'!F11</f>
        <v>167200.95195999998</v>
      </c>
      <c r="H30" s="214">
        <f t="shared" si="2"/>
        <v>-1.1000000000000001</v>
      </c>
      <c r="I30" s="166"/>
      <c r="J30" s="178">
        <f t="shared" si="0"/>
        <v>201778.93180000002</v>
      </c>
      <c r="K30" s="178">
        <f t="shared" si="0"/>
        <v>193226.95195999998</v>
      </c>
      <c r="L30" s="212">
        <f t="shared" si="3"/>
        <v>-4.2</v>
      </c>
      <c r="M30" s="58"/>
    </row>
    <row r="31" spans="1:23" ht="18.75" x14ac:dyDescent="0.3">
      <c r="A31" s="175" t="s">
        <v>106</v>
      </c>
      <c r="B31" s="88">
        <f>'Skjema total MA'!B34</f>
        <v>23142.169870000002</v>
      </c>
      <c r="C31" s="88">
        <f>'Skjema total MA'!C34</f>
        <v>19537.07242</v>
      </c>
      <c r="D31" s="214">
        <f t="shared" ref="D31:D38" si="5">IF(B31=0, "    ---- ", IF(ABS(ROUND(100/B31*C31-100,1))&lt;999,ROUND(100/B31*C31-100,1),IF(ROUND(100/B31*C31-100,1)&gt;999,999,-999)))</f>
        <v>-15.6</v>
      </c>
      <c r="E31" s="166"/>
      <c r="F31" s="178">
        <f>'Skjema total MA'!E34</f>
        <v>68840.069099999993</v>
      </c>
      <c r="G31" s="178">
        <f>'Skjema total MA'!F34</f>
        <v>-1238.1949400000012</v>
      </c>
      <c r="H31" s="214">
        <f t="shared" si="2"/>
        <v>-101.8</v>
      </c>
      <c r="I31" s="166"/>
      <c r="J31" s="178">
        <f t="shared" si="0"/>
        <v>91982.238969999991</v>
      </c>
      <c r="K31" s="178">
        <f t="shared" si="0"/>
        <v>18298.877479999999</v>
      </c>
      <c r="L31" s="212">
        <f t="shared" si="3"/>
        <v>-80.099999999999994</v>
      </c>
      <c r="M31" s="58"/>
    </row>
    <row r="32" spans="1:23" ht="18.75" x14ac:dyDescent="0.3">
      <c r="A32" s="175" t="s">
        <v>108</v>
      </c>
      <c r="B32" s="88">
        <f>'Skjema total MA'!B111</f>
        <v>620057.50439999998</v>
      </c>
      <c r="C32" s="88">
        <f>'Skjema total MA'!C111</f>
        <v>434278.74767000001</v>
      </c>
      <c r="D32" s="214">
        <f t="shared" si="5"/>
        <v>-30</v>
      </c>
      <c r="E32" s="166"/>
      <c r="F32" s="178">
        <f>'Skjema total MA'!E111</f>
        <v>29487543.947020002</v>
      </c>
      <c r="G32" s="178">
        <f>'Skjema total MA'!F111</f>
        <v>36728843.072870001</v>
      </c>
      <c r="H32" s="214">
        <f t="shared" si="2"/>
        <v>24.6</v>
      </c>
      <c r="I32" s="166"/>
      <c r="J32" s="178">
        <f t="shared" si="0"/>
        <v>30107601.451420002</v>
      </c>
      <c r="K32" s="178">
        <f t="shared" si="0"/>
        <v>37163121.820540003</v>
      </c>
      <c r="L32" s="212">
        <f t="shared" si="3"/>
        <v>23.4</v>
      </c>
      <c r="M32" s="58"/>
    </row>
    <row r="33" spans="1:15" ht="22.5" x14ac:dyDescent="0.3">
      <c r="A33" s="175" t="s">
        <v>337</v>
      </c>
      <c r="B33" s="88">
        <f>'Skjema total MA'!B136</f>
        <v>3419760.1890000002</v>
      </c>
      <c r="C33" s="88">
        <f>'Skjema total MA'!C136</f>
        <v>903374.48800000001</v>
      </c>
      <c r="D33" s="214">
        <f t="shared" si="5"/>
        <v>-73.599999999999994</v>
      </c>
      <c r="E33" s="166"/>
      <c r="F33" s="178">
        <f>'Skjema total MA'!E136</f>
        <v>376440.52899999998</v>
      </c>
      <c r="G33" s="178">
        <f>'Skjema total MA'!F136</f>
        <v>0</v>
      </c>
      <c r="H33" s="214">
        <f t="shared" si="2"/>
        <v>-100</v>
      </c>
      <c r="I33" s="166"/>
      <c r="J33" s="178">
        <f t="shared" si="0"/>
        <v>3796200.7180000003</v>
      </c>
      <c r="K33" s="178">
        <f t="shared" si="0"/>
        <v>903374.48800000001</v>
      </c>
      <c r="L33" s="212">
        <f t="shared" si="3"/>
        <v>-76.2</v>
      </c>
      <c r="M33" s="58"/>
    </row>
    <row r="34" spans="1:15" ht="18.75" x14ac:dyDescent="0.3">
      <c r="A34" s="175" t="s">
        <v>111</v>
      </c>
      <c r="B34" s="88">
        <f>'Skjema total MA'!B38</f>
        <v>0</v>
      </c>
      <c r="C34" s="88">
        <f>'Skjema total MA'!C38</f>
        <v>0</v>
      </c>
      <c r="D34" s="214" t="str">
        <f t="shared" si="5"/>
        <v xml:space="preserve">    ---- </v>
      </c>
      <c r="E34" s="166"/>
      <c r="F34" s="178">
        <f>'Skjema total MA'!E38</f>
        <v>0</v>
      </c>
      <c r="G34" s="178">
        <f>'Skjema total MA'!F38</f>
        <v>0</v>
      </c>
      <c r="H34" s="214" t="str">
        <f t="shared" si="2"/>
        <v xml:space="preserve">    ---- </v>
      </c>
      <c r="I34" s="166"/>
      <c r="J34" s="178">
        <f t="shared" si="0"/>
        <v>0</v>
      </c>
      <c r="K34" s="178">
        <f t="shared" si="0"/>
        <v>0</v>
      </c>
      <c r="L34" s="212" t="str">
        <f t="shared" si="3"/>
        <v xml:space="preserve">    ---- </v>
      </c>
      <c r="M34" s="58"/>
    </row>
    <row r="35" spans="1:15" s="119" customFormat="1" ht="18.75" x14ac:dyDescent="0.3">
      <c r="A35" s="121" t="s">
        <v>115</v>
      </c>
      <c r="B35" s="95">
        <f>SUM(B30:B34)</f>
        <v>4095696.8632700001</v>
      </c>
      <c r="C35" s="180">
        <f>SUM(C30:C34)</f>
        <v>1383216.3080899999</v>
      </c>
      <c r="D35" s="214">
        <f t="shared" si="5"/>
        <v>-66.2</v>
      </c>
      <c r="E35" s="122"/>
      <c r="F35" s="180">
        <f>SUM(F30:F34)</f>
        <v>30101866.476920001</v>
      </c>
      <c r="G35" s="180">
        <f>SUM(G30:G34)</f>
        <v>36894805.829889998</v>
      </c>
      <c r="H35" s="214">
        <f t="shared" si="2"/>
        <v>22.6</v>
      </c>
      <c r="I35" s="122"/>
      <c r="J35" s="180">
        <f t="shared" si="0"/>
        <v>34197563.340190001</v>
      </c>
      <c r="K35" s="180">
        <f t="shared" si="0"/>
        <v>38278022.137979999</v>
      </c>
      <c r="L35" s="212">
        <f t="shared" si="3"/>
        <v>11.9</v>
      </c>
      <c r="M35" s="59"/>
    </row>
    <row r="36" spans="1:15" ht="18.75" x14ac:dyDescent="0.3">
      <c r="A36" s="121"/>
      <c r="B36" s="95"/>
      <c r="C36" s="180"/>
      <c r="D36" s="214"/>
      <c r="E36" s="122"/>
      <c r="F36" s="180"/>
      <c r="G36" s="180"/>
      <c r="H36" s="214" t="str">
        <f t="shared" si="2"/>
        <v xml:space="preserve">    ---- </v>
      </c>
      <c r="I36" s="122"/>
      <c r="J36" s="178"/>
      <c r="K36" s="178"/>
      <c r="L36" s="212" t="str">
        <f t="shared" si="3"/>
        <v xml:space="preserve">    ---- </v>
      </c>
      <c r="M36" s="58"/>
    </row>
    <row r="37" spans="1:15" ht="22.5" x14ac:dyDescent="0.3">
      <c r="A37" s="121" t="s">
        <v>340</v>
      </c>
      <c r="B37" s="95"/>
      <c r="C37" s="180"/>
      <c r="D37" s="178"/>
      <c r="E37" s="122"/>
      <c r="F37" s="180"/>
      <c r="G37" s="180"/>
      <c r="H37" s="214"/>
      <c r="I37" s="122"/>
      <c r="J37" s="178"/>
      <c r="K37" s="178"/>
      <c r="L37" s="212"/>
      <c r="M37" s="58"/>
    </row>
    <row r="38" spans="1:15" s="119" customFormat="1" ht="18.75" x14ac:dyDescent="0.3">
      <c r="A38" s="121" t="s">
        <v>107</v>
      </c>
      <c r="B38" s="95">
        <f>'Skjema total MA'!B53</f>
        <v>115166.72</v>
      </c>
      <c r="C38" s="95">
        <f>'Skjema total MA'!C53</f>
        <v>185020.712</v>
      </c>
      <c r="D38" s="214">
        <f t="shared" si="5"/>
        <v>60.7</v>
      </c>
      <c r="E38" s="122"/>
      <c r="F38" s="180"/>
      <c r="G38" s="180"/>
      <c r="H38" s="214" t="str">
        <f t="shared" si="2"/>
        <v xml:space="preserve">    ---- </v>
      </c>
      <c r="I38" s="122"/>
      <c r="J38" s="180">
        <f t="shared" si="0"/>
        <v>115166.72</v>
      </c>
      <c r="K38" s="180">
        <f t="shared" si="0"/>
        <v>185020.712</v>
      </c>
      <c r="L38" s="212">
        <f t="shared" si="3"/>
        <v>60.7</v>
      </c>
      <c r="M38" s="59"/>
    </row>
    <row r="39" spans="1:15" ht="18.75" x14ac:dyDescent="0.3">
      <c r="A39" s="121"/>
      <c r="B39" s="95"/>
      <c r="C39" s="180"/>
      <c r="D39" s="178"/>
      <c r="E39" s="122"/>
      <c r="F39" s="180"/>
      <c r="G39" s="180"/>
      <c r="H39" s="214"/>
      <c r="I39" s="122"/>
      <c r="J39" s="178"/>
      <c r="K39" s="178"/>
      <c r="L39" s="212"/>
      <c r="M39" s="58"/>
    </row>
    <row r="40" spans="1:15" ht="22.5" x14ac:dyDescent="0.3">
      <c r="A40" s="174" t="s">
        <v>341</v>
      </c>
      <c r="B40" s="182"/>
      <c r="C40" s="185"/>
      <c r="D40" s="178"/>
      <c r="E40" s="166"/>
      <c r="F40" s="178"/>
      <c r="G40" s="178"/>
      <c r="H40" s="214"/>
      <c r="I40" s="166"/>
      <c r="J40" s="178"/>
      <c r="K40" s="178"/>
      <c r="L40" s="212"/>
      <c r="M40" s="58"/>
    </row>
    <row r="41" spans="1:15" ht="18.75" x14ac:dyDescent="0.3">
      <c r="A41" s="175" t="s">
        <v>105</v>
      </c>
      <c r="B41" s="88">
        <f>'Skjema total MA'!B12</f>
        <v>2921</v>
      </c>
      <c r="C41" s="88">
        <f>'Skjema total MA'!C12</f>
        <v>3039</v>
      </c>
      <c r="D41" s="214">
        <f>IF(B41=0, "    ---- ", IF(ABS(ROUND(100/B41*C41-100,1))&lt;999,ROUND(100/B41*C41-100,1),IF(ROUND(100/B41*C41-100,1)&gt;999,999,-999)))</f>
        <v>4</v>
      </c>
      <c r="E41" s="166"/>
      <c r="F41" s="178">
        <f>'Skjema total MA'!E12</f>
        <v>132322.02526999998</v>
      </c>
      <c r="G41" s="178">
        <f>'Skjema total MA'!F12</f>
        <v>149274.79561</v>
      </c>
      <c r="H41" s="214">
        <f t="shared" si="2"/>
        <v>12.8</v>
      </c>
      <c r="I41" s="166"/>
      <c r="J41" s="178">
        <f t="shared" si="0"/>
        <v>135243.02526999998</v>
      </c>
      <c r="K41" s="178">
        <f t="shared" si="0"/>
        <v>152313.79561</v>
      </c>
      <c r="L41" s="212">
        <f t="shared" si="3"/>
        <v>12.6</v>
      </c>
      <c r="M41" s="58"/>
    </row>
    <row r="42" spans="1:15" ht="18.75" x14ac:dyDescent="0.3">
      <c r="A42" s="175" t="s">
        <v>106</v>
      </c>
      <c r="B42" s="88">
        <f>'Skjema total MA'!B35</f>
        <v>-20705.167290000001</v>
      </c>
      <c r="C42" s="88">
        <f>'Skjema total MA'!C35</f>
        <v>-77271.313219999996</v>
      </c>
      <c r="D42" s="214">
        <f t="shared" ref="D42:D46" si="6">IF(B42=0, "    ---- ", IF(ABS(ROUND(100/B42*C42-100,1))&lt;999,ROUND(100/B42*C42-100,1),IF(ROUND(100/B42*C42-100,1)&gt;999,999,-999)))</f>
        <v>273.2</v>
      </c>
      <c r="E42" s="166"/>
      <c r="F42" s="178">
        <f>'Skjema total MA'!E35</f>
        <v>75969.709650000004</v>
      </c>
      <c r="G42" s="178">
        <f>'Skjema total MA'!F35</f>
        <v>102974.71231999999</v>
      </c>
      <c r="H42" s="214">
        <f t="shared" si="2"/>
        <v>35.5</v>
      </c>
      <c r="I42" s="166"/>
      <c r="J42" s="178">
        <f t="shared" si="0"/>
        <v>55264.542360000007</v>
      </c>
      <c r="K42" s="178">
        <f t="shared" si="0"/>
        <v>25703.399099999995</v>
      </c>
      <c r="L42" s="212">
        <f t="shared" si="3"/>
        <v>-53.5</v>
      </c>
      <c r="M42" s="58"/>
    </row>
    <row r="43" spans="1:15" ht="18.75" x14ac:dyDescent="0.3">
      <c r="A43" s="175" t="s">
        <v>108</v>
      </c>
      <c r="B43" s="88">
        <f>'Skjema total MA'!B119</f>
        <v>561526.15474999987</v>
      </c>
      <c r="C43" s="88">
        <f>'Skjema total MA'!C119</f>
        <v>420797.55189999973</v>
      </c>
      <c r="D43" s="214">
        <f t="shared" si="6"/>
        <v>-25.1</v>
      </c>
      <c r="E43" s="166"/>
      <c r="F43" s="178">
        <f>'Skjema total MA'!E119</f>
        <v>31960256.72566</v>
      </c>
      <c r="G43" s="178">
        <f>'Skjema total MA'!F119</f>
        <v>38860561.57999</v>
      </c>
      <c r="H43" s="214">
        <f t="shared" si="2"/>
        <v>21.6</v>
      </c>
      <c r="I43" s="166"/>
      <c r="J43" s="178">
        <f t="shared" si="0"/>
        <v>32521782.880410001</v>
      </c>
      <c r="K43" s="178">
        <f t="shared" si="0"/>
        <v>39281359.131889999</v>
      </c>
      <c r="L43" s="212">
        <f t="shared" si="3"/>
        <v>20.8</v>
      </c>
      <c r="M43" s="58"/>
    </row>
    <row r="44" spans="1:15" ht="22.5" x14ac:dyDescent="0.3">
      <c r="A44" s="175" t="s">
        <v>337</v>
      </c>
      <c r="B44" s="88">
        <f>'Skjema total MA'!B137</f>
        <v>4668893.5379999997</v>
      </c>
      <c r="C44" s="88">
        <f>'Skjema total MA'!C137</f>
        <v>2125263.3539999998</v>
      </c>
      <c r="D44" s="214">
        <f t="shared" si="6"/>
        <v>-54.5</v>
      </c>
      <c r="E44" s="166"/>
      <c r="F44" s="178">
        <f>'Skjema total MA'!E137</f>
        <v>0</v>
      </c>
      <c r="G44" s="178">
        <f>'Skjema total MA'!F137</f>
        <v>0</v>
      </c>
      <c r="H44" s="214" t="str">
        <f t="shared" si="2"/>
        <v xml:space="preserve">    ---- </v>
      </c>
      <c r="I44" s="166"/>
      <c r="J44" s="178">
        <f t="shared" si="0"/>
        <v>4668893.5379999997</v>
      </c>
      <c r="K44" s="178">
        <f t="shared" si="0"/>
        <v>2125263.3539999998</v>
      </c>
      <c r="L44" s="212">
        <f t="shared" si="3"/>
        <v>-54.5</v>
      </c>
      <c r="M44" s="58"/>
    </row>
    <row r="45" spans="1:15" ht="18.75" x14ac:dyDescent="0.3">
      <c r="A45" s="175" t="s">
        <v>111</v>
      </c>
      <c r="B45" s="88">
        <f>'Skjema total MA'!B39</f>
        <v>12</v>
      </c>
      <c r="C45" s="88">
        <f>'Skjema total MA'!C39</f>
        <v>10</v>
      </c>
      <c r="D45" s="214">
        <f t="shared" si="6"/>
        <v>-16.7</v>
      </c>
      <c r="E45" s="166"/>
      <c r="F45" s="178"/>
      <c r="G45" s="178"/>
      <c r="H45" s="214" t="str">
        <f t="shared" si="2"/>
        <v xml:space="preserve">    ---- </v>
      </c>
      <c r="I45" s="166"/>
      <c r="J45" s="178">
        <f t="shared" si="0"/>
        <v>12</v>
      </c>
      <c r="K45" s="178">
        <f t="shared" si="0"/>
        <v>10</v>
      </c>
      <c r="L45" s="212">
        <f t="shared" si="3"/>
        <v>-16.7</v>
      </c>
      <c r="M45" s="58"/>
    </row>
    <row r="46" spans="1:15" s="119" customFormat="1" ht="18.75" x14ac:dyDescent="0.3">
      <c r="A46" s="121" t="s">
        <v>116</v>
      </c>
      <c r="B46" s="95">
        <f>SUM(B41:B45)</f>
        <v>5212647.5254599992</v>
      </c>
      <c r="C46" s="180">
        <f>SUM(C41:C45)</f>
        <v>2471838.5926799998</v>
      </c>
      <c r="D46" s="214">
        <f t="shared" si="6"/>
        <v>-52.6</v>
      </c>
      <c r="E46" s="122"/>
      <c r="F46" s="180">
        <f>SUM(F41:F45)</f>
        <v>32168548.460579999</v>
      </c>
      <c r="G46" s="258">
        <f>SUM(G41:G45)</f>
        <v>39112811.087920003</v>
      </c>
      <c r="H46" s="214">
        <f t="shared" si="2"/>
        <v>21.6</v>
      </c>
      <c r="I46" s="122"/>
      <c r="J46" s="180">
        <f t="shared" si="0"/>
        <v>37381195.986039996</v>
      </c>
      <c r="K46" s="180">
        <f t="shared" si="0"/>
        <v>41584649.680600002</v>
      </c>
      <c r="L46" s="212">
        <f t="shared" si="3"/>
        <v>11.2</v>
      </c>
      <c r="M46" s="59"/>
      <c r="N46" s="118"/>
      <c r="O46" s="118"/>
    </row>
    <row r="47" spans="1:15" ht="18.75" x14ac:dyDescent="0.3">
      <c r="A47" s="121"/>
      <c r="B47" s="95"/>
      <c r="C47" s="180"/>
      <c r="D47" s="178"/>
      <c r="E47" s="122"/>
      <c r="F47" s="180"/>
      <c r="G47" s="180"/>
      <c r="H47" s="214"/>
      <c r="I47" s="122"/>
      <c r="J47" s="178"/>
      <c r="K47" s="178"/>
      <c r="L47" s="212"/>
      <c r="M47" s="58"/>
    </row>
    <row r="48" spans="1:15" ht="22.5" x14ac:dyDescent="0.3">
      <c r="A48" s="121" t="s">
        <v>342</v>
      </c>
      <c r="B48" s="95"/>
      <c r="C48" s="180"/>
      <c r="D48" s="178"/>
      <c r="E48" s="122"/>
      <c r="F48" s="180"/>
      <c r="G48" s="180"/>
      <c r="H48" s="214"/>
      <c r="I48" s="122"/>
      <c r="J48" s="178"/>
      <c r="K48" s="178"/>
      <c r="L48" s="212"/>
      <c r="M48" s="58"/>
    </row>
    <row r="49" spans="1:15" s="119" customFormat="1" ht="18.75" x14ac:dyDescent="0.3">
      <c r="A49" s="121" t="s">
        <v>107</v>
      </c>
      <c r="B49" s="95">
        <f>'Skjema total MA'!B56</f>
        <v>93637.587999999989</v>
      </c>
      <c r="C49" s="95">
        <f>'Skjema total MA'!C56</f>
        <v>111312.91699999999</v>
      </c>
      <c r="D49" s="214">
        <f t="shared" ref="D49" si="7">IF(B49=0, "    ---- ", IF(ABS(ROUND(100/B49*C49-100,1))&lt;999,ROUND(100/B49*C49-100,1),IF(ROUND(100/B49*C49-100,1)&gt;999,999,-999)))</f>
        <v>18.899999999999999</v>
      </c>
      <c r="E49" s="122"/>
      <c r="F49" s="180"/>
      <c r="G49" s="180"/>
      <c r="H49" s="214" t="str">
        <f t="shared" si="2"/>
        <v xml:space="preserve">    ---- </v>
      </c>
      <c r="I49" s="122"/>
      <c r="J49" s="180">
        <f>SUM(B49+F49)</f>
        <v>93637.587999999989</v>
      </c>
      <c r="K49" s="180">
        <f>SUM(C49+G49)</f>
        <v>111312.91699999999</v>
      </c>
      <c r="L49" s="212">
        <f t="shared" si="3"/>
        <v>18.899999999999999</v>
      </c>
      <c r="M49" s="59"/>
    </row>
    <row r="50" spans="1:15" ht="18.75" x14ac:dyDescent="0.3">
      <c r="A50" s="121"/>
      <c r="B50" s="88"/>
      <c r="C50" s="178"/>
      <c r="D50" s="178"/>
      <c r="E50" s="166"/>
      <c r="F50" s="178"/>
      <c r="G50" s="178"/>
      <c r="H50" s="214"/>
      <c r="I50" s="166"/>
      <c r="J50" s="178"/>
      <c r="K50" s="178"/>
      <c r="L50" s="212"/>
      <c r="M50" s="58"/>
    </row>
    <row r="51" spans="1:15" ht="21.75" x14ac:dyDescent="0.3">
      <c r="A51" s="174" t="s">
        <v>343</v>
      </c>
      <c r="B51" s="88"/>
      <c r="C51" s="178"/>
      <c r="D51" s="178"/>
      <c r="E51" s="166"/>
      <c r="F51" s="178"/>
      <c r="G51" s="178"/>
      <c r="H51" s="214" t="str">
        <f t="shared" si="2"/>
        <v xml:space="preserve">    ---- </v>
      </c>
      <c r="I51" s="166"/>
      <c r="J51" s="178"/>
      <c r="K51" s="178"/>
      <c r="L51" s="212" t="str">
        <f t="shared" si="3"/>
        <v xml:space="preserve">    ---- </v>
      </c>
      <c r="M51" s="58"/>
    </row>
    <row r="52" spans="1:15" ht="18.75" x14ac:dyDescent="0.3">
      <c r="A52" s="175" t="s">
        <v>105</v>
      </c>
      <c r="B52" s="88">
        <f>B30-B41</f>
        <v>29816</v>
      </c>
      <c r="C52" s="178">
        <f>C30-C41</f>
        <v>22987</v>
      </c>
      <c r="D52" s="214">
        <f>IF(B52=0, "    ---- ", IF(ABS(ROUND(100/B52*C52-100,1))&lt;999,ROUND(100/B52*C52-100,1),IF(ROUND(100/B52*C52-100,1)&gt;999,999,-999)))</f>
        <v>-22.9</v>
      </c>
      <c r="E52" s="166"/>
      <c r="F52" s="178">
        <f>F30-F41</f>
        <v>36719.906530000037</v>
      </c>
      <c r="G52" s="178">
        <f>G30-G41</f>
        <v>17926.156349999976</v>
      </c>
      <c r="H52" s="214">
        <f t="shared" si="2"/>
        <v>-51.2</v>
      </c>
      <c r="I52" s="166"/>
      <c r="J52" s="178">
        <f t="shared" si="0"/>
        <v>66535.906530000037</v>
      </c>
      <c r="K52" s="178">
        <f t="shared" si="0"/>
        <v>40913.156349999976</v>
      </c>
      <c r="L52" s="212">
        <f t="shared" si="3"/>
        <v>-38.5</v>
      </c>
      <c r="M52" s="58"/>
    </row>
    <row r="53" spans="1:15" ht="18.75" x14ac:dyDescent="0.3">
      <c r="A53" s="175" t="s">
        <v>106</v>
      </c>
      <c r="B53" s="88">
        <f t="shared" ref="B53:C56" si="8">B31-B42</f>
        <v>43847.337160000003</v>
      </c>
      <c r="C53" s="178">
        <f t="shared" si="8"/>
        <v>96808.385639999993</v>
      </c>
      <c r="D53" s="214">
        <f t="shared" ref="D53:D60" si="9">IF(B53=0, "    ---- ", IF(ABS(ROUND(100/B53*C53-100,1))&lt;999,ROUND(100/B53*C53-100,1),IF(ROUND(100/B53*C53-100,1)&gt;999,999,-999)))</f>
        <v>120.8</v>
      </c>
      <c r="E53" s="166"/>
      <c r="F53" s="178">
        <f t="shared" ref="F53:G56" si="10">F31-F42</f>
        <v>-7129.640550000011</v>
      </c>
      <c r="G53" s="178">
        <f t="shared" si="10"/>
        <v>-104212.90725999999</v>
      </c>
      <c r="H53" s="214">
        <f t="shared" si="2"/>
        <v>999</v>
      </c>
      <c r="I53" s="166"/>
      <c r="J53" s="178">
        <f t="shared" si="0"/>
        <v>36717.696609999992</v>
      </c>
      <c r="K53" s="178">
        <f t="shared" si="0"/>
        <v>-7404.5216199999995</v>
      </c>
      <c r="L53" s="212">
        <f t="shared" si="3"/>
        <v>-120.2</v>
      </c>
      <c r="M53" s="58"/>
    </row>
    <row r="54" spans="1:15" ht="18.75" x14ac:dyDescent="0.3">
      <c r="A54" s="175" t="s">
        <v>108</v>
      </c>
      <c r="B54" s="88">
        <f t="shared" si="8"/>
        <v>58531.349650000106</v>
      </c>
      <c r="C54" s="178">
        <f t="shared" si="8"/>
        <v>13481.195770000282</v>
      </c>
      <c r="D54" s="214">
        <f t="shared" si="9"/>
        <v>-77</v>
      </c>
      <c r="E54" s="166"/>
      <c r="F54" s="178">
        <f t="shared" si="10"/>
        <v>-2472712.7786399983</v>
      </c>
      <c r="G54" s="178">
        <f t="shared" si="10"/>
        <v>-2131718.5071199983</v>
      </c>
      <c r="H54" s="214">
        <f t="shared" si="2"/>
        <v>-13.8</v>
      </c>
      <c r="I54" s="166"/>
      <c r="J54" s="178">
        <f t="shared" si="0"/>
        <v>-2414181.4289899981</v>
      </c>
      <c r="K54" s="178">
        <f t="shared" si="0"/>
        <v>-2118237.3113499982</v>
      </c>
      <c r="L54" s="212">
        <f t="shared" si="3"/>
        <v>-12.3</v>
      </c>
      <c r="M54" s="58"/>
    </row>
    <row r="55" spans="1:15" ht="22.5" x14ac:dyDescent="0.3">
      <c r="A55" s="175" t="s">
        <v>337</v>
      </c>
      <c r="B55" s="88">
        <f t="shared" si="8"/>
        <v>-1249133.3489999995</v>
      </c>
      <c r="C55" s="178">
        <f t="shared" si="8"/>
        <v>-1221888.8659999999</v>
      </c>
      <c r="D55" s="214">
        <f t="shared" si="9"/>
        <v>-2.2000000000000002</v>
      </c>
      <c r="E55" s="166"/>
      <c r="F55" s="178">
        <f t="shared" si="10"/>
        <v>376440.52899999998</v>
      </c>
      <c r="G55" s="178">
        <f t="shared" si="10"/>
        <v>0</v>
      </c>
      <c r="H55" s="214">
        <f t="shared" si="2"/>
        <v>-100</v>
      </c>
      <c r="I55" s="166"/>
      <c r="J55" s="178">
        <f t="shared" si="0"/>
        <v>-872692.81999999948</v>
      </c>
      <c r="K55" s="178">
        <f t="shared" si="0"/>
        <v>-1221888.8659999999</v>
      </c>
      <c r="L55" s="212">
        <f t="shared" si="3"/>
        <v>40</v>
      </c>
      <c r="M55" s="58"/>
    </row>
    <row r="56" spans="1:15" ht="18.75" x14ac:dyDescent="0.3">
      <c r="A56" s="175" t="s">
        <v>111</v>
      </c>
      <c r="B56" s="88">
        <f t="shared" si="8"/>
        <v>-12</v>
      </c>
      <c r="C56" s="178">
        <f t="shared" si="8"/>
        <v>-10</v>
      </c>
      <c r="D56" s="214">
        <f t="shared" si="9"/>
        <v>-16.7</v>
      </c>
      <c r="E56" s="166"/>
      <c r="F56" s="178">
        <f t="shared" si="10"/>
        <v>0</v>
      </c>
      <c r="G56" s="178">
        <f t="shared" si="10"/>
        <v>0</v>
      </c>
      <c r="H56" s="214" t="str">
        <f t="shared" si="2"/>
        <v xml:space="preserve">    ---- </v>
      </c>
      <c r="I56" s="166"/>
      <c r="J56" s="178">
        <f t="shared" si="0"/>
        <v>-12</v>
      </c>
      <c r="K56" s="178">
        <f t="shared" si="0"/>
        <v>-10</v>
      </c>
      <c r="L56" s="212">
        <f t="shared" si="3"/>
        <v>-16.7</v>
      </c>
      <c r="M56" s="58"/>
    </row>
    <row r="57" spans="1:15" s="119" customFormat="1" ht="18.75" x14ac:dyDescent="0.3">
      <c r="A57" s="121" t="s">
        <v>117</v>
      </c>
      <c r="B57" s="95">
        <f>SUM(B52:B56)</f>
        <v>-1116950.6621899994</v>
      </c>
      <c r="C57" s="180">
        <f>SUM(C52:C56)</f>
        <v>-1088622.2845899996</v>
      </c>
      <c r="D57" s="214">
        <f>IF(B57=0, "    ---- ", IF(ABS(ROUND(100/B57*C57-100,1))&lt;999,ROUND(100/B57*C57-100,1),IF(ROUND(100/B57*C57-100,1)&gt;999,999,-999)))</f>
        <v>-2.5</v>
      </c>
      <c r="E57" s="122"/>
      <c r="F57" s="180">
        <f>SUM(F52:F56)</f>
        <v>-2066681.983659998</v>
      </c>
      <c r="G57" s="258">
        <f>SUM(G52:G56)</f>
        <v>-2218005.2580299983</v>
      </c>
      <c r="H57" s="214">
        <f t="shared" si="2"/>
        <v>7.3</v>
      </c>
      <c r="I57" s="122"/>
      <c r="J57" s="180">
        <f t="shared" si="0"/>
        <v>-3183632.6458499972</v>
      </c>
      <c r="K57" s="178">
        <f t="shared" si="0"/>
        <v>-3306627.5426199976</v>
      </c>
      <c r="L57" s="212">
        <f t="shared" si="3"/>
        <v>3.9</v>
      </c>
      <c r="M57" s="59"/>
      <c r="N57" s="118"/>
      <c r="O57" s="118"/>
    </row>
    <row r="58" spans="1:15" ht="18.75" x14ac:dyDescent="0.3">
      <c r="A58" s="121"/>
      <c r="B58" s="95"/>
      <c r="C58" s="180"/>
      <c r="D58" s="214"/>
      <c r="E58" s="122"/>
      <c r="F58" s="180"/>
      <c r="G58" s="180"/>
      <c r="H58" s="214"/>
      <c r="I58" s="122"/>
      <c r="J58" s="180"/>
      <c r="K58" s="178"/>
      <c r="L58" s="212"/>
      <c r="M58" s="58"/>
    </row>
    <row r="59" spans="1:15" ht="22.5" x14ac:dyDescent="0.3">
      <c r="A59" s="121" t="s">
        <v>344</v>
      </c>
      <c r="B59" s="95"/>
      <c r="C59" s="180"/>
      <c r="D59" s="214"/>
      <c r="E59" s="122"/>
      <c r="F59" s="180"/>
      <c r="G59" s="180"/>
      <c r="H59" s="214"/>
      <c r="I59" s="122"/>
      <c r="J59" s="180"/>
      <c r="K59" s="178"/>
      <c r="L59" s="212"/>
      <c r="M59" s="58"/>
    </row>
    <row r="60" spans="1:15" s="119" customFormat="1" ht="18.75" x14ac:dyDescent="0.3">
      <c r="A60" s="121" t="s">
        <v>107</v>
      </c>
      <c r="B60" s="95">
        <f>B38-B49</f>
        <v>21529.132000000012</v>
      </c>
      <c r="C60" s="180">
        <f>C38-C49</f>
        <v>73707.795000000013</v>
      </c>
      <c r="D60" s="214">
        <f t="shared" si="9"/>
        <v>242.4</v>
      </c>
      <c r="E60" s="122"/>
      <c r="F60" s="180">
        <f>F38-F49</f>
        <v>0</v>
      </c>
      <c r="G60" s="180">
        <f>G38-G49</f>
        <v>0</v>
      </c>
      <c r="H60" s="214"/>
      <c r="I60" s="122"/>
      <c r="J60" s="180">
        <f t="shared" si="0"/>
        <v>21529.132000000012</v>
      </c>
      <c r="K60" s="178">
        <f t="shared" si="0"/>
        <v>73707.795000000013</v>
      </c>
      <c r="L60" s="212">
        <f t="shared" si="3"/>
        <v>242.4</v>
      </c>
      <c r="M60" s="59"/>
    </row>
    <row r="61" spans="1:15" s="119" customFormat="1" ht="18.75" x14ac:dyDescent="0.3">
      <c r="A61" s="177"/>
      <c r="B61" s="100"/>
      <c r="C61" s="181"/>
      <c r="D61" s="186"/>
      <c r="E61" s="122"/>
      <c r="F61" s="181"/>
      <c r="G61" s="181"/>
      <c r="H61" s="186"/>
      <c r="I61" s="122"/>
      <c r="J61" s="186"/>
      <c r="K61" s="186"/>
      <c r="L61" s="186"/>
      <c r="M61" s="59"/>
    </row>
    <row r="62" spans="1:15" ht="18.75" x14ac:dyDescent="0.3">
      <c r="A62" s="97" t="s">
        <v>118</v>
      </c>
      <c r="C62" s="123"/>
      <c r="D62" s="123"/>
      <c r="E62" s="123"/>
      <c r="F62" s="123"/>
      <c r="G62" s="97"/>
      <c r="H62" s="58"/>
      <c r="I62" s="97"/>
      <c r="J62" s="97"/>
      <c r="K62" s="97"/>
      <c r="L62" s="58"/>
      <c r="M62" s="58"/>
    </row>
    <row r="63" spans="1:15" ht="18.75" x14ac:dyDescent="0.3">
      <c r="A63" s="97" t="s">
        <v>119</v>
      </c>
      <c r="C63" s="123"/>
      <c r="D63" s="123"/>
      <c r="E63" s="123"/>
      <c r="F63" s="123"/>
      <c r="G63" s="58"/>
      <c r="H63" s="58"/>
      <c r="I63" s="58"/>
      <c r="J63" s="58"/>
      <c r="K63" s="58"/>
      <c r="L63" s="58"/>
      <c r="M63" s="58"/>
    </row>
    <row r="64" spans="1:15" ht="18.75" x14ac:dyDescent="0.3">
      <c r="A64" s="97" t="s">
        <v>98</v>
      </c>
      <c r="B64" s="58"/>
      <c r="C64" s="58"/>
      <c r="D64" s="58"/>
      <c r="E64" s="58"/>
      <c r="F64" s="58"/>
      <c r="G64" s="58"/>
      <c r="H64" s="58"/>
      <c r="I64" s="58"/>
      <c r="J64" s="58"/>
      <c r="K64" s="58"/>
      <c r="L64" s="58"/>
      <c r="M64" s="58"/>
    </row>
    <row r="65" spans="1:13" ht="18.75" x14ac:dyDescent="0.3">
      <c r="A65" s="58"/>
      <c r="C65" s="58"/>
      <c r="D65" s="58"/>
      <c r="E65" s="58"/>
      <c r="F65" s="58"/>
      <c r="G65" s="58"/>
      <c r="H65" s="58"/>
      <c r="I65" s="58"/>
      <c r="J65" s="58"/>
      <c r="K65" s="58"/>
      <c r="L65" s="58"/>
      <c r="M65" s="58"/>
    </row>
    <row r="66" spans="1:13" ht="18.75" x14ac:dyDescent="0.3">
      <c r="A66" s="58"/>
      <c r="B66" s="58"/>
      <c r="C66" s="58"/>
      <c r="D66" s="58"/>
      <c r="E66" s="58"/>
      <c r="F66" s="58"/>
      <c r="G66" s="58"/>
      <c r="H66" s="58"/>
      <c r="I66" s="58"/>
      <c r="J66" s="58"/>
      <c r="K66" s="58"/>
      <c r="L66" s="58"/>
      <c r="M66" s="58"/>
    </row>
    <row r="67" spans="1:13" ht="18.75" x14ac:dyDescent="0.3">
      <c r="A67" s="58"/>
      <c r="B67" s="58"/>
      <c r="C67" s="58"/>
      <c r="D67" s="58"/>
      <c r="E67" s="58"/>
      <c r="F67" s="58"/>
      <c r="G67" s="58"/>
      <c r="H67" s="58"/>
      <c r="I67" s="58"/>
      <c r="J67" s="58"/>
      <c r="K67" s="58"/>
      <c r="L67" s="58"/>
      <c r="M67" s="58"/>
    </row>
    <row r="68" spans="1:13" ht="18.75" x14ac:dyDescent="0.3">
      <c r="A68" s="58"/>
      <c r="B68" s="58"/>
      <c r="C68" s="58"/>
      <c r="D68" s="58"/>
      <c r="E68" s="58"/>
      <c r="F68" s="58"/>
      <c r="G68" s="58"/>
      <c r="H68" s="58"/>
      <c r="I68" s="58"/>
      <c r="J68" s="58"/>
      <c r="K68" s="58"/>
      <c r="L68" s="58"/>
      <c r="M68" s="58"/>
    </row>
    <row r="69" spans="1:13" ht="18.75" x14ac:dyDescent="0.3">
      <c r="A69" s="58"/>
      <c r="B69" s="58"/>
      <c r="C69" s="58"/>
      <c r="D69" s="58"/>
      <c r="E69" s="58"/>
      <c r="F69" s="58"/>
      <c r="G69" s="58"/>
      <c r="H69" s="58"/>
      <c r="I69" s="58"/>
      <c r="J69" s="58"/>
      <c r="K69" s="58"/>
      <c r="L69" s="58"/>
      <c r="M69" s="58"/>
    </row>
    <row r="70" spans="1:13" ht="18.75" x14ac:dyDescent="0.3">
      <c r="A70" s="58"/>
      <c r="B70" s="58"/>
      <c r="C70" s="58"/>
      <c r="D70" s="58"/>
      <c r="E70" s="58"/>
      <c r="F70" s="58"/>
      <c r="G70" s="58"/>
      <c r="H70" s="58"/>
      <c r="I70" s="58"/>
      <c r="J70" s="58"/>
      <c r="K70" s="58"/>
      <c r="L70" s="58"/>
      <c r="M70" s="58"/>
    </row>
    <row r="71" spans="1:13" ht="18.75" x14ac:dyDescent="0.3">
      <c r="A71" s="58"/>
      <c r="B71" s="58"/>
      <c r="C71" s="58"/>
      <c r="D71" s="58"/>
      <c r="E71" s="58"/>
      <c r="F71" s="58"/>
      <c r="G71" s="58"/>
      <c r="H71" s="58"/>
      <c r="I71" s="58"/>
      <c r="J71" s="58"/>
      <c r="K71" s="58"/>
      <c r="L71" s="58"/>
      <c r="M71" s="58"/>
    </row>
    <row r="72" spans="1:13" ht="18.75" x14ac:dyDescent="0.3">
      <c r="A72" s="58"/>
      <c r="B72" s="58"/>
      <c r="C72" s="58"/>
      <c r="D72" s="58"/>
      <c r="E72" s="58"/>
      <c r="F72" s="58"/>
      <c r="G72" s="58"/>
      <c r="H72" s="58"/>
      <c r="I72" s="58"/>
      <c r="J72" s="58"/>
      <c r="K72" s="58"/>
      <c r="L72" s="58"/>
      <c r="M72" s="58"/>
    </row>
    <row r="73" spans="1:13" ht="18.75" x14ac:dyDescent="0.3">
      <c r="A73" s="58"/>
      <c r="B73" s="58"/>
      <c r="C73" s="58"/>
      <c r="D73" s="58"/>
      <c r="E73" s="58"/>
      <c r="F73" s="58"/>
      <c r="G73" s="58"/>
      <c r="H73" s="58"/>
      <c r="I73" s="58"/>
      <c r="J73" s="58"/>
      <c r="K73" s="58"/>
      <c r="L73" s="58"/>
      <c r="M73" s="58"/>
    </row>
    <row r="74" spans="1:13" ht="18.75" x14ac:dyDescent="0.3">
      <c r="A74" s="58"/>
      <c r="B74" s="58"/>
      <c r="C74" s="58"/>
      <c r="D74" s="58"/>
      <c r="E74" s="58"/>
      <c r="F74" s="58"/>
      <c r="G74" s="58"/>
      <c r="H74" s="58"/>
      <c r="I74" s="58"/>
      <c r="J74" s="58"/>
      <c r="K74" s="58"/>
      <c r="L74" s="58"/>
      <c r="M74" s="58"/>
    </row>
    <row r="75" spans="1:13" ht="18.75" x14ac:dyDescent="0.3">
      <c r="A75" s="58"/>
      <c r="B75" s="58"/>
      <c r="C75" s="58"/>
      <c r="D75" s="58"/>
      <c r="E75" s="58"/>
      <c r="F75" s="58"/>
      <c r="G75" s="58"/>
      <c r="H75" s="58"/>
      <c r="I75" s="58"/>
      <c r="J75" s="58"/>
      <c r="K75" s="58"/>
      <c r="L75" s="58"/>
      <c r="M75" s="58"/>
    </row>
    <row r="76" spans="1:13" ht="18.75" x14ac:dyDescent="0.3">
      <c r="A76" s="58"/>
      <c r="B76" s="58"/>
      <c r="C76" s="58"/>
      <c r="D76" s="58"/>
      <c r="E76" s="58"/>
      <c r="F76" s="58"/>
      <c r="G76" s="58"/>
      <c r="H76" s="58"/>
      <c r="I76" s="58"/>
      <c r="J76" s="58"/>
      <c r="K76" s="58"/>
      <c r="L76" s="58"/>
      <c r="M76" s="58"/>
    </row>
    <row r="77" spans="1:13" ht="18.75" x14ac:dyDescent="0.3">
      <c r="A77" s="58"/>
      <c r="B77" s="58"/>
      <c r="C77" s="58"/>
      <c r="D77" s="58"/>
      <c r="E77" s="58"/>
      <c r="F77" s="58"/>
      <c r="G77" s="58"/>
      <c r="H77" s="58"/>
      <c r="I77" s="58"/>
      <c r="J77" s="58"/>
      <c r="K77" s="58"/>
      <c r="L77" s="58"/>
      <c r="M77" s="58"/>
    </row>
    <row r="78" spans="1:13" ht="18.75" x14ac:dyDescent="0.3">
      <c r="A78" s="58"/>
      <c r="B78" s="58"/>
      <c r="C78" s="58"/>
      <c r="D78" s="58"/>
      <c r="E78" s="58"/>
      <c r="F78" s="58"/>
      <c r="G78" s="58"/>
      <c r="H78" s="58"/>
      <c r="I78" s="58"/>
      <c r="J78" s="58"/>
      <c r="K78" s="58"/>
      <c r="L78" s="58"/>
      <c r="M78" s="58"/>
    </row>
    <row r="79" spans="1:13" ht="18.75" x14ac:dyDescent="0.3">
      <c r="A79" s="58"/>
      <c r="B79" s="58"/>
      <c r="C79" s="58"/>
      <c r="D79" s="58"/>
      <c r="E79" s="58"/>
      <c r="F79" s="58"/>
      <c r="G79" s="58"/>
      <c r="H79" s="58"/>
      <c r="I79" s="58"/>
      <c r="J79" s="58"/>
      <c r="K79" s="58"/>
      <c r="L79" s="58"/>
      <c r="M79" s="58"/>
    </row>
    <row r="80" spans="1:13" ht="18.75" x14ac:dyDescent="0.3">
      <c r="A80" s="58"/>
      <c r="B80" s="58"/>
      <c r="C80" s="58"/>
      <c r="D80" s="58"/>
      <c r="E80" s="58"/>
      <c r="F80" s="58"/>
      <c r="G80" s="58"/>
      <c r="H80" s="58"/>
      <c r="I80" s="58"/>
      <c r="J80" s="58"/>
      <c r="K80" s="58"/>
      <c r="L80" s="58"/>
      <c r="M80" s="58"/>
    </row>
    <row r="81" spans="1:13" ht="18.75" x14ac:dyDescent="0.3">
      <c r="A81" s="58"/>
      <c r="B81" s="58"/>
      <c r="C81" s="58"/>
      <c r="D81" s="58"/>
      <c r="E81" s="58"/>
      <c r="F81" s="58"/>
      <c r="G81" s="58"/>
      <c r="H81" s="58"/>
      <c r="I81" s="58"/>
      <c r="J81" s="58"/>
      <c r="K81" s="58"/>
      <c r="L81" s="58"/>
      <c r="M81" s="58"/>
    </row>
    <row r="82" spans="1:13" ht="18.75" x14ac:dyDescent="0.3">
      <c r="A82" s="58"/>
      <c r="B82" s="58"/>
      <c r="C82" s="58"/>
      <c r="D82" s="58"/>
      <c r="E82" s="58"/>
      <c r="F82" s="58"/>
      <c r="G82" s="58"/>
      <c r="H82" s="58"/>
      <c r="I82" s="58"/>
      <c r="J82" s="58"/>
      <c r="K82" s="58"/>
      <c r="L82" s="58"/>
      <c r="M82" s="58"/>
    </row>
    <row r="83" spans="1:13" ht="18.75" x14ac:dyDescent="0.3">
      <c r="A83" s="58"/>
      <c r="B83" s="58"/>
      <c r="C83" s="58"/>
      <c r="D83" s="58"/>
      <c r="E83" s="58"/>
      <c r="F83" s="58"/>
      <c r="G83" s="58"/>
      <c r="H83" s="58"/>
      <c r="I83" s="58"/>
      <c r="J83" s="58"/>
      <c r="K83" s="58"/>
      <c r="L83" s="58"/>
      <c r="M83" s="58"/>
    </row>
    <row r="84" spans="1:13" ht="18.75" x14ac:dyDescent="0.3">
      <c r="A84" s="58"/>
      <c r="B84" s="58"/>
      <c r="C84" s="58"/>
      <c r="D84" s="58"/>
      <c r="E84" s="58"/>
      <c r="F84" s="58"/>
      <c r="G84" s="58"/>
      <c r="H84" s="58"/>
      <c r="I84" s="58"/>
      <c r="J84" s="58"/>
      <c r="K84" s="58"/>
      <c r="L84" s="58"/>
      <c r="M84" s="58"/>
    </row>
    <row r="85" spans="1:13" ht="18.75" x14ac:dyDescent="0.3">
      <c r="A85" s="58"/>
      <c r="B85" s="58"/>
      <c r="C85" s="58"/>
      <c r="D85" s="58"/>
      <c r="E85" s="58"/>
      <c r="F85" s="58"/>
      <c r="G85" s="58"/>
      <c r="H85" s="58"/>
      <c r="I85" s="58"/>
      <c r="J85" s="58"/>
      <c r="K85" s="58"/>
      <c r="L85" s="58"/>
      <c r="M85" s="58"/>
    </row>
    <row r="86" spans="1:13" ht="18.75" x14ac:dyDescent="0.3">
      <c r="A86" s="58"/>
      <c r="B86" s="58"/>
      <c r="C86" s="58"/>
      <c r="D86" s="58"/>
      <c r="E86" s="58"/>
      <c r="F86" s="58"/>
      <c r="G86" s="58"/>
      <c r="H86" s="58"/>
      <c r="I86" s="58"/>
      <c r="J86" s="58"/>
      <c r="K86" s="58"/>
      <c r="L86" s="58"/>
      <c r="M86" s="58"/>
    </row>
    <row r="87" spans="1:13" ht="18.75" x14ac:dyDescent="0.3">
      <c r="A87" s="58"/>
      <c r="B87" s="58"/>
      <c r="C87" s="58"/>
      <c r="D87" s="58"/>
      <c r="E87" s="58"/>
      <c r="F87" s="58"/>
      <c r="G87" s="58"/>
      <c r="H87" s="58"/>
      <c r="I87" s="58"/>
      <c r="J87" s="58"/>
      <c r="K87" s="58"/>
      <c r="L87" s="58"/>
      <c r="M87" s="58"/>
    </row>
    <row r="88" spans="1:13" ht="18.75" x14ac:dyDescent="0.3">
      <c r="A88" s="58"/>
      <c r="B88" s="58"/>
      <c r="C88" s="58"/>
      <c r="D88" s="58"/>
      <c r="E88" s="58"/>
      <c r="F88" s="58"/>
      <c r="G88" s="58"/>
      <c r="H88" s="58"/>
      <c r="I88" s="58"/>
      <c r="J88" s="58"/>
      <c r="K88" s="58"/>
      <c r="L88" s="58"/>
      <c r="M88" s="58"/>
    </row>
    <row r="89" spans="1:13" ht="18.75" x14ac:dyDescent="0.3">
      <c r="A89" s="58"/>
      <c r="B89" s="58"/>
      <c r="C89" s="58"/>
      <c r="D89" s="58"/>
      <c r="E89" s="58"/>
      <c r="F89" s="58"/>
      <c r="G89" s="58"/>
      <c r="H89" s="58"/>
      <c r="I89" s="58"/>
      <c r="J89" s="58"/>
      <c r="K89" s="58"/>
      <c r="L89" s="58"/>
      <c r="M89" s="58"/>
    </row>
    <row r="90" spans="1:13" ht="18.75" x14ac:dyDescent="0.3">
      <c r="A90" s="58"/>
      <c r="B90" s="58"/>
      <c r="C90" s="58"/>
      <c r="D90" s="58"/>
      <c r="E90" s="58"/>
      <c r="F90" s="58"/>
      <c r="G90" s="58"/>
      <c r="H90" s="58"/>
      <c r="I90" s="58"/>
      <c r="J90" s="58"/>
      <c r="K90" s="58"/>
      <c r="L90" s="58"/>
      <c r="M90" s="58"/>
    </row>
    <row r="91" spans="1:13" ht="18.75" x14ac:dyDescent="0.3">
      <c r="A91" s="58"/>
      <c r="B91" s="58"/>
      <c r="C91" s="58"/>
      <c r="D91" s="58"/>
      <c r="E91" s="58"/>
      <c r="F91" s="58"/>
      <c r="G91" s="58"/>
      <c r="H91" s="58"/>
      <c r="I91" s="58"/>
      <c r="J91" s="58"/>
      <c r="K91" s="58"/>
      <c r="L91" s="58"/>
      <c r="M91" s="58"/>
    </row>
    <row r="92" spans="1:13" ht="18.75" x14ac:dyDescent="0.3">
      <c r="A92" s="58"/>
      <c r="B92" s="58"/>
      <c r="C92" s="58"/>
      <c r="D92" s="58"/>
      <c r="E92" s="58"/>
      <c r="F92" s="58"/>
      <c r="G92" s="58"/>
      <c r="H92" s="58"/>
      <c r="I92" s="58"/>
      <c r="J92" s="58"/>
      <c r="K92" s="58"/>
      <c r="L92" s="58"/>
      <c r="M92" s="58"/>
    </row>
    <row r="93" spans="1:13" ht="18.75" x14ac:dyDescent="0.3">
      <c r="A93" s="58"/>
      <c r="B93" s="58"/>
      <c r="C93" s="58"/>
      <c r="D93" s="58"/>
      <c r="E93" s="58"/>
      <c r="F93" s="58"/>
      <c r="G93" s="58"/>
      <c r="H93" s="58"/>
      <c r="I93" s="58"/>
      <c r="J93" s="58"/>
      <c r="K93" s="58"/>
      <c r="L93" s="58"/>
      <c r="M93" s="58"/>
    </row>
    <row r="94" spans="1:13" ht="18.75" x14ac:dyDescent="0.3">
      <c r="A94" s="58"/>
      <c r="B94" s="58"/>
      <c r="C94" s="58"/>
      <c r="D94" s="58"/>
      <c r="E94" s="58"/>
      <c r="F94" s="58"/>
      <c r="G94" s="58"/>
      <c r="H94" s="58"/>
      <c r="I94" s="58"/>
      <c r="J94" s="58"/>
      <c r="K94" s="58"/>
      <c r="L94" s="58"/>
      <c r="M94" s="58"/>
    </row>
    <row r="95" spans="1:13" ht="18.75" x14ac:dyDescent="0.3">
      <c r="A95" s="58"/>
      <c r="B95" s="58"/>
      <c r="C95" s="58"/>
      <c r="D95" s="58"/>
      <c r="E95" s="58"/>
      <c r="F95" s="58"/>
      <c r="G95" s="58"/>
      <c r="H95" s="58"/>
      <c r="I95" s="58"/>
      <c r="J95" s="58"/>
      <c r="K95" s="58"/>
      <c r="L95" s="58"/>
      <c r="M95" s="58"/>
    </row>
    <row r="96" spans="1:13" ht="18.75" x14ac:dyDescent="0.3">
      <c r="A96" s="58"/>
      <c r="B96" s="58"/>
      <c r="C96" s="58"/>
      <c r="D96" s="58"/>
      <c r="E96" s="58"/>
      <c r="F96" s="58"/>
      <c r="G96" s="58"/>
      <c r="H96" s="58"/>
      <c r="I96" s="58"/>
      <c r="J96" s="58"/>
      <c r="K96" s="58"/>
      <c r="L96" s="58"/>
      <c r="M96" s="58"/>
    </row>
    <row r="97" spans="1:13" ht="18.75" x14ac:dyDescent="0.3">
      <c r="A97" s="58"/>
      <c r="B97" s="58"/>
      <c r="C97" s="58"/>
      <c r="D97" s="58"/>
      <c r="E97" s="58"/>
      <c r="F97" s="58"/>
      <c r="G97" s="58"/>
      <c r="H97" s="58"/>
      <c r="I97" s="58"/>
      <c r="J97" s="58"/>
      <c r="K97" s="58"/>
      <c r="L97" s="58"/>
      <c r="M97" s="58"/>
    </row>
    <row r="98" spans="1:13" ht="18.75" x14ac:dyDescent="0.3">
      <c r="A98" s="58"/>
      <c r="B98" s="58"/>
      <c r="C98" s="58"/>
      <c r="D98" s="58"/>
      <c r="E98" s="58"/>
      <c r="F98" s="58"/>
      <c r="G98" s="58"/>
      <c r="H98" s="58"/>
      <c r="I98" s="58"/>
      <c r="J98" s="58"/>
      <c r="K98" s="58"/>
      <c r="L98" s="58"/>
      <c r="M98" s="58"/>
    </row>
    <row r="99" spans="1:13" ht="18.75" x14ac:dyDescent="0.3">
      <c r="A99" s="58"/>
      <c r="B99" s="58"/>
      <c r="C99" s="58"/>
      <c r="D99" s="58"/>
      <c r="E99" s="58"/>
      <c r="F99" s="58"/>
      <c r="G99" s="58"/>
      <c r="H99" s="58"/>
      <c r="I99" s="58"/>
      <c r="J99" s="58"/>
      <c r="K99" s="58"/>
      <c r="L99" s="58"/>
      <c r="M99" s="58"/>
    </row>
    <row r="100" spans="1:13" ht="18.75" x14ac:dyDescent="0.3">
      <c r="A100" s="58"/>
      <c r="B100" s="58"/>
      <c r="C100" s="58"/>
      <c r="D100" s="58"/>
      <c r="E100" s="58"/>
      <c r="F100" s="58"/>
      <c r="G100" s="58"/>
      <c r="H100" s="58"/>
      <c r="I100" s="58"/>
      <c r="J100" s="58"/>
      <c r="K100" s="58"/>
      <c r="L100" s="58"/>
      <c r="M100" s="58"/>
    </row>
    <row r="101" spans="1:13" ht="18.75" x14ac:dyDescent="0.3">
      <c r="A101" s="58"/>
      <c r="B101" s="58"/>
      <c r="C101" s="58"/>
      <c r="D101" s="58"/>
      <c r="E101" s="58"/>
      <c r="F101" s="58"/>
      <c r="G101" s="58"/>
      <c r="H101" s="58"/>
      <c r="I101" s="58"/>
      <c r="J101" s="58"/>
      <c r="K101" s="58"/>
      <c r="L101" s="58"/>
      <c r="M101" s="58"/>
    </row>
    <row r="102" spans="1:13" ht="18.75" x14ac:dyDescent="0.3">
      <c r="A102" s="58"/>
      <c r="B102" s="58"/>
      <c r="C102" s="58"/>
      <c r="D102" s="58"/>
      <c r="E102" s="58"/>
      <c r="F102" s="58"/>
      <c r="G102" s="58"/>
      <c r="H102" s="58"/>
      <c r="I102" s="58"/>
      <c r="J102" s="58"/>
      <c r="K102" s="58"/>
      <c r="L102" s="58"/>
      <c r="M102" s="58"/>
    </row>
    <row r="103" spans="1:13" ht="18.75" x14ac:dyDescent="0.3">
      <c r="A103" s="58"/>
      <c r="B103" s="58"/>
      <c r="C103" s="58"/>
      <c r="D103" s="58"/>
      <c r="E103" s="58"/>
      <c r="F103" s="58"/>
      <c r="G103" s="58"/>
      <c r="H103" s="58"/>
      <c r="I103" s="58"/>
      <c r="J103" s="58"/>
      <c r="K103" s="58"/>
      <c r="L103" s="58"/>
      <c r="M103" s="58"/>
    </row>
    <row r="104" spans="1:13" ht="18.75" x14ac:dyDescent="0.3">
      <c r="A104" s="58"/>
      <c r="B104" s="58"/>
      <c r="C104" s="58"/>
      <c r="D104" s="58"/>
      <c r="E104" s="58"/>
      <c r="F104" s="58"/>
      <c r="G104" s="58"/>
      <c r="H104" s="58"/>
      <c r="I104" s="58"/>
      <c r="J104" s="58"/>
      <c r="K104" s="58"/>
      <c r="L104" s="58"/>
      <c r="M104" s="58"/>
    </row>
    <row r="105" spans="1:13" ht="18.75" x14ac:dyDescent="0.3">
      <c r="A105" s="58"/>
      <c r="B105" s="58"/>
      <c r="C105" s="58"/>
      <c r="D105" s="58"/>
      <c r="E105" s="58"/>
      <c r="F105" s="58"/>
      <c r="G105" s="58"/>
      <c r="H105" s="58"/>
      <c r="I105" s="58"/>
      <c r="J105" s="58"/>
      <c r="K105" s="58"/>
      <c r="L105" s="58"/>
      <c r="M105" s="58"/>
    </row>
    <row r="106" spans="1:13" ht="18.75" x14ac:dyDescent="0.3">
      <c r="A106" s="58"/>
      <c r="B106" s="58"/>
      <c r="C106" s="58"/>
      <c r="D106" s="58"/>
      <c r="E106" s="58"/>
      <c r="F106" s="58"/>
      <c r="G106" s="58"/>
      <c r="H106" s="58"/>
      <c r="I106" s="58"/>
      <c r="J106" s="58"/>
      <c r="K106" s="58"/>
      <c r="L106" s="58"/>
      <c r="M106" s="58"/>
    </row>
    <row r="107" spans="1:13" ht="18.75" x14ac:dyDescent="0.3">
      <c r="A107" s="58"/>
      <c r="B107" s="58"/>
      <c r="C107" s="58"/>
      <c r="D107" s="58"/>
      <c r="E107" s="58"/>
      <c r="F107" s="58"/>
      <c r="G107" s="58"/>
      <c r="H107" s="58"/>
      <c r="I107" s="58"/>
      <c r="J107" s="58"/>
      <c r="K107" s="58"/>
      <c r="L107" s="58"/>
      <c r="M107" s="58"/>
    </row>
    <row r="108" spans="1:13" ht="18.75" x14ac:dyDescent="0.3">
      <c r="A108" s="58"/>
      <c r="B108" s="58"/>
      <c r="C108" s="58"/>
      <c r="D108" s="58"/>
      <c r="E108" s="58"/>
      <c r="F108" s="58"/>
      <c r="G108" s="58"/>
      <c r="H108" s="58"/>
      <c r="I108" s="58"/>
      <c r="J108" s="58"/>
      <c r="K108" s="58"/>
      <c r="L108" s="58"/>
      <c r="M108" s="58"/>
    </row>
    <row r="109" spans="1:13" ht="18.75" x14ac:dyDescent="0.3">
      <c r="A109" s="58"/>
      <c r="B109" s="58"/>
      <c r="C109" s="58"/>
      <c r="D109" s="58"/>
      <c r="E109" s="58"/>
      <c r="F109" s="58"/>
      <c r="G109" s="58"/>
      <c r="H109" s="58"/>
      <c r="I109" s="58"/>
      <c r="J109" s="58"/>
      <c r="K109" s="58"/>
      <c r="L109" s="58"/>
      <c r="M109" s="58"/>
    </row>
    <row r="110" spans="1:13" ht="18.75" x14ac:dyDescent="0.3">
      <c r="A110" s="58"/>
      <c r="B110" s="58"/>
      <c r="C110" s="58"/>
      <c r="D110" s="58"/>
      <c r="E110" s="58"/>
      <c r="F110" s="58"/>
      <c r="G110" s="58"/>
      <c r="H110" s="58"/>
      <c r="I110" s="58"/>
      <c r="J110" s="58"/>
      <c r="K110" s="58"/>
      <c r="L110" s="58"/>
      <c r="M110" s="58"/>
    </row>
    <row r="111" spans="1:13" ht="18.75" x14ac:dyDescent="0.3">
      <c r="A111" s="58"/>
      <c r="B111" s="58"/>
      <c r="C111" s="58"/>
      <c r="D111" s="58"/>
      <c r="E111" s="58"/>
      <c r="F111" s="58"/>
      <c r="G111" s="58"/>
      <c r="H111" s="58"/>
      <c r="I111" s="58"/>
      <c r="J111" s="58"/>
      <c r="K111" s="58"/>
      <c r="L111" s="58"/>
      <c r="M111" s="58"/>
    </row>
    <row r="112" spans="1:13" ht="18.75" x14ac:dyDescent="0.3">
      <c r="A112" s="58"/>
      <c r="B112" s="58"/>
      <c r="C112" s="58"/>
      <c r="D112" s="58"/>
      <c r="E112" s="58"/>
      <c r="F112" s="58"/>
      <c r="G112" s="58"/>
      <c r="H112" s="58"/>
      <c r="I112" s="58"/>
      <c r="J112" s="58"/>
      <c r="K112" s="58"/>
      <c r="L112" s="58"/>
      <c r="M112" s="58"/>
    </row>
    <row r="113" spans="1:13" ht="18.75" x14ac:dyDescent="0.3">
      <c r="A113" s="58"/>
      <c r="B113" s="58"/>
      <c r="C113" s="58"/>
      <c r="D113" s="58"/>
      <c r="E113" s="58"/>
      <c r="F113" s="58"/>
      <c r="G113" s="58"/>
      <c r="H113" s="58"/>
      <c r="I113" s="58"/>
      <c r="J113" s="58"/>
      <c r="K113" s="58"/>
      <c r="L113" s="58"/>
      <c r="M113" s="58"/>
    </row>
    <row r="114" spans="1:13" ht="18.75" x14ac:dyDescent="0.3">
      <c r="A114" s="58"/>
      <c r="B114" s="58"/>
      <c r="C114" s="58"/>
      <c r="D114" s="58"/>
      <c r="E114" s="58"/>
      <c r="F114" s="58"/>
      <c r="G114" s="58"/>
      <c r="H114" s="58"/>
      <c r="I114" s="58"/>
      <c r="J114" s="58"/>
      <c r="K114" s="58"/>
      <c r="L114" s="58"/>
      <c r="M114" s="58"/>
    </row>
    <row r="115" spans="1:13" ht="18.75" x14ac:dyDescent="0.3">
      <c r="A115" s="58"/>
      <c r="B115" s="58"/>
      <c r="C115" s="58"/>
      <c r="D115" s="58"/>
      <c r="E115" s="58"/>
      <c r="F115" s="58"/>
      <c r="G115" s="58"/>
      <c r="H115" s="58"/>
      <c r="I115" s="58"/>
      <c r="J115" s="58"/>
      <c r="K115" s="58"/>
      <c r="L115" s="58"/>
      <c r="M115" s="58"/>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7109375" style="65" customWidth="1"/>
    <col min="2" max="2" width="18.28515625" style="65" customWidth="1"/>
    <col min="3" max="3" width="17.7109375" style="65" customWidth="1"/>
    <col min="4" max="4" width="11.7109375" style="65" customWidth="1"/>
    <col min="5" max="5" width="4.7109375" style="65" customWidth="1"/>
    <col min="6" max="7" width="13" style="65" customWidth="1"/>
    <col min="8" max="8" width="11.7109375" style="65" customWidth="1"/>
    <col min="9" max="9" width="12.42578125" style="65" customWidth="1"/>
    <col min="10" max="10" width="11.42578125" style="65"/>
    <col min="11" max="12" width="17.28515625" style="65" bestFit="1" customWidth="1"/>
    <col min="13" max="16384" width="11.42578125" style="65"/>
  </cols>
  <sheetData>
    <row r="1" spans="1:10" ht="18.75" customHeight="1" x14ac:dyDescent="0.3">
      <c r="A1" s="64" t="s">
        <v>74</v>
      </c>
      <c r="B1" s="57" t="s">
        <v>52</v>
      </c>
      <c r="C1" s="64"/>
      <c r="D1" s="64"/>
      <c r="E1" s="64"/>
      <c r="F1" s="58"/>
      <c r="G1" s="58"/>
      <c r="H1" s="58"/>
      <c r="I1" s="58"/>
      <c r="J1" s="58"/>
    </row>
    <row r="2" spans="1:10" ht="20.100000000000001" customHeight="1" x14ac:dyDescent="0.3">
      <c r="A2" s="64" t="s">
        <v>152</v>
      </c>
      <c r="B2" s="64"/>
      <c r="C2" s="64"/>
      <c r="D2" s="64"/>
      <c r="E2" s="64"/>
      <c r="F2" s="58"/>
      <c r="G2" s="58"/>
      <c r="H2" s="58"/>
      <c r="I2" s="58"/>
      <c r="J2" s="58"/>
    </row>
    <row r="3" spans="1:10" ht="20.100000000000001" customHeight="1" x14ac:dyDescent="0.3">
      <c r="A3" s="59"/>
      <c r="B3" s="59"/>
      <c r="C3" s="59"/>
      <c r="D3" s="59"/>
      <c r="E3" s="242"/>
      <c r="F3" s="58"/>
      <c r="G3" s="58"/>
      <c r="H3" s="58"/>
      <c r="I3" s="58"/>
      <c r="J3" s="58"/>
    </row>
    <row r="4" spans="1:10" ht="20.100000000000001" customHeight="1" x14ac:dyDescent="0.3">
      <c r="A4" s="243"/>
      <c r="B4" s="708" t="s">
        <v>153</v>
      </c>
      <c r="C4" s="708"/>
      <c r="D4" s="709"/>
      <c r="E4" s="73"/>
      <c r="F4" s="710" t="s">
        <v>153</v>
      </c>
      <c r="G4" s="708"/>
      <c r="H4" s="709"/>
      <c r="I4" s="58"/>
      <c r="J4" s="58"/>
    </row>
    <row r="5" spans="1:10" ht="18.75" customHeight="1" x14ac:dyDescent="0.3">
      <c r="A5" s="244" t="s">
        <v>425</v>
      </c>
      <c r="B5" s="711" t="s">
        <v>154</v>
      </c>
      <c r="C5" s="712"/>
      <c r="D5" s="713"/>
      <c r="E5" s="245"/>
      <c r="F5" s="714" t="s">
        <v>155</v>
      </c>
      <c r="G5" s="715"/>
      <c r="H5" s="716"/>
      <c r="I5" s="97"/>
      <c r="J5" s="58"/>
    </row>
    <row r="6" spans="1:10" ht="18.75" customHeight="1" x14ac:dyDescent="0.3">
      <c r="A6" s="107"/>
      <c r="B6" s="105"/>
      <c r="C6" s="174"/>
      <c r="D6" s="246" t="s">
        <v>78</v>
      </c>
      <c r="E6" s="246"/>
      <c r="F6" s="108"/>
      <c r="G6" s="109"/>
      <c r="H6" s="78" t="s">
        <v>78</v>
      </c>
      <c r="I6" s="84"/>
      <c r="J6" s="58"/>
    </row>
    <row r="7" spans="1:10" ht="18.75" customHeight="1" x14ac:dyDescent="0.3">
      <c r="A7" s="111"/>
      <c r="B7" s="81">
        <v>2022</v>
      </c>
      <c r="C7" s="81">
        <v>2023</v>
      </c>
      <c r="D7" s="247" t="s">
        <v>80</v>
      </c>
      <c r="E7" s="246"/>
      <c r="F7" s="81">
        <v>2022</v>
      </c>
      <c r="G7" s="112">
        <v>2023</v>
      </c>
      <c r="H7" s="248" t="s">
        <v>80</v>
      </c>
      <c r="I7" s="84"/>
      <c r="J7" s="58"/>
    </row>
    <row r="8" spans="1:10" ht="18.75" customHeight="1" x14ac:dyDescent="0.3">
      <c r="A8" s="85" t="s">
        <v>156</v>
      </c>
      <c r="B8" s="94">
        <f>SUM(B9:B14)</f>
        <v>167407.45257551997</v>
      </c>
      <c r="C8" s="94">
        <f>SUM(C9:C14)</f>
        <v>197331.01772388001</v>
      </c>
      <c r="D8" s="249">
        <f t="shared" ref="D8:D38" si="0">IF(B8=0, "    ---- ", IF(ABS(ROUND(100/B8*C8-100,1))&lt;999,ROUND(100/B8*C8-100,1),IF(ROUND(100/B8*C8-100,1)&gt;999,999,-999)))</f>
        <v>17.899999999999999</v>
      </c>
      <c r="E8" s="250"/>
      <c r="F8" s="249">
        <f>SUM(F9:F14)</f>
        <v>100</v>
      </c>
      <c r="G8" s="249">
        <f>SUM(G9:G14)</f>
        <v>100</v>
      </c>
      <c r="H8" s="250">
        <f t="shared" ref="H8:H38" si="1">IF(F8=0, "    ---- ", IF(ABS(ROUND(100/F8*G8-100,1))&lt;999,ROUND(100/F8*G8-100,1),IF(ROUND(100/F8*G8-100,1)&gt;999,999,-999)))</f>
        <v>0</v>
      </c>
      <c r="I8" s="88"/>
      <c r="J8" s="58"/>
    </row>
    <row r="9" spans="1:10" ht="18.75" customHeight="1" x14ac:dyDescent="0.3">
      <c r="A9" s="70" t="s">
        <v>157</v>
      </c>
      <c r="B9" s="91">
        <f>'Tabell 6'!AR21</f>
        <v>4039.2983338199997</v>
      </c>
      <c r="C9" s="91">
        <f>'Tabell 6'!AS21</f>
        <v>5205.1088500000005</v>
      </c>
      <c r="D9" s="251">
        <f t="shared" si="0"/>
        <v>28.9</v>
      </c>
      <c r="E9" s="251"/>
      <c r="F9" s="251">
        <f>'Tabell 6'!AR21/'Tabell 6'!AR29*100</f>
        <v>2.4128545483946193</v>
      </c>
      <c r="G9" s="251">
        <f>'Tabell 6'!AS21/'Tabell 6'!AS29*100</f>
        <v>2.6377550321477434</v>
      </c>
      <c r="H9" s="252">
        <f t="shared" si="1"/>
        <v>9.3000000000000007</v>
      </c>
      <c r="I9" s="88"/>
      <c r="J9" s="61"/>
    </row>
    <row r="10" spans="1:10" ht="18.75" customHeight="1" x14ac:dyDescent="0.3">
      <c r="A10" s="70" t="s">
        <v>158</v>
      </c>
      <c r="B10" s="90">
        <f>'Tabell 6'!AR18+'Tabell 6'!AR22</f>
        <v>75270.342517829995</v>
      </c>
      <c r="C10" s="90">
        <f>'Tabell 6'!AS18+'Tabell 6'!AS22</f>
        <v>56367.155849520001</v>
      </c>
      <c r="D10" s="251">
        <f t="shared" si="0"/>
        <v>-25.1</v>
      </c>
      <c r="E10" s="251"/>
      <c r="F10" s="251">
        <f>('Tabell 6'!AR18+'Tabell 6'!AR22)/'Tabell 6'!AR29*100</f>
        <v>44.962360611678513</v>
      </c>
      <c r="G10" s="251">
        <f>('Tabell 6'!AS18+'Tabell 6'!AS22)/'Tabell 6'!AS29*100</f>
        <v>28.564772279436092</v>
      </c>
      <c r="H10" s="252">
        <f t="shared" si="1"/>
        <v>-36.5</v>
      </c>
      <c r="I10" s="88"/>
      <c r="J10" s="58"/>
    </row>
    <row r="11" spans="1:10" ht="18.75" customHeight="1" x14ac:dyDescent="0.3">
      <c r="A11" s="70" t="s">
        <v>159</v>
      </c>
      <c r="B11" s="90">
        <f>'Tabell 6'!AR14</f>
        <v>1105.6436477499999</v>
      </c>
      <c r="C11" s="90">
        <f>'Tabell 6'!AS14</f>
        <v>1385.45612575</v>
      </c>
      <c r="D11" s="251">
        <f t="shared" si="0"/>
        <v>25.3</v>
      </c>
      <c r="E11" s="251"/>
      <c r="F11" s="251">
        <f>'Tabell 6'!AR14/'Tabell 6'!AR29*100</f>
        <v>0.660450673336199</v>
      </c>
      <c r="G11" s="251">
        <f>'Tabell 6'!AS14/'Tabell 6'!AS29*100</f>
        <v>0.70209749168203828</v>
      </c>
      <c r="H11" s="252">
        <f t="shared" si="1"/>
        <v>6.3</v>
      </c>
      <c r="I11" s="88"/>
      <c r="J11" s="58"/>
    </row>
    <row r="12" spans="1:10" ht="18.75" customHeight="1" x14ac:dyDescent="0.3">
      <c r="A12" s="93" t="s">
        <v>160</v>
      </c>
      <c r="B12" s="90">
        <f>'Tabell 6'!AR15</f>
        <v>27575.94301852</v>
      </c>
      <c r="C12" s="90">
        <f>'Tabell 6'!AS15</f>
        <v>25942.22792211</v>
      </c>
      <c r="D12" s="253">
        <f t="shared" si="0"/>
        <v>-5.9</v>
      </c>
      <c r="E12" s="253"/>
      <c r="F12" s="251">
        <f>'Tabell 6'!AR15/'Tabell 6'!AR29*100</f>
        <v>16.472350898524116</v>
      </c>
      <c r="G12" s="251">
        <f>'Tabell 6'!AS15/'Tabell 6'!AS29*100</f>
        <v>13.146553553182533</v>
      </c>
      <c r="H12" s="252">
        <f t="shared" si="1"/>
        <v>-20.2</v>
      </c>
      <c r="I12" s="88"/>
      <c r="J12" s="58"/>
    </row>
    <row r="13" spans="1:10" ht="18.75" customHeight="1" x14ac:dyDescent="0.3">
      <c r="A13" s="70" t="s">
        <v>161</v>
      </c>
      <c r="B13" s="90">
        <f>'Tabell 6'!AR19+'Tabell 6'!AR23</f>
        <v>35676.323963209994</v>
      </c>
      <c r="C13" s="90">
        <f>'Tabell 6'!AS19+'Tabell 6'!AS23</f>
        <v>52172.519904380002</v>
      </c>
      <c r="D13" s="251">
        <f t="shared" si="0"/>
        <v>46.2</v>
      </c>
      <c r="E13" s="251"/>
      <c r="F13" s="251">
        <f>('Tabell 6'!AR19+'Tabell 6'!AR23)/'Tabell 6'!AR29*100</f>
        <v>21.311072723668541</v>
      </c>
      <c r="G13" s="251">
        <f>('Tabell 6'!AS19+'Tabell 6'!AS23)/'Tabell 6'!AS29*100</f>
        <v>26.439087228234747</v>
      </c>
      <c r="H13" s="252">
        <f t="shared" si="1"/>
        <v>24.1</v>
      </c>
      <c r="I13" s="88"/>
      <c r="J13" s="58"/>
    </row>
    <row r="14" spans="1:10" ht="18.75" customHeight="1" x14ac:dyDescent="0.3">
      <c r="A14" s="70" t="s">
        <v>162</v>
      </c>
      <c r="B14" s="161">
        <f>'Tabell 6'!AR17-'Tabell 6'!AR18+'Tabell 6'!AR24+'Tabell 6'!AR25+'Tabell 6'!AR26+'Tabell 6'!AR28</f>
        <v>23739.901094389999</v>
      </c>
      <c r="C14" s="161">
        <f>'Tabell 6'!AS17-'Tabell 6'!AS18+'Tabell 6'!AS24+'Tabell 6'!AS25+'Tabell 6'!AS26+'Tabell 6'!AS28</f>
        <v>56258.549072120004</v>
      </c>
      <c r="D14" s="251">
        <f t="shared" si="0"/>
        <v>137</v>
      </c>
      <c r="E14" s="251"/>
      <c r="F14" s="251">
        <f>('Tabell 6'!AR17-'Tabell 6'!AR18+'Tabell 6'!AR24+'Tabell 6'!AR25+'Tabell 6'!AR26+'Tabell 6'!AR28)/'Tabell 6'!AR29*100</f>
        <v>14.180910544398001</v>
      </c>
      <c r="G14" s="251">
        <f>('Tabell 6'!AS17-'Tabell 6'!AS18+'Tabell 6'!AS24+'Tabell 6'!AS25+'Tabell 6'!AS26+'Tabell 6'!AS28)/'Tabell 6'!AS29*100</f>
        <v>28.509734415316846</v>
      </c>
      <c r="H14" s="252">
        <f t="shared" si="1"/>
        <v>101</v>
      </c>
      <c r="I14" s="88"/>
      <c r="J14" s="58"/>
    </row>
    <row r="15" spans="1:10" ht="18.75" customHeight="1" x14ac:dyDescent="0.3">
      <c r="A15" s="175"/>
      <c r="B15" s="87"/>
      <c r="C15" s="161"/>
      <c r="D15" s="252"/>
      <c r="E15" s="252"/>
      <c r="F15" s="252"/>
      <c r="G15" s="251"/>
      <c r="H15" s="252"/>
      <c r="I15" s="88"/>
      <c r="J15" s="58"/>
    </row>
    <row r="16" spans="1:10" s="119" customFormat="1" ht="18.75" customHeight="1" x14ac:dyDescent="0.3">
      <c r="A16" s="85" t="s">
        <v>163</v>
      </c>
      <c r="B16" s="94">
        <f>SUM(B17:B22)</f>
        <v>1284132.3740797201</v>
      </c>
      <c r="C16" s="94">
        <f>SUM(C17:C22)</f>
        <v>1343518.6058351202</v>
      </c>
      <c r="D16" s="249">
        <f t="shared" si="0"/>
        <v>4.5999999999999996</v>
      </c>
      <c r="E16" s="249"/>
      <c r="F16" s="249">
        <f>SUM(F17:F22)</f>
        <v>100.00000000000003</v>
      </c>
      <c r="G16" s="249">
        <f>SUM(G17:G22)</f>
        <v>99.999999999999986</v>
      </c>
      <c r="H16" s="250">
        <f t="shared" si="1"/>
        <v>0</v>
      </c>
      <c r="I16" s="95"/>
      <c r="J16" s="59"/>
    </row>
    <row r="17" spans="1:10" ht="18.75" customHeight="1" x14ac:dyDescent="0.3">
      <c r="A17" s="70" t="s">
        <v>157</v>
      </c>
      <c r="B17" s="87">
        <f>'Tabell 6'!AR40</f>
        <v>264679.27369033999</v>
      </c>
      <c r="C17" s="87">
        <f>'Tabell 6'!AS40</f>
        <v>300300.32894793997</v>
      </c>
      <c r="D17" s="251">
        <f t="shared" si="0"/>
        <v>13.5</v>
      </c>
      <c r="E17" s="251"/>
      <c r="F17" s="251">
        <f>'Tabell 6'!AR40/('Tabell 6'!AR45+'Tabell 6'!AR46)*100</f>
        <v>20.611525652098269</v>
      </c>
      <c r="G17" s="251">
        <f>'Tabell 6'!AS40/('Tabell 6'!AS45+'Tabell 6'!AS46)*100</f>
        <v>22.351780440083719</v>
      </c>
      <c r="H17" s="252">
        <f t="shared" si="1"/>
        <v>8.4</v>
      </c>
      <c r="I17" s="88"/>
      <c r="J17" s="58"/>
    </row>
    <row r="18" spans="1:10" ht="18.75" customHeight="1" x14ac:dyDescent="0.3">
      <c r="A18" s="70" t="s">
        <v>158</v>
      </c>
      <c r="B18" s="87">
        <f>'Tabell 6'!AR37+'Tabell 6'!AR41</f>
        <v>321672.22629279003</v>
      </c>
      <c r="C18" s="87">
        <f>'Tabell 6'!AS37+'Tabell 6'!AS41</f>
        <v>349806.88888001</v>
      </c>
      <c r="D18" s="251">
        <f t="shared" si="0"/>
        <v>8.6999999999999993</v>
      </c>
      <c r="E18" s="251"/>
      <c r="F18" s="251">
        <f>('Tabell 6'!AR37+'Tabell 6'!AR41)/('Tabell 6'!AR45+'Tabell 6'!AR46)*100</f>
        <v>25.049771564502304</v>
      </c>
      <c r="G18" s="251">
        <f>('Tabell 6'!AS37+'Tabell 6'!AS41)/('Tabell 6'!AS45+'Tabell 6'!AS46)*100</f>
        <v>26.036624082520447</v>
      </c>
      <c r="H18" s="252">
        <f t="shared" si="1"/>
        <v>3.9</v>
      </c>
      <c r="I18" s="88"/>
      <c r="J18" s="58"/>
    </row>
    <row r="19" spans="1:10" ht="18.75" customHeight="1" x14ac:dyDescent="0.3">
      <c r="A19" s="70" t="s">
        <v>159</v>
      </c>
      <c r="B19" s="87">
        <f>'Tabell 6'!AR33</f>
        <v>14.22554581</v>
      </c>
      <c r="C19" s="87">
        <f>'Tabell 6'!AS33</f>
        <v>14.22554581</v>
      </c>
      <c r="D19" s="251">
        <f t="shared" si="0"/>
        <v>0</v>
      </c>
      <c r="E19" s="251"/>
      <c r="F19" s="251">
        <f>'Tabell 6'!AR33/('Tabell 6'!AR45+'Tabell 6'!AR46)*100</f>
        <v>1.1077943440367516E-3</v>
      </c>
      <c r="G19" s="251">
        <f>'Tabell 6'!AS33/('Tabell 6'!AS45+'Tabell 6'!AS46)*100</f>
        <v>1.0588276000210292E-3</v>
      </c>
      <c r="H19" s="252">
        <f t="shared" si="1"/>
        <v>-4.4000000000000004</v>
      </c>
      <c r="I19" s="88"/>
      <c r="J19" s="58"/>
    </row>
    <row r="20" spans="1:10" ht="18.75" customHeight="1" x14ac:dyDescent="0.3">
      <c r="A20" s="93" t="s">
        <v>160</v>
      </c>
      <c r="B20" s="90">
        <f>'Tabell 6'!AR34</f>
        <v>185930.24699627</v>
      </c>
      <c r="C20" s="90">
        <f>'Tabell 6'!AS34</f>
        <v>167079.06927295</v>
      </c>
      <c r="D20" s="253">
        <f t="shared" si="0"/>
        <v>-10.1</v>
      </c>
      <c r="E20" s="253"/>
      <c r="F20" s="251">
        <f>'Tabell 6'!AR34/('Tabell 6'!AR45+'Tabell 6'!AR46)*100</f>
        <v>14.479056112070834</v>
      </c>
      <c r="G20" s="251">
        <f>'Tabell 6'!AS34/('Tabell 6'!AS45+'Tabell 6'!AS46)*100</f>
        <v>12.435932673153786</v>
      </c>
      <c r="H20" s="252">
        <f t="shared" si="1"/>
        <v>-14.1</v>
      </c>
      <c r="I20" s="88"/>
      <c r="J20" s="58"/>
    </row>
    <row r="21" spans="1:10" ht="18.75" customHeight="1" x14ac:dyDescent="0.3">
      <c r="A21" s="70" t="s">
        <v>161</v>
      </c>
      <c r="B21" s="87">
        <f>'Tabell 6'!AR38+'Tabell 6'!AR42</f>
        <v>496834.78145866009</v>
      </c>
      <c r="C21" s="87">
        <f>'Tabell 6'!AS38+'Tabell 6'!AS42</f>
        <v>506741.72272084007</v>
      </c>
      <c r="D21" s="251">
        <f t="shared" si="0"/>
        <v>2</v>
      </c>
      <c r="E21" s="251"/>
      <c r="F21" s="251">
        <f>('Tabell 6'!AR38+'Tabell 6'!AR42)/('Tabell 6'!AR45+'Tabell 6'!AR46)*100</f>
        <v>38.690308840996188</v>
      </c>
      <c r="G21" s="251">
        <f>('Tabell 6'!AS38+'Tabell 6'!AS42)/('Tabell 6'!AS45+'Tabell 6'!AS46)*100</f>
        <v>37.71750688974295</v>
      </c>
      <c r="H21" s="252">
        <f t="shared" si="1"/>
        <v>-2.5</v>
      </c>
      <c r="I21" s="88"/>
      <c r="J21" s="58"/>
    </row>
    <row r="22" spans="1:10" ht="18.75" customHeight="1" x14ac:dyDescent="0.3">
      <c r="A22" s="175" t="s">
        <v>162</v>
      </c>
      <c r="B22" s="87">
        <f>'Tabell 6'!AR36-'Tabell 6'!AR37+'Tabell 6'!AR43+'Tabell 6'!AR44+'Tabell 6'!AR46</f>
        <v>15001.620095850003</v>
      </c>
      <c r="C22" s="87">
        <f>'Tabell 6'!AS36-'Tabell 6'!AS37+'Tabell 6'!AS43+'Tabell 6'!AS44+'Tabell 6'!AS46</f>
        <v>19576.370467570494</v>
      </c>
      <c r="D22" s="251">
        <f t="shared" si="0"/>
        <v>30.5</v>
      </c>
      <c r="E22" s="251"/>
      <c r="F22" s="252">
        <f>('Tabell 6'!AR36-'Tabell 6'!AR37+'Tabell 6'!AR43+'Tabell 6'!AR44+'Tabell 6'!AR46)/('Tabell 6'!AR45+'Tabell 6'!AR46)*100</f>
        <v>1.1682300359883842</v>
      </c>
      <c r="G22" s="252">
        <f>('Tabell 6'!AS36-'Tabell 6'!AS37+'Tabell 6'!AS43+'Tabell 6'!AS44+'Tabell 6'!AS46)/('Tabell 6'!AS45+'Tabell 6'!AS46)*100</f>
        <v>1.4570970868990665</v>
      </c>
      <c r="H22" s="252">
        <f t="shared" si="1"/>
        <v>24.7</v>
      </c>
      <c r="I22" s="88"/>
      <c r="J22" s="58"/>
    </row>
    <row r="23" spans="1:10" ht="18.75" customHeight="1" x14ac:dyDescent="0.3">
      <c r="A23" s="70"/>
      <c r="B23" s="161"/>
      <c r="C23" s="161"/>
      <c r="D23" s="252"/>
      <c r="E23" s="251"/>
      <c r="F23" s="251"/>
      <c r="G23" s="252"/>
      <c r="H23" s="252"/>
      <c r="I23" s="166"/>
      <c r="J23" s="58"/>
    </row>
    <row r="24" spans="1:10" ht="18.75" customHeight="1" x14ac:dyDescent="0.3">
      <c r="A24" s="121" t="s">
        <v>164</v>
      </c>
      <c r="B24" s="94">
        <f>SUM(B25:B30)</f>
        <v>514116.11379589996</v>
      </c>
      <c r="C24" s="94">
        <f>SUM(C25:C30)</f>
        <v>608084.53477136954</v>
      </c>
      <c r="D24" s="249">
        <f t="shared" si="0"/>
        <v>18.3</v>
      </c>
      <c r="E24" s="249"/>
      <c r="F24" s="250">
        <f>SUM(F25:F30)</f>
        <v>99.999914719833328</v>
      </c>
      <c r="G24" s="250">
        <f>SUM(G25:G30)</f>
        <v>100.00000000000003</v>
      </c>
      <c r="H24" s="252">
        <f t="shared" si="1"/>
        <v>0</v>
      </c>
      <c r="I24" s="166"/>
      <c r="J24" s="58"/>
    </row>
    <row r="25" spans="1:10" ht="18.75" customHeight="1" x14ac:dyDescent="0.3">
      <c r="A25" s="175" t="s">
        <v>157</v>
      </c>
      <c r="B25" s="87">
        <f>'Tabell 6'!AR55</f>
        <v>328354.46992561099</v>
      </c>
      <c r="C25" s="87">
        <f>'Tabell 6'!AS55</f>
        <v>401091.70877060323</v>
      </c>
      <c r="D25" s="251">
        <f t="shared" si="0"/>
        <v>22.2</v>
      </c>
      <c r="E25" s="251"/>
      <c r="F25" s="251">
        <f>'Tabell 6'!AR55/('Tabell 6'!AR60+'Tabell 6'!AR61)*100</f>
        <v>63.867764715883837</v>
      </c>
      <c r="G25" s="251">
        <f>'Tabell 6'!AS55/('Tabell 6'!AS60+'Tabell 6'!AS61)*100</f>
        <v>65.959860156846077</v>
      </c>
      <c r="H25" s="252">
        <f t="shared" si="1"/>
        <v>3.3</v>
      </c>
      <c r="I25" s="166"/>
      <c r="J25" s="58"/>
    </row>
    <row r="26" spans="1:10" ht="18.75" customHeight="1" x14ac:dyDescent="0.3">
      <c r="A26" s="175" t="s">
        <v>158</v>
      </c>
      <c r="B26" s="87">
        <f>'Tabell 6'!AR52+'Tabell 6'!AR56</f>
        <v>163010.25799683001</v>
      </c>
      <c r="C26" s="87">
        <f>'Tabell 6'!AS52+'Tabell 6'!AS56</f>
        <v>184383.66468628022</v>
      </c>
      <c r="D26" s="251">
        <f t="shared" si="0"/>
        <v>13.1</v>
      </c>
      <c r="E26" s="251"/>
      <c r="F26" s="251">
        <f>('Tabell 6'!AR52+'Tabell 6'!AR56)/('Tabell 6'!AR60+'Tabell 6'!AR61)*100</f>
        <v>31.706895314614432</v>
      </c>
      <c r="G26" s="251">
        <f>('Tabell 6'!AS52+'Tabell 6'!AS56)/('Tabell 6'!AS60+'Tabell 6'!AS61)*100</f>
        <v>30.322044739323246</v>
      </c>
      <c r="H26" s="252">
        <f t="shared" si="1"/>
        <v>-4.4000000000000004</v>
      </c>
      <c r="I26" s="166"/>
      <c r="J26" s="58"/>
    </row>
    <row r="27" spans="1:10" ht="18.75" customHeight="1" x14ac:dyDescent="0.3">
      <c r="A27" s="175" t="s">
        <v>159</v>
      </c>
      <c r="B27" s="87">
        <f>'Tabell 6'!AR48</f>
        <v>0</v>
      </c>
      <c r="C27" s="87">
        <f>'Tabell 6'!AS48</f>
        <v>0</v>
      </c>
      <c r="D27" s="251" t="str">
        <f t="shared" si="0"/>
        <v xml:space="preserve">    ---- </v>
      </c>
      <c r="E27" s="251"/>
      <c r="F27" s="251">
        <f>'Tabell 6'!AR48/('Tabell 6'!AR60+'Tabell 6'!AR61)*100</f>
        <v>0</v>
      </c>
      <c r="G27" s="251">
        <f>'Tabell 6'!AS48/('Tabell 6'!AS60+'Tabell 6'!AS61)*100</f>
        <v>0</v>
      </c>
      <c r="H27" s="252" t="str">
        <f t="shared" si="1"/>
        <v xml:space="preserve">    ---- </v>
      </c>
      <c r="I27" s="166"/>
      <c r="J27" s="58"/>
    </row>
    <row r="28" spans="1:10" ht="18.75" customHeight="1" x14ac:dyDescent="0.3">
      <c r="A28" s="93" t="s">
        <v>160</v>
      </c>
      <c r="B28" s="90">
        <f>'Tabell 6'!AR49</f>
        <v>17998.645961429</v>
      </c>
      <c r="C28" s="90">
        <f>'Tabell 6'!AS49</f>
        <v>17398.058021106001</v>
      </c>
      <c r="D28" s="253">
        <f t="shared" si="0"/>
        <v>-3.3</v>
      </c>
      <c r="E28" s="253"/>
      <c r="F28" s="251">
        <f>'Tabell 6'!AR49/('Tabell 6'!AR60+'Tabell 6'!AR61)*100</f>
        <v>3.5008912341880647</v>
      </c>
      <c r="G28" s="251">
        <f>'Tabell 6'!AS49/('Tabell 6'!AS60+'Tabell 6'!AS61)*100</f>
        <v>2.8611248973216217</v>
      </c>
      <c r="H28" s="252">
        <f t="shared" si="1"/>
        <v>-18.3</v>
      </c>
      <c r="I28" s="166"/>
      <c r="J28" s="58"/>
    </row>
    <row r="29" spans="1:10" ht="18.75" customHeight="1" x14ac:dyDescent="0.3">
      <c r="A29" s="175" t="s">
        <v>161</v>
      </c>
      <c r="B29" s="87">
        <f>'Tabell 6'!AR53+'Tabell 6'!AR57</f>
        <v>4455.2175453599993</v>
      </c>
      <c r="C29" s="87">
        <f>'Tabell 6'!AS53+'Tabell 6'!AS57</f>
        <v>2998.0950076199997</v>
      </c>
      <c r="D29" s="251">
        <f t="shared" si="0"/>
        <v>-32.700000000000003</v>
      </c>
      <c r="E29" s="251"/>
      <c r="F29" s="251">
        <f>('Tabell 6'!AR53+'Tabell 6'!AR57)/('Tabell 6'!AR60+'Tabell 6'!AR61)*100</f>
        <v>0.86657807950534016</v>
      </c>
      <c r="G29" s="251">
        <f>('Tabell 6'!AS53+'Tabell 6'!AS57)/('Tabell 6'!AS60+'Tabell 6'!AS61)*100</f>
        <v>0.49303918060459123</v>
      </c>
      <c r="H29" s="252">
        <f t="shared" si="1"/>
        <v>-43.1</v>
      </c>
      <c r="I29" s="166"/>
      <c r="J29" s="58"/>
    </row>
    <row r="30" spans="1:10" ht="18.75" customHeight="1" x14ac:dyDescent="0.3">
      <c r="A30" s="70" t="s">
        <v>162</v>
      </c>
      <c r="B30" s="87">
        <f>'Tabell 6'!AR51-'Tabell 6'!AR52+'Tabell 6'!AR58+'Tabell 6'!AR59+'Tabell 6'!AR61</f>
        <v>297.52236666999988</v>
      </c>
      <c r="C30" s="87">
        <f>'Tabell 6'!AS51-'Tabell 6'!AS52+'Tabell 6'!AS58+'Tabell 6'!AS59+'Tabell 6'!AS61</f>
        <v>2213.00828576</v>
      </c>
      <c r="D30" s="252">
        <f t="shared" si="0"/>
        <v>643.79999999999995</v>
      </c>
      <c r="E30" s="252"/>
      <c r="F30" s="252">
        <f>('Tabell 6'!AO51-'Tabell 6'!AO52+'Tabell 6'!AO58+'Tabell 6'!AO59+'Tabell 6'!AO61)/('Tabell 6'!AO60+'Tabell 6'!AO61)*100</f>
        <v>5.7785375641663327E-2</v>
      </c>
      <c r="G30" s="252">
        <f>('Tabell 6'!AP51-'Tabell 6'!AP52+'Tabell 6'!AP58+'Tabell 6'!AP59+'Tabell 6'!AP61)/('Tabell 6'!AP60+'Tabell 6'!AP61)*100</f>
        <v>0.36393102590449172</v>
      </c>
      <c r="H30" s="252">
        <f t="shared" si="1"/>
        <v>529.79999999999995</v>
      </c>
      <c r="I30" s="166"/>
      <c r="J30" s="58"/>
    </row>
    <row r="31" spans="1:10" ht="18.75" customHeight="1" x14ac:dyDescent="0.3">
      <c r="A31" s="175"/>
      <c r="B31" s="161"/>
      <c r="C31" s="161"/>
      <c r="D31" s="251"/>
      <c r="E31" s="251"/>
      <c r="F31" s="251"/>
      <c r="G31" s="252"/>
      <c r="H31" s="252"/>
      <c r="I31" s="166"/>
      <c r="J31" s="58"/>
    </row>
    <row r="32" spans="1:10" ht="18.75" customHeight="1" x14ac:dyDescent="0.3">
      <c r="A32" s="121" t="s">
        <v>2</v>
      </c>
      <c r="B32" s="94">
        <f>SUM(B33:B38)</f>
        <v>1965655.94045114</v>
      </c>
      <c r="C32" s="94">
        <f>SUM(C33:C38)</f>
        <v>2148934.1583303702</v>
      </c>
      <c r="D32" s="249">
        <f t="shared" si="0"/>
        <v>9.3000000000000007</v>
      </c>
      <c r="E32" s="249"/>
      <c r="F32" s="249">
        <f>SUM(F33:F38)</f>
        <v>99.999999999999986</v>
      </c>
      <c r="G32" s="249">
        <f>SUM(G33:G38)</f>
        <v>100</v>
      </c>
      <c r="H32" s="250">
        <f t="shared" si="1"/>
        <v>0</v>
      </c>
      <c r="I32" s="166"/>
      <c r="J32" s="58"/>
    </row>
    <row r="33" spans="1:10" ht="18.75" customHeight="1" x14ac:dyDescent="0.3">
      <c r="A33" s="175" t="s">
        <v>157</v>
      </c>
      <c r="B33" s="87">
        <f t="shared" ref="B33:C38" si="2">B9+B17+B25</f>
        <v>597073.041949771</v>
      </c>
      <c r="C33" s="87">
        <f t="shared" si="2"/>
        <v>706597.14656854328</v>
      </c>
      <c r="D33" s="251">
        <f t="shared" si="0"/>
        <v>18.3</v>
      </c>
      <c r="E33" s="251"/>
      <c r="F33" s="251">
        <f>B33/B32*100</f>
        <v>30.375256913615107</v>
      </c>
      <c r="G33" s="251">
        <f>C33/C32*100</f>
        <v>32.881284139367914</v>
      </c>
      <c r="H33" s="252">
        <f t="shared" si="1"/>
        <v>8.3000000000000007</v>
      </c>
      <c r="I33" s="166"/>
      <c r="J33" s="58"/>
    </row>
    <row r="34" spans="1:10" ht="18.75" customHeight="1" x14ac:dyDescent="0.3">
      <c r="A34" s="175" t="s">
        <v>158</v>
      </c>
      <c r="B34" s="87">
        <f t="shared" si="2"/>
        <v>559952.82680745004</v>
      </c>
      <c r="C34" s="87">
        <f t="shared" si="2"/>
        <v>590557.70941581018</v>
      </c>
      <c r="D34" s="251">
        <f t="shared" si="0"/>
        <v>5.5</v>
      </c>
      <c r="E34" s="251"/>
      <c r="F34" s="251">
        <f>B34/B32*100</f>
        <v>28.486817824228922</v>
      </c>
      <c r="G34" s="251">
        <f>C34/C32*100</f>
        <v>27.481424087681134</v>
      </c>
      <c r="H34" s="252">
        <f t="shared" si="1"/>
        <v>-3.5</v>
      </c>
      <c r="I34" s="166"/>
      <c r="J34" s="58"/>
    </row>
    <row r="35" spans="1:10" ht="18.75" customHeight="1" x14ac:dyDescent="0.3">
      <c r="A35" s="175" t="s">
        <v>159</v>
      </c>
      <c r="B35" s="87">
        <f t="shared" si="2"/>
        <v>1119.86919356</v>
      </c>
      <c r="C35" s="87">
        <f t="shared" si="2"/>
        <v>1399.68167156</v>
      </c>
      <c r="D35" s="251">
        <f t="shared" si="0"/>
        <v>25</v>
      </c>
      <c r="E35" s="251"/>
      <c r="F35" s="251">
        <f>B35/B32*100</f>
        <v>5.6971780794098557E-2</v>
      </c>
      <c r="G35" s="251">
        <f>C35/C32*100</f>
        <v>6.5133762527535638E-2</v>
      </c>
      <c r="H35" s="252">
        <f t="shared" si="1"/>
        <v>14.3</v>
      </c>
      <c r="I35" s="166"/>
      <c r="J35" s="58"/>
    </row>
    <row r="36" spans="1:10" ht="18.75" customHeight="1" x14ac:dyDescent="0.3">
      <c r="A36" s="93" t="s">
        <v>160</v>
      </c>
      <c r="B36" s="90">
        <f t="shared" si="2"/>
        <v>231504.83597621898</v>
      </c>
      <c r="C36" s="90">
        <f t="shared" si="2"/>
        <v>210419.355216166</v>
      </c>
      <c r="D36" s="253">
        <f t="shared" si="0"/>
        <v>-9.1</v>
      </c>
      <c r="E36" s="253"/>
      <c r="F36" s="251">
        <f>B36/B32*100</f>
        <v>11.777485124028676</v>
      </c>
      <c r="G36" s="251">
        <f>C36/C32*100</f>
        <v>9.791800944690312</v>
      </c>
      <c r="H36" s="252">
        <f t="shared" si="1"/>
        <v>-16.899999999999999</v>
      </c>
      <c r="I36" s="166"/>
      <c r="J36" s="58"/>
    </row>
    <row r="37" spans="1:10" ht="18.75" customHeight="1" x14ac:dyDescent="0.3">
      <c r="A37" s="175" t="s">
        <v>161</v>
      </c>
      <c r="B37" s="87">
        <f t="shared" si="2"/>
        <v>536966.32296723011</v>
      </c>
      <c r="C37" s="87">
        <f t="shared" si="2"/>
        <v>561912.33763284015</v>
      </c>
      <c r="D37" s="251">
        <f t="shared" si="0"/>
        <v>4.5999999999999996</v>
      </c>
      <c r="E37" s="251"/>
      <c r="F37" s="251">
        <f>B37/B32*100</f>
        <v>27.317411552908403</v>
      </c>
      <c r="G37" s="251">
        <f>C37/C32*100</f>
        <v>26.148420390386551</v>
      </c>
      <c r="H37" s="252">
        <f t="shared" si="1"/>
        <v>-4.3</v>
      </c>
      <c r="I37" s="166"/>
      <c r="J37" s="58"/>
    </row>
    <row r="38" spans="1:10" ht="18.75" customHeight="1" x14ac:dyDescent="0.3">
      <c r="A38" s="254" t="s">
        <v>162</v>
      </c>
      <c r="B38" s="255">
        <f t="shared" si="2"/>
        <v>39039.043556910001</v>
      </c>
      <c r="C38" s="255">
        <f t="shared" si="2"/>
        <v>78047.927825450504</v>
      </c>
      <c r="D38" s="256">
        <f t="shared" si="0"/>
        <v>99.9</v>
      </c>
      <c r="E38" s="251"/>
      <c r="F38" s="256">
        <f>B38/B32*100</f>
        <v>1.9860568044247919</v>
      </c>
      <c r="G38" s="256">
        <f>C38/C32*100</f>
        <v>3.6319366753465538</v>
      </c>
      <c r="H38" s="257">
        <f t="shared" si="1"/>
        <v>82.9</v>
      </c>
      <c r="I38" s="166"/>
      <c r="J38" s="58"/>
    </row>
    <row r="39" spans="1:10" ht="18.75" customHeight="1" x14ac:dyDescent="0.3">
      <c r="A39" s="97"/>
      <c r="B39" s="97"/>
      <c r="C39" s="97"/>
      <c r="D39" s="97"/>
      <c r="E39" s="97"/>
      <c r="F39" s="166"/>
      <c r="G39" s="166"/>
      <c r="H39" s="166"/>
      <c r="I39" s="166"/>
      <c r="J39" s="58"/>
    </row>
    <row r="40" spans="1:10" ht="18.75" customHeight="1" x14ac:dyDescent="0.3">
      <c r="A40" s="97" t="s">
        <v>165</v>
      </c>
      <c r="B40" s="97"/>
      <c r="C40" s="97"/>
      <c r="D40" s="97"/>
      <c r="E40" s="97"/>
      <c r="F40" s="166"/>
      <c r="G40" s="166"/>
      <c r="H40" s="166"/>
      <c r="I40" s="166"/>
      <c r="J40" s="58"/>
    </row>
    <row r="41" spans="1:10" ht="18.75" x14ac:dyDescent="0.3">
      <c r="A41" s="97" t="s">
        <v>98</v>
      </c>
      <c r="B41" s="97"/>
      <c r="C41" s="97"/>
      <c r="D41" s="97"/>
      <c r="E41" s="97"/>
      <c r="F41" s="58"/>
      <c r="G41" s="58"/>
      <c r="H41" s="58"/>
      <c r="I41" s="58"/>
      <c r="J41" s="58"/>
    </row>
    <row r="42" spans="1:10" ht="18.75" x14ac:dyDescent="0.3">
      <c r="A42" s="58"/>
      <c r="B42" s="58"/>
      <c r="C42" s="58"/>
      <c r="D42" s="58"/>
      <c r="E42" s="58"/>
      <c r="G42" s="58"/>
      <c r="H42" s="58"/>
      <c r="I42" s="58"/>
      <c r="J42" s="58"/>
    </row>
    <row r="43" spans="1:10" ht="18.75" x14ac:dyDescent="0.3">
      <c r="A43" s="58"/>
      <c r="B43" s="58"/>
      <c r="C43" s="58"/>
      <c r="D43" s="58"/>
      <c r="E43" s="58"/>
      <c r="F43" s="58"/>
      <c r="G43" s="58"/>
      <c r="H43" s="58"/>
      <c r="I43" s="58"/>
      <c r="J43" s="58"/>
    </row>
    <row r="44" spans="1:10" ht="18.75" x14ac:dyDescent="0.3">
      <c r="A44" s="58"/>
      <c r="B44" s="58"/>
      <c r="C44" s="58"/>
      <c r="D44" s="58"/>
      <c r="E44" s="58"/>
      <c r="F44" s="58"/>
      <c r="G44" s="58"/>
      <c r="H44" s="58"/>
      <c r="I44" s="58"/>
      <c r="J44" s="58"/>
    </row>
    <row r="45" spans="1:10" ht="18.75" x14ac:dyDescent="0.3">
      <c r="A45" s="58"/>
      <c r="B45" s="58"/>
      <c r="C45" s="58"/>
      <c r="D45" s="58"/>
      <c r="E45" s="58"/>
      <c r="F45" s="58"/>
      <c r="G45" s="58"/>
      <c r="H45" s="58"/>
      <c r="I45" s="58"/>
      <c r="J45" s="58"/>
    </row>
    <row r="46" spans="1:10" ht="18.75" x14ac:dyDescent="0.3">
      <c r="A46" s="58"/>
      <c r="B46" s="58"/>
      <c r="C46" s="58"/>
      <c r="D46" s="58"/>
      <c r="E46" s="58"/>
      <c r="F46" s="58"/>
      <c r="G46" s="58"/>
      <c r="H46" s="58"/>
      <c r="I46" s="58"/>
      <c r="J46" s="58"/>
    </row>
    <row r="47" spans="1:10" ht="18.75" x14ac:dyDescent="0.3">
      <c r="A47" s="58"/>
      <c r="B47" s="58"/>
      <c r="C47" s="58"/>
      <c r="D47" s="58"/>
      <c r="E47" s="58"/>
      <c r="F47" s="58"/>
      <c r="G47" s="58"/>
      <c r="H47" s="58"/>
      <c r="I47" s="58"/>
      <c r="J47" s="58"/>
    </row>
    <row r="48" spans="1:10" ht="18.75" x14ac:dyDescent="0.3">
      <c r="A48" s="58"/>
      <c r="B48" s="58"/>
      <c r="C48" s="58"/>
      <c r="D48" s="58"/>
      <c r="E48" s="58"/>
      <c r="F48" s="58"/>
      <c r="G48" s="58"/>
      <c r="H48" s="58"/>
      <c r="I48" s="58"/>
      <c r="J48" s="58"/>
    </row>
    <row r="49" spans="1:10" ht="18.75" x14ac:dyDescent="0.3">
      <c r="A49" s="58"/>
      <c r="B49" s="58"/>
      <c r="C49" s="58"/>
      <c r="D49" s="58"/>
      <c r="E49" s="58"/>
      <c r="F49" s="58"/>
      <c r="G49" s="58"/>
      <c r="H49" s="58"/>
      <c r="I49" s="58"/>
      <c r="J49" s="58"/>
    </row>
    <row r="50" spans="1:10" ht="18.75" x14ac:dyDescent="0.3">
      <c r="A50" s="58"/>
      <c r="B50" s="58"/>
      <c r="C50" s="58"/>
      <c r="D50" s="58"/>
      <c r="E50" s="58"/>
      <c r="F50" s="58"/>
      <c r="G50" s="58"/>
      <c r="H50" s="58"/>
      <c r="I50" s="58"/>
      <c r="J50" s="58"/>
    </row>
    <row r="51" spans="1:10" ht="18.75" x14ac:dyDescent="0.3">
      <c r="A51" s="58"/>
      <c r="B51" s="58"/>
      <c r="C51" s="58"/>
      <c r="D51" s="58"/>
      <c r="E51" s="58"/>
      <c r="F51" s="58"/>
      <c r="G51" s="58"/>
      <c r="H51" s="58"/>
      <c r="I51" s="58"/>
      <c r="J51" s="58"/>
    </row>
    <row r="52" spans="1:10" ht="18.75" x14ac:dyDescent="0.3">
      <c r="A52" s="58"/>
      <c r="B52" s="58"/>
      <c r="C52" s="58"/>
      <c r="D52" s="58"/>
      <c r="E52" s="58"/>
      <c r="F52" s="58"/>
      <c r="G52" s="58"/>
      <c r="H52" s="58"/>
      <c r="I52" s="58"/>
      <c r="J52" s="58"/>
    </row>
    <row r="53" spans="1:10" ht="18.75" x14ac:dyDescent="0.3">
      <c r="A53" s="58"/>
      <c r="B53" s="58"/>
      <c r="C53" s="58"/>
      <c r="D53" s="58"/>
      <c r="E53" s="58"/>
      <c r="F53" s="58"/>
      <c r="G53" s="58"/>
      <c r="H53" s="58"/>
      <c r="I53" s="58"/>
      <c r="J53" s="58"/>
    </row>
    <row r="54" spans="1:10" ht="18.75" x14ac:dyDescent="0.3">
      <c r="A54" s="58"/>
      <c r="B54" s="58"/>
      <c r="C54" s="58"/>
      <c r="D54" s="58"/>
      <c r="E54" s="58"/>
      <c r="F54" s="58"/>
      <c r="G54" s="58"/>
      <c r="H54" s="58"/>
      <c r="I54" s="58"/>
      <c r="J54" s="58"/>
    </row>
    <row r="55" spans="1:10" ht="18.75" x14ac:dyDescent="0.3">
      <c r="A55" s="58"/>
      <c r="B55" s="58"/>
      <c r="C55" s="58"/>
      <c r="D55" s="58"/>
      <c r="E55" s="58"/>
      <c r="F55" s="58"/>
      <c r="G55" s="58"/>
      <c r="H55" s="58"/>
      <c r="I55" s="58"/>
      <c r="J55" s="58"/>
    </row>
    <row r="56" spans="1:10" ht="18.75" x14ac:dyDescent="0.3">
      <c r="A56" s="58"/>
      <c r="B56" s="58"/>
      <c r="C56" s="58"/>
      <c r="D56" s="58"/>
      <c r="E56" s="58"/>
      <c r="F56" s="58"/>
      <c r="G56" s="58"/>
      <c r="H56" s="58"/>
      <c r="I56" s="58"/>
      <c r="J56" s="58"/>
    </row>
    <row r="57" spans="1:10" ht="18.75" x14ac:dyDescent="0.3">
      <c r="A57" s="58"/>
      <c r="B57" s="58"/>
      <c r="C57" s="58"/>
      <c r="D57" s="58"/>
      <c r="E57" s="58"/>
      <c r="F57" s="58"/>
      <c r="G57" s="58"/>
      <c r="H57" s="58"/>
      <c r="I57" s="58"/>
      <c r="J57" s="58"/>
    </row>
    <row r="58" spans="1:10" ht="18.75" x14ac:dyDescent="0.3">
      <c r="A58" s="58"/>
      <c r="B58" s="58"/>
      <c r="C58" s="58"/>
      <c r="D58" s="58"/>
      <c r="E58" s="58"/>
      <c r="F58" s="58"/>
      <c r="G58" s="58"/>
      <c r="H58" s="58"/>
      <c r="I58" s="58"/>
      <c r="J58" s="58"/>
    </row>
    <row r="59" spans="1:10" ht="18.75" x14ac:dyDescent="0.3">
      <c r="A59" s="58"/>
      <c r="B59" s="58"/>
      <c r="C59" s="58"/>
      <c r="D59" s="58"/>
      <c r="E59" s="58"/>
      <c r="F59" s="58"/>
      <c r="G59" s="58"/>
      <c r="H59" s="58"/>
      <c r="I59" s="58"/>
      <c r="J59" s="58"/>
    </row>
    <row r="60" spans="1:10" ht="18.75" x14ac:dyDescent="0.3">
      <c r="A60" s="58"/>
      <c r="B60" s="58"/>
      <c r="C60" s="58"/>
      <c r="D60" s="58"/>
      <c r="E60" s="58"/>
      <c r="F60" s="58"/>
      <c r="G60" s="58"/>
      <c r="H60" s="58"/>
      <c r="I60" s="58"/>
      <c r="J60" s="58"/>
    </row>
    <row r="61" spans="1:10" ht="18.75" x14ac:dyDescent="0.3">
      <c r="A61" s="58"/>
      <c r="B61" s="58"/>
      <c r="C61" s="58"/>
      <c r="D61" s="58"/>
      <c r="E61" s="58"/>
      <c r="F61" s="58"/>
      <c r="G61" s="58"/>
      <c r="H61" s="58"/>
      <c r="I61" s="58"/>
      <c r="J61" s="58"/>
    </row>
    <row r="62" spans="1:10" ht="18.75" x14ac:dyDescent="0.3">
      <c r="A62" s="58"/>
      <c r="B62" s="58"/>
      <c r="C62" s="58"/>
      <c r="D62" s="58"/>
      <c r="E62" s="58"/>
      <c r="F62" s="58"/>
      <c r="G62" s="58"/>
      <c r="H62" s="58"/>
      <c r="I62" s="58"/>
      <c r="J62" s="58"/>
    </row>
    <row r="63" spans="1:10" ht="18.75" x14ac:dyDescent="0.3">
      <c r="A63" s="58"/>
      <c r="B63" s="58"/>
      <c r="C63" s="58"/>
      <c r="D63" s="58"/>
      <c r="E63" s="58"/>
      <c r="F63" s="58"/>
      <c r="G63" s="58"/>
      <c r="H63" s="58"/>
      <c r="I63" s="58"/>
      <c r="J63" s="58"/>
    </row>
    <row r="64" spans="1:10" ht="18.75" x14ac:dyDescent="0.3">
      <c r="A64" s="58"/>
      <c r="B64" s="58"/>
      <c r="C64" s="58"/>
      <c r="D64" s="58"/>
      <c r="E64" s="58"/>
      <c r="F64" s="58"/>
      <c r="G64" s="58"/>
      <c r="H64" s="58"/>
      <c r="I64" s="58"/>
      <c r="J64" s="58"/>
    </row>
    <row r="65" spans="1:10" ht="18.75" x14ac:dyDescent="0.3">
      <c r="A65" s="58"/>
      <c r="B65" s="58"/>
      <c r="C65" s="58"/>
      <c r="D65" s="58"/>
      <c r="E65" s="58"/>
      <c r="F65" s="58"/>
      <c r="G65" s="58"/>
      <c r="H65" s="58"/>
      <c r="I65" s="58"/>
      <c r="J65" s="58"/>
    </row>
    <row r="66" spans="1:10" ht="18.75" x14ac:dyDescent="0.3">
      <c r="A66" s="58"/>
      <c r="B66" s="58"/>
      <c r="C66" s="58"/>
      <c r="D66" s="58"/>
      <c r="E66" s="58"/>
      <c r="F66" s="58"/>
      <c r="G66" s="58"/>
      <c r="H66" s="58"/>
      <c r="I66" s="58"/>
      <c r="J66" s="58"/>
    </row>
    <row r="67" spans="1:10" ht="18.75" x14ac:dyDescent="0.3">
      <c r="A67" s="58"/>
      <c r="B67" s="58"/>
      <c r="C67" s="58"/>
      <c r="D67" s="58"/>
      <c r="E67" s="58"/>
      <c r="F67" s="58"/>
      <c r="G67" s="58"/>
      <c r="H67" s="58"/>
      <c r="I67" s="58"/>
      <c r="J67" s="58"/>
    </row>
    <row r="68" spans="1:10" ht="18.75" x14ac:dyDescent="0.3">
      <c r="A68" s="58"/>
      <c r="B68" s="58"/>
      <c r="C68" s="58"/>
      <c r="D68" s="58"/>
      <c r="E68" s="58"/>
      <c r="F68" s="58"/>
      <c r="G68" s="58"/>
      <c r="H68" s="58"/>
      <c r="I68" s="58"/>
      <c r="J68" s="58"/>
    </row>
    <row r="69" spans="1:10" ht="18.75" x14ac:dyDescent="0.3">
      <c r="A69" s="58"/>
      <c r="B69" s="58"/>
      <c r="C69" s="58"/>
      <c r="D69" s="58"/>
      <c r="E69" s="58"/>
      <c r="F69" s="58"/>
      <c r="G69" s="58"/>
      <c r="H69" s="58"/>
      <c r="I69" s="58"/>
      <c r="J69" s="58"/>
    </row>
    <row r="70" spans="1:10" ht="18.75" x14ac:dyDescent="0.3">
      <c r="A70" s="58"/>
      <c r="B70" s="58"/>
      <c r="C70" s="58"/>
      <c r="D70" s="58"/>
      <c r="E70" s="58"/>
      <c r="F70" s="58"/>
      <c r="G70" s="58"/>
      <c r="H70" s="58"/>
      <c r="I70" s="58"/>
      <c r="J70" s="58"/>
    </row>
    <row r="71" spans="1:10" ht="18.75" x14ac:dyDescent="0.3">
      <c r="A71" s="58"/>
      <c r="B71" s="58"/>
      <c r="C71" s="58"/>
      <c r="D71" s="58"/>
      <c r="E71" s="58"/>
      <c r="F71" s="58"/>
      <c r="G71" s="58"/>
      <c r="H71" s="58"/>
      <c r="I71" s="58"/>
      <c r="J71" s="58"/>
    </row>
    <row r="72" spans="1:10" ht="18.75" x14ac:dyDescent="0.3">
      <c r="A72" s="58"/>
      <c r="B72" s="58"/>
      <c r="C72" s="58"/>
      <c r="D72" s="58"/>
      <c r="E72" s="58"/>
      <c r="F72" s="58"/>
      <c r="G72" s="58"/>
      <c r="H72" s="58"/>
      <c r="I72" s="58"/>
      <c r="J72" s="58"/>
    </row>
    <row r="73" spans="1:10" ht="18.75" x14ac:dyDescent="0.3">
      <c r="A73" s="58"/>
      <c r="B73" s="58"/>
      <c r="C73" s="58"/>
      <c r="D73" s="58"/>
      <c r="E73" s="58"/>
      <c r="F73" s="58"/>
      <c r="G73" s="58"/>
      <c r="H73" s="58"/>
      <c r="I73" s="58"/>
      <c r="J73" s="58"/>
    </row>
    <row r="74" spans="1:10" ht="18.75" x14ac:dyDescent="0.3">
      <c r="A74" s="58"/>
      <c r="B74" s="58"/>
      <c r="C74" s="58"/>
      <c r="D74" s="58"/>
      <c r="E74" s="58"/>
      <c r="F74" s="58"/>
      <c r="G74" s="58"/>
      <c r="H74" s="58"/>
      <c r="I74" s="58"/>
      <c r="J74" s="58"/>
    </row>
    <row r="75" spans="1:10" ht="18.75" x14ac:dyDescent="0.3">
      <c r="A75" s="58"/>
      <c r="B75" s="58"/>
      <c r="C75" s="58"/>
      <c r="D75" s="58"/>
      <c r="E75" s="58"/>
      <c r="F75" s="58"/>
      <c r="G75" s="58"/>
      <c r="H75" s="58"/>
      <c r="I75" s="58"/>
      <c r="J75" s="58"/>
    </row>
    <row r="76" spans="1:10" ht="18.75" x14ac:dyDescent="0.3">
      <c r="A76" s="58"/>
      <c r="B76" s="58"/>
      <c r="C76" s="58"/>
      <c r="D76" s="58"/>
      <c r="E76" s="58"/>
      <c r="F76" s="58"/>
      <c r="G76" s="58"/>
      <c r="H76" s="58"/>
      <c r="I76" s="58"/>
      <c r="J76" s="58"/>
    </row>
    <row r="77" spans="1:10" ht="18.75" x14ac:dyDescent="0.3">
      <c r="A77" s="58"/>
      <c r="B77" s="58"/>
      <c r="C77" s="58"/>
      <c r="D77" s="58"/>
      <c r="E77" s="58"/>
      <c r="F77" s="58"/>
      <c r="G77" s="58"/>
      <c r="H77" s="58"/>
      <c r="I77" s="58"/>
      <c r="J77" s="58"/>
    </row>
    <row r="78" spans="1:10" ht="18.75" x14ac:dyDescent="0.3">
      <c r="A78" s="58"/>
      <c r="B78" s="58"/>
      <c r="C78" s="58"/>
      <c r="D78" s="58"/>
      <c r="E78" s="58"/>
      <c r="F78" s="58"/>
      <c r="G78" s="58"/>
      <c r="H78" s="58"/>
      <c r="I78" s="58"/>
      <c r="J78" s="58"/>
    </row>
    <row r="79" spans="1:10" ht="18.75" x14ac:dyDescent="0.3">
      <c r="A79" s="58"/>
      <c r="B79" s="58"/>
      <c r="C79" s="58"/>
      <c r="D79" s="58"/>
      <c r="E79" s="58"/>
      <c r="F79" s="58"/>
      <c r="G79" s="58"/>
      <c r="H79" s="58"/>
      <c r="I79" s="58"/>
      <c r="J79" s="58"/>
    </row>
    <row r="80" spans="1:10" ht="18.75" x14ac:dyDescent="0.3">
      <c r="A80" s="58"/>
      <c r="B80" s="58"/>
      <c r="C80" s="58"/>
      <c r="D80" s="58"/>
      <c r="E80" s="58"/>
      <c r="F80" s="58"/>
      <c r="G80" s="58"/>
      <c r="H80" s="58"/>
      <c r="I80" s="58"/>
      <c r="J80" s="58"/>
    </row>
    <row r="81" spans="1:10" ht="18.75" x14ac:dyDescent="0.3">
      <c r="A81" s="58"/>
      <c r="B81" s="58"/>
      <c r="C81" s="58"/>
      <c r="D81" s="58"/>
      <c r="E81" s="58"/>
      <c r="F81" s="58"/>
      <c r="G81" s="58"/>
      <c r="H81" s="58"/>
      <c r="I81" s="58"/>
      <c r="J81" s="58"/>
    </row>
    <row r="82" spans="1:10" ht="18.75" x14ac:dyDescent="0.3">
      <c r="A82" s="58"/>
      <c r="B82" s="58"/>
      <c r="C82" s="58"/>
      <c r="D82" s="58"/>
      <c r="E82" s="58"/>
      <c r="F82" s="58"/>
      <c r="G82" s="58"/>
      <c r="H82" s="58"/>
      <c r="I82" s="58"/>
      <c r="J82" s="58"/>
    </row>
    <row r="83" spans="1:10" ht="18.75" x14ac:dyDescent="0.3">
      <c r="A83" s="58"/>
      <c r="B83" s="58"/>
      <c r="C83" s="58"/>
      <c r="D83" s="58"/>
      <c r="E83" s="58"/>
      <c r="F83" s="58"/>
      <c r="G83" s="58"/>
      <c r="H83" s="58"/>
      <c r="I83" s="58"/>
      <c r="J83" s="58"/>
    </row>
    <row r="84" spans="1:10" ht="18.75" x14ac:dyDescent="0.3">
      <c r="A84" s="58"/>
      <c r="B84" s="58"/>
      <c r="C84" s="58"/>
      <c r="D84" s="58"/>
      <c r="E84" s="58"/>
      <c r="F84" s="58"/>
      <c r="G84" s="58"/>
      <c r="H84" s="58"/>
      <c r="I84" s="58"/>
      <c r="J84" s="58"/>
    </row>
    <row r="85" spans="1:10" ht="18.75" x14ac:dyDescent="0.3">
      <c r="A85" s="58"/>
      <c r="B85" s="58"/>
      <c r="C85" s="58"/>
      <c r="D85" s="58"/>
      <c r="E85" s="58"/>
      <c r="F85" s="58"/>
      <c r="G85" s="58"/>
      <c r="H85" s="58"/>
      <c r="I85" s="58"/>
      <c r="J85" s="58"/>
    </row>
    <row r="86" spans="1:10" ht="18.75" x14ac:dyDescent="0.3">
      <c r="A86" s="58"/>
      <c r="B86" s="58"/>
      <c r="C86" s="58"/>
      <c r="D86" s="58"/>
      <c r="E86" s="58"/>
      <c r="F86" s="58"/>
      <c r="G86" s="58"/>
      <c r="H86" s="58"/>
      <c r="I86" s="58"/>
      <c r="J86" s="58"/>
    </row>
    <row r="87" spans="1:10" ht="18.75" x14ac:dyDescent="0.3">
      <c r="A87" s="58"/>
      <c r="B87" s="58"/>
      <c r="C87" s="58"/>
      <c r="D87" s="58"/>
      <c r="E87" s="58"/>
      <c r="F87" s="58"/>
      <c r="G87" s="58"/>
      <c r="H87" s="58"/>
      <c r="I87" s="58"/>
      <c r="J87" s="58"/>
    </row>
    <row r="88" spans="1:10" ht="18.75" x14ac:dyDescent="0.3">
      <c r="A88" s="58"/>
      <c r="B88" s="58"/>
      <c r="C88" s="58"/>
      <c r="D88" s="58"/>
      <c r="E88" s="58"/>
      <c r="F88" s="58"/>
      <c r="G88" s="58"/>
      <c r="H88" s="58"/>
      <c r="I88" s="58"/>
      <c r="J88" s="58"/>
    </row>
    <row r="89" spans="1:10" ht="18.75" x14ac:dyDescent="0.3">
      <c r="A89" s="58"/>
      <c r="B89" s="58"/>
      <c r="C89" s="58"/>
      <c r="D89" s="58"/>
      <c r="E89" s="58"/>
      <c r="F89" s="58"/>
      <c r="G89" s="58"/>
      <c r="H89" s="58"/>
      <c r="I89" s="58"/>
      <c r="J89" s="58"/>
    </row>
    <row r="90" spans="1:10" ht="18.75" x14ac:dyDescent="0.3">
      <c r="A90" s="58"/>
      <c r="B90" s="58"/>
      <c r="C90" s="58"/>
      <c r="D90" s="58"/>
      <c r="E90" s="58"/>
      <c r="F90" s="58"/>
      <c r="G90" s="58"/>
      <c r="H90" s="58"/>
      <c r="I90" s="58"/>
      <c r="J90" s="58"/>
    </row>
    <row r="91" spans="1:10" ht="18.75" x14ac:dyDescent="0.3">
      <c r="A91" s="58"/>
      <c r="B91" s="58"/>
      <c r="C91" s="58"/>
      <c r="D91" s="58"/>
      <c r="E91" s="58"/>
      <c r="F91" s="58"/>
      <c r="G91" s="58"/>
      <c r="H91" s="58"/>
      <c r="I91" s="58"/>
      <c r="J91" s="58"/>
    </row>
    <row r="92" spans="1:10" ht="18.75" x14ac:dyDescent="0.3">
      <c r="A92" s="58"/>
      <c r="B92" s="58"/>
      <c r="C92" s="58"/>
      <c r="D92" s="58"/>
      <c r="E92" s="58"/>
      <c r="F92" s="58"/>
      <c r="G92" s="58"/>
      <c r="H92" s="58"/>
      <c r="I92" s="58"/>
      <c r="J92" s="58"/>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2" sqref="A2"/>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33">
        <v>4</v>
      </c>
      <c r="B1" s="4"/>
      <c r="C1" s="4"/>
      <c r="D1" s="4"/>
      <c r="E1" s="4"/>
      <c r="F1" s="4"/>
      <c r="G1" s="4"/>
      <c r="H1" s="4"/>
      <c r="I1" s="4"/>
      <c r="J1" s="4"/>
    </row>
    <row r="2" spans="1:14" ht="15.75" customHeight="1" x14ac:dyDescent="0.25">
      <c r="A2" s="149" t="s">
        <v>28</v>
      </c>
      <c r="B2" s="717"/>
      <c r="C2" s="717"/>
      <c r="D2" s="717"/>
      <c r="E2" s="717"/>
      <c r="F2" s="717"/>
      <c r="G2" s="717"/>
      <c r="H2" s="717"/>
      <c r="I2" s="717"/>
      <c r="J2" s="717"/>
    </row>
    <row r="3" spans="1:14" ht="15.75" customHeight="1" x14ac:dyDescent="0.25">
      <c r="A3" s="147"/>
      <c r="B3" s="280"/>
      <c r="C3" s="280"/>
      <c r="D3" s="280"/>
      <c r="E3" s="280"/>
      <c r="F3" s="280"/>
      <c r="G3" s="280"/>
      <c r="H3" s="280"/>
      <c r="I3" s="280"/>
      <c r="J3" s="280"/>
    </row>
    <row r="4" spans="1:14" ht="15.75" customHeight="1" x14ac:dyDescent="0.2">
      <c r="A4" s="128"/>
      <c r="B4" s="718" t="s">
        <v>0</v>
      </c>
      <c r="C4" s="719"/>
      <c r="D4" s="719"/>
      <c r="E4" s="718" t="s">
        <v>1</v>
      </c>
      <c r="F4" s="719"/>
      <c r="G4" s="719"/>
      <c r="H4" s="718" t="s">
        <v>2</v>
      </c>
      <c r="I4" s="719"/>
      <c r="J4" s="720"/>
    </row>
    <row r="5" spans="1:14" ht="15.75" customHeight="1" x14ac:dyDescent="0.2">
      <c r="A5" s="142"/>
      <c r="B5" s="20" t="s">
        <v>434</v>
      </c>
      <c r="C5" s="20" t="s">
        <v>435</v>
      </c>
      <c r="D5" s="232" t="s">
        <v>3</v>
      </c>
      <c r="E5" s="20" t="s">
        <v>434</v>
      </c>
      <c r="F5" s="20" t="s">
        <v>435</v>
      </c>
      <c r="G5" s="232" t="s">
        <v>3</v>
      </c>
      <c r="H5" s="20" t="s">
        <v>434</v>
      </c>
      <c r="I5" s="20" t="s">
        <v>435</v>
      </c>
      <c r="J5" s="232" t="s">
        <v>3</v>
      </c>
      <c r="M5" s="3"/>
      <c r="N5" s="3"/>
    </row>
    <row r="6" spans="1:14" ht="15.75" customHeight="1" x14ac:dyDescent="0.2">
      <c r="A6" s="690"/>
      <c r="B6" s="15"/>
      <c r="C6" s="15"/>
      <c r="D6" s="17" t="s">
        <v>4</v>
      </c>
      <c r="E6" s="16"/>
      <c r="F6" s="16"/>
      <c r="G6" s="15" t="s">
        <v>4</v>
      </c>
      <c r="H6" s="16"/>
      <c r="I6" s="16"/>
      <c r="J6" s="15" t="s">
        <v>4</v>
      </c>
      <c r="M6" s="312"/>
      <c r="N6" s="3"/>
    </row>
    <row r="7" spans="1:14" s="43" customFormat="1" ht="15.75" customHeight="1" x14ac:dyDescent="0.2">
      <c r="A7" s="14" t="s">
        <v>23</v>
      </c>
      <c r="B7" s="217">
        <f>'Fremtind Livsforsikring'!B7+'Storebrand Danica Pensjon'!B7+'DNB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 Fors'!B7+'Storebrand Livsforsikring'!B7+'Telenor Forsikring'!B7+'Tryg Forsikring'!B7+'WaterCircles F'!B7+'Euro Accident'!B7+'Ly Forsikring'!B7+'Youplus Livsforsikring'!B7</f>
        <v>3985789.7528075869</v>
      </c>
      <c r="C7" s="217">
        <f>'Fremtind Livsforsikring'!C7+'Storebrand Danica Pensjon'!C7+'DNB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 Fors'!C7+'Storebrand Livsforsikring'!C7+'Telenor Forsikring'!C7+'Tryg Forsikring'!C7+'WaterCircles F'!C7+'Euro Accident'!C7+'Ly Forsikring'!C7+'Youplus Livsforsikring'!C7</f>
        <v>4243608.5728469938</v>
      </c>
      <c r="D7" s="144">
        <f t="shared" ref="D7:D12" si="0">IF(B7=0, "    ---- ", IF(ABS(ROUND(100/B7*C7-100,1))&lt;999,ROUND(100/B7*C7-100,1),IF(ROUND(100/B7*C7-100,1)&gt;999,999,-999)))</f>
        <v>6.5</v>
      </c>
      <c r="E7" s="217">
        <f>'Fremtind Livsforsikring'!F7+'Storebrand Danica Pensjon'!F7+'DNB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 Fors'!F7+'Storebrand Livsforsikring'!F7+'Telenor Forsikring'!F7+'Tryg Forsikring'!F7+'WaterCircles F'!F7+'Euro Accident'!F7+'Ly Forsikring'!F7+'Youplus Livsforsikring'!F7</f>
        <v>7212186.1206099996</v>
      </c>
      <c r="F7" s="217">
        <f>'Fremtind Livsforsikring'!G7+'Storebrand Danica Pensjon'!G7+'DNB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 Fors'!G7+'Storebrand Livsforsikring'!G7+'Telenor Forsikring'!G7+'Tryg Forsikring'!G7+'WaterCircles F'!G7+'Euro Accident'!G7+'Ly Forsikring'!G7+'Youplus Livsforsikring'!G7</f>
        <v>7698503.7211500006</v>
      </c>
      <c r="G7" s="144">
        <f t="shared" ref="G7:G12" si="1">IF(E7=0, "    ---- ", IF(ABS(ROUND(100/E7*F7-100,1))&lt;999,ROUND(100/E7*F7-100,1),IF(ROUND(100/E7*F7-100,1)&gt;999,999,-999)))</f>
        <v>6.7</v>
      </c>
      <c r="H7" s="263">
        <f t="shared" ref="H7:H12" si="2">B7+E7</f>
        <v>11197975.873417586</v>
      </c>
      <c r="I7" s="264">
        <f t="shared" ref="I7:I12" si="3">C7+F7</f>
        <v>11942112.293996993</v>
      </c>
      <c r="J7" s="155">
        <f t="shared" ref="J7:J12" si="4">IF(H7=0, "    ---- ", IF(ABS(ROUND(100/H7*I7-100,1))&lt;999,ROUND(100/H7*I7-100,1),IF(ROUND(100/H7*I7-100,1)&gt;999,999,-999)))</f>
        <v>6.6</v>
      </c>
      <c r="M7" s="398"/>
      <c r="N7" s="398"/>
    </row>
    <row r="8" spans="1:14" ht="15.75" customHeight="1" x14ac:dyDescent="0.2">
      <c r="A8" s="21" t="s">
        <v>25</v>
      </c>
      <c r="B8" s="44">
        <f>'Fremtind Livsforsikring'!B8+'Storebrand Danica Pensjon'!B8+'DNB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 Fors'!B8+'Storebrand Livsforsikring'!B8+'Telenor Forsikring'!B8+'Tryg Forsikring'!B8+'WaterCircles F'!B8+'Euro Accident'!B8+'Ly Forsikring'!B8+'Youplus Livsforsikring'!B8</f>
        <v>2607007.7730434742</v>
      </c>
      <c r="C8" s="44">
        <f>'Fremtind Livsforsikring'!C8+'Storebrand Danica Pensjon'!C8+'DNB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 Fors'!C8+'Storebrand Livsforsikring'!C8+'Telenor Forsikring'!C8+'Tryg Forsikring'!C8+'WaterCircles F'!C8+'Euro Accident'!C8+'Ly Forsikring'!C8+'Youplus Livsforsikring'!C8</f>
        <v>2696146.5783204087</v>
      </c>
      <c r="D8" s="150">
        <f t="shared" si="0"/>
        <v>3.4</v>
      </c>
      <c r="E8" s="169"/>
      <c r="F8" s="169"/>
      <c r="G8" s="160"/>
      <c r="H8" s="171">
        <f t="shared" si="2"/>
        <v>2607007.7730434742</v>
      </c>
      <c r="I8" s="172">
        <f t="shared" si="3"/>
        <v>2696146.5783204087</v>
      </c>
      <c r="J8" s="155">
        <f t="shared" si="4"/>
        <v>3.4</v>
      </c>
    </row>
    <row r="9" spans="1:14" ht="15.75" customHeight="1" x14ac:dyDescent="0.2">
      <c r="A9" s="21" t="s">
        <v>24</v>
      </c>
      <c r="B9" s="44">
        <f>'Fremtind Livsforsikring'!B9+'Storebrand Danica Pensjon'!B9+'DNB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 Fors'!B9+'Storebrand Livsforsikring'!B9+'Telenor Forsikring'!B9+'Tryg Forsikring'!B9+'WaterCircles F'!B9+'Euro Accident'!B9+'Ly Forsikring'!B9+'Youplus Livsforsikring'!B9</f>
        <v>811108.15719256655</v>
      </c>
      <c r="C9" s="44">
        <f>'Fremtind Livsforsikring'!C9+'Storebrand Danica Pensjon'!C9+'DNB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 Fors'!C9+'Storebrand Livsforsikring'!C9+'Telenor Forsikring'!C9+'Tryg Forsikring'!C9+'WaterCircles F'!C9+'Euro Accident'!C9+'Ly Forsikring'!C9+'Youplus Livsforsikring'!C9</f>
        <v>885308.30491886986</v>
      </c>
      <c r="D9" s="160">
        <f t="shared" si="0"/>
        <v>9.1</v>
      </c>
      <c r="E9" s="169"/>
      <c r="F9" s="169"/>
      <c r="G9" s="160"/>
      <c r="H9" s="171">
        <f t="shared" si="2"/>
        <v>811108.15719256655</v>
      </c>
      <c r="I9" s="172">
        <f t="shared" si="3"/>
        <v>885308.30491886986</v>
      </c>
      <c r="J9" s="155">
        <f t="shared" si="4"/>
        <v>9.1</v>
      </c>
    </row>
    <row r="10" spans="1:14" s="43" customFormat="1" ht="15.75" customHeight="1" x14ac:dyDescent="0.2">
      <c r="A10" s="39" t="s">
        <v>347</v>
      </c>
      <c r="B10" s="217">
        <f>'Fremtind Livsforsikring'!B10+'Storebrand Danica Pensjon'!B10+'DNB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 Fors'!B10+'Storebrand Livsforsikring'!B10+'Telenor Forsikring'!B10+'Tryg Forsikring'!B10+'WaterCircles F'!B10+'Euro Accident'!B10+'Ly Forsikring'!B10+'Youplus Livsforsikring'!B10</f>
        <v>15731663.249415958</v>
      </c>
      <c r="C10" s="217">
        <f>'Fremtind Livsforsikring'!C10+'Storebrand Danica Pensjon'!C10+'DNB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 Fors'!C10+'Storebrand Livsforsikring'!C10+'Telenor Forsikring'!C10+'Tryg Forsikring'!C10+'WaterCircles F'!C10+'Euro Accident'!C10+'Ly Forsikring'!C10+'Youplus Livsforsikring'!C10</f>
        <v>13869894.225528225</v>
      </c>
      <c r="D10" s="144">
        <f t="shared" si="0"/>
        <v>-11.8</v>
      </c>
      <c r="E10" s="217">
        <f>'Fremtind Livsforsikring'!F10+'Storebrand Danica Pensjon'!F10+'DNB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 Fors'!F10+'Storebrand Livsforsikring'!F10+'Telenor Forsikring'!F10+'Tryg Forsikring'!F10+'WaterCircles F'!F10+'Euro Accident'!F10+'Ly Forsikring'!F10+'Youplus Livsforsikring'!F10</f>
        <v>68979516.335089996</v>
      </c>
      <c r="F10" s="217">
        <f>'Fremtind Livsforsikring'!G10+'Storebrand Danica Pensjon'!G10+'DNB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 Fors'!G10+'Storebrand Livsforsikring'!G10+'Telenor Forsikring'!G10+'Tryg Forsikring'!G10+'WaterCircles F'!G10+'Euro Accident'!G10+'Ly Forsikring'!G10+'Youplus Livsforsikring'!G10</f>
        <v>77938973.112900004</v>
      </c>
      <c r="G10" s="144">
        <f t="shared" si="1"/>
        <v>13</v>
      </c>
      <c r="H10" s="263">
        <f t="shared" si="2"/>
        <v>84711179.58450596</v>
      </c>
      <c r="I10" s="264">
        <f t="shared" si="3"/>
        <v>91808867.338428229</v>
      </c>
      <c r="J10" s="155">
        <f t="shared" si="4"/>
        <v>8.4</v>
      </c>
    </row>
    <row r="11" spans="1:14" s="43" customFormat="1" ht="15.75" customHeight="1" x14ac:dyDescent="0.2">
      <c r="A11" s="39" t="s">
        <v>348</v>
      </c>
      <c r="B11" s="217">
        <f>'Fremtind Livsforsikring'!B11+'Storebrand Danica Pensjon'!B11+'DNB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 Fors'!B11+'Storebrand Livsforsikring'!B11+'Telenor Forsikring'!B11+'Tryg Forsikring'!B11+'WaterCircles F'!B11+'Euro Accident'!B11+'Ly Forsikring'!B11+'Youplus Livsforsikring'!B11</f>
        <v>32737</v>
      </c>
      <c r="C11" s="217">
        <f>'Fremtind Livsforsikring'!C11+'Storebrand Danica Pensjon'!C11+'DNB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 Fors'!C11+'Storebrand Livsforsikring'!C11+'Telenor Forsikring'!C11+'Tryg Forsikring'!C11+'WaterCircles F'!C11+'Euro Accident'!C11+'Ly Forsikring'!C11+'Youplus Livsforsikring'!C11</f>
        <v>26026</v>
      </c>
      <c r="D11" s="155">
        <f t="shared" si="0"/>
        <v>-20.5</v>
      </c>
      <c r="E11" s="217">
        <f>'Fremtind Livsforsikring'!F11+'Storebrand Danica Pensjon'!F11+'DNB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 Fors'!F11+'Storebrand Livsforsikring'!F11+'Telenor Forsikring'!F11+'Tryg Forsikring'!F11+'WaterCircles F'!F11+'Euro Accident'!F11+'Ly Forsikring'!F11+'Youplus Livsforsikring'!F11</f>
        <v>169041.93180000002</v>
      </c>
      <c r="F11" s="217">
        <f>'Fremtind Livsforsikring'!G11+'Storebrand Danica Pensjon'!G11+'DNB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 Fors'!G11+'Storebrand Livsforsikring'!G11+'Telenor Forsikring'!G11+'Tryg Forsikring'!G11+'WaterCircles F'!G11+'Euro Accident'!G11+'Ly Forsikring'!G11+'Youplus Livsforsikring'!G11</f>
        <v>167200.95195999998</v>
      </c>
      <c r="G11" s="155">
        <f t="shared" si="1"/>
        <v>-1.1000000000000001</v>
      </c>
      <c r="H11" s="263">
        <f t="shared" si="2"/>
        <v>201778.93180000002</v>
      </c>
      <c r="I11" s="264">
        <f t="shared" si="3"/>
        <v>193226.95195999998</v>
      </c>
      <c r="J11" s="155">
        <f t="shared" si="4"/>
        <v>-4.2</v>
      </c>
    </row>
    <row r="12" spans="1:14" s="43" customFormat="1" ht="15.75" customHeight="1" x14ac:dyDescent="0.2">
      <c r="A12" s="488" t="s">
        <v>349</v>
      </c>
      <c r="B12" s="262">
        <f>'Fremtind Livsforsikring'!B12+'Storebrand Danica Pensjon'!B12+'DNB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 Fors'!B12+'Storebrand Livsforsikring'!B12+'Telenor Forsikring'!B12+'Tryg Forsikring'!B12+'WaterCircles F'!B12+'Euro Accident'!B12+'Ly Forsikring'!B12+'Youplus Livsforsikring'!B12</f>
        <v>2921</v>
      </c>
      <c r="C12" s="262">
        <f>'Fremtind Livsforsikring'!C12+'Storebrand Danica Pensjon'!C12+'DNB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 Fors'!C12+'Storebrand Livsforsikring'!C12+'Telenor Forsikring'!C12+'Tryg Forsikring'!C12+'WaterCircles F'!C12+'Euro Accident'!C12+'Ly Forsikring'!C12+'Youplus Livsforsikring'!C12</f>
        <v>3039</v>
      </c>
      <c r="D12" s="154">
        <f t="shared" si="0"/>
        <v>4</v>
      </c>
      <c r="E12" s="262">
        <f>'Fremtind Livsforsikring'!F12+'Storebrand Danica Pensjon'!F12+'DNB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 Fors'!F12+'Storebrand Livsforsikring'!F12+'Telenor Forsikring'!F12+'Tryg Forsikring'!F12+'WaterCircles F'!F12+'Euro Accident'!F12+'Ly Forsikring'!F12+'Youplus Livsforsikring'!F12</f>
        <v>132322.02526999998</v>
      </c>
      <c r="F12" s="262">
        <f>'Fremtind Livsforsikring'!G12+'Storebrand Danica Pensjon'!G12+'DNB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 Fors'!G12+'Storebrand Livsforsikring'!G12+'Telenor Forsikring'!G12+'Tryg Forsikring'!G12+'WaterCircles F'!G12+'Euro Accident'!G12+'Ly Forsikring'!G12+'Youplus Livsforsikring'!G12</f>
        <v>149274.79561</v>
      </c>
      <c r="G12" s="153">
        <f t="shared" si="1"/>
        <v>12.8</v>
      </c>
      <c r="H12" s="265">
        <f t="shared" si="2"/>
        <v>135243.02526999998</v>
      </c>
      <c r="I12" s="266">
        <f t="shared" si="3"/>
        <v>152313.79561</v>
      </c>
      <c r="J12" s="153">
        <f t="shared" si="4"/>
        <v>12.6</v>
      </c>
    </row>
    <row r="13" spans="1:14" s="43" customFormat="1" ht="15.75" customHeight="1" x14ac:dyDescent="0.2">
      <c r="A13" s="152"/>
      <c r="B13" s="35"/>
      <c r="C13" s="5"/>
      <c r="D13" s="32"/>
      <c r="E13" s="35"/>
      <c r="F13" s="5"/>
      <c r="G13" s="32"/>
      <c r="H13" s="48"/>
      <c r="I13" s="48"/>
      <c r="J13" s="32"/>
    </row>
    <row r="14" spans="1:14" ht="15.75" customHeight="1" x14ac:dyDescent="0.2">
      <c r="A14" s="137" t="s">
        <v>267</v>
      </c>
    </row>
    <row r="15" spans="1:14" ht="15.75" customHeight="1" x14ac:dyDescent="0.2">
      <c r="A15" s="133"/>
      <c r="E15" s="7"/>
      <c r="F15" s="7"/>
      <c r="G15" s="7"/>
      <c r="H15" s="7"/>
      <c r="I15" s="7"/>
      <c r="J15" s="7"/>
    </row>
    <row r="16" spans="1:14" s="3" customFormat="1" ht="15.75" customHeight="1" x14ac:dyDescent="0.25">
      <c r="A16" s="148"/>
      <c r="C16" s="30"/>
      <c r="D16" s="30"/>
      <c r="E16" s="30"/>
      <c r="F16" s="30"/>
      <c r="G16" s="30"/>
      <c r="H16" s="30"/>
      <c r="I16" s="30"/>
      <c r="J16" s="30"/>
    </row>
    <row r="17" spans="1:11" ht="15.75" customHeight="1" x14ac:dyDescent="0.25">
      <c r="A17" s="131" t="s">
        <v>264</v>
      </c>
      <c r="B17" s="28"/>
      <c r="C17" s="28"/>
      <c r="D17" s="29"/>
      <c r="E17" s="28"/>
      <c r="F17" s="28"/>
      <c r="G17" s="28"/>
      <c r="H17" s="28"/>
      <c r="I17" s="28"/>
      <c r="J17" s="28"/>
    </row>
    <row r="18" spans="1:11" ht="15.75" customHeight="1" x14ac:dyDescent="0.25">
      <c r="A18" s="133"/>
      <c r="B18" s="717"/>
      <c r="C18" s="717"/>
      <c r="D18" s="717"/>
      <c r="E18" s="717"/>
      <c r="F18" s="717"/>
      <c r="G18" s="717"/>
      <c r="H18" s="717"/>
      <c r="I18" s="717"/>
      <c r="J18" s="717"/>
    </row>
    <row r="19" spans="1:11" ht="15.75" customHeight="1" x14ac:dyDescent="0.2">
      <c r="A19" s="128"/>
      <c r="B19" s="718" t="s">
        <v>0</v>
      </c>
      <c r="C19" s="719"/>
      <c r="D19" s="719"/>
      <c r="E19" s="718" t="s">
        <v>1</v>
      </c>
      <c r="F19" s="719"/>
      <c r="G19" s="720"/>
      <c r="H19" s="719" t="s">
        <v>2</v>
      </c>
      <c r="I19" s="719"/>
      <c r="J19" s="720"/>
    </row>
    <row r="20" spans="1:11" ht="15.75" customHeight="1" x14ac:dyDescent="0.2">
      <c r="A20" s="124" t="s">
        <v>5</v>
      </c>
      <c r="B20" s="20" t="s">
        <v>434</v>
      </c>
      <c r="C20" s="20" t="s">
        <v>435</v>
      </c>
      <c r="D20" s="232" t="s">
        <v>3</v>
      </c>
      <c r="E20" s="20" t="s">
        <v>434</v>
      </c>
      <c r="F20" s="20" t="s">
        <v>435</v>
      </c>
      <c r="G20" s="232" t="s">
        <v>3</v>
      </c>
      <c r="H20" s="20" t="s">
        <v>434</v>
      </c>
      <c r="I20" s="20" t="s">
        <v>435</v>
      </c>
      <c r="J20" s="232" t="s">
        <v>3</v>
      </c>
    </row>
    <row r="21" spans="1:11" ht="15.75" customHeight="1" x14ac:dyDescent="0.2">
      <c r="A21" s="691"/>
      <c r="B21" s="15"/>
      <c r="C21" s="15"/>
      <c r="D21" s="17" t="s">
        <v>4</v>
      </c>
      <c r="E21" s="16"/>
      <c r="F21" s="16"/>
      <c r="G21" s="15" t="s">
        <v>4</v>
      </c>
      <c r="H21" s="16"/>
      <c r="I21" s="16"/>
      <c r="J21" s="15" t="s">
        <v>4</v>
      </c>
    </row>
    <row r="22" spans="1:11" s="43" customFormat="1" ht="15.75" customHeight="1" x14ac:dyDescent="0.2">
      <c r="A22" s="14" t="s">
        <v>23</v>
      </c>
      <c r="B22" s="217">
        <f>'Fremtind Livsforsikring'!B22+'Storebrand Danica Pensjon'!B22+'DNB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 Fors'!B22+'Storebrand Livsforsikring'!B22+'Telenor Forsikring'!B22+'Tryg Forsikring'!B22+'WaterCircles F'!B22+'Euro Accident'!B22+'Ly Forsikring'!B22+'Youplus Livsforsikring'!B22</f>
        <v>1677054.951081509</v>
      </c>
      <c r="C22" s="217">
        <f>'Fremtind Livsforsikring'!C22+'Storebrand Danica Pensjon'!C22+'DNB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 Fors'!C22+'Storebrand Livsforsikring'!C22+'Telenor Forsikring'!C22+'Tryg Forsikring'!C22+'WaterCircles F'!C22+'Euro Accident'!C22+'Ly Forsikring'!C22+'Youplus Livsforsikring'!C22</f>
        <v>1738930.5416757741</v>
      </c>
      <c r="D22" s="11">
        <f t="shared" ref="D22:D39" si="5">IF(B22=0, "    ---- ", IF(ABS(ROUND(100/B22*C22-100,1))&lt;999,ROUND(100/B22*C22-100,1),IF(ROUND(100/B22*C22-100,1)&gt;999,999,-999)))</f>
        <v>3.7</v>
      </c>
      <c r="E22" s="217">
        <f>'Fremtind Livsforsikring'!F22+'Storebrand Danica Pensjon'!F22+'DNB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 Fors'!F22+'Storebrand Livsforsikring'!F22+'Telenor Forsikring'!F22+'Tryg Forsikring'!F22+'WaterCircles F'!F22+'Euro Accident'!F22+'Ly Forsikring'!F22+'Youplus Livsforsikring'!F22</f>
        <v>703799.34444999998</v>
      </c>
      <c r="F22" s="217">
        <f>'Fremtind Livsforsikring'!G22+'Storebrand Danica Pensjon'!G22+'DNB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 Fors'!G22+'Storebrand Livsforsikring'!G22+'Telenor Forsikring'!G22+'Tryg Forsikring'!G22+'WaterCircles F'!G22+'Euro Accident'!G22+'Ly Forsikring'!G22+'Youplus Livsforsikring'!G22</f>
        <v>649364.92402999999</v>
      </c>
      <c r="G22" s="332">
        <f t="shared" ref="G22:G35" si="6">IF(E22=0, "    ---- ", IF(ABS(ROUND(100/E22*F22-100,1))&lt;999,ROUND(100/E22*F22-100,1),IF(ROUND(100/E22*F22-100,1)&gt;999,999,-999)))</f>
        <v>-7.7</v>
      </c>
      <c r="H22" s="291">
        <f>SUM(B22,E22)</f>
        <v>2380854.295531509</v>
      </c>
      <c r="I22" s="217">
        <f t="shared" ref="I22:I39" si="7">SUM(C22,F22)</f>
        <v>2388295.4657057743</v>
      </c>
      <c r="J22" s="24">
        <f t="shared" ref="J22:J39" si="8">IF(H22=0, "    ---- ", IF(ABS(ROUND(100/H22*I22-100,1))&lt;999,ROUND(100/H22*I22-100,1),IF(ROUND(100/H22*I22-100,1)&gt;999,999,-999)))</f>
        <v>0.3</v>
      </c>
    </row>
    <row r="23" spans="1:11" ht="15.75" customHeight="1" x14ac:dyDescent="0.2">
      <c r="A23" s="489" t="s">
        <v>350</v>
      </c>
      <c r="B23" s="44">
        <f>'Fremtind Livsforsikring'!B23+'Storebrand Danica Pensjon'!B23+'DNB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 Fors'!B23+'Storebrand Livsforsikring'!B23+'Telenor Forsikring'!B23+'Tryg Forsikring'!B23+'WaterCircles F'!B23+'Euro Accident'!B23+'Ly Forsikring'!B23+'Youplus Livsforsikring'!B23</f>
        <v>606536.271301509</v>
      </c>
      <c r="C23" s="44">
        <f>'Fremtind Livsforsikring'!C23+'Storebrand Danica Pensjon'!C23+'DNB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 Fors'!C23+'Storebrand Livsforsikring'!C23+'Telenor Forsikring'!C23+'Tryg Forsikring'!C23+'WaterCircles F'!C23+'Euro Accident'!C23+'Ly Forsikring'!C23+'Youplus Livsforsikring'!C23</f>
        <v>1026270.9520546874</v>
      </c>
      <c r="D23" s="27">
        <f>IF($A$1=4,IF(B23=0, "    ---- ", IF(ABS(ROUND(100/B23*C23-100,1))&lt;999,ROUND(100/B23*C23-100,1),IF(ROUND(100/B23*C23-100,1)&gt;999,999,-999))),"")</f>
        <v>69.2</v>
      </c>
      <c r="E23" s="44">
        <f>'Fremtind Livsforsikring'!F23+'Storebrand Danica Pensjon'!F23+'DNB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 Fors'!F23+'Storebrand Livsforsikring'!F23+'Telenor Forsikring'!F23+'Tryg Forsikring'!F23+'WaterCircles F'!F23+'Euro Accident'!F23+'Ly Forsikring'!F23+'Youplus Livsforsikring'!F23</f>
        <v>72787.001900000003</v>
      </c>
      <c r="F23" s="44">
        <f>'Fremtind Livsforsikring'!G23+'Storebrand Danica Pensjon'!G23+'DNB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 Fors'!G23+'Storebrand Livsforsikring'!G23+'Telenor Forsikring'!G23+'Tryg Forsikring'!G23+'WaterCircles F'!G23+'Euro Accident'!G23+'Ly Forsikring'!G23+'Youplus Livsforsikring'!G23</f>
        <v>34052.753270000103</v>
      </c>
      <c r="G23" s="150">
        <f>IF($A$1=4,IF(E23=0, "    ---- ", IF(ABS(ROUND(100/E23*F23-100,1))&lt;999,ROUND(100/E23*F23-100,1),IF(ROUND(100/E23*F23-100,1)&gt;999,999,-999))),"")</f>
        <v>-53.2</v>
      </c>
      <c r="H23" s="215">
        <f t="shared" ref="H23:H39" si="9">SUM(B23,E23)</f>
        <v>679323.27320150903</v>
      </c>
      <c r="I23" s="44">
        <f t="shared" si="7"/>
        <v>1060323.7053246875</v>
      </c>
      <c r="J23" s="23">
        <f t="shared" si="8"/>
        <v>56.1</v>
      </c>
    </row>
    <row r="24" spans="1:11" ht="15.75" customHeight="1" x14ac:dyDescent="0.2">
      <c r="A24" s="489" t="s">
        <v>351</v>
      </c>
      <c r="B24" s="44">
        <f>'Fremtind Livsforsikring'!B24+'Storebrand Danica Pensjon'!B24+'DNB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 Fors'!B24+'Storebrand Livsforsikring'!B24+'Telenor Forsikring'!B24+'Tryg Forsikring'!B24+'WaterCircles F'!B24+'Euro Accident'!B24+'Ly Forsikring'!B24+'Youplus Livsforsikring'!B24</f>
        <v>15541.026089999999</v>
      </c>
      <c r="C24" s="44">
        <f>'Fremtind Livsforsikring'!C24+'Storebrand Danica Pensjon'!C24+'DNB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 Fors'!C24+'Storebrand Livsforsikring'!C24+'Telenor Forsikring'!C24+'Tryg Forsikring'!C24+'WaterCircles F'!C24+'Euro Accident'!C24+'Ly Forsikring'!C24+'Youplus Livsforsikring'!C24</f>
        <v>18046.64632108665</v>
      </c>
      <c r="D24" s="27">
        <f t="shared" ref="D24:D25" si="10">IF($A$1=4,IF(B24=0, "    ---- ", IF(ABS(ROUND(100/B24*C24-100,1))&lt;999,ROUND(100/B24*C24-100,1),IF(ROUND(100/B24*C24-100,1)&gt;999,999,-999))),"")</f>
        <v>16.100000000000001</v>
      </c>
      <c r="E24" s="44">
        <f>'Fremtind Livsforsikring'!F24+'Storebrand Danica Pensjon'!F24+'DNB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 Fors'!F24+'Storebrand Livsforsikring'!F24+'Telenor Forsikring'!F24+'Tryg Forsikring'!F24+'WaterCircles F'!F24+'Euro Accident'!F24+'Ly Forsikring'!F24+'Youplus Livsforsikring'!F24</f>
        <v>1032.70083</v>
      </c>
      <c r="F24" s="44">
        <f>'Fremtind Livsforsikring'!G24+'Storebrand Danica Pensjon'!G24+'DNB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 Fors'!G24+'Storebrand Livsforsikring'!G24+'Telenor Forsikring'!G24+'Tryg Forsikring'!G24+'WaterCircles F'!G24+'Euro Accident'!G24+'Ly Forsikring'!G24+'Youplus Livsforsikring'!G24</f>
        <v>3103.7183199999999</v>
      </c>
      <c r="G24" s="150">
        <f t="shared" ref="G24:G25" si="11">IF($A$1=4,IF(E24=0, "    ---- ", IF(ABS(ROUND(100/E24*F24-100,1))&lt;999,ROUND(100/E24*F24-100,1),IF(ROUND(100/E24*F24-100,1)&gt;999,999,-999))),"")</f>
        <v>200.5</v>
      </c>
      <c r="H24" s="215">
        <f t="shared" si="9"/>
        <v>16573.726920000001</v>
      </c>
      <c r="I24" s="44">
        <f t="shared" si="7"/>
        <v>21150.364641086649</v>
      </c>
      <c r="J24" s="11">
        <f t="shared" si="8"/>
        <v>27.6</v>
      </c>
    </row>
    <row r="25" spans="1:11" ht="15.75" customHeight="1" x14ac:dyDescent="0.2">
      <c r="A25" s="489" t="s">
        <v>352</v>
      </c>
      <c r="B25" s="44">
        <f>'Fremtind Livsforsikring'!B25+'Storebrand Danica Pensjon'!B25+'DNB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 Fors'!B25+'Storebrand Livsforsikring'!B25+'Telenor Forsikring'!B25+'Tryg Forsikring'!B25+'WaterCircles F'!B25+'Euro Accident'!B25+'Ly Forsikring'!B25+'Youplus Livsforsikring'!B25</f>
        <v>21174</v>
      </c>
      <c r="C25" s="44">
        <f>'Fremtind Livsforsikring'!C25+'Storebrand Danica Pensjon'!C25+'DNB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 Fors'!C25+'Storebrand Livsforsikring'!C25+'Telenor Forsikring'!C25+'Tryg Forsikring'!C25+'WaterCircles F'!C25+'Euro Accident'!C25+'Ly Forsikring'!C25+'Youplus Livsforsikring'!C25</f>
        <v>7685</v>
      </c>
      <c r="D25" s="27">
        <f t="shared" si="10"/>
        <v>-63.7</v>
      </c>
      <c r="E25" s="44">
        <f>'Fremtind Livsforsikring'!F25+'Storebrand Danica Pensjon'!F25+'DNB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 Fors'!F25+'Storebrand Livsforsikring'!F25+'Telenor Forsikring'!F25+'Tryg Forsikring'!F25+'WaterCircles F'!F25+'Euro Accident'!F25+'Ly Forsikring'!F25+'Youplus Livsforsikring'!F25</f>
        <v>13143.76115</v>
      </c>
      <c r="F25" s="44">
        <f>'Fremtind Livsforsikring'!G25+'Storebrand Danica Pensjon'!G25+'DNB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 Fors'!G25+'Storebrand Livsforsikring'!G25+'Telenor Forsikring'!G25+'Tryg Forsikring'!G25+'WaterCircles F'!G25+'Euro Accident'!G25+'Ly Forsikring'!G25+'Youplus Livsforsikring'!G25</f>
        <v>12908.66833</v>
      </c>
      <c r="G25" s="150">
        <f t="shared" si="11"/>
        <v>-1.8</v>
      </c>
      <c r="H25" s="215">
        <f t="shared" si="9"/>
        <v>34317.761149999998</v>
      </c>
      <c r="I25" s="44">
        <f t="shared" si="7"/>
        <v>20593.66833</v>
      </c>
      <c r="J25" s="27">
        <f t="shared" si="8"/>
        <v>-40</v>
      </c>
    </row>
    <row r="26" spans="1:11" ht="15.75" customHeight="1" x14ac:dyDescent="0.2">
      <c r="A26" s="489" t="s">
        <v>353</v>
      </c>
      <c r="B26" s="44"/>
      <c r="C26" s="44"/>
      <c r="D26" s="27"/>
      <c r="E26" s="44">
        <f>'Fremtind Livsforsikring'!F26+'Storebrand Danica Pensjon'!F26+'DNB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 Fors'!F26+'Storebrand Livsforsikring'!F26+'Telenor Forsikring'!F26+'Tryg Forsikring'!F26+'WaterCircles F'!F26+'Euro Accident'!F26+'Ly Forsikring'!F26+'Youplus Livsforsikring'!F26</f>
        <v>616835.88057000004</v>
      </c>
      <c r="F26" s="44">
        <f>'Fremtind Livsforsikring'!G26+'Storebrand Danica Pensjon'!G26+'DNB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 Fors'!G26+'Storebrand Livsforsikring'!G26+'Telenor Forsikring'!G26+'Tryg Forsikring'!G26+'WaterCircles F'!G26+'Euro Accident'!G26+'Ly Forsikring'!G26+'Youplus Livsforsikring'!G26</f>
        <v>599299.78411000001</v>
      </c>
      <c r="G26" s="150">
        <f t="shared" ref="G26" si="12">IF($A$1=4,IF(E26=0, "    ---- ", IF(ABS(ROUND(100/E26*F26-100,1))&lt;999,ROUND(100/E26*F26-100,1),IF(ROUND(100/E26*F26-100,1)&gt;999,999,-999))),"")</f>
        <v>-2.8</v>
      </c>
      <c r="H26" s="215">
        <f t="shared" ref="H26" si="13">SUM(B26,E26)</f>
        <v>616835.88057000004</v>
      </c>
      <c r="I26" s="44">
        <f t="shared" ref="I26" si="14">SUM(C26,F26)</f>
        <v>599299.78411000001</v>
      </c>
      <c r="J26" s="27">
        <f t="shared" ref="J26" si="15">IF(H26=0, "    ---- ", IF(ABS(ROUND(100/H26*I26-100,1))&lt;999,ROUND(100/H26*I26-100,1),IF(ROUND(100/H26*I26-100,1)&gt;999,999,-999)))</f>
        <v>-2.8</v>
      </c>
    </row>
    <row r="27" spans="1:11" ht="15.75" customHeight="1" x14ac:dyDescent="0.2">
      <c r="A27" s="487" t="s">
        <v>11</v>
      </c>
      <c r="B27" s="44"/>
      <c r="C27" s="44"/>
      <c r="D27" s="27"/>
      <c r="E27" s="44"/>
      <c r="F27" s="44"/>
      <c r="G27" s="150"/>
      <c r="H27" s="215"/>
      <c r="I27" s="44"/>
      <c r="J27" s="27"/>
    </row>
    <row r="28" spans="1:11" ht="15.75" customHeight="1" x14ac:dyDescent="0.2">
      <c r="A28" s="49" t="s">
        <v>268</v>
      </c>
      <c r="B28" s="44">
        <f>'Fremtind Livsforsikring'!B28+'Storebrand Danica Pensjon'!B28+'DNB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 Fors'!B28+'Storebrand Livsforsikring'!B28+'Telenor Forsikring'!B28+'Tryg Forsikring'!B28+'WaterCircles F'!B28+'Euro Accident'!B28+'Ly Forsikring'!B28+'Youplus Livsforsikring'!B28</f>
        <v>1882595.2475319011</v>
      </c>
      <c r="C28" s="44">
        <f>'Fremtind Livsforsikring'!C28+'Storebrand Danica Pensjon'!C28+'DNB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 Fors'!C28+'Storebrand Livsforsikring'!C28+'Telenor Forsikring'!C28+'Tryg Forsikring'!C28+'WaterCircles F'!C28+'Euro Accident'!C28+'Ly Forsikring'!C28+'Youplus Livsforsikring'!C28</f>
        <v>2099832.6303080022</v>
      </c>
      <c r="D28" s="23">
        <f t="shared" si="5"/>
        <v>11.5</v>
      </c>
      <c r="E28" s="169"/>
      <c r="F28" s="169"/>
      <c r="G28" s="150"/>
      <c r="H28" s="215">
        <f t="shared" si="9"/>
        <v>1882595.2475319011</v>
      </c>
      <c r="I28" s="44">
        <f t="shared" si="7"/>
        <v>2099832.6303080022</v>
      </c>
      <c r="J28" s="23">
        <f t="shared" si="8"/>
        <v>11.5</v>
      </c>
      <c r="K28" s="3"/>
    </row>
    <row r="29" spans="1:11" s="398" customFormat="1" ht="15.75" customHeight="1" x14ac:dyDescent="0.2">
      <c r="A29" s="39" t="s">
        <v>354</v>
      </c>
      <c r="B29" s="217">
        <f>'Fremtind Livsforsikring'!B29+'Storebrand Danica Pensjon'!B29+'DNB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 Fors'!B29+'Storebrand Livsforsikring'!B29+'Telenor Forsikring'!B29+'Tryg Forsikring'!B29+'WaterCircles F'!B29+'Euro Accident'!B29+'Ly Forsikring'!B29+'Youplus Livsforsikring'!B29</f>
        <v>44571492.069532573</v>
      </c>
      <c r="C29" s="217">
        <f>'Fremtind Livsforsikring'!C29+'Storebrand Danica Pensjon'!C29+'DNB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 Fors'!C29+'Storebrand Livsforsikring'!C29+'Telenor Forsikring'!C29+'Tryg Forsikring'!C29+'WaterCircles F'!C29+'Euro Accident'!C29+'Ly Forsikring'!C29+'Youplus Livsforsikring'!C29</f>
        <v>45807160.3183515</v>
      </c>
      <c r="D29" s="24">
        <f t="shared" si="5"/>
        <v>2.8</v>
      </c>
      <c r="E29" s="291">
        <f>'Fremtind Livsforsikring'!F29+'Storebrand Danica Pensjon'!F29+'DNB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 Fors'!F29+'Storebrand Livsforsikring'!F29+'Telenor Forsikring'!F29+'Tryg Forsikring'!F29+'WaterCircles F'!F29+'Euro Accident'!F29+'Ly Forsikring'!F29+'Youplus Livsforsikring'!F29</f>
        <v>23101830.050409999</v>
      </c>
      <c r="F29" s="291">
        <f>'Fremtind Livsforsikring'!G29+'Storebrand Danica Pensjon'!G29+'DNB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 Fors'!G29+'Storebrand Livsforsikring'!G29+'Telenor Forsikring'!G29+'Tryg Forsikring'!G29+'WaterCircles F'!G29+'Euro Accident'!G29+'Ly Forsikring'!G29+'Youplus Livsforsikring'!G29</f>
        <v>24887860.27138</v>
      </c>
      <c r="G29" s="155">
        <f t="shared" si="6"/>
        <v>7.7</v>
      </c>
      <c r="H29" s="291">
        <f t="shared" si="9"/>
        <v>67673322.119942576</v>
      </c>
      <c r="I29" s="217">
        <f t="shared" si="7"/>
        <v>70695020.5897315</v>
      </c>
      <c r="J29" s="24">
        <f t="shared" si="8"/>
        <v>4.5</v>
      </c>
    </row>
    <row r="30" spans="1:11" s="3" customFormat="1" ht="15.75" customHeight="1" x14ac:dyDescent="0.2">
      <c r="A30" s="489" t="s">
        <v>350</v>
      </c>
      <c r="B30" s="44">
        <f>'Fremtind Livsforsikring'!B30+'Storebrand Danica Pensjon'!B30+'DNB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 Fors'!B30+'Storebrand Livsforsikring'!B30+'Telenor Forsikring'!B30+'Tryg Forsikring'!B30+'WaterCircles F'!B30+'Euro Accident'!B30+'Ly Forsikring'!B30+'Youplus Livsforsikring'!B30</f>
        <v>9787256.2883397229</v>
      </c>
      <c r="C30" s="44">
        <f>'Fremtind Livsforsikring'!C30+'Storebrand Danica Pensjon'!C30+'DNB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 Fors'!C30+'Storebrand Livsforsikring'!C30+'Telenor Forsikring'!C30+'Tryg Forsikring'!C30+'WaterCircles F'!C30+'Euro Accident'!C30+'Ly Forsikring'!C30+'Youplus Livsforsikring'!C30</f>
        <v>19548527.638443299</v>
      </c>
      <c r="D30" s="27">
        <f t="shared" ref="D30:D32" si="16">IF($A$1=4,IF(B30=0, "    ---- ", IF(ABS(ROUND(100/B30*C30-100,1))&lt;999,ROUND(100/B30*C30-100,1),IF(ROUND(100/B30*C30-100,1)&gt;999,999,-999))),"")</f>
        <v>99.7</v>
      </c>
      <c r="E30" s="44">
        <f>'Fremtind Livsforsikring'!F30+'Storebrand Danica Pensjon'!F30+'DNB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 Fors'!F30+'Storebrand Livsforsikring'!F30+'Telenor Forsikring'!F30+'Tryg Forsikring'!F30+'WaterCircles F'!F30+'Euro Accident'!F30+'Ly Forsikring'!F30+'Youplus Livsforsikring'!F30</f>
        <v>3418001.2973781964</v>
      </c>
      <c r="F30" s="44">
        <f>'Fremtind Livsforsikring'!G30+'Storebrand Danica Pensjon'!G30+'DNB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 Fors'!G30+'Storebrand Livsforsikring'!G30+'Telenor Forsikring'!G30+'Tryg Forsikring'!G30+'WaterCircles F'!G30+'Euro Accident'!G30+'Ly Forsikring'!G30+'Youplus Livsforsikring'!G30</f>
        <v>3433515.6433120132</v>
      </c>
      <c r="G30" s="150">
        <f t="shared" ref="G30:G32" si="17">IF($A$1=4,IF(E30=0, "    ---- ", IF(ABS(ROUND(100/E30*F30-100,1))&lt;999,ROUND(100/E30*F30-100,1),IF(ROUND(100/E30*F30-100,1)&gt;999,999,-999))),"")</f>
        <v>0.5</v>
      </c>
      <c r="H30" s="215">
        <f t="shared" si="9"/>
        <v>13205257.58571792</v>
      </c>
      <c r="I30" s="44">
        <f t="shared" si="7"/>
        <v>22982043.281755313</v>
      </c>
      <c r="J30" s="23">
        <f t="shared" si="8"/>
        <v>74</v>
      </c>
    </row>
    <row r="31" spans="1:11" s="3" customFormat="1" ht="15.75" customHeight="1" x14ac:dyDescent="0.2">
      <c r="A31" s="489" t="s">
        <v>351</v>
      </c>
      <c r="B31" s="44">
        <f>'Fremtind Livsforsikring'!B31+'Storebrand Danica Pensjon'!B31+'DNB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 Fors'!B31+'Storebrand Livsforsikring'!B31+'Telenor Forsikring'!B31+'Tryg Forsikring'!B31+'WaterCircles F'!B31+'Euro Accident'!B31+'Ly Forsikring'!B31+'Youplus Livsforsikring'!B31</f>
        <v>25107417.956806459</v>
      </c>
      <c r="C31" s="44">
        <f>'Fremtind Livsforsikring'!C31+'Storebrand Danica Pensjon'!C31+'DNB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 Fors'!C31+'Storebrand Livsforsikring'!C31+'Telenor Forsikring'!C31+'Tryg Forsikring'!C31+'WaterCircles F'!C31+'Euro Accident'!C31+'Ly Forsikring'!C31+'Youplus Livsforsikring'!C31</f>
        <v>23810314.04665361</v>
      </c>
      <c r="D31" s="27">
        <f t="shared" si="16"/>
        <v>-5.2</v>
      </c>
      <c r="E31" s="44">
        <f>'Fremtind Livsforsikring'!F31+'Storebrand Danica Pensjon'!F31+'DNB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 Fors'!F31+'Storebrand Livsforsikring'!F31+'Telenor Forsikring'!F31+'Tryg Forsikring'!F31+'WaterCircles F'!F31+'Euro Accident'!F31+'Ly Forsikring'!F31+'Youplus Livsforsikring'!F31</f>
        <v>7542805.5122400075</v>
      </c>
      <c r="F31" s="44">
        <f>'Fremtind Livsforsikring'!G31+'Storebrand Danica Pensjon'!G31+'DNB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 Fors'!G31+'Storebrand Livsforsikring'!G31+'Telenor Forsikring'!G31+'Tryg Forsikring'!G31+'WaterCircles F'!G31+'Euro Accident'!G31+'Ly Forsikring'!G31+'Youplus Livsforsikring'!G31</f>
        <v>7201480.0032798573</v>
      </c>
      <c r="G31" s="150">
        <f t="shared" si="17"/>
        <v>-4.5</v>
      </c>
      <c r="H31" s="215">
        <f t="shared" si="9"/>
        <v>32650223.469046466</v>
      </c>
      <c r="I31" s="44">
        <f t="shared" si="7"/>
        <v>31011794.049933467</v>
      </c>
      <c r="J31" s="23">
        <f t="shared" si="8"/>
        <v>-5</v>
      </c>
    </row>
    <row r="32" spans="1:11" ht="15.75" customHeight="1" x14ac:dyDescent="0.2">
      <c r="A32" s="489" t="s">
        <v>352</v>
      </c>
      <c r="B32" s="44">
        <f>'Fremtind Livsforsikring'!B32+'Storebrand Danica Pensjon'!B32+'DNB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 Fors'!B32+'Storebrand Livsforsikring'!B32+'Telenor Forsikring'!B32+'Tryg Forsikring'!B32+'WaterCircles F'!B32+'Euro Accident'!B32+'Ly Forsikring'!B32+'Youplus Livsforsikring'!B32</f>
        <v>2453253.1363964179</v>
      </c>
      <c r="C32" s="44">
        <f>'Fremtind Livsforsikring'!C32+'Storebrand Danica Pensjon'!C32+'DNB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 Fors'!C32+'Storebrand Livsforsikring'!C32+'Telenor Forsikring'!C32+'Tryg Forsikring'!C32+'WaterCircles F'!C32+'Euro Accident'!C32+'Ly Forsikring'!C32+'Youplus Livsforsikring'!C32</f>
        <v>2345242.3682545461</v>
      </c>
      <c r="D32" s="27">
        <f t="shared" si="16"/>
        <v>-4.4000000000000004</v>
      </c>
      <c r="E32" s="44">
        <f>'Fremtind Livsforsikring'!F32+'Storebrand Danica Pensjon'!F32+'DNB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 Fors'!F32+'Storebrand Livsforsikring'!F32+'Telenor Forsikring'!F32+'Tryg Forsikring'!F32+'WaterCircles F'!F32+'Euro Accident'!F32+'Ly Forsikring'!F32+'Youplus Livsforsikring'!F32</f>
        <v>5183391.4697589707</v>
      </c>
      <c r="F32" s="44">
        <f>'Fremtind Livsforsikring'!G32+'Storebrand Danica Pensjon'!G32+'DNB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 Fors'!G32+'Storebrand Livsforsikring'!G32+'Telenor Forsikring'!G32+'Tryg Forsikring'!G32+'WaterCircles F'!G32+'Euro Accident'!G32+'Ly Forsikring'!G32+'Youplus Livsforsikring'!G32</f>
        <v>5744903.5718102604</v>
      </c>
      <c r="G32" s="150">
        <f t="shared" si="17"/>
        <v>10.8</v>
      </c>
      <c r="H32" s="215">
        <f t="shared" si="9"/>
        <v>7636644.6061553881</v>
      </c>
      <c r="I32" s="44">
        <f t="shared" si="7"/>
        <v>8090145.9400648065</v>
      </c>
      <c r="J32" s="24">
        <f t="shared" si="8"/>
        <v>5.9</v>
      </c>
    </row>
    <row r="33" spans="1:10" ht="15.75" customHeight="1" x14ac:dyDescent="0.2">
      <c r="A33" s="489" t="s">
        <v>353</v>
      </c>
      <c r="B33" s="44">
        <f>'Fremtind Livsforsikring'!B33+'Storebrand Danica Pensjon'!B33+'DNB Livsforsikring'!B33+'Eika Forsikring AS'!B33+'Frende Livsforsikring'!B33+'Frende Skadeforsikring'!B33+'Gjensidige Forsikring'!B33+'Gjensidige Pensjon'!B33+'Handelsbanken Liv'!B33+'If Skadeforsikring NUF'!B33+KLP!B33+'KLP Skadeforsikring AS'!B33+'Landkreditt Forsikring'!B33+'Nordea Liv '!B33+'Oslo Pensjonsforsikring'!B33+'Protector Forsikring'!B33+'SHB Liv'!B33+'Sparebank 1 Fors'!B33+'Storebrand Livsforsikring'!B33+'Telenor Forsikring'!B33+'Tryg Forsikring'!B33+'WaterCircles F'!B33+'Euro Accident'!B33+'Ly Forsikring'!B33+'Youplus Livsforsikring'!B33</f>
        <v>0</v>
      </c>
      <c r="C33" s="44">
        <f>'Fremtind Livsforsikring'!C33+'Storebrand Danica Pensjon'!C33+'DNB Livsforsikring'!C33+'Eika Forsikring AS'!C33+'Frende Livsforsikring'!C33+'Frende Skadeforsikring'!C33+'Gjensidige Forsikring'!C33+'Gjensidige Pensjon'!C33+'Handelsbanken Liv'!C33+'If Skadeforsikring NUF'!C33+KLP!C33+'KLP Skadeforsikring AS'!C33+'Landkreditt Forsikring'!C33+'Nordea Liv '!C33+'Oslo Pensjonsforsikring'!C33+'Protector Forsikring'!C33+'SHB Liv'!C33+'Sparebank 1 Fors'!C33+'Storebrand Livsforsikring'!C33+'Telenor Forsikring'!C33+'Tryg Forsikring'!C33+'WaterCircles F'!C33+'Euro Accident'!C33+'Ly Forsikring'!C33+'Youplus Livsforsikring'!C33</f>
        <v>0</v>
      </c>
      <c r="D33" s="27" t="str">
        <f t="shared" ref="D33" si="18">IF($A$1=4,IF(B33=0, "    ---- ", IF(ABS(ROUND(100/B33*C33-100,1))&lt;999,ROUND(100/B33*C33-100,1),IF(ROUND(100/B33*C33-100,1)&gt;999,999,-999))),"")</f>
        <v xml:space="preserve">    ---- </v>
      </c>
      <c r="E33" s="44">
        <f>'Fremtind Livsforsikring'!F33+'Storebrand Danica Pensjon'!F33+'DNB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 Fors'!F33+'Storebrand Livsforsikring'!F33+'Telenor Forsikring'!F33+'Tryg Forsikring'!F33+'WaterCircles F'!F33+'Euro Accident'!F33+'Ly Forsikring'!F33+'Youplus Livsforsikring'!F33</f>
        <v>6957611.7710328214</v>
      </c>
      <c r="F33" s="44">
        <f>'Fremtind Livsforsikring'!G33+'Storebrand Danica Pensjon'!G33+'DNB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 Fors'!G33+'Storebrand Livsforsikring'!G33+'Telenor Forsikring'!G33+'Tryg Forsikring'!G33+'WaterCircles F'!G33+'Euro Accident'!G33+'Ly Forsikring'!G33+'Youplus Livsforsikring'!G33</f>
        <v>8507961.0529778693</v>
      </c>
      <c r="G33" s="150">
        <f t="shared" ref="G33" si="19">IF($A$1=4,IF(E33=0, "    ---- ", IF(ABS(ROUND(100/E33*F33-100,1))&lt;999,ROUND(100/E33*F33-100,1),IF(ROUND(100/E33*F33-100,1)&gt;999,999,-999))),"")</f>
        <v>22.3</v>
      </c>
      <c r="H33" s="215">
        <f t="shared" ref="H33" si="20">SUM(B33,E33)</f>
        <v>6957611.7710328214</v>
      </c>
      <c r="I33" s="44">
        <f t="shared" ref="I33" si="21">SUM(C33,F33)</f>
        <v>8507961.0529778693</v>
      </c>
      <c r="J33" s="24">
        <f t="shared" ref="J33" si="22">IF(H33=0, "    ---- ", IF(ABS(ROUND(100/H33*I33-100,1))&lt;999,ROUND(100/H33*I33-100,1),IF(ROUND(100/H33*I33-100,1)&gt;999,999,-999)))</f>
        <v>22.3</v>
      </c>
    </row>
    <row r="34" spans="1:10" s="43" customFormat="1" ht="15.75" customHeight="1" x14ac:dyDescent="0.2">
      <c r="A34" s="39" t="s">
        <v>348</v>
      </c>
      <c r="B34" s="217">
        <f>'Fremtind Livsforsikring'!B34+'Storebrand Danica Pensjon'!B34+'DNB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 Fors'!B34+'Storebrand Livsforsikring'!B34+'Telenor Forsikring'!B34+'Tryg Forsikring'!B34+'WaterCircles F'!B34+'Euro Accident'!B34+'Ly Forsikring'!B34+'Youplus Livsforsikring'!B34</f>
        <v>23142.169870000002</v>
      </c>
      <c r="C34" s="217">
        <f>'Fremtind Livsforsikring'!C34+'Storebrand Danica Pensjon'!C34+'DNB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 Fors'!C34+'Storebrand Livsforsikring'!C34+'Telenor Forsikring'!C34+'Tryg Forsikring'!C34+'WaterCircles F'!C34+'Euro Accident'!C34+'Ly Forsikring'!C34+'Youplus Livsforsikring'!C34</f>
        <v>19537.07242</v>
      </c>
      <c r="D34" s="24">
        <f t="shared" si="5"/>
        <v>-15.6</v>
      </c>
      <c r="E34" s="291">
        <f>'Fremtind Livsforsikring'!F34+'Storebrand Danica Pensjon'!F34+'DNB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 Fors'!F34+'Storebrand Livsforsikring'!F34+'Telenor Forsikring'!F34+'Tryg Forsikring'!F34+'WaterCircles F'!F34+'Euro Accident'!F34+'Ly Forsikring'!F34+'Youplus Livsforsikring'!F34</f>
        <v>68840.069099999993</v>
      </c>
      <c r="F34" s="291">
        <f>'Fremtind Livsforsikring'!G34+'Storebrand Danica Pensjon'!G34+'DNB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 Fors'!G34+'Storebrand Livsforsikring'!G34+'Telenor Forsikring'!G34+'Tryg Forsikring'!G34+'WaterCircles F'!G34+'Euro Accident'!G34+'Ly Forsikring'!G34+'Youplus Livsforsikring'!G34</f>
        <v>-1238.1949400000012</v>
      </c>
      <c r="G34" s="155">
        <f t="shared" si="6"/>
        <v>-101.8</v>
      </c>
      <c r="H34" s="291">
        <f t="shared" si="9"/>
        <v>91982.238969999991</v>
      </c>
      <c r="I34" s="217">
        <f t="shared" si="7"/>
        <v>18298.877479999999</v>
      </c>
      <c r="J34" s="24">
        <f t="shared" si="8"/>
        <v>-80.099999999999994</v>
      </c>
    </row>
    <row r="35" spans="1:10" s="43" customFormat="1" ht="15.75" customHeight="1" x14ac:dyDescent="0.2">
      <c r="A35" s="39" t="s">
        <v>349</v>
      </c>
      <c r="B35" s="217">
        <f>'Fremtind Livsforsikring'!B35+'Storebrand Danica Pensjon'!B35+'DNB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 Fors'!B35+'Storebrand Livsforsikring'!B35+'Telenor Forsikring'!B35+'Tryg Forsikring'!B35+'WaterCircles F'!B35+'Euro Accident'!B35+'Ly Forsikring'!B35+'Youplus Livsforsikring'!B35</f>
        <v>-20705.167290000001</v>
      </c>
      <c r="C35" s="217">
        <f>'Fremtind Livsforsikring'!C35+'Storebrand Danica Pensjon'!C35+'DNB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 Fors'!C35+'Storebrand Livsforsikring'!C35+'Telenor Forsikring'!C35+'Tryg Forsikring'!C35+'WaterCircles F'!C35+'Euro Accident'!C35+'Ly Forsikring'!C35+'Youplus Livsforsikring'!C35</f>
        <v>-77271.313219999996</v>
      </c>
      <c r="D35" s="24">
        <f t="shared" si="5"/>
        <v>273.2</v>
      </c>
      <c r="E35" s="291">
        <f>'Fremtind Livsforsikring'!F35+'Storebrand Danica Pensjon'!F35+'DNB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 Fors'!F35+'Storebrand Livsforsikring'!F35+'Telenor Forsikring'!F35+'Tryg Forsikring'!F35+'WaterCircles F'!F35+'Euro Accident'!F35+'Ly Forsikring'!F35+'Youplus Livsforsikring'!F35</f>
        <v>75969.709650000004</v>
      </c>
      <c r="F35" s="291">
        <f>'Fremtind Livsforsikring'!G35+'Storebrand Danica Pensjon'!G35+'DNB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 Fors'!G35+'Storebrand Livsforsikring'!G35+'Telenor Forsikring'!G35+'Tryg Forsikring'!G35+'WaterCircles F'!G35+'Euro Accident'!G35+'Ly Forsikring'!G35+'Youplus Livsforsikring'!G35</f>
        <v>102974.71231999999</v>
      </c>
      <c r="G35" s="155">
        <f t="shared" si="6"/>
        <v>35.5</v>
      </c>
      <c r="H35" s="291">
        <f t="shared" si="9"/>
        <v>55264.542360000007</v>
      </c>
      <c r="I35" s="217">
        <f t="shared" si="7"/>
        <v>25703.399099999995</v>
      </c>
      <c r="J35" s="24">
        <f t="shared" si="8"/>
        <v>-53.5</v>
      </c>
    </row>
    <row r="36" spans="1:10" s="43" customFormat="1" ht="15.75" customHeight="1" x14ac:dyDescent="0.2">
      <c r="A36" s="12" t="s">
        <v>276</v>
      </c>
      <c r="B36" s="217">
        <f>'Fremtind Livsforsikring'!B36+'Storebrand Danica Pensjon'!B36+'DNB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 Fors'!B36+'Storebrand Livsforsikring'!B36+'Telenor Forsikring'!B36+'Tryg Forsikring'!B36+'WaterCircles F'!B36+'Euro Accident'!B36+'Ly Forsikring'!B36+'Youplus Livsforsikring'!B36</f>
        <v>2629.8980000000001</v>
      </c>
      <c r="C36" s="217">
        <f>'Fremtind Livsforsikring'!C36+'Storebrand Danica Pensjon'!C36+'DNB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 Fors'!C36+'Storebrand Livsforsikring'!C36+'Telenor Forsikring'!C36+'Tryg Forsikring'!C36+'WaterCircles F'!C36+'Euro Accident'!C36+'Ly Forsikring'!C36+'Youplus Livsforsikring'!C36</f>
        <v>1599.7439999999999</v>
      </c>
      <c r="D36" s="11">
        <f t="shared" si="5"/>
        <v>-39.200000000000003</v>
      </c>
      <c r="E36" s="302"/>
      <c r="F36" s="302"/>
      <c r="G36" s="155"/>
      <c r="H36" s="291">
        <f t="shared" si="9"/>
        <v>2629.8980000000001</v>
      </c>
      <c r="I36" s="217">
        <f t="shared" si="7"/>
        <v>1599.7439999999999</v>
      </c>
      <c r="J36" s="11">
        <f t="shared" si="8"/>
        <v>-39.200000000000003</v>
      </c>
    </row>
    <row r="37" spans="1:10" s="43" customFormat="1" ht="15.75" customHeight="1" x14ac:dyDescent="0.2">
      <c r="A37" s="490" t="s">
        <v>355</v>
      </c>
      <c r="B37" s="217">
        <f>'Fremtind Livsforsikring'!B37+'Storebrand Danica Pensjon'!B37+'DNB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 Fors'!B37+'Storebrand Livsforsikring'!B37+'Telenor Forsikring'!B37+'Tryg Forsikring'!B37+'WaterCircles F'!B37+'Euro Accident'!B37+'Ly Forsikring'!B37+'Youplus Livsforsikring'!B37</f>
        <v>2991121.9397</v>
      </c>
      <c r="C37" s="217">
        <f>'Fremtind Livsforsikring'!C37+'Storebrand Danica Pensjon'!C37+'DNB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 Fors'!C37+'Storebrand Livsforsikring'!C37+'Telenor Forsikring'!C37+'Tryg Forsikring'!C37+'WaterCircles F'!C37+'Euro Accident'!C37+'Ly Forsikring'!C37+'Youplus Livsforsikring'!C37</f>
        <v>2745379.54758</v>
      </c>
      <c r="D37" s="24">
        <f t="shared" si="5"/>
        <v>-8.1999999999999993</v>
      </c>
      <c r="E37" s="307"/>
      <c r="F37" s="307"/>
      <c r="G37" s="155"/>
      <c r="H37" s="291">
        <f t="shared" si="9"/>
        <v>2991121.9397</v>
      </c>
      <c r="I37" s="217">
        <f t="shared" si="7"/>
        <v>2745379.54758</v>
      </c>
      <c r="J37" s="24">
        <f t="shared" si="8"/>
        <v>-8.1999999999999993</v>
      </c>
    </row>
    <row r="38" spans="1:10" s="43" customFormat="1" ht="15.75" customHeight="1" x14ac:dyDescent="0.2">
      <c r="A38" s="490" t="s">
        <v>356</v>
      </c>
      <c r="B38" s="217"/>
      <c r="C38" s="217"/>
      <c r="D38" s="24"/>
      <c r="E38" s="302"/>
      <c r="F38" s="302"/>
      <c r="G38" s="155"/>
      <c r="H38" s="291"/>
      <c r="I38" s="217"/>
      <c r="J38" s="24"/>
    </row>
    <row r="39" spans="1:10" s="43" customFormat="1" ht="15.75" customHeight="1" x14ac:dyDescent="0.2">
      <c r="A39" s="491" t="s">
        <v>357</v>
      </c>
      <c r="B39" s="262">
        <f>'Fremtind Livsforsikring'!B39+'Storebrand Danica Pensjon'!B39+'DNB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 Fors'!B39+'Storebrand Livsforsikring'!B39+'Telenor Forsikring'!B39+'Tryg Forsikring'!B39+'WaterCircles F'!B39+'Euro Accident'!B39+'Ly Forsikring'!B39+'Youplus Livsforsikring'!B39</f>
        <v>12</v>
      </c>
      <c r="C39" s="262">
        <f>'Fremtind Livsforsikring'!C39+'Storebrand Danica Pensjon'!C39+'DNB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 Fors'!C39+'Storebrand Livsforsikring'!C39+'Telenor Forsikring'!C39+'Tryg Forsikring'!C39+'WaterCircles F'!C39+'Euro Accident'!C39+'Ly Forsikring'!C39+'Youplus Livsforsikring'!C39</f>
        <v>10</v>
      </c>
      <c r="D39" s="36">
        <f t="shared" si="5"/>
        <v>-16.7</v>
      </c>
      <c r="E39" s="308"/>
      <c r="F39" s="308"/>
      <c r="G39" s="153"/>
      <c r="H39" s="297">
        <f t="shared" si="9"/>
        <v>12</v>
      </c>
      <c r="I39" s="262">
        <f t="shared" si="7"/>
        <v>10</v>
      </c>
      <c r="J39" s="36">
        <f t="shared" si="8"/>
        <v>-16.7</v>
      </c>
    </row>
    <row r="40" spans="1:10" ht="15.75" customHeight="1" x14ac:dyDescent="0.2">
      <c r="A40" s="47"/>
    </row>
    <row r="41" spans="1:10" ht="15.75" customHeight="1" x14ac:dyDescent="0.2">
      <c r="A41" s="139"/>
    </row>
    <row r="42" spans="1:10" ht="15.75" customHeight="1" x14ac:dyDescent="0.25">
      <c r="A42" s="131" t="s">
        <v>265</v>
      </c>
      <c r="B42" s="717"/>
      <c r="C42" s="717"/>
      <c r="D42" s="717"/>
      <c r="E42" s="721"/>
      <c r="F42" s="721"/>
      <c r="G42" s="721"/>
      <c r="H42" s="721"/>
      <c r="I42" s="721"/>
      <c r="J42" s="721"/>
    </row>
    <row r="43" spans="1:10" ht="15.75" customHeight="1" x14ac:dyDescent="0.25">
      <c r="A43" s="147"/>
      <c r="B43" s="413"/>
      <c r="C43" s="413"/>
      <c r="D43" s="413"/>
      <c r="E43" s="281"/>
      <c r="F43" s="281"/>
      <c r="G43" s="281"/>
      <c r="H43" s="281"/>
      <c r="I43" s="281"/>
      <c r="J43" s="281"/>
    </row>
    <row r="44" spans="1:10" s="3" customFormat="1" ht="15.75" customHeight="1" x14ac:dyDescent="0.25">
      <c r="A44" s="230"/>
      <c r="B44" s="309" t="s">
        <v>0</v>
      </c>
      <c r="C44" s="310"/>
      <c r="D44" s="238"/>
      <c r="E44" s="42"/>
      <c r="F44" s="42"/>
      <c r="G44" s="40"/>
      <c r="H44" s="42"/>
      <c r="I44" s="42"/>
      <c r="J44" s="40"/>
    </row>
    <row r="45" spans="1:10" s="3" customFormat="1" ht="15.75" customHeight="1" x14ac:dyDescent="0.2">
      <c r="A45" s="124"/>
      <c r="B45" s="235" t="s">
        <v>434</v>
      </c>
      <c r="C45" s="236" t="s">
        <v>435</v>
      </c>
      <c r="D45" s="233" t="s">
        <v>3</v>
      </c>
      <c r="E45" s="42"/>
      <c r="F45" s="42"/>
      <c r="G45" s="40"/>
      <c r="H45" s="42"/>
      <c r="I45" s="42"/>
      <c r="J45" s="40"/>
    </row>
    <row r="46" spans="1:10" s="3" customFormat="1" ht="15.75" customHeight="1" x14ac:dyDescent="0.2">
      <c r="A46" s="691"/>
      <c r="B46" s="46"/>
      <c r="C46" s="237"/>
      <c r="D46" s="17" t="s">
        <v>4</v>
      </c>
      <c r="E46" s="40"/>
      <c r="F46" s="40"/>
      <c r="G46" s="40"/>
      <c r="H46" s="40"/>
      <c r="I46" s="40"/>
      <c r="J46" s="40"/>
    </row>
    <row r="47" spans="1:10" s="398" customFormat="1" ht="15.75" customHeight="1" x14ac:dyDescent="0.2">
      <c r="A47" s="14" t="s">
        <v>23</v>
      </c>
      <c r="B47" s="217">
        <f>'Fremtind Livsforsikring'!B47+'Storebrand Danica Pensjon'!B47+'DNB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 Fors'!B47+'Storebrand Livsforsikring'!B47+'Telenor Forsikring'!B47+'Tryg Forsikring'!B47+'WaterCircles F'!B47+'Euro Accident'!B47+'Ly Forsikring'!B47+'Youplus Livsforsikring'!B47</f>
        <v>4862420.9721488282</v>
      </c>
      <c r="C47" s="217">
        <f>'Fremtind Livsforsikring'!C47+'Storebrand Danica Pensjon'!C47+'DNB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 Fors'!C47+'Storebrand Livsforsikring'!C47+'Telenor Forsikring'!C47+'Tryg Forsikring'!C47+'WaterCircles F'!C47+'Euro Accident'!C47+'Ly Forsikring'!C47+'Youplus Livsforsikring'!C47</f>
        <v>5332620.9711173344</v>
      </c>
      <c r="D47" s="24">
        <f t="shared" ref="D47:D57" si="23">IF(B47=0, "    ---- ", IF(ABS(ROUND(100/B47*C47-100,1))&lt;999,ROUND(100/B47*C47-100,1),IF(ROUND(100/B47*C47-100,1)&gt;999,999,-999)))</f>
        <v>9.6999999999999993</v>
      </c>
      <c r="E47" s="399"/>
      <c r="F47" s="400"/>
      <c r="G47" s="32"/>
      <c r="H47" s="401"/>
      <c r="I47" s="401"/>
      <c r="J47" s="32"/>
    </row>
    <row r="48" spans="1:10" s="3" customFormat="1" ht="15.75" customHeight="1" x14ac:dyDescent="0.2">
      <c r="A48" s="38" t="s">
        <v>358</v>
      </c>
      <c r="B48" s="44">
        <f>'Fremtind Livsforsikring'!B48+'Storebrand Danica Pensjon'!B48+'DNB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 Fors'!B48+'Storebrand Livsforsikring'!B48+'Telenor Forsikring'!B48+'Tryg Forsikring'!B48+'WaterCircles F'!B48+'Euro Accident'!B48+'Ly Forsikring'!B48+'Youplus Livsforsikring'!B48</f>
        <v>2712008.0584888281</v>
      </c>
      <c r="C48" s="44">
        <f>'Fremtind Livsforsikring'!C48+'Storebrand Danica Pensjon'!C48+'DNB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 Fors'!C48+'Storebrand Livsforsikring'!C48+'Telenor Forsikring'!C48+'Tryg Forsikring'!C48+'WaterCircles F'!C48+'Euro Accident'!C48+'Ly Forsikring'!C48+'Youplus Livsforsikring'!C48</f>
        <v>3003594.6180373351</v>
      </c>
      <c r="D48" s="24">
        <f t="shared" si="23"/>
        <v>10.8</v>
      </c>
      <c r="E48" s="35"/>
      <c r="F48" s="5"/>
      <c r="G48" s="34"/>
      <c r="H48" s="33"/>
      <c r="I48" s="33"/>
      <c r="J48" s="32"/>
    </row>
    <row r="49" spans="1:10" s="3" customFormat="1" ht="15.75" customHeight="1" x14ac:dyDescent="0.2">
      <c r="A49" s="38" t="s">
        <v>359</v>
      </c>
      <c r="B49" s="173">
        <f>'Fremtind Livsforsikring'!B49+'Storebrand Danica Pensjon'!B49+'DNB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 Fors'!B49+'Storebrand Livsforsikring'!B49+'Telenor Forsikring'!B49+'Tryg Forsikring'!B49+'WaterCircles F'!B49+'Euro Accident'!B49+'Ly Forsikring'!B49+'Youplus Livsforsikring'!B49</f>
        <v>2150412.9136600001</v>
      </c>
      <c r="C49" s="173">
        <f>'Fremtind Livsforsikring'!C49+'Storebrand Danica Pensjon'!C49+'DNB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 Fors'!C49+'Storebrand Livsforsikring'!C49+'Telenor Forsikring'!C49+'Tryg Forsikring'!C49+'WaterCircles F'!C49+'Euro Accident'!C49+'Ly Forsikring'!C49+'Youplus Livsforsikring'!C49</f>
        <v>2329026.3530799998</v>
      </c>
      <c r="D49" s="24">
        <f t="shared" si="23"/>
        <v>8.3000000000000007</v>
      </c>
      <c r="E49" s="35"/>
      <c r="F49" s="5"/>
      <c r="G49" s="34"/>
      <c r="H49" s="37"/>
      <c r="I49" s="37"/>
      <c r="J49" s="32"/>
    </row>
    <row r="50" spans="1:10" s="3" customFormat="1" ht="15.75" customHeight="1" x14ac:dyDescent="0.2">
      <c r="A50" s="279" t="s">
        <v>6</v>
      </c>
      <c r="B50" s="307"/>
      <c r="C50" s="307"/>
      <c r="D50" s="27"/>
      <c r="E50" s="35"/>
      <c r="F50" s="5"/>
      <c r="G50" s="34"/>
      <c r="H50" s="33"/>
      <c r="I50" s="33"/>
      <c r="J50" s="32"/>
    </row>
    <row r="51" spans="1:10" s="3" customFormat="1" ht="15.75" customHeight="1" x14ac:dyDescent="0.2">
      <c r="A51" s="279" t="s">
        <v>7</v>
      </c>
      <c r="B51" s="307"/>
      <c r="C51" s="307"/>
      <c r="D51" s="27"/>
      <c r="E51" s="35"/>
      <c r="F51" s="5"/>
      <c r="G51" s="34"/>
      <c r="H51" s="33"/>
      <c r="I51" s="33"/>
      <c r="J51" s="32"/>
    </row>
    <row r="52" spans="1:10" s="3" customFormat="1" ht="15.75" customHeight="1" x14ac:dyDescent="0.2">
      <c r="A52" s="279" t="s">
        <v>8</v>
      </c>
      <c r="B52" s="307"/>
      <c r="C52" s="307"/>
      <c r="D52" s="27"/>
      <c r="E52" s="35"/>
      <c r="F52" s="5"/>
      <c r="G52" s="34"/>
      <c r="H52" s="33"/>
      <c r="I52" s="33"/>
      <c r="J52" s="32"/>
    </row>
    <row r="53" spans="1:10" s="398" customFormat="1" ht="15.75" customHeight="1" x14ac:dyDescent="0.2">
      <c r="A53" s="39" t="s">
        <v>360</v>
      </c>
      <c r="B53" s="217">
        <f>'Fremtind Livsforsikring'!B53+'Storebrand Danica Pensjon'!B53+'DNB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 Fors'!B53+'Storebrand Livsforsikring'!B53+'Telenor Forsikring'!B53+'Tryg Forsikring'!B53+'WaterCircles F'!B53+'Euro Accident'!B53+'Ly Forsikring'!B53+'Youplus Livsforsikring'!B53</f>
        <v>115166.72</v>
      </c>
      <c r="C53" s="217">
        <f>'Fremtind Livsforsikring'!C53+'Storebrand Danica Pensjon'!C53+'DNB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 Fors'!C53+'Storebrand Livsforsikring'!C53+'Telenor Forsikring'!C53+'Tryg Forsikring'!C53+'WaterCircles F'!C53+'Euro Accident'!C53+'Ly Forsikring'!C53+'Youplus Livsforsikring'!C53</f>
        <v>185020.712</v>
      </c>
      <c r="D53" s="24">
        <f t="shared" si="23"/>
        <v>60.7</v>
      </c>
      <c r="E53" s="399"/>
      <c r="F53" s="400"/>
      <c r="G53" s="32"/>
      <c r="H53" s="158"/>
      <c r="I53" s="158"/>
      <c r="J53" s="32"/>
    </row>
    <row r="54" spans="1:10" s="3" customFormat="1" ht="15.75" customHeight="1" x14ac:dyDescent="0.2">
      <c r="A54" s="38" t="s">
        <v>358</v>
      </c>
      <c r="B54" s="44">
        <f>'Fremtind Livsforsikring'!B54+'Storebrand Danica Pensjon'!B54+'DNB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 Fors'!B54+'Storebrand Livsforsikring'!B54+'Telenor Forsikring'!B54+'Tryg Forsikring'!B54+'WaterCircles F'!B54+'Euro Accident'!B54+'Ly Forsikring'!B54+'Youplus Livsforsikring'!B54</f>
        <v>114217.72</v>
      </c>
      <c r="C54" s="44">
        <f>'Fremtind Livsforsikring'!C54+'Storebrand Danica Pensjon'!C54+'DNB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 Fors'!C54+'Storebrand Livsforsikring'!C54+'Telenor Forsikring'!C54+'Tryg Forsikring'!C54+'WaterCircles F'!C54+'Euro Accident'!C54+'Ly Forsikring'!C54+'Youplus Livsforsikring'!C54</f>
        <v>184074.712</v>
      </c>
      <c r="D54" s="24">
        <f t="shared" si="23"/>
        <v>61.2</v>
      </c>
      <c r="E54" s="35"/>
      <c r="F54" s="5"/>
      <c r="G54" s="34"/>
      <c r="H54" s="33"/>
      <c r="I54" s="33"/>
      <c r="J54" s="32"/>
    </row>
    <row r="55" spans="1:10" s="3" customFormat="1" ht="15.75" customHeight="1" x14ac:dyDescent="0.2">
      <c r="A55" s="38" t="s">
        <v>359</v>
      </c>
      <c r="B55" s="44">
        <f>'Fremtind Livsforsikring'!B55+'Storebrand Danica Pensjon'!B55+'DNB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 Fors'!B55+'Storebrand Livsforsikring'!B55+'Telenor Forsikring'!B55+'Tryg Forsikring'!B55+'WaterCircles F'!B55+'Euro Accident'!B55+'Ly Forsikring'!B55+'Youplus Livsforsikring'!B55</f>
        <v>949</v>
      </c>
      <c r="C55" s="44">
        <f>'Fremtind Livsforsikring'!C55+'Storebrand Danica Pensjon'!C55+'DNB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 Fors'!C55+'Storebrand Livsforsikring'!C55+'Telenor Forsikring'!C55+'Tryg Forsikring'!C55+'WaterCircles F'!C55+'Euro Accident'!C55+'Ly Forsikring'!C55+'Youplus Livsforsikring'!C55</f>
        <v>946</v>
      </c>
      <c r="D55" s="24">
        <f t="shared" si="23"/>
        <v>-0.3</v>
      </c>
      <c r="E55" s="35"/>
      <c r="F55" s="5"/>
      <c r="G55" s="34"/>
      <c r="H55" s="33"/>
      <c r="I55" s="33"/>
      <c r="J55" s="32"/>
    </row>
    <row r="56" spans="1:10" s="398" customFormat="1" ht="15.75" customHeight="1" x14ac:dyDescent="0.2">
      <c r="A56" s="39" t="s">
        <v>361</v>
      </c>
      <c r="B56" s="217">
        <f>'Fremtind Livsforsikring'!B56+'Storebrand Danica Pensjon'!B56+'DNB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 Fors'!B56+'Storebrand Livsforsikring'!B56+'Telenor Forsikring'!B56+'Tryg Forsikring'!B56+'WaterCircles F'!B56+'Euro Accident'!B56+'Ly Forsikring'!B56+'Youplus Livsforsikring'!B56</f>
        <v>93637.587999999989</v>
      </c>
      <c r="C56" s="217">
        <f>'Fremtind Livsforsikring'!C56+'Storebrand Danica Pensjon'!C56+'DNB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 Fors'!C56+'Storebrand Livsforsikring'!C56+'Telenor Forsikring'!C56+'Tryg Forsikring'!C56+'WaterCircles F'!C56+'Euro Accident'!C56+'Ly Forsikring'!C56+'Youplus Livsforsikring'!C56</f>
        <v>111312.91699999999</v>
      </c>
      <c r="D56" s="24">
        <f t="shared" si="23"/>
        <v>18.899999999999999</v>
      </c>
      <c r="E56" s="399"/>
      <c r="F56" s="400"/>
      <c r="G56" s="32"/>
      <c r="H56" s="158"/>
      <c r="I56" s="158"/>
      <c r="J56" s="32"/>
    </row>
    <row r="57" spans="1:10" s="3" customFormat="1" ht="15.75" customHeight="1" x14ac:dyDescent="0.2">
      <c r="A57" s="38" t="s">
        <v>358</v>
      </c>
      <c r="B57" s="44">
        <f>'Fremtind Livsforsikring'!B57+'Storebrand Danica Pensjon'!B57+'DNB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 Fors'!B57+'Storebrand Livsforsikring'!B57+'Telenor Forsikring'!B57+'Tryg Forsikring'!B57+'WaterCircles F'!B57+'Euro Accident'!B57+'Ly Forsikring'!B57+'Youplus Livsforsikring'!B57</f>
        <v>93637.587999999989</v>
      </c>
      <c r="C57" s="44">
        <f>'Fremtind Livsforsikring'!C57+'Storebrand Danica Pensjon'!C57+'DNB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 Fors'!C57+'Storebrand Livsforsikring'!C57+'Telenor Forsikring'!C57+'Tryg Forsikring'!C57+'WaterCircles F'!C57+'Euro Accident'!C57+'Ly Forsikring'!C57+'Youplus Livsforsikring'!C57</f>
        <v>111312.91699999999</v>
      </c>
      <c r="D57" s="24">
        <f t="shared" si="23"/>
        <v>18.899999999999999</v>
      </c>
      <c r="E57" s="35"/>
      <c r="F57" s="5"/>
      <c r="G57" s="34"/>
      <c r="H57" s="33"/>
      <c r="I57" s="33"/>
      <c r="J57" s="32"/>
    </row>
    <row r="58" spans="1:10" s="3" customFormat="1" ht="15.75" customHeight="1" x14ac:dyDescent="0.2">
      <c r="A58" s="46" t="s">
        <v>359</v>
      </c>
      <c r="B58" s="45"/>
      <c r="C58" s="45"/>
      <c r="D58" s="36"/>
      <c r="E58" s="35"/>
      <c r="F58" s="5"/>
      <c r="G58" s="34"/>
      <c r="H58" s="33"/>
      <c r="I58" s="33"/>
      <c r="J58" s="32"/>
    </row>
    <row r="59" spans="1:10" s="3" customFormat="1" ht="15.75" customHeight="1" x14ac:dyDescent="0.25">
      <c r="A59" s="148"/>
      <c r="B59" s="30"/>
      <c r="C59" s="30"/>
      <c r="D59" s="30"/>
      <c r="E59" s="31"/>
      <c r="F59" s="31"/>
      <c r="G59" s="31"/>
      <c r="H59" s="31"/>
      <c r="I59" s="31"/>
      <c r="J59" s="31"/>
    </row>
    <row r="60" spans="1:10" ht="15.75" customHeight="1" x14ac:dyDescent="0.2">
      <c r="A60" s="139"/>
    </row>
    <row r="61" spans="1:10" ht="15.75" customHeight="1" x14ac:dyDescent="0.25">
      <c r="A61" s="131" t="s">
        <v>266</v>
      </c>
      <c r="C61" s="26"/>
      <c r="D61" s="25"/>
      <c r="E61" s="26"/>
      <c r="F61" s="26"/>
      <c r="G61" s="25"/>
      <c r="H61" s="26"/>
      <c r="I61" s="26"/>
      <c r="J61" s="25"/>
    </row>
    <row r="62" spans="1:10" ht="20.100000000000001" customHeight="1" x14ac:dyDescent="0.25">
      <c r="A62" s="133"/>
      <c r="B62" s="717"/>
      <c r="C62" s="717"/>
      <c r="D62" s="717"/>
      <c r="E62" s="717"/>
      <c r="F62" s="717"/>
      <c r="G62" s="717"/>
      <c r="H62" s="717"/>
      <c r="I62" s="717"/>
      <c r="J62" s="717"/>
    </row>
    <row r="63" spans="1:10" ht="15.75" customHeight="1" x14ac:dyDescent="0.2">
      <c r="A63" s="128"/>
      <c r="B63" s="718" t="s">
        <v>0</v>
      </c>
      <c r="C63" s="719"/>
      <c r="D63" s="719"/>
      <c r="E63" s="718" t="s">
        <v>1</v>
      </c>
      <c r="F63" s="719"/>
      <c r="G63" s="720"/>
      <c r="H63" s="719" t="s">
        <v>2</v>
      </c>
      <c r="I63" s="719"/>
      <c r="J63" s="720"/>
    </row>
    <row r="64" spans="1:10" ht="15.75" customHeight="1" x14ac:dyDescent="0.2">
      <c r="A64" s="124"/>
      <c r="B64" s="234" t="s">
        <v>434</v>
      </c>
      <c r="C64" s="234" t="s">
        <v>435</v>
      </c>
      <c r="D64" s="19" t="s">
        <v>3</v>
      </c>
      <c r="E64" s="234" t="s">
        <v>434</v>
      </c>
      <c r="F64" s="234" t="s">
        <v>435</v>
      </c>
      <c r="G64" s="19" t="s">
        <v>3</v>
      </c>
      <c r="H64" s="234" t="s">
        <v>434</v>
      </c>
      <c r="I64" s="234" t="s">
        <v>435</v>
      </c>
      <c r="J64" s="19" t="s">
        <v>3</v>
      </c>
    </row>
    <row r="65" spans="1:10" ht="15.75" customHeight="1" x14ac:dyDescent="0.2">
      <c r="A65" s="691"/>
      <c r="B65" s="15"/>
      <c r="C65" s="15"/>
      <c r="D65" s="17" t="s">
        <v>4</v>
      </c>
      <c r="E65" s="16"/>
      <c r="F65" s="16"/>
      <c r="G65" s="15" t="s">
        <v>4</v>
      </c>
      <c r="H65" s="16"/>
      <c r="I65" s="16"/>
      <c r="J65" s="15" t="s">
        <v>4</v>
      </c>
    </row>
    <row r="66" spans="1:10" s="43" customFormat="1" ht="15.75" customHeight="1" x14ac:dyDescent="0.2">
      <c r="A66" s="14" t="s">
        <v>23</v>
      </c>
      <c r="B66" s="311">
        <f>'Fremtind Livsforsikring'!B66+'Storebrand Danica Pensjon'!B66+'DNB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 Fors'!B66+'Storebrand Livsforsikring'!B66+'Telenor Forsikring'!B66+'Tryg Forsikring'!B66+'WaterCircles F'!B66+'Euro Accident'!B66+'Ly Forsikring'!B66+'Youplus Livsforsikring'!B66</f>
        <v>6157253.76358</v>
      </c>
      <c r="C66" s="311">
        <f>'Fremtind Livsforsikring'!C66+'Storebrand Danica Pensjon'!C66+'DNB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 Fors'!C66+'Storebrand Livsforsikring'!C66+'Telenor Forsikring'!C66+'Tryg Forsikring'!C66+'WaterCircles F'!C66+'Euro Accident'!C66+'Ly Forsikring'!C66+'Youplus Livsforsikring'!C66</f>
        <v>6853127.3595500002</v>
      </c>
      <c r="D66" s="24">
        <f t="shared" ref="D66:D111" si="24">IF(B66=0, "    ---- ", IF(ABS(ROUND(100/B66*C66-100,1))&lt;999,ROUND(100/B66*C66-100,1),IF(ROUND(100/B66*C66-100,1)&gt;999,999,-999)))</f>
        <v>11.3</v>
      </c>
      <c r="E66" s="217">
        <f>'Fremtind Livsforsikring'!F66+'Storebrand Danica Pensjon'!F66+'DNB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 Fors'!F66+'Storebrand Livsforsikring'!F66+'Telenor Forsikring'!F66+'Tryg Forsikring'!F66+'WaterCircles F'!F66+'Euro Accident'!F66+'Ly Forsikring'!F66+'Youplus Livsforsikring'!F66</f>
        <v>31504296.328440003</v>
      </c>
      <c r="F66" s="217">
        <f>'Fremtind Livsforsikring'!G66+'Storebrand Danica Pensjon'!G66+'DNB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 Fors'!G66+'Storebrand Livsforsikring'!G66+'Telenor Forsikring'!G66+'Tryg Forsikring'!G66+'WaterCircles F'!G66+'Euro Accident'!G66+'Ly Forsikring'!G66+'Youplus Livsforsikring'!G66</f>
        <v>36533155.182619996</v>
      </c>
      <c r="G66" s="155">
        <f t="shared" ref="G66:G125" si="25">IF(E66=0, "    ---- ", IF(ABS(ROUND(100/E66*F66-100,1))&lt;999,ROUND(100/E66*F66-100,1),IF(ROUND(100/E66*F66-100,1)&gt;999,999,-999)))</f>
        <v>16</v>
      </c>
      <c r="H66" s="311">
        <f t="shared" ref="H66:H86" si="26">SUM(B66,E66)</f>
        <v>37661550.092020005</v>
      </c>
      <c r="I66" s="311">
        <f t="shared" ref="I66:I86" si="27">SUM(C66,F66)</f>
        <v>43386282.542169996</v>
      </c>
      <c r="J66" s="24">
        <f t="shared" ref="J66:J111" si="28">IF(H66=0, "    ---- ", IF(ABS(ROUND(100/H66*I66-100,1))&lt;999,ROUND(100/H66*I66-100,1),IF(ROUND(100/H66*I66-100,1)&gt;999,999,-999)))</f>
        <v>15.2</v>
      </c>
    </row>
    <row r="67" spans="1:10" ht="15.75" customHeight="1" x14ac:dyDescent="0.25">
      <c r="A67" s="21" t="s">
        <v>9</v>
      </c>
      <c r="B67" s="215">
        <f>'Fremtind Livsforsikring'!B67+'Storebrand Danica Pensjon'!B67+'DNB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 Fors'!B67+'Storebrand Livsforsikring'!B67+'Telenor Forsikring'!B67+'Tryg Forsikring'!B67+'WaterCircles F'!B67+'Euro Accident'!B67+'Ly Forsikring'!B67+'Youplus Livsforsikring'!B67</f>
        <v>3994387.9670832884</v>
      </c>
      <c r="C67" s="215">
        <f>'Fremtind Livsforsikring'!C67+'Storebrand Danica Pensjon'!C67+'DNB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 Fors'!C67+'Storebrand Livsforsikring'!C67+'Telenor Forsikring'!C67+'Tryg Forsikring'!C67+'WaterCircles F'!C67+'Euro Accident'!C67+'Ly Forsikring'!C67+'Youplus Livsforsikring'!C67</f>
        <v>4207498.2260949602</v>
      </c>
      <c r="D67" s="222">
        <f t="shared" si="24"/>
        <v>5.3</v>
      </c>
      <c r="E67" s="44"/>
      <c r="F67" s="44"/>
      <c r="G67" s="150"/>
      <c r="H67" s="218">
        <f t="shared" si="26"/>
        <v>3994387.9670832884</v>
      </c>
      <c r="I67" s="218">
        <f t="shared" si="27"/>
        <v>4207498.2260949602</v>
      </c>
      <c r="J67" s="23">
        <f t="shared" si="28"/>
        <v>5.3</v>
      </c>
    </row>
    <row r="68" spans="1:10" ht="15.75" customHeight="1" x14ac:dyDescent="0.25">
      <c r="A68" s="21" t="s">
        <v>10</v>
      </c>
      <c r="B68" s="215">
        <f>'Fremtind Livsforsikring'!B68+'Storebrand Danica Pensjon'!B68+'DNB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 Fors'!B68+'Storebrand Livsforsikring'!B68+'Telenor Forsikring'!B68+'Tryg Forsikring'!B68+'WaterCircles F'!B68+'Euro Accident'!B68+'Ly Forsikring'!B68+'Youplus Livsforsikring'!B68</f>
        <v>44307.17669</v>
      </c>
      <c r="C68" s="215">
        <f>'Fremtind Livsforsikring'!C68+'Storebrand Danica Pensjon'!C68+'DNB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 Fors'!C68+'Storebrand Livsforsikring'!C68+'Telenor Forsikring'!C68+'Tryg Forsikring'!C68+'WaterCircles F'!C68+'Euro Accident'!C68+'Ly Forsikring'!C68+'Youplus Livsforsikring'!C68</f>
        <v>29178.142199999998</v>
      </c>
      <c r="D68" s="222">
        <f t="shared" si="24"/>
        <v>-34.1</v>
      </c>
      <c r="E68" s="44">
        <f>'Fremtind Livsforsikring'!F68+'Storebrand Danica Pensjon'!F68+'DNB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 Fors'!F68+'Storebrand Livsforsikring'!F68+'Telenor Forsikring'!F68+'Tryg Forsikring'!F68+'WaterCircles F'!F68+'Euro Accident'!F68+'Ly Forsikring'!F68+'Youplus Livsforsikring'!F68</f>
        <v>30300641.07102</v>
      </c>
      <c r="F68" s="44">
        <f>'Fremtind Livsforsikring'!G68+'Storebrand Danica Pensjon'!G68+'DNB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 Fors'!G68+'Storebrand Livsforsikring'!G68+'Telenor Forsikring'!G68+'Tryg Forsikring'!G68+'WaterCircles F'!G68+'Euro Accident'!G68+'Ly Forsikring'!G68+'Youplus Livsforsikring'!G68</f>
        <v>34910274.627669998</v>
      </c>
      <c r="G68" s="150">
        <f t="shared" si="25"/>
        <v>15.2</v>
      </c>
      <c r="H68" s="218">
        <f t="shared" si="26"/>
        <v>30344948.247710001</v>
      </c>
      <c r="I68" s="218">
        <f t="shared" si="27"/>
        <v>34939452.769869998</v>
      </c>
      <c r="J68" s="23">
        <f t="shared" si="28"/>
        <v>15.1</v>
      </c>
    </row>
    <row r="69" spans="1:10" ht="15.75" customHeight="1" x14ac:dyDescent="0.2">
      <c r="A69" s="279" t="s">
        <v>362</v>
      </c>
      <c r="B69" s="216"/>
      <c r="C69" s="216"/>
      <c r="D69" s="27"/>
      <c r="E69" s="216"/>
      <c r="F69" s="216"/>
      <c r="G69" s="150"/>
      <c r="H69" s="216"/>
      <c r="I69" s="216"/>
      <c r="J69" s="23"/>
    </row>
    <row r="70" spans="1:10" ht="15.75" customHeight="1" x14ac:dyDescent="0.2">
      <c r="A70" s="279" t="s">
        <v>12</v>
      </c>
      <c r="B70" s="216"/>
      <c r="C70" s="216"/>
      <c r="D70" s="27"/>
      <c r="E70" s="216"/>
      <c r="F70" s="216"/>
      <c r="G70" s="150"/>
      <c r="H70" s="216"/>
      <c r="I70" s="216"/>
      <c r="J70" s="23"/>
    </row>
    <row r="71" spans="1:10" ht="15.75" customHeight="1" x14ac:dyDescent="0.2">
      <c r="A71" s="279" t="s">
        <v>13</v>
      </c>
      <c r="B71" s="216"/>
      <c r="C71" s="216"/>
      <c r="D71" s="27"/>
      <c r="E71" s="216"/>
      <c r="F71" s="216"/>
      <c r="G71" s="150"/>
      <c r="H71" s="216"/>
      <c r="I71" s="216"/>
      <c r="J71" s="23"/>
    </row>
    <row r="72" spans="1:10" ht="15.75" customHeight="1" x14ac:dyDescent="0.2">
      <c r="A72" s="279" t="s">
        <v>363</v>
      </c>
      <c r="B72" s="216"/>
      <c r="C72" s="216"/>
      <c r="D72" s="27"/>
      <c r="E72" s="216"/>
      <c r="F72" s="216"/>
      <c r="G72" s="150"/>
      <c r="H72" s="216"/>
      <c r="I72" s="216"/>
      <c r="J72" s="24"/>
    </row>
    <row r="73" spans="1:10" ht="15.75" customHeight="1" x14ac:dyDescent="0.2">
      <c r="A73" s="279" t="s">
        <v>12</v>
      </c>
      <c r="B73" s="216"/>
      <c r="C73" s="216"/>
      <c r="D73" s="27"/>
      <c r="E73" s="216"/>
      <c r="F73" s="216"/>
      <c r="G73" s="150"/>
      <c r="H73" s="216"/>
      <c r="I73" s="216"/>
      <c r="J73" s="23"/>
    </row>
    <row r="74" spans="1:10" s="3" customFormat="1" ht="15.75" customHeight="1" x14ac:dyDescent="0.2">
      <c r="A74" s="279" t="s">
        <v>13</v>
      </c>
      <c r="B74" s="216"/>
      <c r="C74" s="216"/>
      <c r="D74" s="27"/>
      <c r="E74" s="216"/>
      <c r="F74" s="216"/>
      <c r="G74" s="150"/>
      <c r="H74" s="216"/>
      <c r="I74" s="216"/>
      <c r="J74" s="23"/>
    </row>
    <row r="75" spans="1:10" s="3" customFormat="1" ht="15.75" customHeight="1" x14ac:dyDescent="0.2">
      <c r="A75" s="21" t="s">
        <v>334</v>
      </c>
      <c r="B75" s="44">
        <f>'Fremtind Livsforsikring'!B75+'Storebrand Danica Pensjon'!B75+'DNB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 Fors'!B75+'Storebrand Livsforsikring'!B75+'Telenor Forsikring'!B75+'Tryg Forsikring'!B75+'WaterCircles F'!B75+'Euro Accident'!B75+'Ly Forsikring'!B75+'Youplus Livsforsikring'!B75</f>
        <v>483612.14775</v>
      </c>
      <c r="C75" s="44">
        <f>'Fremtind Livsforsikring'!C75+'Storebrand Danica Pensjon'!C75+'DNB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 Fors'!C75+'Storebrand Livsforsikring'!C75+'Telenor Forsikring'!C75+'Tryg Forsikring'!C75+'WaterCircles F'!C75+'Euro Accident'!C75+'Ly Forsikring'!C75+'Youplus Livsforsikring'!C75</f>
        <v>586985.46886000002</v>
      </c>
      <c r="D75" s="23">
        <f t="shared" si="24"/>
        <v>21.4</v>
      </c>
      <c r="E75" s="44">
        <f>'Fremtind Livsforsikring'!F75+'Storebrand Danica Pensjon'!F75+'DNB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 Fors'!F75+'Storebrand Livsforsikring'!F75+'Telenor Forsikring'!F75+'Tryg Forsikring'!F75+'WaterCircles F'!F75+'Euro Accident'!F75+'Ly Forsikring'!F75+'Youplus Livsforsikring'!F75</f>
        <v>1203655.2574200002</v>
      </c>
      <c r="F75" s="44">
        <f>'Fremtind Livsforsikring'!G75+'Storebrand Danica Pensjon'!G75+'DNB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 Fors'!G75+'Storebrand Livsforsikring'!G75+'Telenor Forsikring'!G75+'Tryg Forsikring'!G75+'WaterCircles F'!G75+'Euro Accident'!G75+'Ly Forsikring'!G75+'Youplus Livsforsikring'!G75</f>
        <v>1622880.55495</v>
      </c>
      <c r="G75" s="150">
        <f t="shared" si="25"/>
        <v>34.799999999999997</v>
      </c>
      <c r="H75" s="218">
        <f t="shared" si="26"/>
        <v>1687267.4051700002</v>
      </c>
      <c r="I75" s="218">
        <f t="shared" si="27"/>
        <v>2209866.0238100002</v>
      </c>
      <c r="J75" s="23">
        <f t="shared" si="28"/>
        <v>31</v>
      </c>
    </row>
    <row r="76" spans="1:10" s="3" customFormat="1" ht="15.75" customHeight="1" x14ac:dyDescent="0.2">
      <c r="A76" s="21" t="s">
        <v>333</v>
      </c>
      <c r="B76" s="44">
        <f>'Fremtind Livsforsikring'!B76+'Storebrand Danica Pensjon'!B76+'DNB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 Fors'!B76+'Storebrand Livsforsikring'!B76+'Telenor Forsikring'!B76+'Tryg Forsikring'!B76+'WaterCircles F'!B76+'Euro Accident'!B76+'Ly Forsikring'!B76+'Youplus Livsforsikring'!B76</f>
        <v>1634946.472056712</v>
      </c>
      <c r="C76" s="44">
        <f>'Fremtind Livsforsikring'!C76+'Storebrand Danica Pensjon'!C76+'DNB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 Fors'!C76+'Storebrand Livsforsikring'!C76+'Telenor Forsikring'!C76+'Tryg Forsikring'!C76+'WaterCircles F'!C76+'Euro Accident'!C76+'Ly Forsikring'!C76+'Youplus Livsforsikring'!C76</f>
        <v>2029465.5223950399</v>
      </c>
      <c r="D76" s="23">
        <f t="shared" ref="D76" si="29">IF(B76=0, "    ---- ", IF(ABS(ROUND(100/B76*C76-100,1))&lt;999,ROUND(100/B76*C76-100,1),IF(ROUND(100/B76*C76-100,1)&gt;999,999,-999)))</f>
        <v>24.1</v>
      </c>
      <c r="E76" s="44"/>
      <c r="F76" s="44"/>
      <c r="G76" s="150"/>
      <c r="H76" s="218">
        <f t="shared" ref="H76" si="30">SUM(B76,E76)</f>
        <v>1634946.472056712</v>
      </c>
      <c r="I76" s="218">
        <f t="shared" ref="I76" si="31">SUM(C76,F76)</f>
        <v>2029465.5223950399</v>
      </c>
      <c r="J76" s="23">
        <f t="shared" ref="J76" si="32">IF(H76=0, "    ---- ", IF(ABS(ROUND(100/H76*I76-100,1))&lt;999,ROUND(100/H76*I76-100,1),IF(ROUND(100/H76*I76-100,1)&gt;999,999,-999)))</f>
        <v>24.1</v>
      </c>
    </row>
    <row r="77" spans="1:10" ht="15.75" customHeight="1" x14ac:dyDescent="0.2">
      <c r="A77" s="21" t="s">
        <v>364</v>
      </c>
      <c r="B77" s="44">
        <f>'Fremtind Livsforsikring'!B77+'Storebrand Danica Pensjon'!B77+'DNB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 Fors'!B77+'Storebrand Livsforsikring'!B77+'Telenor Forsikring'!B77+'Tryg Forsikring'!B77+'WaterCircles F'!B77+'Euro Accident'!B77+'Ly Forsikring'!B77+'Youplus Livsforsikring'!B77</f>
        <v>3959057.4017732879</v>
      </c>
      <c r="C77" s="44">
        <f>'Fremtind Livsforsikring'!C77+'Storebrand Danica Pensjon'!C77+'DNB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 Fors'!C77+'Storebrand Livsforsikring'!C77+'Telenor Forsikring'!C77+'Tryg Forsikring'!C77+'WaterCircles F'!C77+'Euro Accident'!C77+'Ly Forsikring'!C77+'Youplus Livsforsikring'!C77</f>
        <v>4141471.16429496</v>
      </c>
      <c r="D77" s="23">
        <f t="shared" si="24"/>
        <v>4.5999999999999996</v>
      </c>
      <c r="E77" s="44">
        <f>'Fremtind Livsforsikring'!F77+'Storebrand Danica Pensjon'!F77+'DNB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 Fors'!F77+'Storebrand Livsforsikring'!F77+'Telenor Forsikring'!F77+'Tryg Forsikring'!F77+'WaterCircles F'!F77+'Euro Accident'!F77+'Ly Forsikring'!F77+'Youplus Livsforsikring'!F77</f>
        <v>30290781.225000001</v>
      </c>
      <c r="F77" s="44">
        <f>'Fremtind Livsforsikring'!G77+'Storebrand Danica Pensjon'!G77+'DNB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 Fors'!G77+'Storebrand Livsforsikring'!G77+'Telenor Forsikring'!G77+'Tryg Forsikring'!G77+'WaterCircles F'!G77+'Euro Accident'!G77+'Ly Forsikring'!G77+'Youplus Livsforsikring'!G77</f>
        <v>34900825.648479998</v>
      </c>
      <c r="G77" s="150">
        <f t="shared" si="25"/>
        <v>15.2</v>
      </c>
      <c r="H77" s="218">
        <f t="shared" si="26"/>
        <v>34249838.62677329</v>
      </c>
      <c r="I77" s="218">
        <f t="shared" si="27"/>
        <v>39042296.812774956</v>
      </c>
      <c r="J77" s="23">
        <f t="shared" si="28"/>
        <v>14</v>
      </c>
    </row>
    <row r="78" spans="1:10" ht="15.75" customHeight="1" x14ac:dyDescent="0.2">
      <c r="A78" s="21" t="s">
        <v>9</v>
      </c>
      <c r="B78" s="44">
        <f>'Fremtind Livsforsikring'!B78+'Storebrand Danica Pensjon'!B78+'DNB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 Fors'!B78+'Storebrand Livsforsikring'!B78+'Telenor Forsikring'!B78+'Tryg Forsikring'!B78+'WaterCircles F'!B78+'Euro Accident'!B78+'Ly Forsikring'!B78+'Youplus Livsforsikring'!B78</f>
        <v>3916810.8870832883</v>
      </c>
      <c r="C78" s="44">
        <f>'Fremtind Livsforsikring'!C78+'Storebrand Danica Pensjon'!C78+'DNB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 Fors'!C78+'Storebrand Livsforsikring'!C78+'Telenor Forsikring'!C78+'Tryg Forsikring'!C78+'WaterCircles F'!C78+'Euro Accident'!C78+'Ly Forsikring'!C78+'Youplus Livsforsikring'!C78</f>
        <v>4112300.0220949603</v>
      </c>
      <c r="D78" s="23">
        <f t="shared" si="24"/>
        <v>5</v>
      </c>
      <c r="E78" s="44"/>
      <c r="F78" s="44"/>
      <c r="G78" s="150"/>
      <c r="H78" s="218">
        <f t="shared" si="26"/>
        <v>3916810.8870832883</v>
      </c>
      <c r="I78" s="218">
        <f t="shared" si="27"/>
        <v>4112300.0220949603</v>
      </c>
      <c r="J78" s="23">
        <f t="shared" si="28"/>
        <v>5</v>
      </c>
    </row>
    <row r="79" spans="1:10" ht="15.75" customHeight="1" x14ac:dyDescent="0.2">
      <c r="A79" s="38" t="s">
        <v>396</v>
      </c>
      <c r="B79" s="44">
        <f>'Fremtind Livsforsikring'!B79+'Storebrand Danica Pensjon'!B79+'DNB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 Fors'!B79+'Storebrand Livsforsikring'!B79+'Telenor Forsikring'!B79+'Tryg Forsikring'!B79+'WaterCircles F'!B79+'Euro Accident'!B79+'Ly Forsikring'!B79+'Youplus Livsforsikring'!B79</f>
        <v>42246.514690000004</v>
      </c>
      <c r="C79" s="44">
        <f>'Fremtind Livsforsikring'!C79+'Storebrand Danica Pensjon'!C79+'DNB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 Fors'!C79+'Storebrand Livsforsikring'!C79+'Telenor Forsikring'!C79+'Tryg Forsikring'!C79+'WaterCircles F'!C79+'Euro Accident'!C79+'Ly Forsikring'!C79+'Youplus Livsforsikring'!C79</f>
        <v>29171.142199999998</v>
      </c>
      <c r="D79" s="23">
        <f t="shared" si="24"/>
        <v>-31</v>
      </c>
      <c r="E79" s="44">
        <f>'Fremtind Livsforsikring'!F79+'Storebrand Danica Pensjon'!F79+'DNB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 Fors'!F79+'Storebrand Livsforsikring'!F79+'Telenor Forsikring'!F79+'Tryg Forsikring'!F79+'WaterCircles F'!F79+'Euro Accident'!F79+'Ly Forsikring'!F79+'Youplus Livsforsikring'!F79</f>
        <v>30290781.225000001</v>
      </c>
      <c r="F79" s="44">
        <f>'Fremtind Livsforsikring'!G79+'Storebrand Danica Pensjon'!G79+'DNB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 Fors'!G79+'Storebrand Livsforsikring'!G79+'Telenor Forsikring'!G79+'Tryg Forsikring'!G79+'WaterCircles F'!G79+'Euro Accident'!G79+'Ly Forsikring'!G79+'Youplus Livsforsikring'!G79</f>
        <v>34900825.648479998</v>
      </c>
      <c r="G79" s="150">
        <f t="shared" si="25"/>
        <v>15.2</v>
      </c>
      <c r="H79" s="218">
        <f t="shared" si="26"/>
        <v>30333027.739690002</v>
      </c>
      <c r="I79" s="218">
        <f t="shared" si="27"/>
        <v>34929996.790679999</v>
      </c>
      <c r="J79" s="23">
        <f t="shared" si="28"/>
        <v>15.2</v>
      </c>
    </row>
    <row r="80" spans="1:10" ht="15.75" customHeight="1" x14ac:dyDescent="0.2">
      <c r="A80" s="279" t="s">
        <v>362</v>
      </c>
      <c r="B80" s="216"/>
      <c r="C80" s="216"/>
      <c r="D80" s="27"/>
      <c r="E80" s="216"/>
      <c r="F80" s="216"/>
      <c r="G80" s="150"/>
      <c r="H80" s="216"/>
      <c r="I80" s="216"/>
      <c r="J80" s="23"/>
    </row>
    <row r="81" spans="1:13" ht="15.75" customHeight="1" x14ac:dyDescent="0.2">
      <c r="A81" s="279" t="s">
        <v>12</v>
      </c>
      <c r="B81" s="216"/>
      <c r="C81" s="216"/>
      <c r="D81" s="27"/>
      <c r="E81" s="216"/>
      <c r="F81" s="216"/>
      <c r="G81" s="150"/>
      <c r="H81" s="216"/>
      <c r="I81" s="216"/>
      <c r="J81" s="23"/>
    </row>
    <row r="82" spans="1:13" ht="15.75" customHeight="1" x14ac:dyDescent="0.2">
      <c r="A82" s="279" t="s">
        <v>13</v>
      </c>
      <c r="B82" s="216"/>
      <c r="C82" s="216"/>
      <c r="D82" s="27"/>
      <c r="E82" s="216"/>
      <c r="F82" s="216"/>
      <c r="G82" s="150"/>
      <c r="H82" s="216"/>
      <c r="I82" s="216"/>
      <c r="J82" s="23"/>
    </row>
    <row r="83" spans="1:13" ht="15.75" customHeight="1" x14ac:dyDescent="0.2">
      <c r="A83" s="279" t="s">
        <v>363</v>
      </c>
      <c r="B83" s="216"/>
      <c r="C83" s="216"/>
      <c r="D83" s="27"/>
      <c r="E83" s="216"/>
      <c r="F83" s="216"/>
      <c r="G83" s="150"/>
      <c r="H83" s="216"/>
      <c r="I83" s="216"/>
      <c r="J83" s="24"/>
    </row>
    <row r="84" spans="1:13" ht="15.75" customHeight="1" x14ac:dyDescent="0.2">
      <c r="A84" s="279" t="s">
        <v>12</v>
      </c>
      <c r="B84" s="216"/>
      <c r="C84" s="216"/>
      <c r="D84" s="27"/>
      <c r="E84" s="216"/>
      <c r="F84" s="216"/>
      <c r="G84" s="150"/>
      <c r="H84" s="216"/>
      <c r="I84" s="216"/>
      <c r="J84" s="23"/>
    </row>
    <row r="85" spans="1:13" ht="15.75" customHeight="1" x14ac:dyDescent="0.2">
      <c r="A85" s="279" t="s">
        <v>13</v>
      </c>
      <c r="B85" s="216"/>
      <c r="C85" s="216"/>
      <c r="D85" s="27"/>
      <c r="E85" s="216"/>
      <c r="F85" s="216"/>
      <c r="G85" s="150"/>
      <c r="H85" s="216"/>
      <c r="I85" s="216"/>
      <c r="J85" s="23"/>
    </row>
    <row r="86" spans="1:13" ht="15.75" customHeight="1" x14ac:dyDescent="0.2">
      <c r="A86" s="21" t="s">
        <v>365</v>
      </c>
      <c r="B86" s="215">
        <f>'Fremtind Livsforsikring'!B86+'Storebrand Danica Pensjon'!B86+'DNB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 Fors'!B86+'Storebrand Livsforsikring'!B86+'Telenor Forsikring'!B86+'Tryg Forsikring'!B86+'WaterCircles F'!B86+'Euro Accident'!B86+'Ly Forsikring'!B86+'Youplus Livsforsikring'!B86</f>
        <v>79637.248000000007</v>
      </c>
      <c r="C86" s="215">
        <f>'Fremtind Livsforsikring'!C86+'Storebrand Danica Pensjon'!C86+'DNB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 Fors'!C86+'Storebrand Livsforsikring'!C86+'Telenor Forsikring'!C86+'Tryg Forsikring'!C86+'WaterCircles F'!C86+'Euro Accident'!C86+'Ly Forsikring'!C86+'Youplus Livsforsikring'!C86</f>
        <v>95204.721000000005</v>
      </c>
      <c r="D86" s="23">
        <f t="shared" si="24"/>
        <v>19.5</v>
      </c>
      <c r="E86" s="44">
        <f>'Fremtind Livsforsikring'!F86+'Storebrand Danica Pensjon'!F86+'DNB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 Fors'!F86+'Storebrand Livsforsikring'!F86+'Telenor Forsikring'!F86+'Tryg Forsikring'!F86+'WaterCircles F'!F86+'Euro Accident'!F86+'Ly Forsikring'!F86+'Youplus Livsforsikring'!F86</f>
        <v>9859.8460200000009</v>
      </c>
      <c r="F86" s="44">
        <f>'Fremtind Livsforsikring'!G86+'Storebrand Danica Pensjon'!G86+'DNB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 Fors'!G86+'Storebrand Livsforsikring'!G86+'Telenor Forsikring'!G86+'Tryg Forsikring'!G86+'WaterCircles F'!G86+'Euro Accident'!G86+'Ly Forsikring'!G86+'Youplus Livsforsikring'!G86</f>
        <v>9448.97919</v>
      </c>
      <c r="G86" s="150">
        <f t="shared" si="25"/>
        <v>-4.2</v>
      </c>
      <c r="H86" s="218">
        <f t="shared" si="26"/>
        <v>89497.094020000004</v>
      </c>
      <c r="I86" s="218">
        <f t="shared" si="27"/>
        <v>104653.70019</v>
      </c>
      <c r="J86" s="23">
        <f t="shared" si="28"/>
        <v>16.899999999999999</v>
      </c>
    </row>
    <row r="87" spans="1:13" s="43" customFormat="1" ht="15.75" customHeight="1" x14ac:dyDescent="0.2">
      <c r="A87" s="13" t="s">
        <v>347</v>
      </c>
      <c r="B87" s="291">
        <f>'Fremtind Livsforsikring'!B87+'Storebrand Danica Pensjon'!B87+'DNB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 Fors'!B87+'Storebrand Livsforsikring'!B87+'Telenor Forsikring'!B87+'Tryg Forsikring'!B87+'WaterCircles F'!B87+'Euro Accident'!B87+'Ly Forsikring'!B87+'Youplus Livsforsikring'!B87</f>
        <v>402303545.52387029</v>
      </c>
      <c r="C87" s="291">
        <f>'Fremtind Livsforsikring'!C87+'Storebrand Danica Pensjon'!C87+'DNB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 Fors'!C87+'Storebrand Livsforsikring'!C87+'Telenor Forsikring'!C87+'Tryg Forsikring'!C87+'WaterCircles F'!C87+'Euro Accident'!C87+'Ly Forsikring'!C87+'Youplus Livsforsikring'!C87</f>
        <v>399491907.99928373</v>
      </c>
      <c r="D87" s="24">
        <f t="shared" si="24"/>
        <v>-0.7</v>
      </c>
      <c r="E87" s="217">
        <f>'Fremtind Livsforsikring'!F87+'Storebrand Danica Pensjon'!F87+'DNB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 Fors'!F87+'Storebrand Livsforsikring'!F87+'Telenor Forsikring'!F87+'Tryg Forsikring'!F87+'WaterCircles F'!F87+'Euro Accident'!F87+'Ly Forsikring'!F87+'Youplus Livsforsikring'!F87</f>
        <v>413916144.54160994</v>
      </c>
      <c r="F87" s="217">
        <f>'Fremtind Livsforsikring'!G87+'Storebrand Danica Pensjon'!G87+'DNB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 Fors'!G87+'Storebrand Livsforsikring'!G87+'Telenor Forsikring'!G87+'Tryg Forsikring'!G87+'WaterCircles F'!G87+'Euro Accident'!G87+'Ly Forsikring'!G87+'Youplus Livsforsikring'!G87</f>
        <v>504898105.02914</v>
      </c>
      <c r="G87" s="155">
        <f t="shared" si="25"/>
        <v>22</v>
      </c>
      <c r="H87" s="311">
        <f t="shared" ref="H87:H111" si="33">SUM(B87,E87)</f>
        <v>816219690.06548023</v>
      </c>
      <c r="I87" s="311">
        <f t="shared" ref="I87:I111" si="34">SUM(C87,F87)</f>
        <v>904390013.02842379</v>
      </c>
      <c r="J87" s="24">
        <f t="shared" si="28"/>
        <v>10.8</v>
      </c>
    </row>
    <row r="88" spans="1:13" ht="15.75" customHeight="1" x14ac:dyDescent="0.2">
      <c r="A88" s="21" t="s">
        <v>9</v>
      </c>
      <c r="B88" s="215">
        <f>'Fremtind Livsforsikring'!B88+'Storebrand Danica Pensjon'!B88+'DNB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 Fors'!B88+'Storebrand Livsforsikring'!B88+'Telenor Forsikring'!B88+'Tryg Forsikring'!B88+'WaterCircles F'!B88+'Euro Accident'!B88+'Ly Forsikring'!B88+'Youplus Livsforsikring'!B88</f>
        <v>387018367.03022826</v>
      </c>
      <c r="C88" s="215">
        <f>'Fremtind Livsforsikring'!C88+'Storebrand Danica Pensjon'!C88+'DNB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 Fors'!C88+'Storebrand Livsforsikring'!C88+'Telenor Forsikring'!C88+'Tryg Forsikring'!C88+'WaterCircles F'!C88+'Euro Accident'!C88+'Ly Forsikring'!C88+'Youplus Livsforsikring'!C88</f>
        <v>382596687.9190551</v>
      </c>
      <c r="D88" s="23">
        <f t="shared" si="24"/>
        <v>-1.1000000000000001</v>
      </c>
      <c r="E88" s="44"/>
      <c r="F88" s="44"/>
      <c r="G88" s="150"/>
      <c r="H88" s="218">
        <f t="shared" si="33"/>
        <v>387018367.03022826</v>
      </c>
      <c r="I88" s="218">
        <f t="shared" si="34"/>
        <v>382596687.9190551</v>
      </c>
      <c r="J88" s="23">
        <f t="shared" si="28"/>
        <v>-1.1000000000000001</v>
      </c>
      <c r="M88" s="133"/>
    </row>
    <row r="89" spans="1:13" ht="15.75" customHeight="1" x14ac:dyDescent="0.2">
      <c r="A89" s="21" t="s">
        <v>10</v>
      </c>
      <c r="B89" s="215">
        <f>'Fremtind Livsforsikring'!B89+'Storebrand Danica Pensjon'!B89+'DNB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 Fors'!B89+'Storebrand Livsforsikring'!B89+'Telenor Forsikring'!B89+'Tryg Forsikring'!B89+'WaterCircles F'!B89+'Euro Accident'!B89+'Ly Forsikring'!B89+'Youplus Livsforsikring'!B89</f>
        <v>3323113.22309196</v>
      </c>
      <c r="C89" s="215">
        <f>'Fremtind Livsforsikring'!C89+'Storebrand Danica Pensjon'!C89+'DNB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 Fors'!C89+'Storebrand Livsforsikring'!C89+'Telenor Forsikring'!C89+'Tryg Forsikring'!C89+'WaterCircles F'!C89+'Euro Accident'!C89+'Ly Forsikring'!C89+'Youplus Livsforsikring'!C89</f>
        <v>2195751.0445485902</v>
      </c>
      <c r="D89" s="23">
        <f t="shared" si="24"/>
        <v>-33.9</v>
      </c>
      <c r="E89" s="44">
        <f>'Fremtind Livsforsikring'!F89+'Storebrand Danica Pensjon'!F89+'DNB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 Fors'!F89+'Storebrand Livsforsikring'!F89+'Telenor Forsikring'!F89+'Tryg Forsikring'!F89+'WaterCircles F'!F89+'Euro Accident'!F89+'Ly Forsikring'!F89+'Youplus Livsforsikring'!F89</f>
        <v>408964418.35354</v>
      </c>
      <c r="F89" s="44">
        <f>'Fremtind Livsforsikring'!G89+'Storebrand Danica Pensjon'!G89+'DNB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 Fors'!G89+'Storebrand Livsforsikring'!G89+'Telenor Forsikring'!G89+'Tryg Forsikring'!G89+'WaterCircles F'!G89+'Euro Accident'!G89+'Ly Forsikring'!G89+'Youplus Livsforsikring'!G89</f>
        <v>497749693.82200003</v>
      </c>
      <c r="G89" s="150">
        <f t="shared" si="25"/>
        <v>21.7</v>
      </c>
      <c r="H89" s="218">
        <f t="shared" si="33"/>
        <v>412287531.57663196</v>
      </c>
      <c r="I89" s="218">
        <f t="shared" si="34"/>
        <v>499945444.8665486</v>
      </c>
      <c r="J89" s="23">
        <f t="shared" si="28"/>
        <v>21.3</v>
      </c>
      <c r="M89" s="133"/>
    </row>
    <row r="90" spans="1:13" ht="15.75" customHeight="1" x14ac:dyDescent="0.2">
      <c r="A90" s="279" t="s">
        <v>362</v>
      </c>
      <c r="B90" s="216"/>
      <c r="C90" s="216"/>
      <c r="D90" s="27"/>
      <c r="E90" s="216"/>
      <c r="F90" s="216"/>
      <c r="G90" s="150"/>
      <c r="H90" s="216"/>
      <c r="I90" s="216"/>
      <c r="J90" s="23"/>
    </row>
    <row r="91" spans="1:13" ht="15.75" customHeight="1" x14ac:dyDescent="0.2">
      <c r="A91" s="279" t="s">
        <v>12</v>
      </c>
      <c r="B91" s="216"/>
      <c r="C91" s="216"/>
      <c r="D91" s="27"/>
      <c r="E91" s="216"/>
      <c r="F91" s="216"/>
      <c r="G91" s="150"/>
      <c r="H91" s="216"/>
      <c r="I91" s="216"/>
      <c r="J91" s="23"/>
    </row>
    <row r="92" spans="1:13" ht="15.75" customHeight="1" x14ac:dyDescent="0.2">
      <c r="A92" s="279" t="s">
        <v>13</v>
      </c>
      <c r="B92" s="216"/>
      <c r="C92" s="216"/>
      <c r="D92" s="27"/>
      <c r="E92" s="216"/>
      <c r="F92" s="216"/>
      <c r="G92" s="150"/>
      <c r="H92" s="216"/>
      <c r="I92" s="216"/>
      <c r="J92" s="23"/>
    </row>
    <row r="93" spans="1:13" ht="15.75" customHeight="1" x14ac:dyDescent="0.2">
      <c r="A93" s="279" t="s">
        <v>363</v>
      </c>
      <c r="B93" s="216"/>
      <c r="C93" s="216"/>
      <c r="D93" s="27"/>
      <c r="E93" s="216"/>
      <c r="F93" s="216"/>
      <c r="G93" s="150"/>
      <c r="H93" s="216"/>
      <c r="I93" s="216"/>
      <c r="J93" s="23"/>
    </row>
    <row r="94" spans="1:13" ht="15.75" customHeight="1" x14ac:dyDescent="0.2">
      <c r="A94" s="279" t="s">
        <v>12</v>
      </c>
      <c r="B94" s="216"/>
      <c r="C94" s="216"/>
      <c r="D94" s="27"/>
      <c r="E94" s="216"/>
      <c r="F94" s="216"/>
      <c r="G94" s="150"/>
      <c r="H94" s="216"/>
      <c r="I94" s="216"/>
      <c r="J94" s="23"/>
    </row>
    <row r="95" spans="1:13" ht="15.75" customHeight="1" x14ac:dyDescent="0.2">
      <c r="A95" s="279" t="s">
        <v>13</v>
      </c>
      <c r="B95" s="216"/>
      <c r="C95" s="216"/>
      <c r="D95" s="27"/>
      <c r="E95" s="216"/>
      <c r="F95" s="216"/>
      <c r="G95" s="150"/>
      <c r="H95" s="216"/>
      <c r="I95" s="216"/>
      <c r="J95" s="23"/>
    </row>
    <row r="96" spans="1:13" ht="15.75" customHeight="1" x14ac:dyDescent="0.2">
      <c r="A96" s="21" t="s">
        <v>334</v>
      </c>
      <c r="B96" s="215">
        <f>'Fremtind Livsforsikring'!B96+'Storebrand Danica Pensjon'!B96+'DNB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 Fors'!B96+'Storebrand Livsforsikring'!B96+'Telenor Forsikring'!B96+'Tryg Forsikring'!B96+'WaterCircles F'!B96+'Euro Accident'!B96+'Ly Forsikring'!B96+'Youplus Livsforsikring'!B96</f>
        <v>3529793.7596100001</v>
      </c>
      <c r="C96" s="215">
        <f>'Fremtind Livsforsikring'!C96+'Storebrand Danica Pensjon'!C96+'DNB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 Fors'!C96+'Storebrand Livsforsikring'!C96+'Telenor Forsikring'!C96+'Tryg Forsikring'!C96+'WaterCircles F'!C96+'Euro Accident'!C96+'Ly Forsikring'!C96+'Youplus Livsforsikring'!C96</f>
        <v>4582050.5574099999</v>
      </c>
      <c r="D96" s="23">
        <f t="shared" si="24"/>
        <v>29.8</v>
      </c>
      <c r="E96" s="44">
        <f>'Fremtind Livsforsikring'!F96+'Storebrand Danica Pensjon'!F96+'DNB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 Fors'!F96+'Storebrand Livsforsikring'!F96+'Telenor Forsikring'!F96+'Tryg Forsikring'!F96+'WaterCircles F'!F96+'Euro Accident'!F96+'Ly Forsikring'!F96+'Youplus Livsforsikring'!F96</f>
        <v>4951726.1880700001</v>
      </c>
      <c r="F96" s="44">
        <f>'Fremtind Livsforsikring'!G96+'Storebrand Danica Pensjon'!G96+'DNB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 Fors'!G96+'Storebrand Livsforsikring'!G96+'Telenor Forsikring'!G96+'Tryg Forsikring'!G96+'WaterCircles F'!G96+'Euro Accident'!G96+'Ly Forsikring'!G96+'Youplus Livsforsikring'!G96</f>
        <v>7148411.2071400005</v>
      </c>
      <c r="G96" s="150">
        <f t="shared" si="25"/>
        <v>44.4</v>
      </c>
      <c r="H96" s="218">
        <f t="shared" si="33"/>
        <v>8481519.9476800002</v>
      </c>
      <c r="I96" s="218">
        <f t="shared" si="34"/>
        <v>11730461.76455</v>
      </c>
      <c r="J96" s="23">
        <f t="shared" si="28"/>
        <v>38.299999999999997</v>
      </c>
    </row>
    <row r="97" spans="1:12" ht="15.75" customHeight="1" x14ac:dyDescent="0.2">
      <c r="A97" s="21" t="s">
        <v>333</v>
      </c>
      <c r="B97" s="215">
        <f>'Fremtind Livsforsikring'!B97+'Storebrand Danica Pensjon'!B97+'DNB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 Fors'!B97+'Storebrand Livsforsikring'!B97+'Telenor Forsikring'!B97+'Tryg Forsikring'!B97+'WaterCircles F'!B97+'Euro Accident'!B97+'Ly Forsikring'!B97+'Youplus Livsforsikring'!B97</f>
        <v>8432271.5109400004</v>
      </c>
      <c r="C97" s="215">
        <f>'Fremtind Livsforsikring'!C97+'Storebrand Danica Pensjon'!C97+'DNB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 Fors'!C97+'Storebrand Livsforsikring'!C97+'Telenor Forsikring'!C97+'Tryg Forsikring'!C97+'WaterCircles F'!C97+'Euro Accident'!C97+'Ly Forsikring'!C97+'Youplus Livsforsikring'!C97</f>
        <v>10117418.47827</v>
      </c>
      <c r="D97" s="23">
        <f t="shared" ref="D97" si="35">IF(B97=0, "    ---- ", IF(ABS(ROUND(100/B97*C97-100,1))&lt;999,ROUND(100/B97*C97-100,1),IF(ROUND(100/B97*C97-100,1)&gt;999,999,-999)))</f>
        <v>20</v>
      </c>
      <c r="E97" s="44"/>
      <c r="F97" s="44"/>
      <c r="G97" s="150"/>
      <c r="H97" s="218">
        <f t="shared" ref="H97" si="36">SUM(B97,E97)</f>
        <v>8432271.5109400004</v>
      </c>
      <c r="I97" s="218">
        <f t="shared" ref="I97" si="37">SUM(C97,F97)</f>
        <v>10117418.47827</v>
      </c>
      <c r="J97" s="23">
        <f t="shared" ref="J97" si="38">IF(H97=0, "    ---- ", IF(ABS(ROUND(100/H97*I97-100,1))&lt;999,ROUND(100/H97*I97-100,1),IF(ROUND(100/H97*I97-100,1)&gt;999,999,-999)))</f>
        <v>20</v>
      </c>
    </row>
    <row r="98" spans="1:12" ht="15.75" customHeight="1" x14ac:dyDescent="0.2">
      <c r="A98" s="21" t="s">
        <v>364</v>
      </c>
      <c r="B98" s="215">
        <f>'Fremtind Livsforsikring'!B98+'Storebrand Danica Pensjon'!B98+'DNB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 Fors'!B98+'Storebrand Livsforsikring'!B98+'Telenor Forsikring'!B98+'Tryg Forsikring'!B98+'WaterCircles F'!B98+'Euro Accident'!B98+'Ly Forsikring'!B98+'Youplus Livsforsikring'!B98</f>
        <v>385899862.05570024</v>
      </c>
      <c r="C98" s="215">
        <f>'Fremtind Livsforsikring'!C98+'Storebrand Danica Pensjon'!C98+'DNB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 Fors'!C98+'Storebrand Livsforsikring'!C98+'Telenor Forsikring'!C98+'Tryg Forsikring'!C98+'WaterCircles F'!C98+'Euro Accident'!C98+'Ly Forsikring'!C98+'Youplus Livsforsikring'!C98</f>
        <v>380449942.46960372</v>
      </c>
      <c r="D98" s="23">
        <f t="shared" si="24"/>
        <v>-1.4</v>
      </c>
      <c r="E98" s="44">
        <f>'Fremtind Livsforsikring'!F98+'Storebrand Danica Pensjon'!F98+'DNB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 Fors'!F98+'Storebrand Livsforsikring'!F98+'Telenor Forsikring'!F98+'Tryg Forsikring'!F98+'WaterCircles F'!F98+'Euro Accident'!F98+'Ly Forsikring'!F98+'Youplus Livsforsikring'!F98</f>
        <v>408176259.14143002</v>
      </c>
      <c r="F98" s="44">
        <f>'Fremtind Livsforsikring'!G98+'Storebrand Danica Pensjon'!G98+'DNB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 Fors'!G98+'Storebrand Livsforsikring'!G98+'Telenor Forsikring'!G98+'Tryg Forsikring'!G98+'WaterCircles F'!G98+'Euro Accident'!G98+'Ly Forsikring'!G98+'Youplus Livsforsikring'!G98</f>
        <v>497561923.16608</v>
      </c>
      <c r="G98" s="150">
        <f t="shared" si="25"/>
        <v>21.9</v>
      </c>
      <c r="H98" s="218">
        <f t="shared" si="33"/>
        <v>794076121.1971302</v>
      </c>
      <c r="I98" s="218">
        <f t="shared" si="34"/>
        <v>878011865.63568377</v>
      </c>
      <c r="J98" s="23">
        <f t="shared" si="28"/>
        <v>10.6</v>
      </c>
    </row>
    <row r="99" spans="1:12" ht="15.75" customHeight="1" x14ac:dyDescent="0.2">
      <c r="A99" s="21" t="s">
        <v>9</v>
      </c>
      <c r="B99" s="215">
        <f>'Fremtind Livsforsikring'!B99+'Storebrand Danica Pensjon'!B99+'DNB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 Fors'!B99+'Storebrand Livsforsikring'!B99+'Telenor Forsikring'!B99+'Tryg Forsikring'!B99+'WaterCircles F'!B99+'Euro Accident'!B99+'Ly Forsikring'!B99+'Youplus Livsforsikring'!B99</f>
        <v>382576748.8322283</v>
      </c>
      <c r="C99" s="215">
        <f>'Fremtind Livsforsikring'!C99+'Storebrand Danica Pensjon'!C99+'DNB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 Fors'!C99+'Storebrand Livsforsikring'!C99+'Telenor Forsikring'!C99+'Tryg Forsikring'!C99+'WaterCircles F'!C99+'Euro Accident'!C99+'Ly Forsikring'!C99+'Youplus Livsforsikring'!C99</f>
        <v>378254191.42505509</v>
      </c>
      <c r="D99" s="23">
        <f t="shared" si="24"/>
        <v>-1.1000000000000001</v>
      </c>
      <c r="E99" s="44"/>
      <c r="F99" s="44"/>
      <c r="G99" s="150"/>
      <c r="H99" s="218">
        <f t="shared" si="33"/>
        <v>382576748.8322283</v>
      </c>
      <c r="I99" s="218">
        <f t="shared" si="34"/>
        <v>378254191.42505509</v>
      </c>
      <c r="J99" s="23">
        <f t="shared" si="28"/>
        <v>-1.1000000000000001</v>
      </c>
    </row>
    <row r="100" spans="1:12" ht="15.75" customHeight="1" x14ac:dyDescent="0.2">
      <c r="A100" s="38" t="s">
        <v>396</v>
      </c>
      <c r="B100" s="215">
        <f>'Fremtind Livsforsikring'!B100+'Storebrand Danica Pensjon'!B100+'DNB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 Fors'!B100+'Storebrand Livsforsikring'!B100+'Telenor Forsikring'!B100+'Tryg Forsikring'!B100+'WaterCircles F'!B100+'Euro Accident'!B100+'Ly Forsikring'!B100+'Youplus Livsforsikring'!B100</f>
        <v>3323113.2234719601</v>
      </c>
      <c r="C100" s="215">
        <f>'Fremtind Livsforsikring'!C100+'Storebrand Danica Pensjon'!C100+'DNB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 Fors'!C100+'Storebrand Livsforsikring'!C100+'Telenor Forsikring'!C100+'Tryg Forsikring'!C100+'WaterCircles F'!C100+'Euro Accident'!C100+'Ly Forsikring'!C100+'Youplus Livsforsikring'!C100</f>
        <v>2195751.0445485902</v>
      </c>
      <c r="D100" s="23">
        <f t="shared" si="24"/>
        <v>-33.9</v>
      </c>
      <c r="E100" s="44">
        <f>'Fremtind Livsforsikring'!F100+'Storebrand Danica Pensjon'!F100+'DNB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 Fors'!F100+'Storebrand Livsforsikring'!F100+'Telenor Forsikring'!F100+'Tryg Forsikring'!F100+'WaterCircles F'!F100+'Euro Accident'!F100+'Ly Forsikring'!F100+'Youplus Livsforsikring'!F100</f>
        <v>408176259.14143002</v>
      </c>
      <c r="F100" s="44">
        <f>'Fremtind Livsforsikring'!G100+'Storebrand Danica Pensjon'!G100+'DNB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 Fors'!G100+'Storebrand Livsforsikring'!G100+'Telenor Forsikring'!G100+'Tryg Forsikring'!G100+'WaterCircles F'!G100+'Euro Accident'!G100+'Ly Forsikring'!G100+'Youplus Livsforsikring'!G100</f>
        <v>497561923.16608</v>
      </c>
      <c r="G100" s="150">
        <f t="shared" si="25"/>
        <v>21.9</v>
      </c>
      <c r="H100" s="218">
        <f t="shared" si="33"/>
        <v>411499372.36490196</v>
      </c>
      <c r="I100" s="218">
        <f t="shared" si="34"/>
        <v>499757674.21062857</v>
      </c>
      <c r="J100" s="23">
        <f t="shared" si="28"/>
        <v>21.4</v>
      </c>
    </row>
    <row r="101" spans="1:12" ht="15.75" customHeight="1" x14ac:dyDescent="0.2">
      <c r="A101" s="279" t="s">
        <v>362</v>
      </c>
      <c r="B101" s="216"/>
      <c r="C101" s="216"/>
      <c r="D101" s="27"/>
      <c r="E101" s="216"/>
      <c r="F101" s="216"/>
      <c r="G101" s="150"/>
      <c r="H101" s="216"/>
      <c r="I101" s="216"/>
      <c r="J101" s="23"/>
    </row>
    <row r="102" spans="1:12" ht="15.75" customHeight="1" x14ac:dyDescent="0.2">
      <c r="A102" s="279" t="s">
        <v>12</v>
      </c>
      <c r="B102" s="216"/>
      <c r="C102" s="216"/>
      <c r="D102" s="27"/>
      <c r="E102" s="216"/>
      <c r="F102" s="216"/>
      <c r="G102" s="150"/>
      <c r="H102" s="216"/>
      <c r="I102" s="216"/>
      <c r="J102" s="23"/>
    </row>
    <row r="103" spans="1:12" ht="15.75" customHeight="1" x14ac:dyDescent="0.2">
      <c r="A103" s="279" t="s">
        <v>13</v>
      </c>
      <c r="B103" s="216"/>
      <c r="C103" s="216"/>
      <c r="D103" s="27"/>
      <c r="E103" s="216"/>
      <c r="F103" s="216"/>
      <c r="G103" s="150"/>
      <c r="H103" s="216"/>
      <c r="I103" s="216"/>
      <c r="J103" s="23"/>
    </row>
    <row r="104" spans="1:12" ht="15.75" customHeight="1" x14ac:dyDescent="0.2">
      <c r="A104" s="279" t="s">
        <v>363</v>
      </c>
      <c r="B104" s="216"/>
      <c r="C104" s="216"/>
      <c r="D104" s="27"/>
      <c r="E104" s="216"/>
      <c r="F104" s="216"/>
      <c r="G104" s="150"/>
      <c r="H104" s="216"/>
      <c r="I104" s="216"/>
      <c r="J104" s="23"/>
    </row>
    <row r="105" spans="1:12" ht="15.75" customHeight="1" x14ac:dyDescent="0.2">
      <c r="A105" s="279" t="s">
        <v>12</v>
      </c>
      <c r="B105" s="216"/>
      <c r="C105" s="216"/>
      <c r="D105" s="27"/>
      <c r="E105" s="216"/>
      <c r="F105" s="216"/>
      <c r="G105" s="150"/>
      <c r="H105" s="216"/>
      <c r="I105" s="216"/>
      <c r="J105" s="23"/>
    </row>
    <row r="106" spans="1:12" ht="15.75" customHeight="1" x14ac:dyDescent="0.2">
      <c r="A106" s="279" t="s">
        <v>13</v>
      </c>
      <c r="B106" s="216"/>
      <c r="C106" s="216"/>
      <c r="D106" s="27"/>
      <c r="E106" s="216"/>
      <c r="F106" s="216"/>
      <c r="G106" s="150"/>
      <c r="H106" s="216"/>
      <c r="I106" s="216"/>
      <c r="J106" s="23"/>
    </row>
    <row r="107" spans="1:12" ht="15.75" customHeight="1" x14ac:dyDescent="0.2">
      <c r="A107" s="21" t="s">
        <v>365</v>
      </c>
      <c r="B107" s="215">
        <f>'Fremtind Livsforsikring'!B107+'Storebrand Danica Pensjon'!B107+'DNB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 Fors'!B107+'Storebrand Livsforsikring'!B107+'Telenor Forsikring'!B107+'Tryg Forsikring'!B107+'WaterCircles F'!B107+'Euro Accident'!B107+'Ly Forsikring'!B107+'Youplus Livsforsikring'!B107</f>
        <v>4441618.1979999999</v>
      </c>
      <c r="C107" s="215">
        <f>'Fremtind Livsforsikring'!C107+'Storebrand Danica Pensjon'!C107+'DNB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 Fors'!C107+'Storebrand Livsforsikring'!C107+'Telenor Forsikring'!C107+'Tryg Forsikring'!C107+'WaterCircles F'!C107+'Euro Accident'!C107+'Ly Forsikring'!C107+'Youplus Livsforsikring'!C107</f>
        <v>4342496.4939999999</v>
      </c>
      <c r="D107" s="23">
        <f t="shared" si="24"/>
        <v>-2.2000000000000002</v>
      </c>
      <c r="E107" s="44">
        <f>'Fremtind Livsforsikring'!F107+'Storebrand Danica Pensjon'!F107+'DNB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 Fors'!F107+'Storebrand Livsforsikring'!F107+'Telenor Forsikring'!F107+'Tryg Forsikring'!F107+'WaterCircles F'!F107+'Euro Accident'!F107+'Ly Forsikring'!F107+'Youplus Livsforsikring'!F107</f>
        <v>788159.21210999985</v>
      </c>
      <c r="F107" s="44">
        <f>'Fremtind Livsforsikring'!G107+'Storebrand Danica Pensjon'!G107+'DNB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 Fors'!G107+'Storebrand Livsforsikring'!G107+'Telenor Forsikring'!G107+'Tryg Forsikring'!G107+'WaterCircles F'!G107+'Euro Accident'!G107+'Ly Forsikring'!G107+'Youplus Livsforsikring'!G107</f>
        <v>187770.6559199999</v>
      </c>
      <c r="G107" s="150">
        <f t="shared" si="25"/>
        <v>-76.2</v>
      </c>
      <c r="H107" s="218">
        <f t="shared" si="33"/>
        <v>5229777.4101099996</v>
      </c>
      <c r="I107" s="218">
        <f t="shared" si="34"/>
        <v>4530267.1499199998</v>
      </c>
      <c r="J107" s="23">
        <f t="shared" si="28"/>
        <v>-13.4</v>
      </c>
    </row>
    <row r="108" spans="1:12" ht="15.75" customHeight="1" x14ac:dyDescent="0.2">
      <c r="A108" s="21" t="s">
        <v>366</v>
      </c>
      <c r="B108" s="215">
        <f>'Fremtind Livsforsikring'!B108+'Storebrand Danica Pensjon'!B108+'DNB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 Fors'!B108+'Storebrand Livsforsikring'!B108+'Telenor Forsikring'!B108+'Tryg Forsikring'!B108+'WaterCircles F'!B108+'Euro Accident'!B108+'Ly Forsikring'!B108+'Youplus Livsforsikring'!B108</f>
        <v>333010321.76514018</v>
      </c>
      <c r="C108" s="215">
        <f>'Fremtind Livsforsikring'!C108+'Storebrand Danica Pensjon'!C108+'DNB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 Fors'!C108+'Storebrand Livsforsikring'!C108+'Telenor Forsikring'!C108+'Tryg Forsikring'!C108+'WaterCircles F'!C108+'Euro Accident'!C108+'Ly Forsikring'!C108+'Youplus Livsforsikring'!C108</f>
        <v>328458463.6860882</v>
      </c>
      <c r="D108" s="23">
        <f t="shared" si="24"/>
        <v>-1.4</v>
      </c>
      <c r="E108" s="44">
        <f>'Fremtind Livsforsikring'!F108+'Storebrand Danica Pensjon'!F108+'DNB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 Fors'!F108+'Storebrand Livsforsikring'!F108+'Telenor Forsikring'!F108+'Tryg Forsikring'!F108+'WaterCircles F'!F108+'Euro Accident'!F108+'Ly Forsikring'!F108+'Youplus Livsforsikring'!F108</f>
        <v>18532278.422290001</v>
      </c>
      <c r="F108" s="44">
        <f>'Fremtind Livsforsikring'!G108+'Storebrand Danica Pensjon'!G108+'DNB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 Fors'!G108+'Storebrand Livsforsikring'!G108+'Telenor Forsikring'!G108+'Tryg Forsikring'!G108+'WaterCircles F'!G108+'Euro Accident'!G108+'Ly Forsikring'!G108+'Youplus Livsforsikring'!G108</f>
        <v>20071660.18823</v>
      </c>
      <c r="G108" s="150">
        <f t="shared" si="25"/>
        <v>8.3000000000000007</v>
      </c>
      <c r="H108" s="218">
        <f t="shared" si="33"/>
        <v>351542600.1874302</v>
      </c>
      <c r="I108" s="218">
        <f t="shared" si="34"/>
        <v>348530123.87431818</v>
      </c>
      <c r="J108" s="23">
        <f t="shared" si="28"/>
        <v>-0.9</v>
      </c>
    </row>
    <row r="109" spans="1:12" ht="15.75" customHeight="1" x14ac:dyDescent="0.2">
      <c r="A109" s="38" t="s">
        <v>404</v>
      </c>
      <c r="B109" s="215">
        <f>'Fremtind Livsforsikring'!B109+'Storebrand Danica Pensjon'!B109+'DNB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 Fors'!B109+'Storebrand Livsforsikring'!B109+'Telenor Forsikring'!B109+'Tryg Forsikring'!B109+'WaterCircles F'!B109+'Euro Accident'!B109+'Ly Forsikring'!B109+'Youplus Livsforsikring'!B109</f>
        <v>1867598.019577675</v>
      </c>
      <c r="C109" s="215">
        <f>'Fremtind Livsforsikring'!C109+'Storebrand Danica Pensjon'!C109+'DNB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 Fors'!C109+'Storebrand Livsforsikring'!C109+'Telenor Forsikring'!C109+'Tryg Forsikring'!C109+'WaterCircles F'!C109+'Euro Accident'!C109+'Ly Forsikring'!C109+'Youplus Livsforsikring'!C109</f>
        <v>2024637.3749734599</v>
      </c>
      <c r="D109" s="23">
        <f t="shared" si="24"/>
        <v>8.4</v>
      </c>
      <c r="E109" s="44">
        <f>'Fremtind Livsforsikring'!F109+'Storebrand Danica Pensjon'!F109+'DNB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 Fors'!F109+'Storebrand Livsforsikring'!F109+'Telenor Forsikring'!F109+'Tryg Forsikring'!F109+'WaterCircles F'!F109+'Euro Accident'!F109+'Ly Forsikring'!F109+'Youplus Livsforsikring'!F109</f>
        <v>151701125.25734729</v>
      </c>
      <c r="F109" s="44">
        <f>'Fremtind Livsforsikring'!G109+'Storebrand Danica Pensjon'!G109+'DNB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 Fors'!G109+'Storebrand Livsforsikring'!G109+'Telenor Forsikring'!G109+'Tryg Forsikring'!G109+'WaterCircles F'!G109+'Euro Accident'!G109+'Ly Forsikring'!G109+'Youplus Livsforsikring'!G109</f>
        <v>186739353.61802</v>
      </c>
      <c r="G109" s="150">
        <f t="shared" si="25"/>
        <v>23.1</v>
      </c>
      <c r="H109" s="218">
        <f t="shared" si="33"/>
        <v>153568723.27692497</v>
      </c>
      <c r="I109" s="218">
        <f t="shared" si="34"/>
        <v>188763990.99299344</v>
      </c>
      <c r="J109" s="23">
        <f t="shared" si="28"/>
        <v>22.9</v>
      </c>
      <c r="L109" s="3"/>
    </row>
    <row r="110" spans="1:12" ht="15.75" customHeight="1" x14ac:dyDescent="0.2">
      <c r="A110" s="21" t="s">
        <v>367</v>
      </c>
      <c r="B110" s="215">
        <f>'Fremtind Livsforsikring'!B110+'Storebrand Danica Pensjon'!B110+'DNB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 Fors'!B110+'Storebrand Livsforsikring'!B110+'Telenor Forsikring'!B110+'Tryg Forsikring'!B110+'WaterCircles F'!B110+'Euro Accident'!B110+'Ly Forsikring'!B110+'Youplus Livsforsikring'!B110</f>
        <v>1320963.0650599999</v>
      </c>
      <c r="C110" s="215">
        <f>'Fremtind Livsforsikring'!C110+'Storebrand Danica Pensjon'!C110+'DNB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 Fors'!C110+'Storebrand Livsforsikring'!C110+'Telenor Forsikring'!C110+'Tryg Forsikring'!C110+'WaterCircles F'!C110+'Euro Accident'!C110+'Ly Forsikring'!C110+'Youplus Livsforsikring'!C110</f>
        <v>2005098.2697299998</v>
      </c>
      <c r="D110" s="23">
        <f t="shared" si="24"/>
        <v>51.8</v>
      </c>
      <c r="E110" s="44"/>
      <c r="F110" s="44"/>
      <c r="G110" s="150"/>
      <c r="H110" s="218">
        <f t="shared" si="33"/>
        <v>1320963.0650599999</v>
      </c>
      <c r="I110" s="218">
        <f t="shared" si="34"/>
        <v>2005098.2697299998</v>
      </c>
      <c r="J110" s="23">
        <f t="shared" si="28"/>
        <v>51.8</v>
      </c>
    </row>
    <row r="111" spans="1:12" s="43" customFormat="1" ht="15.75" customHeight="1" x14ac:dyDescent="0.2">
      <c r="A111" s="13" t="s">
        <v>348</v>
      </c>
      <c r="B111" s="291">
        <f>'Fremtind Livsforsikring'!B111+'Storebrand Danica Pensjon'!B111+'DNB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 Fors'!B111+'Storebrand Livsforsikring'!B111+'Telenor Forsikring'!B111+'Tryg Forsikring'!B111+'WaterCircles F'!B111+'Euro Accident'!B111+'Ly Forsikring'!B111+'Youplus Livsforsikring'!B111</f>
        <v>620057.50439999998</v>
      </c>
      <c r="C111" s="291">
        <f>'Fremtind Livsforsikring'!C111+'Storebrand Danica Pensjon'!C111+'DNB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 Fors'!C111+'Storebrand Livsforsikring'!C111+'Telenor Forsikring'!C111+'Tryg Forsikring'!C111+'WaterCircles F'!C111+'Euro Accident'!C111+'Ly Forsikring'!C111+'Youplus Livsforsikring'!C111</f>
        <v>434278.74767000001</v>
      </c>
      <c r="D111" s="24">
        <f t="shared" si="24"/>
        <v>-30</v>
      </c>
      <c r="E111" s="217">
        <f>'Fremtind Livsforsikring'!F111+'Storebrand Danica Pensjon'!F111+'DNB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 Fors'!F111+'Storebrand Livsforsikring'!F111+'Telenor Forsikring'!F111+'Tryg Forsikring'!F111+'WaterCircles F'!F111+'Euro Accident'!F111+'Ly Forsikring'!F111+'Youplus Livsforsikring'!F111</f>
        <v>29487543.947020002</v>
      </c>
      <c r="F111" s="217">
        <f>'Fremtind Livsforsikring'!G111+'Storebrand Danica Pensjon'!G111+'DNB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 Fors'!G111+'Storebrand Livsforsikring'!G111+'Telenor Forsikring'!G111+'Tryg Forsikring'!G111+'WaterCircles F'!G111+'Euro Accident'!G111+'Ly Forsikring'!G111+'Youplus Livsforsikring'!G111</f>
        <v>36728843.072870001</v>
      </c>
      <c r="G111" s="155">
        <f t="shared" si="25"/>
        <v>24.6</v>
      </c>
      <c r="H111" s="311">
        <f t="shared" si="33"/>
        <v>30107601.451420002</v>
      </c>
      <c r="I111" s="311">
        <f t="shared" si="34"/>
        <v>37163121.820540003</v>
      </c>
      <c r="J111" s="24">
        <f t="shared" si="28"/>
        <v>23.4</v>
      </c>
    </row>
    <row r="112" spans="1:12" ht="15.75" customHeight="1" x14ac:dyDescent="0.2">
      <c r="A112" s="21" t="s">
        <v>9</v>
      </c>
      <c r="B112" s="215">
        <f>'Fremtind Livsforsikring'!B112+'Storebrand Danica Pensjon'!B112+'DNB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 Fors'!B112+'Storebrand Livsforsikring'!B112+'Telenor Forsikring'!B112+'Tryg Forsikring'!B112+'WaterCircles F'!B112+'Euro Accident'!B112+'Ly Forsikring'!B112+'Youplus Livsforsikring'!B112</f>
        <v>354963.70757000003</v>
      </c>
      <c r="C112" s="215">
        <f>'Fremtind Livsforsikring'!C112+'Storebrand Danica Pensjon'!C112+'DNB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 Fors'!C112+'Storebrand Livsforsikring'!C112+'Telenor Forsikring'!C112+'Tryg Forsikring'!C112+'WaterCircles F'!C112+'Euro Accident'!C112+'Ly Forsikring'!C112+'Youplus Livsforsikring'!C112</f>
        <v>240006.05155</v>
      </c>
      <c r="D112" s="23">
        <f t="shared" ref="D112:D126" si="39">IF(B112=0, "    ---- ", IF(ABS(ROUND(100/B112*C112-100,1))&lt;999,ROUND(100/B112*C112-100,1),IF(ROUND(100/B112*C112-100,1)&gt;999,999,-999)))</f>
        <v>-32.4</v>
      </c>
      <c r="E112" s="44">
        <f>'Fremtind Livsforsikring'!F112+'Storebrand Danica Pensjon'!F112+'DNB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 Fors'!F112+'Storebrand Livsforsikring'!F112+'Telenor Forsikring'!F112+'Tryg Forsikring'!F112+'WaterCircles F'!F112+'Euro Accident'!F112+'Ly Forsikring'!F112+'Youplus Livsforsikring'!F112</f>
        <v>3112.3429999999998</v>
      </c>
      <c r="F112" s="44">
        <f>'Fremtind Livsforsikring'!G112+'Storebrand Danica Pensjon'!G112+'DNB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 Fors'!G112+'Storebrand Livsforsikring'!G112+'Telenor Forsikring'!G112+'Tryg Forsikring'!G112+'WaterCircles F'!G112+'Euro Accident'!G112+'Ly Forsikring'!G112+'Youplus Livsforsikring'!G112</f>
        <v>1965.529</v>
      </c>
      <c r="G112" s="150">
        <f t="shared" si="25"/>
        <v>-36.799999999999997</v>
      </c>
      <c r="H112" s="218">
        <f t="shared" ref="H112:H126" si="40">SUM(B112,E112)</f>
        <v>358076.05057000002</v>
      </c>
      <c r="I112" s="218">
        <f t="shared" ref="I112:I126" si="41">SUM(C112,F112)</f>
        <v>241971.58055000001</v>
      </c>
      <c r="J112" s="23">
        <f t="shared" ref="J112:J126" si="42">IF(H112=0, "    ---- ", IF(ABS(ROUND(100/H112*I112-100,1))&lt;999,ROUND(100/H112*I112-100,1),IF(ROUND(100/H112*I112-100,1)&gt;999,999,-999)))</f>
        <v>-32.4</v>
      </c>
    </row>
    <row r="113" spans="1:10" ht="15.75" customHeight="1" x14ac:dyDescent="0.2">
      <c r="A113" s="21" t="s">
        <v>10</v>
      </c>
      <c r="B113" s="215">
        <f>'Fremtind Livsforsikring'!B113+'Storebrand Danica Pensjon'!B113+'DNB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 Fors'!B113+'Storebrand Livsforsikring'!B113+'Telenor Forsikring'!B113+'Tryg Forsikring'!B113+'WaterCircles F'!B113+'Euro Accident'!B113+'Ly Forsikring'!B113+'Youplus Livsforsikring'!B113</f>
        <v>180.96299999999999</v>
      </c>
      <c r="C113" s="215">
        <f>'Fremtind Livsforsikring'!C113+'Storebrand Danica Pensjon'!C113+'DNB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 Fors'!C113+'Storebrand Livsforsikring'!C113+'Telenor Forsikring'!C113+'Tryg Forsikring'!C113+'WaterCircles F'!C113+'Euro Accident'!C113+'Ly Forsikring'!C113+'Youplus Livsforsikring'!C113</f>
        <v>0</v>
      </c>
      <c r="D113" s="23">
        <f t="shared" si="39"/>
        <v>-100</v>
      </c>
      <c r="E113" s="44">
        <f>'Fremtind Livsforsikring'!F113+'Storebrand Danica Pensjon'!F113+'DNB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 Fors'!F113+'Storebrand Livsforsikring'!F113+'Telenor Forsikring'!F113+'Tryg Forsikring'!F113+'WaterCircles F'!F113+'Euro Accident'!F113+'Ly Forsikring'!F113+'Youplus Livsforsikring'!F113</f>
        <v>29483371.14302</v>
      </c>
      <c r="F113" s="44">
        <f>'Fremtind Livsforsikring'!G113+'Storebrand Danica Pensjon'!G113+'DNB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 Fors'!G113+'Storebrand Livsforsikring'!G113+'Telenor Forsikring'!G113+'Tryg Forsikring'!G113+'WaterCircles F'!G113+'Euro Accident'!G113+'Ly Forsikring'!G113+'Youplus Livsforsikring'!G113</f>
        <v>36718597.691869996</v>
      </c>
      <c r="G113" s="155">
        <f t="shared" si="25"/>
        <v>24.5</v>
      </c>
      <c r="H113" s="218">
        <f t="shared" si="40"/>
        <v>29483552.10602</v>
      </c>
      <c r="I113" s="218">
        <f t="shared" si="41"/>
        <v>36718597.691869996</v>
      </c>
      <c r="J113" s="24">
        <f t="shared" si="42"/>
        <v>24.5</v>
      </c>
    </row>
    <row r="114" spans="1:10" ht="15.75" customHeight="1" x14ac:dyDescent="0.2">
      <c r="A114" s="21" t="s">
        <v>26</v>
      </c>
      <c r="B114" s="215">
        <f>'Fremtind Livsforsikring'!B114+'Storebrand Danica Pensjon'!B114+'DNB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 Fors'!B114+'Storebrand Livsforsikring'!B114+'Telenor Forsikring'!B114+'Tryg Forsikring'!B114+'WaterCircles F'!B114+'Euro Accident'!B114+'Ly Forsikring'!B114+'Youplus Livsforsikring'!B114</f>
        <v>264912.76682999998</v>
      </c>
      <c r="C114" s="215">
        <f>'Fremtind Livsforsikring'!C114+'Storebrand Danica Pensjon'!C114+'DNB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 Fors'!C114+'Storebrand Livsforsikring'!C114+'Telenor Forsikring'!C114+'Tryg Forsikring'!C114+'WaterCircles F'!C114+'Euro Accident'!C114+'Ly Forsikring'!C114+'Youplus Livsforsikring'!C114</f>
        <v>194272.69612000001</v>
      </c>
      <c r="D114" s="23">
        <f t="shared" si="39"/>
        <v>-26.7</v>
      </c>
      <c r="E114" s="44">
        <f>'Fremtind Livsforsikring'!F114+'Storebrand Danica Pensjon'!F114+'DNB Livsforsikring'!F114+'Eika Forsikring AS'!F114+'Frende Livsforsikring'!F114+'Frende Skadeforsikring'!F114+'Gjensidige Forsikring'!F114+'Gjensidige Pensjon'!F114+'Handelsbanken Liv'!F114+'If Skadeforsikring NUF'!F114+KLP!F114+'KLP Skadeforsikring AS'!F114+'Landkreditt Forsikring'!F114+'Nordea Liv '!F114+'Oslo Pensjonsforsikring'!F114+'Protector Forsikring'!F114+'SHB Liv'!F114+'Sparebank 1 Fors'!F114+'Storebrand Livsforsikring'!F114+'Telenor Forsikring'!F114+'Tryg Forsikring'!F114+'WaterCircles F'!F114+'Euro Accident'!F114+'Ly Forsikring'!F114+'Youplus Livsforsikring'!F114</f>
        <v>1060.461</v>
      </c>
      <c r="F114" s="44">
        <f>'Fremtind Livsforsikring'!G114+'Storebrand Danica Pensjon'!G114+'DNB Livsforsikring'!G114+'Eika Forsikring AS'!G114+'Frende Livsforsikring'!G114+'Frende Skadeforsikring'!G114+'Gjensidige Forsikring'!G114+'Gjensidige Pensjon'!G114+'Handelsbanken Liv'!G114+'If Skadeforsikring NUF'!G114+KLP!G114+'KLP Skadeforsikring AS'!G114+'Landkreditt Forsikring'!G114+'Nordea Liv '!G114+'Oslo Pensjonsforsikring'!G114+'Protector Forsikring'!G114+'SHB Liv'!G114+'Sparebank 1 Fors'!G114+'Storebrand Livsforsikring'!G114+'Telenor Forsikring'!G114+'Tryg Forsikring'!G114+'WaterCircles F'!G114+'Euro Accident'!G114+'Ly Forsikring'!G114+'Youplus Livsforsikring'!G114</f>
        <v>8279.8520000000008</v>
      </c>
      <c r="G114" s="155">
        <f t="shared" si="25"/>
        <v>680.8</v>
      </c>
      <c r="H114" s="218">
        <f t="shared" si="40"/>
        <v>265973.22782999999</v>
      </c>
      <c r="I114" s="218">
        <f t="shared" si="41"/>
        <v>202552.54812000002</v>
      </c>
      <c r="J114" s="24">
        <f t="shared" si="42"/>
        <v>-23.8</v>
      </c>
    </row>
    <row r="115" spans="1:10" ht="15.75" customHeight="1" x14ac:dyDescent="0.2">
      <c r="A115" s="279" t="s">
        <v>15</v>
      </c>
      <c r="B115" s="216"/>
      <c r="C115" s="216"/>
      <c r="D115" s="27"/>
      <c r="E115" s="216"/>
      <c r="F115" s="216"/>
      <c r="G115" s="150"/>
      <c r="H115" s="216"/>
      <c r="I115" s="216"/>
      <c r="J115" s="23"/>
    </row>
    <row r="116" spans="1:10" ht="15.75" customHeight="1" x14ac:dyDescent="0.2">
      <c r="A116" s="21" t="s">
        <v>368</v>
      </c>
      <c r="B116" s="215">
        <f>'Fremtind Livsforsikring'!B116+'Storebrand Danica Pensjon'!B116+'DNB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 Fors'!B116+'Storebrand Livsforsikring'!B116+'Telenor Forsikring'!B116+'Tryg Forsikring'!B116+'WaterCircles F'!B116+'Euro Accident'!B116+'Ly Forsikring'!B116+'Youplus Livsforsikring'!B116</f>
        <v>107120.93195000001</v>
      </c>
      <c r="C116" s="215">
        <f>'Fremtind Livsforsikring'!C116+'Storebrand Danica Pensjon'!C116+'DNB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 Fors'!C116+'Storebrand Livsforsikring'!C116+'Telenor Forsikring'!C116+'Tryg Forsikring'!C116+'WaterCircles F'!C116+'Euro Accident'!C116+'Ly Forsikring'!C116+'Youplus Livsforsikring'!C116</f>
        <v>66485.430999999997</v>
      </c>
      <c r="D116" s="23">
        <f t="shared" si="39"/>
        <v>-37.9</v>
      </c>
      <c r="E116" s="44">
        <f>'Fremtind Livsforsikring'!F116+'Storebrand Danica Pensjon'!F116+'DNB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 Fors'!F116+'Storebrand Livsforsikring'!F116+'Telenor Forsikring'!F116+'Tryg Forsikring'!F116+'WaterCircles F'!F116+'Euro Accident'!F116+'Ly Forsikring'!F116+'Youplus Livsforsikring'!F116</f>
        <v>4486.2449999999999</v>
      </c>
      <c r="F116" s="44">
        <f>'Fremtind Livsforsikring'!G116+'Storebrand Danica Pensjon'!G116+'DNB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 Fors'!G116+'Storebrand Livsforsikring'!G116+'Telenor Forsikring'!G116+'Tryg Forsikring'!G116+'WaterCircles F'!G116+'Euro Accident'!G116+'Ly Forsikring'!G116+'Youplus Livsforsikring'!G116</f>
        <v>1965.529</v>
      </c>
      <c r="G116" s="150">
        <f t="shared" si="25"/>
        <v>-56.2</v>
      </c>
      <c r="H116" s="218">
        <f t="shared" si="40"/>
        <v>111607.17695000001</v>
      </c>
      <c r="I116" s="218">
        <f t="shared" si="41"/>
        <v>68450.959999999992</v>
      </c>
      <c r="J116" s="23">
        <f t="shared" si="42"/>
        <v>-38.700000000000003</v>
      </c>
    </row>
    <row r="117" spans="1:10" ht="15.75" customHeight="1" x14ac:dyDescent="0.2">
      <c r="A117" s="38" t="s">
        <v>404</v>
      </c>
      <c r="B117" s="215">
        <f>'Fremtind Livsforsikring'!B117+'Storebrand Danica Pensjon'!B117+'DNB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 Fors'!B117+'Storebrand Livsforsikring'!B117+'Telenor Forsikring'!B117+'Tryg Forsikring'!B117+'WaterCircles F'!B117+'Euro Accident'!B117+'Ly Forsikring'!B117+'Youplus Livsforsikring'!B117</f>
        <v>180.96299999999999</v>
      </c>
      <c r="C117" s="215">
        <f>'Fremtind Livsforsikring'!C117+'Storebrand Danica Pensjon'!C117+'DNB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 Fors'!C117+'Storebrand Livsforsikring'!C117+'Telenor Forsikring'!C117+'Tryg Forsikring'!C117+'WaterCircles F'!C117+'Euro Accident'!C117+'Ly Forsikring'!C117+'Youplus Livsforsikring'!C117</f>
        <v>0</v>
      </c>
      <c r="D117" s="23">
        <f t="shared" si="39"/>
        <v>-100</v>
      </c>
      <c r="E117" s="44">
        <f>'Fremtind Livsforsikring'!F117+'Storebrand Danica Pensjon'!F117+'DNB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 Fors'!F117+'Storebrand Livsforsikring'!F117+'Telenor Forsikring'!F117+'Tryg Forsikring'!F117+'WaterCircles F'!F117+'Euro Accident'!F117+'Ly Forsikring'!F117+'Youplus Livsforsikring'!F117</f>
        <v>16736211.148630001</v>
      </c>
      <c r="F117" s="44">
        <f>'Fremtind Livsforsikring'!G117+'Storebrand Danica Pensjon'!G117+'DNB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 Fors'!G117+'Storebrand Livsforsikring'!G117+'Telenor Forsikring'!G117+'Tryg Forsikring'!G117+'WaterCircles F'!G117+'Euro Accident'!G117+'Ly Forsikring'!G117+'Youplus Livsforsikring'!G117</f>
        <v>20268020.358069979</v>
      </c>
      <c r="G117" s="150">
        <f t="shared" si="25"/>
        <v>21.1</v>
      </c>
      <c r="H117" s="218">
        <f t="shared" si="40"/>
        <v>16736392.11163</v>
      </c>
      <c r="I117" s="218">
        <f t="shared" si="41"/>
        <v>20268020.358069979</v>
      </c>
      <c r="J117" s="23">
        <f t="shared" si="42"/>
        <v>21.1</v>
      </c>
    </row>
    <row r="118" spans="1:10" ht="15.75" customHeight="1" x14ac:dyDescent="0.2">
      <c r="A118" s="21" t="s">
        <v>367</v>
      </c>
      <c r="B118" s="215"/>
      <c r="C118" s="215"/>
      <c r="D118" s="23"/>
      <c r="E118" s="44"/>
      <c r="F118" s="44"/>
      <c r="G118" s="150"/>
      <c r="H118" s="218"/>
      <c r="I118" s="218"/>
      <c r="J118" s="23"/>
    </row>
    <row r="119" spans="1:10" s="43" customFormat="1" ht="15.75" customHeight="1" x14ac:dyDescent="0.2">
      <c r="A119" s="13" t="s">
        <v>349</v>
      </c>
      <c r="B119" s="311">
        <f>'Fremtind Livsforsikring'!B119+'Storebrand Danica Pensjon'!B119+'DNB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 Fors'!B119+'Storebrand Livsforsikring'!B119+'Telenor Forsikring'!B119+'Tryg Forsikring'!B119+'WaterCircles F'!B119+'Euro Accident'!B119+'Ly Forsikring'!B119+'Youplus Livsforsikring'!B119</f>
        <v>561526.15474999987</v>
      </c>
      <c r="C119" s="311">
        <f>'Fremtind Livsforsikring'!C119+'Storebrand Danica Pensjon'!C119+'DNB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 Fors'!C119+'Storebrand Livsforsikring'!C119+'Telenor Forsikring'!C119+'Tryg Forsikring'!C119+'WaterCircles F'!C119+'Euro Accident'!C119+'Ly Forsikring'!C119+'Youplus Livsforsikring'!C119</f>
        <v>420797.55189999973</v>
      </c>
      <c r="D119" s="24">
        <f t="shared" si="39"/>
        <v>-25.1</v>
      </c>
      <c r="E119" s="217">
        <f>'Fremtind Livsforsikring'!F119+'Storebrand Danica Pensjon'!F119+'DNB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 Fors'!F119+'Storebrand Livsforsikring'!F119+'Telenor Forsikring'!F119+'Tryg Forsikring'!F119+'WaterCircles F'!F119+'Euro Accident'!F119+'Ly Forsikring'!F119+'Youplus Livsforsikring'!F119</f>
        <v>31960256.72566</v>
      </c>
      <c r="F119" s="217">
        <f>'Fremtind Livsforsikring'!G119+'Storebrand Danica Pensjon'!G119+'DNB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 Fors'!G119+'Storebrand Livsforsikring'!G119+'Telenor Forsikring'!G119+'Tryg Forsikring'!G119+'WaterCircles F'!G119+'Euro Accident'!G119+'Ly Forsikring'!G119+'Youplus Livsforsikring'!G119</f>
        <v>38860561.57999</v>
      </c>
      <c r="G119" s="155">
        <f t="shared" si="25"/>
        <v>21.6</v>
      </c>
      <c r="H119" s="311">
        <f t="shared" si="40"/>
        <v>32521782.880410001</v>
      </c>
      <c r="I119" s="311">
        <f t="shared" si="41"/>
        <v>39281359.131889999</v>
      </c>
      <c r="J119" s="24">
        <f t="shared" si="42"/>
        <v>20.8</v>
      </c>
    </row>
    <row r="120" spans="1:10" ht="15.75" customHeight="1" x14ac:dyDescent="0.2">
      <c r="A120" s="21" t="s">
        <v>9</v>
      </c>
      <c r="B120" s="218">
        <f>'Fremtind Livsforsikring'!B120+'Storebrand Danica Pensjon'!B120+'DNB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 Fors'!B120+'Storebrand Livsforsikring'!B120+'Telenor Forsikring'!B120+'Tryg Forsikring'!B120+'WaterCircles F'!B120+'Euro Accident'!B120+'Ly Forsikring'!B120+'Youplus Livsforsikring'!B120</f>
        <v>197090.83821999983</v>
      </c>
      <c r="C120" s="218">
        <f>'Fremtind Livsforsikring'!C120+'Storebrand Danica Pensjon'!C120+'DNB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 Fors'!C120+'Storebrand Livsforsikring'!C120+'Telenor Forsikring'!C120+'Tryg Forsikring'!C120+'WaterCircles F'!C120+'Euro Accident'!C120+'Ly Forsikring'!C120+'Youplus Livsforsikring'!C120</f>
        <v>273204.27623999974</v>
      </c>
      <c r="D120" s="23">
        <f t="shared" si="39"/>
        <v>38.6</v>
      </c>
      <c r="E120" s="44"/>
      <c r="F120" s="44"/>
      <c r="G120" s="150"/>
      <c r="H120" s="218">
        <f t="shared" si="40"/>
        <v>197090.83821999983</v>
      </c>
      <c r="I120" s="218">
        <f t="shared" si="41"/>
        <v>273204.27623999974</v>
      </c>
      <c r="J120" s="23">
        <f t="shared" si="42"/>
        <v>38.6</v>
      </c>
    </row>
    <row r="121" spans="1:10" ht="15.75" customHeight="1" x14ac:dyDescent="0.2">
      <c r="A121" s="21" t="s">
        <v>10</v>
      </c>
      <c r="B121" s="218">
        <f>'Fremtind Livsforsikring'!B121+'Storebrand Danica Pensjon'!B121+'DNB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 Fors'!B121+'Storebrand Livsforsikring'!B121+'Telenor Forsikring'!B121+'Tryg Forsikring'!B121+'WaterCircles F'!B121+'Euro Accident'!B121+'Ly Forsikring'!B121+'Youplus Livsforsikring'!B121</f>
        <v>5962.0209800000002</v>
      </c>
      <c r="C121" s="218">
        <f>'Fremtind Livsforsikring'!C121+'Storebrand Danica Pensjon'!C121+'DNB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 Fors'!C121+'Storebrand Livsforsikring'!C121+'Telenor Forsikring'!C121+'Tryg Forsikring'!C121+'WaterCircles F'!C121+'Euro Accident'!C121+'Ly Forsikring'!C121+'Youplus Livsforsikring'!C121</f>
        <v>4542.6450299999997</v>
      </c>
      <c r="D121" s="23">
        <f t="shared" si="39"/>
        <v>-23.8</v>
      </c>
      <c r="E121" s="44">
        <f>'Fremtind Livsforsikring'!F121+'Storebrand Danica Pensjon'!F121+'DNB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 Fors'!F121+'Storebrand Livsforsikring'!F121+'Telenor Forsikring'!F121+'Tryg Forsikring'!F121+'WaterCircles F'!F121+'Euro Accident'!F121+'Ly Forsikring'!F121+'Youplus Livsforsikring'!F121</f>
        <v>31960256.72566</v>
      </c>
      <c r="F121" s="44">
        <f>'Fremtind Livsforsikring'!G121+'Storebrand Danica Pensjon'!G121+'DNB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 Fors'!G121+'Storebrand Livsforsikring'!G121+'Telenor Forsikring'!G121+'Tryg Forsikring'!G121+'WaterCircles F'!G121+'Euro Accident'!G121+'Ly Forsikring'!G121+'Youplus Livsforsikring'!G121</f>
        <v>38860561.57999</v>
      </c>
      <c r="G121" s="150">
        <f t="shared" si="25"/>
        <v>21.6</v>
      </c>
      <c r="H121" s="218">
        <f t="shared" si="40"/>
        <v>31966218.74664</v>
      </c>
      <c r="I121" s="218">
        <f t="shared" si="41"/>
        <v>38865104.225019999</v>
      </c>
      <c r="J121" s="23">
        <f t="shared" si="42"/>
        <v>21.6</v>
      </c>
    </row>
    <row r="122" spans="1:10" ht="15.75" customHeight="1" x14ac:dyDescent="0.2">
      <c r="A122" s="21" t="s">
        <v>26</v>
      </c>
      <c r="B122" s="218">
        <f>'Fremtind Livsforsikring'!B122+'Storebrand Danica Pensjon'!B122+'DNB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 Fors'!B122+'Storebrand Livsforsikring'!B122+'Telenor Forsikring'!B122+'Tryg Forsikring'!B122+'WaterCircles F'!B122+'Euro Accident'!B122+'Ly Forsikring'!B122+'Youplus Livsforsikring'!B122</f>
        <v>358473.29555000004</v>
      </c>
      <c r="C122" s="218">
        <f>'Fremtind Livsforsikring'!C122+'Storebrand Danica Pensjon'!C122+'DNB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 Fors'!C122+'Storebrand Livsforsikring'!C122+'Telenor Forsikring'!C122+'Tryg Forsikring'!C122+'WaterCircles F'!C122+'Euro Accident'!C122+'Ly Forsikring'!C122+'Youplus Livsforsikring'!C122</f>
        <v>143050.63063</v>
      </c>
      <c r="D122" s="23">
        <f t="shared" si="39"/>
        <v>-60.1</v>
      </c>
      <c r="E122" s="44"/>
      <c r="F122" s="44"/>
      <c r="G122" s="150"/>
      <c r="H122" s="218">
        <f t="shared" si="40"/>
        <v>358473.29555000004</v>
      </c>
      <c r="I122" s="218">
        <f t="shared" si="41"/>
        <v>143050.63063</v>
      </c>
      <c r="J122" s="23">
        <f t="shared" si="42"/>
        <v>-60.1</v>
      </c>
    </row>
    <row r="123" spans="1:10" ht="15.75" customHeight="1" x14ac:dyDescent="0.2">
      <c r="A123" s="279" t="s">
        <v>14</v>
      </c>
      <c r="B123" s="216"/>
      <c r="C123" s="216"/>
      <c r="D123" s="27"/>
      <c r="E123" s="216"/>
      <c r="F123" s="216"/>
      <c r="G123" s="150"/>
      <c r="H123" s="216"/>
      <c r="I123" s="216"/>
      <c r="J123" s="23"/>
    </row>
    <row r="124" spans="1:10" ht="15.75" customHeight="1" x14ac:dyDescent="0.2">
      <c r="A124" s="21" t="s">
        <v>366</v>
      </c>
      <c r="B124" s="218">
        <f>'Fremtind Livsforsikring'!B124+'Storebrand Danica Pensjon'!B124+'DNB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 Fors'!B124+'Storebrand Livsforsikring'!B124+'Telenor Forsikring'!B124+'Tryg Forsikring'!B124+'WaterCircles F'!B124+'Euro Accident'!B124+'Ly Forsikring'!B124+'Youplus Livsforsikring'!B124</f>
        <v>61471.459000000003</v>
      </c>
      <c r="C124" s="218">
        <f>'Fremtind Livsforsikring'!C124+'Storebrand Danica Pensjon'!C124+'DNB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 Fors'!C124+'Storebrand Livsforsikring'!C124+'Telenor Forsikring'!C124+'Tryg Forsikring'!C124+'WaterCircles F'!C124+'Euro Accident'!C124+'Ly Forsikring'!C124+'Youplus Livsforsikring'!C124</f>
        <v>54879.392</v>
      </c>
      <c r="D124" s="23">
        <f t="shared" si="39"/>
        <v>-10.7</v>
      </c>
      <c r="E124" s="44">
        <f>'Fremtind Livsforsikring'!F124+'Storebrand Danica Pensjon'!F124+'DNB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 Fors'!F124+'Storebrand Livsforsikring'!F124+'Telenor Forsikring'!F124+'Tryg Forsikring'!F124+'WaterCircles F'!F124+'Euro Accident'!F124+'Ly Forsikring'!F124+'Youplus Livsforsikring'!F124</f>
        <v>9657.9230000000007</v>
      </c>
      <c r="F124" s="44">
        <f>'Fremtind Livsforsikring'!G124+'Storebrand Danica Pensjon'!G124+'DNB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 Fors'!G124+'Storebrand Livsforsikring'!G124+'Telenor Forsikring'!G124+'Tryg Forsikring'!G124+'WaterCircles F'!G124+'Euro Accident'!G124+'Ly Forsikring'!G124+'Youplus Livsforsikring'!G124</f>
        <v>12602.78</v>
      </c>
      <c r="G124" s="150">
        <f t="shared" si="25"/>
        <v>30.5</v>
      </c>
      <c r="H124" s="218">
        <f t="shared" si="40"/>
        <v>71129.381999999998</v>
      </c>
      <c r="I124" s="218">
        <f t="shared" si="41"/>
        <v>67482.172000000006</v>
      </c>
      <c r="J124" s="23">
        <f t="shared" si="42"/>
        <v>-5.0999999999999996</v>
      </c>
    </row>
    <row r="125" spans="1:10" ht="15.75" customHeight="1" x14ac:dyDescent="0.2">
      <c r="A125" s="38" t="s">
        <v>404</v>
      </c>
      <c r="B125" s="218">
        <f>'Fremtind Livsforsikring'!B125+'Storebrand Danica Pensjon'!B125+'DNB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 Fors'!B125+'Storebrand Livsforsikring'!B125+'Telenor Forsikring'!B125+'Tryg Forsikring'!B125+'WaterCircles F'!B125+'Euro Accident'!B125+'Ly Forsikring'!B125+'Youplus Livsforsikring'!B125</f>
        <v>861.87797</v>
      </c>
      <c r="C125" s="218">
        <f>'Fremtind Livsforsikring'!C125+'Storebrand Danica Pensjon'!C125+'DNB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 Fors'!C125+'Storebrand Livsforsikring'!C125+'Telenor Forsikring'!C125+'Tryg Forsikring'!C125+'WaterCircles F'!C125+'Euro Accident'!C125+'Ly Forsikring'!C125+'Youplus Livsforsikring'!C125</f>
        <v>794.84238000000005</v>
      </c>
      <c r="D125" s="23">
        <f t="shared" si="39"/>
        <v>-7.8</v>
      </c>
      <c r="E125" s="44">
        <f>'Fremtind Livsforsikring'!F125+'Storebrand Danica Pensjon'!F125+'DNB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 Fors'!F125+'Storebrand Livsforsikring'!F125+'Telenor Forsikring'!F125+'Tryg Forsikring'!F125+'WaterCircles F'!F125+'Euro Accident'!F125+'Ly Forsikring'!F125+'Youplus Livsforsikring'!F125</f>
        <v>16478740.100090001</v>
      </c>
      <c r="F125" s="44">
        <f>'Fremtind Livsforsikring'!G125+'Storebrand Danica Pensjon'!G125+'DNB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 Fors'!G125+'Storebrand Livsforsikring'!G125+'Telenor Forsikring'!G125+'Tryg Forsikring'!G125+'WaterCircles F'!G125+'Euro Accident'!G125+'Ly Forsikring'!G125+'Youplus Livsforsikring'!G125</f>
        <v>18281548.663340002</v>
      </c>
      <c r="G125" s="150">
        <f t="shared" si="25"/>
        <v>10.9</v>
      </c>
      <c r="H125" s="218">
        <f t="shared" si="40"/>
        <v>16479601.978060002</v>
      </c>
      <c r="I125" s="218">
        <f t="shared" si="41"/>
        <v>18282343.505720001</v>
      </c>
      <c r="J125" s="23">
        <f t="shared" si="42"/>
        <v>10.9</v>
      </c>
    </row>
    <row r="126" spans="1:10" ht="15.75" customHeight="1" x14ac:dyDescent="0.2">
      <c r="A126" s="10" t="s">
        <v>367</v>
      </c>
      <c r="B126" s="219">
        <f>'Fremtind Livsforsikring'!B126+'Storebrand Danica Pensjon'!B126+'DNB Livsforsikring'!B126+'Eika Forsikring AS'!B126+'Frende Livsforsikring'!B126+'Frende Skadeforsikring'!B126+'Gjensidige Forsikring'!B126+'Gjensidige Pensjon'!B126+'Handelsbanken Liv'!B126+'If Skadeforsikring NUF'!B126+KLP!B126+'KLP Skadeforsikring AS'!B126+'Landkreditt Forsikring'!B126+'Nordea Liv '!B126+'Oslo Pensjonsforsikring'!B126+'Protector Forsikring'!B126+'SHB Liv'!B126+'Sparebank 1 Fors'!B126+'Storebrand Livsforsikring'!B126+'Telenor Forsikring'!B126+'Tryg Forsikring'!B126+'WaterCircles F'!B126+'Euro Accident'!B126+'Ly Forsikring'!B126+'Youplus Livsforsikring'!B126</f>
        <v>121.40765</v>
      </c>
      <c r="C126" s="219">
        <f>'Fremtind Livsforsikring'!C126+'Storebrand Danica Pensjon'!C126+'DNB Livsforsikring'!C126+'Eika Forsikring AS'!C126+'Frende Livsforsikring'!C126+'Frende Skadeforsikring'!C126+'Gjensidige Forsikring'!C126+'Gjensidige Pensjon'!C126+'Handelsbanken Liv'!C126+'If Skadeforsikring NUF'!C126+KLP!C126+'KLP Skadeforsikring AS'!C126+'Landkreditt Forsikring'!C126+'Nordea Liv '!C126+'Oslo Pensjonsforsikring'!C126+'Protector Forsikring'!C126+'SHB Liv'!C126+'Sparebank 1 Fors'!C126+'Storebrand Livsforsikring'!C126+'Telenor Forsikring'!C126+'Tryg Forsikring'!C126+'WaterCircles F'!C126+'Euro Accident'!C126+'Ly Forsikring'!C126+'Youplus Livsforsikring'!C126</f>
        <v>0</v>
      </c>
      <c r="D126" s="22">
        <f t="shared" si="39"/>
        <v>-100</v>
      </c>
      <c r="E126" s="45"/>
      <c r="F126" s="45"/>
      <c r="G126" s="151"/>
      <c r="H126" s="219">
        <f t="shared" si="40"/>
        <v>121.40765</v>
      </c>
      <c r="I126" s="220">
        <f t="shared" si="41"/>
        <v>0</v>
      </c>
      <c r="J126" s="22">
        <f t="shared" si="42"/>
        <v>-100</v>
      </c>
    </row>
    <row r="127" spans="1:10" ht="15.75" customHeight="1" x14ac:dyDescent="0.2">
      <c r="A127" s="139"/>
    </row>
    <row r="128" spans="1:10" ht="15.75" customHeight="1" x14ac:dyDescent="0.2">
      <c r="A128" s="133"/>
    </row>
    <row r="129" spans="1:10" ht="15.75" customHeight="1" x14ac:dyDescent="0.25">
      <c r="A129" s="149" t="s">
        <v>27</v>
      </c>
    </row>
    <row r="130" spans="1:10" ht="15.75" customHeight="1" x14ac:dyDescent="0.25">
      <c r="A130" s="133"/>
      <c r="B130" s="717"/>
      <c r="C130" s="717"/>
      <c r="D130" s="717"/>
      <c r="E130" s="717"/>
      <c r="F130" s="717"/>
      <c r="G130" s="717"/>
      <c r="H130" s="717"/>
      <c r="I130" s="717"/>
      <c r="J130" s="717"/>
    </row>
    <row r="131" spans="1:10" s="3" customFormat="1" ht="20.100000000000001" customHeight="1" x14ac:dyDescent="0.2">
      <c r="A131" s="128"/>
      <c r="B131" s="718" t="s">
        <v>0</v>
      </c>
      <c r="C131" s="719"/>
      <c r="D131" s="720"/>
      <c r="E131" s="719" t="s">
        <v>1</v>
      </c>
      <c r="F131" s="719"/>
      <c r="G131" s="719"/>
      <c r="H131" s="718" t="s">
        <v>2</v>
      </c>
      <c r="I131" s="719"/>
      <c r="J131" s="720"/>
    </row>
    <row r="132" spans="1:10" s="3" customFormat="1" ht="15.75" customHeight="1" x14ac:dyDescent="0.2">
      <c r="A132" s="124"/>
      <c r="B132" s="234" t="s">
        <v>434</v>
      </c>
      <c r="C132" s="234" t="s">
        <v>435</v>
      </c>
      <c r="D132" s="19" t="s">
        <v>3</v>
      </c>
      <c r="E132" s="234" t="s">
        <v>434</v>
      </c>
      <c r="F132" s="234" t="s">
        <v>435</v>
      </c>
      <c r="G132" s="19" t="s">
        <v>3</v>
      </c>
      <c r="H132" s="234" t="s">
        <v>434</v>
      </c>
      <c r="I132" s="234" t="s">
        <v>435</v>
      </c>
      <c r="J132" s="19" t="s">
        <v>3</v>
      </c>
    </row>
    <row r="133" spans="1:10" s="3" customFormat="1" ht="15.75" customHeight="1" x14ac:dyDescent="0.2">
      <c r="A133" s="691"/>
      <c r="B133" s="15"/>
      <c r="C133" s="15"/>
      <c r="D133" s="17" t="s">
        <v>4</v>
      </c>
      <c r="E133" s="16"/>
      <c r="F133" s="16"/>
      <c r="G133" s="15" t="s">
        <v>4</v>
      </c>
      <c r="H133" s="16"/>
      <c r="I133" s="16"/>
      <c r="J133" s="15" t="s">
        <v>4</v>
      </c>
    </row>
    <row r="134" spans="1:10" s="398" customFormat="1" ht="15.75" customHeight="1" x14ac:dyDescent="0.2">
      <c r="A134" s="14" t="s">
        <v>369</v>
      </c>
      <c r="B134" s="217">
        <f>'Fremtind Livsforsikring'!B134+'Storebrand Danica Pensjon'!B134+'DNB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 Fors'!B134+'Storebrand Livsforsikring'!B134+'Telenor Forsikring'!B134+'Tryg Forsikring'!B134+'WaterCircles F'!B134+'Euro Accident'!B134+'Ly Forsikring'!B134+'Youplus Livsforsikring'!B134</f>
        <v>48200907.117570005</v>
      </c>
      <c r="C134" s="217">
        <f>'Fremtind Livsforsikring'!C134+'Storebrand Danica Pensjon'!C134+'DNB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 Fors'!C134+'Storebrand Livsforsikring'!C134+'Telenor Forsikring'!C134+'Tryg Forsikring'!C134+'WaterCircles F'!C134+'Euro Accident'!C134+'Ly Forsikring'!C134+'Youplus Livsforsikring'!C134</f>
        <v>70676914.116419986</v>
      </c>
      <c r="D134" s="11">
        <f t="shared" ref="D134:D137" si="43">IF(B134=0, "    ---- ", IF(ABS(ROUND(100/B134*C134-100,1))&lt;999,ROUND(100/B134*C134-100,1),IF(ROUND(100/B134*C134-100,1)&gt;999,999,-999)))</f>
        <v>46.6</v>
      </c>
      <c r="E134" s="217">
        <f>'Fremtind Livsforsikring'!F134+'Storebrand Danica Pensjon'!F134+'DNB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 Fors'!F134+'Storebrand Livsforsikring'!F134+'Telenor Forsikring'!F134+'Tryg Forsikring'!F134+'WaterCircles F'!F134+'Euro Accident'!F134+'Ly Forsikring'!F134+'Youplus Livsforsikring'!F134</f>
        <v>131709.47200000001</v>
      </c>
      <c r="F134" s="217">
        <f>'Fremtind Livsforsikring'!G134+'Storebrand Danica Pensjon'!G134+'DNB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 Fors'!G134+'Storebrand Livsforsikring'!G134+'Telenor Forsikring'!G134+'Tryg Forsikring'!G134+'WaterCircles F'!G134+'Euro Accident'!G134+'Ly Forsikring'!G134+'Youplus Livsforsikring'!G134</f>
        <v>212341.89300000001</v>
      </c>
      <c r="G134" s="11">
        <f t="shared" ref="G134:G137" si="44">IF(E134=0, "    ---- ", IF(ABS(ROUND(100/E134*F134-100,1))&lt;999,ROUND(100/E134*F134-100,1),IF(ROUND(100/E134*F134-100,1)&gt;999,999,-999)))</f>
        <v>61.2</v>
      </c>
      <c r="H134" s="217">
        <f t="shared" ref="H134:I137" si="45">SUM(B134,E134)</f>
        <v>48332616.589570008</v>
      </c>
      <c r="I134" s="217">
        <f t="shared" si="45"/>
        <v>70889256.009419993</v>
      </c>
      <c r="J134" s="11">
        <f t="shared" ref="J134:J137" si="46">IF(H134=0, "    ---- ", IF(ABS(ROUND(100/H134*I134-100,1))&lt;999,ROUND(100/H134*I134-100,1),IF(ROUND(100/H134*I134-100,1)&gt;999,999,-999)))</f>
        <v>46.7</v>
      </c>
    </row>
    <row r="135" spans="1:10" s="398" customFormat="1" ht="15.75" customHeight="1" x14ac:dyDescent="0.2">
      <c r="A135" s="13" t="s">
        <v>370</v>
      </c>
      <c r="B135" s="217">
        <f>'Fremtind Livsforsikring'!B135+'Storebrand Danica Pensjon'!B135+'DNB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 Fors'!B135+'Storebrand Livsforsikring'!B135+'Telenor Forsikring'!B135+'Tryg Forsikring'!B135+'WaterCircles F'!B135+'Euro Accident'!B135+'Ly Forsikring'!B135+'Youplus Livsforsikring'!B135</f>
        <v>740916103.81475997</v>
      </c>
      <c r="C135" s="217">
        <f>'Fremtind Livsforsikring'!C135+'Storebrand Danica Pensjon'!C135+'DNB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 Fors'!C135+'Storebrand Livsforsikring'!C135+'Telenor Forsikring'!C135+'Tryg Forsikring'!C135+'WaterCircles F'!C135+'Euro Accident'!C135+'Ly Forsikring'!C135+'Youplus Livsforsikring'!C135</f>
        <v>812108033.80353999</v>
      </c>
      <c r="D135" s="11">
        <f t="shared" si="43"/>
        <v>9.6</v>
      </c>
      <c r="E135" s="217">
        <f>'Fremtind Livsforsikring'!F135+'Storebrand Danica Pensjon'!F135+'DNB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 Fors'!F135+'Storebrand Livsforsikring'!F135+'Telenor Forsikring'!F135+'Tryg Forsikring'!F135+'WaterCircles F'!F135+'Euro Accident'!F135+'Ly Forsikring'!F135+'Youplus Livsforsikring'!F135</f>
        <v>2548669.2979299999</v>
      </c>
      <c r="F135" s="217">
        <f>'Fremtind Livsforsikring'!G135+'Storebrand Danica Pensjon'!G135+'DNB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 Fors'!G135+'Storebrand Livsforsikring'!G135+'Telenor Forsikring'!G135+'Tryg Forsikring'!G135+'WaterCircles F'!G135+'Euro Accident'!G135+'Ly Forsikring'!G135+'Youplus Livsforsikring'!G135</f>
        <v>2854115.91493</v>
      </c>
      <c r="G135" s="11">
        <f t="shared" si="44"/>
        <v>12</v>
      </c>
      <c r="H135" s="217">
        <f t="shared" si="45"/>
        <v>743464773.11268997</v>
      </c>
      <c r="I135" s="217">
        <f t="shared" si="45"/>
        <v>814962149.71846998</v>
      </c>
      <c r="J135" s="11">
        <f t="shared" si="46"/>
        <v>9.6</v>
      </c>
    </row>
    <row r="136" spans="1:10" s="398" customFormat="1" ht="15.75" customHeight="1" x14ac:dyDescent="0.2">
      <c r="A136" s="13" t="s">
        <v>371</v>
      </c>
      <c r="B136" s="217">
        <f>'Fremtind Livsforsikring'!B136+'Storebrand Danica Pensjon'!B136+'DNB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 Fors'!B136+'Storebrand Livsforsikring'!B136+'Telenor Forsikring'!B136+'Tryg Forsikring'!B136+'WaterCircles F'!B136+'Euro Accident'!B136+'Ly Forsikring'!B136+'Youplus Livsforsikring'!B136</f>
        <v>3419760.1890000002</v>
      </c>
      <c r="C136" s="217">
        <f>'Fremtind Livsforsikring'!C136+'Storebrand Danica Pensjon'!C136+'DNB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 Fors'!C136+'Storebrand Livsforsikring'!C136+'Telenor Forsikring'!C136+'Tryg Forsikring'!C136+'WaterCircles F'!C136+'Euro Accident'!C136+'Ly Forsikring'!C136+'Youplus Livsforsikring'!C136</f>
        <v>903374.48800000001</v>
      </c>
      <c r="D136" s="11">
        <f t="shared" si="43"/>
        <v>-73.599999999999994</v>
      </c>
      <c r="E136" s="217">
        <f>'Fremtind Livsforsikring'!F136+'Storebrand Danica Pensjon'!F136+'DNB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 Fors'!F136+'Storebrand Livsforsikring'!F136+'Telenor Forsikring'!F136+'Tryg Forsikring'!F136+'WaterCircles F'!F136+'Euro Accident'!F136+'Ly Forsikring'!F136+'Youplus Livsforsikring'!F136</f>
        <v>376440.52899999998</v>
      </c>
      <c r="F136" s="217">
        <f>'Fremtind Livsforsikring'!G136+'Storebrand Danica Pensjon'!G136+'DNB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 Fors'!G136+'Storebrand Livsforsikring'!G136+'Telenor Forsikring'!G136+'Tryg Forsikring'!G136+'WaterCircles F'!G136+'Euro Accident'!G136+'Ly Forsikring'!G136+'Youplus Livsforsikring'!G136</f>
        <v>0</v>
      </c>
      <c r="G136" s="11">
        <f t="shared" si="44"/>
        <v>-100</v>
      </c>
      <c r="H136" s="217">
        <f t="shared" si="45"/>
        <v>3796200.7180000003</v>
      </c>
      <c r="I136" s="217">
        <f t="shared" si="45"/>
        <v>903374.48800000001</v>
      </c>
      <c r="J136" s="11">
        <f t="shared" si="46"/>
        <v>-76.2</v>
      </c>
    </row>
    <row r="137" spans="1:10" s="398" customFormat="1" ht="15.75" customHeight="1" x14ac:dyDescent="0.2">
      <c r="A137" s="41" t="s">
        <v>372</v>
      </c>
      <c r="B137" s="262">
        <f>'Fremtind Livsforsikring'!B137+'Storebrand Danica Pensjon'!B137+'DNB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 Fors'!B137+'Storebrand Livsforsikring'!B137+'Telenor Forsikring'!B137+'Tryg Forsikring'!B137+'WaterCircles F'!B137+'Euro Accident'!B137+'Ly Forsikring'!B137+'Youplus Livsforsikring'!B137</f>
        <v>4668893.5379999997</v>
      </c>
      <c r="C137" s="262">
        <f>'Fremtind Livsforsikring'!C137+'Storebrand Danica Pensjon'!C137+'DNB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 Fors'!C137+'Storebrand Livsforsikring'!C137+'Telenor Forsikring'!C137+'Tryg Forsikring'!C137+'WaterCircles F'!C137+'Euro Accident'!C137+'Ly Forsikring'!C137+'Youplus Livsforsikring'!C137</f>
        <v>2125263.3539999998</v>
      </c>
      <c r="D137" s="9">
        <f t="shared" si="43"/>
        <v>-54.5</v>
      </c>
      <c r="E137" s="262">
        <f>'Fremtind Livsforsikring'!F137+'Storebrand Danica Pensjon'!F137+'DNB Livsforsikring'!F137+'Eika Forsikring AS'!F137+'Frende Livsforsikring'!F137+'Frende Skadeforsikring'!F137+'Gjensidige Forsikring'!F137+'Gjensidige Pensjon'!F137+'Handelsbanken Liv'!F137+'If Skadeforsikring NUF'!F137+KLP!F137+'KLP Skadeforsikring AS'!F137+'Landkreditt Forsikring'!F137+'Nordea Liv '!F137+'Oslo Pensjonsforsikring'!F137+'Protector Forsikring'!F137+'SHB Liv'!F137+'Sparebank 1 Fors'!F137+'Storebrand Livsforsikring'!F137+'Telenor Forsikring'!F137+'Tryg Forsikring'!F137+'WaterCircles F'!F137+'Euro Accident'!F137+'Ly Forsikring'!F137+'Youplus Livsforsikring'!F137</f>
        <v>0</v>
      </c>
      <c r="F137" s="262">
        <f>'Fremtind Livsforsikring'!G137+'Storebrand Danica Pensjon'!G137+'DNB Livsforsikring'!G137+'Eika Forsikring AS'!G137+'Frende Livsforsikring'!G137+'Frende Skadeforsikring'!G137+'Gjensidige Forsikring'!G137+'Gjensidige Pensjon'!G137+'Handelsbanken Liv'!G137+'If Skadeforsikring NUF'!G137+KLP!G137+'KLP Skadeforsikring AS'!G137+'Landkreditt Forsikring'!G137+'Nordea Liv '!G137+'Oslo Pensjonsforsikring'!G137+'Protector Forsikring'!G137+'SHB Liv'!G137+'Sparebank 1 Fors'!G137+'Storebrand Livsforsikring'!G137+'Telenor Forsikring'!G137+'Tryg Forsikring'!G137+'WaterCircles F'!G137+'Euro Accident'!G137+'Ly Forsikring'!G137+'Youplus Livsforsikring'!G137</f>
        <v>0</v>
      </c>
      <c r="G137" s="9" t="str">
        <f t="shared" si="44"/>
        <v xml:space="preserve">    ---- </v>
      </c>
      <c r="H137" s="262">
        <f t="shared" si="45"/>
        <v>4668893.5379999997</v>
      </c>
      <c r="I137" s="262">
        <f t="shared" si="45"/>
        <v>2125263.3539999998</v>
      </c>
      <c r="J137" s="9">
        <f t="shared" si="46"/>
        <v>-54.5</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A50:A52">
    <cfRule type="expression" dxfId="420" priority="58">
      <formula>kvartal &lt; 4</formula>
    </cfRule>
  </conditionalFormatting>
  <conditionalFormatting sqref="A69:A74">
    <cfRule type="expression" dxfId="419" priority="56">
      <formula>kvartal &lt; 4</formula>
    </cfRule>
  </conditionalFormatting>
  <conditionalFormatting sqref="A80:A85">
    <cfRule type="expression" dxfId="418" priority="55">
      <formula>kvartal &lt; 4</formula>
    </cfRule>
  </conditionalFormatting>
  <conditionalFormatting sqref="A90:A95">
    <cfRule type="expression" dxfId="417" priority="52">
      <formula>kvartal &lt; 4</formula>
    </cfRule>
  </conditionalFormatting>
  <conditionalFormatting sqref="A101:A106">
    <cfRule type="expression" dxfId="416" priority="51">
      <formula>kvartal &lt; 4</formula>
    </cfRule>
  </conditionalFormatting>
  <conditionalFormatting sqref="A115">
    <cfRule type="expression" dxfId="415" priority="50">
      <formula>kvartal &lt; 4</formula>
    </cfRule>
  </conditionalFormatting>
  <conditionalFormatting sqref="A123">
    <cfRule type="expression" dxfId="414" priority="49">
      <formula>kvartal &lt; 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A3" sqref="A3"/>
    </sheetView>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4" x14ac:dyDescent="0.2">
      <c r="A1" s="156" t="s">
        <v>132</v>
      </c>
      <c r="B1" s="688"/>
      <c r="C1" s="231" t="s">
        <v>421</v>
      </c>
      <c r="D1" s="26"/>
      <c r="E1" s="26"/>
      <c r="F1" s="26"/>
      <c r="G1" s="26"/>
      <c r="H1" s="26"/>
      <c r="I1" s="26"/>
      <c r="J1" s="26"/>
      <c r="K1" s="26"/>
      <c r="L1" s="26"/>
      <c r="M1" s="26"/>
    </row>
    <row r="2" spans="1:14" ht="15.75" x14ac:dyDescent="0.25">
      <c r="A2" s="149" t="s">
        <v>28</v>
      </c>
      <c r="B2" s="727"/>
      <c r="C2" s="727"/>
      <c r="D2" s="727"/>
      <c r="E2" s="384"/>
      <c r="F2" s="727"/>
      <c r="G2" s="727"/>
      <c r="H2" s="727"/>
      <c r="I2" s="384"/>
      <c r="J2" s="727"/>
      <c r="K2" s="727"/>
      <c r="L2" s="727"/>
      <c r="M2" s="384"/>
    </row>
    <row r="3" spans="1:14" ht="15.75" x14ac:dyDescent="0.25">
      <c r="A3" s="147"/>
      <c r="B3" s="384"/>
      <c r="C3" s="384"/>
      <c r="D3" s="384"/>
      <c r="E3" s="384"/>
      <c r="F3" s="384"/>
      <c r="G3" s="384"/>
      <c r="H3" s="384"/>
      <c r="I3" s="384"/>
      <c r="J3" s="384"/>
      <c r="K3" s="384"/>
      <c r="L3" s="384"/>
      <c r="M3" s="384"/>
    </row>
    <row r="4" spans="1:14" x14ac:dyDescent="0.2">
      <c r="A4" s="128"/>
      <c r="B4" s="723" t="s">
        <v>0</v>
      </c>
      <c r="C4" s="724"/>
      <c r="D4" s="724"/>
      <c r="E4" s="383"/>
      <c r="F4" s="723" t="s">
        <v>1</v>
      </c>
      <c r="G4" s="724"/>
      <c r="H4" s="724"/>
      <c r="I4" s="386"/>
      <c r="J4" s="723" t="s">
        <v>2</v>
      </c>
      <c r="K4" s="724"/>
      <c r="L4" s="724"/>
      <c r="M4" s="386"/>
    </row>
    <row r="5" spans="1:14"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4" x14ac:dyDescent="0.2">
      <c r="A6" s="690"/>
      <c r="B6" s="140"/>
      <c r="C6" s="140"/>
      <c r="D6" s="229" t="s">
        <v>4</v>
      </c>
      <c r="E6" s="140" t="s">
        <v>30</v>
      </c>
      <c r="F6" s="145"/>
      <c r="G6" s="145"/>
      <c r="H6" s="227" t="s">
        <v>4</v>
      </c>
      <c r="I6" s="140" t="s">
        <v>30</v>
      </c>
      <c r="J6" s="145"/>
      <c r="K6" s="145"/>
      <c r="L6" s="227" t="s">
        <v>4</v>
      </c>
      <c r="M6" s="140" t="s">
        <v>30</v>
      </c>
    </row>
    <row r="7" spans="1:14" ht="15.75" x14ac:dyDescent="0.2">
      <c r="A7" s="14" t="s">
        <v>23</v>
      </c>
      <c r="B7" s="289">
        <v>209403.2205</v>
      </c>
      <c r="C7" s="290"/>
      <c r="D7" s="332">
        <f>IF(B7=0, "    ---- ", IF(ABS(ROUND(100/B7*C7-100,1))&lt;999,ROUND(100/B7*C7-100,1),IF(ROUND(100/B7*C7-100,1)&gt;999,999,-999)))</f>
        <v>-100</v>
      </c>
      <c r="E7" s="11">
        <f>IFERROR(100/'Skjema total MA'!C7*C7,0)</f>
        <v>0</v>
      </c>
      <c r="F7" s="289">
        <v>171695.63597999999</v>
      </c>
      <c r="G7" s="290"/>
      <c r="H7" s="332">
        <f>IF(F7=0, "    ---- ", IF(ABS(ROUND(100/F7*G7-100,1))&lt;999,ROUND(100/F7*G7-100,1),IF(ROUND(100/F7*G7-100,1)&gt;999,999,-999)))</f>
        <v>-100</v>
      </c>
      <c r="I7" s="144">
        <f>IFERROR(100/'Skjema total MA'!F7*G7,0)</f>
        <v>0</v>
      </c>
      <c r="J7" s="291">
        <f t="shared" ref="J7:J12" si="0">SUM(B7,F7)</f>
        <v>381098.85647999996</v>
      </c>
      <c r="K7" s="292"/>
      <c r="L7" s="405">
        <f>IF(J7=0, "    ---- ", IF(ABS(ROUND(100/J7*K7-100,1))&lt;999,ROUND(100/J7*K7-100,1),IF(ROUND(100/J7*K7-100,1)&gt;999,999,-999)))</f>
        <v>-100</v>
      </c>
      <c r="M7" s="11">
        <f>IFERROR(100/'Skjema total MA'!I7*K7,0)</f>
        <v>0</v>
      </c>
    </row>
    <row r="8" spans="1:14" ht="15.75" x14ac:dyDescent="0.2">
      <c r="A8" s="21" t="s">
        <v>25</v>
      </c>
      <c r="B8" s="267">
        <v>103917.74017</v>
      </c>
      <c r="C8" s="268"/>
      <c r="D8" s="150">
        <f t="shared" ref="D8:D10" si="1">IF(B8=0, "    ---- ", IF(ABS(ROUND(100/B8*C8-100,1))&lt;999,ROUND(100/B8*C8-100,1),IF(ROUND(100/B8*C8-100,1)&gt;999,999,-999)))</f>
        <v>-100</v>
      </c>
      <c r="E8" s="27">
        <f>IFERROR(100/'Skjema total MA'!C8*C8,0)</f>
        <v>0</v>
      </c>
      <c r="F8" s="271"/>
      <c r="G8" s="272"/>
      <c r="H8" s="150"/>
      <c r="I8" s="160"/>
      <c r="J8" s="215">
        <f t="shared" si="0"/>
        <v>103917.74017</v>
      </c>
      <c r="K8" s="273"/>
      <c r="L8" s="150">
        <f t="shared" ref="L8:L9" si="2">IF(J8=0, "    ---- ", IF(ABS(ROUND(100/J8*K8-100,1))&lt;999,ROUND(100/J8*K8-100,1),IF(ROUND(100/J8*K8-100,1)&gt;999,999,-999)))</f>
        <v>-100</v>
      </c>
      <c r="M8" s="27">
        <f>IFERROR(100/'Skjema total MA'!I8*K8,0)</f>
        <v>0</v>
      </c>
    </row>
    <row r="9" spans="1:14" ht="15.75" x14ac:dyDescent="0.2">
      <c r="A9" s="21" t="s">
        <v>24</v>
      </c>
      <c r="B9" s="267">
        <v>46474.293109999999</v>
      </c>
      <c r="C9" s="268"/>
      <c r="D9" s="150">
        <f t="shared" si="1"/>
        <v>-100</v>
      </c>
      <c r="E9" s="27">
        <f>IFERROR(100/'Skjema total MA'!C9*C9,0)</f>
        <v>0</v>
      </c>
      <c r="F9" s="271"/>
      <c r="G9" s="272"/>
      <c r="H9" s="150"/>
      <c r="I9" s="160"/>
      <c r="J9" s="215">
        <f t="shared" si="0"/>
        <v>46474.293109999999</v>
      </c>
      <c r="K9" s="273"/>
      <c r="L9" s="150">
        <f t="shared" si="2"/>
        <v>-100</v>
      </c>
      <c r="M9" s="27">
        <f>IFERROR(100/'Skjema total MA'!I9*K9,0)</f>
        <v>0</v>
      </c>
    </row>
    <row r="10" spans="1:14" ht="15.75" x14ac:dyDescent="0.2">
      <c r="A10" s="13" t="s">
        <v>347</v>
      </c>
      <c r="B10" s="293">
        <v>450120.01400000002</v>
      </c>
      <c r="C10" s="294"/>
      <c r="D10" s="155">
        <f t="shared" si="1"/>
        <v>-100</v>
      </c>
      <c r="E10" s="11">
        <f>IFERROR(100/'Skjema total MA'!C10*C10,0)</f>
        <v>0</v>
      </c>
      <c r="F10" s="293">
        <v>2762432.58029</v>
      </c>
      <c r="G10" s="294"/>
      <c r="H10" s="155">
        <f t="shared" ref="H10:H12" si="3">IF(F10=0, "    ---- ", IF(ABS(ROUND(100/F10*G10-100,1))&lt;999,ROUND(100/F10*G10-100,1),IF(ROUND(100/F10*G10-100,1)&gt;999,999,-999)))</f>
        <v>-100</v>
      </c>
      <c r="I10" s="144">
        <f>IFERROR(100/'Skjema total MA'!F10*G10,0)</f>
        <v>0</v>
      </c>
      <c r="J10" s="291">
        <f t="shared" si="0"/>
        <v>3212552.5942899999</v>
      </c>
      <c r="K10" s="292"/>
      <c r="L10" s="406">
        <f t="shared" ref="L10:L12" si="4">IF(J10=0, "    ---- ", IF(ABS(ROUND(100/J10*K10-100,1))&lt;999,ROUND(100/J10*K10-100,1),IF(ROUND(100/J10*K10-100,1)&gt;999,999,-999)))</f>
        <v>-100</v>
      </c>
      <c r="M10" s="11">
        <f>IFERROR(100/'Skjema total MA'!I10*K10,0)</f>
        <v>0</v>
      </c>
    </row>
    <row r="11" spans="1:14" s="43" customFormat="1" ht="15.75" x14ac:dyDescent="0.2">
      <c r="A11" s="13" t="s">
        <v>348</v>
      </c>
      <c r="B11" s="293"/>
      <c r="C11" s="294"/>
      <c r="D11" s="155"/>
      <c r="E11" s="11"/>
      <c r="F11" s="293">
        <v>3708.268</v>
      </c>
      <c r="G11" s="294"/>
      <c r="H11" s="155">
        <f t="shared" si="3"/>
        <v>-100</v>
      </c>
      <c r="I11" s="144">
        <f>IFERROR(100/'Skjema total MA'!F11*G11,0)</f>
        <v>0</v>
      </c>
      <c r="J11" s="291">
        <f t="shared" si="0"/>
        <v>3708.268</v>
      </c>
      <c r="K11" s="292"/>
      <c r="L11" s="406">
        <f t="shared" si="4"/>
        <v>-100</v>
      </c>
      <c r="M11" s="11">
        <f>IFERROR(100/'Skjema total MA'!I11*K11,0)</f>
        <v>0</v>
      </c>
      <c r="N11" s="127"/>
    </row>
    <row r="12" spans="1:14" s="43" customFormat="1" ht="15.75" x14ac:dyDescent="0.2">
      <c r="A12" s="41" t="s">
        <v>349</v>
      </c>
      <c r="B12" s="295"/>
      <c r="C12" s="296"/>
      <c r="D12" s="153"/>
      <c r="E12" s="36"/>
      <c r="F12" s="295">
        <v>21478.312999999998</v>
      </c>
      <c r="G12" s="296"/>
      <c r="H12" s="153">
        <f t="shared" si="3"/>
        <v>-100</v>
      </c>
      <c r="I12" s="153">
        <f>IFERROR(100/'Skjema total MA'!F12*G12,0)</f>
        <v>0</v>
      </c>
      <c r="J12" s="297">
        <f t="shared" si="0"/>
        <v>21478.312999999998</v>
      </c>
      <c r="K12" s="298"/>
      <c r="L12" s="407">
        <f t="shared" si="4"/>
        <v>-100</v>
      </c>
      <c r="M12" s="36">
        <f>IFERROR(100/'Skjema total MA'!I12*K12,0)</f>
        <v>0</v>
      </c>
      <c r="N12" s="127"/>
    </row>
    <row r="13" spans="1:14" s="43" customFormat="1" x14ac:dyDescent="0.2">
      <c r="A13" s="152"/>
      <c r="B13" s="129"/>
      <c r="C13" s="33"/>
      <c r="D13" s="143"/>
      <c r="E13" s="143"/>
      <c r="F13" s="129"/>
      <c r="G13" s="33"/>
      <c r="H13" s="143"/>
      <c r="I13" s="143"/>
      <c r="J13" s="48"/>
      <c r="K13" s="48"/>
      <c r="L13" s="143"/>
      <c r="M13" s="143"/>
      <c r="N13" s="127"/>
    </row>
    <row r="14" spans="1:14" x14ac:dyDescent="0.2">
      <c r="A14" s="137" t="s">
        <v>267</v>
      </c>
      <c r="B14" s="26"/>
    </row>
    <row r="15" spans="1:14" x14ac:dyDescent="0.2">
      <c r="F15" s="130"/>
      <c r="G15" s="130"/>
      <c r="H15" s="130"/>
      <c r="I15" s="130"/>
      <c r="J15" s="130"/>
      <c r="K15" s="130"/>
      <c r="L15" s="130"/>
      <c r="M15" s="130"/>
    </row>
    <row r="16" spans="1:14"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384"/>
      <c r="F18" s="722"/>
      <c r="G18" s="722"/>
      <c r="H18" s="722"/>
      <c r="I18" s="384"/>
      <c r="J18" s="722"/>
      <c r="K18" s="722"/>
      <c r="L18" s="722"/>
      <c r="M18" s="384"/>
    </row>
    <row r="19" spans="1:14" x14ac:dyDescent="0.2">
      <c r="A19" s="128"/>
      <c r="B19" s="723" t="s">
        <v>0</v>
      </c>
      <c r="C19" s="724"/>
      <c r="D19" s="724"/>
      <c r="E19" s="383"/>
      <c r="F19" s="723" t="s">
        <v>1</v>
      </c>
      <c r="G19" s="724"/>
      <c r="H19" s="724"/>
      <c r="I19" s="386"/>
      <c r="J19" s="723" t="s">
        <v>2</v>
      </c>
      <c r="K19" s="724"/>
      <c r="L19" s="724"/>
      <c r="M19" s="386"/>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394" t="s">
        <v>30</v>
      </c>
      <c r="F21" s="145"/>
      <c r="G21" s="145"/>
      <c r="H21" s="227" t="s">
        <v>4</v>
      </c>
      <c r="I21" s="140" t="s">
        <v>30</v>
      </c>
      <c r="J21" s="145"/>
      <c r="K21" s="145"/>
      <c r="L21" s="140" t="s">
        <v>4</v>
      </c>
      <c r="M21" s="140" t="s">
        <v>30</v>
      </c>
    </row>
    <row r="22" spans="1:14" ht="15.75" x14ac:dyDescent="0.2">
      <c r="A22" s="14" t="s">
        <v>23</v>
      </c>
      <c r="B22" s="293">
        <v>10074.13342</v>
      </c>
      <c r="C22" s="293"/>
      <c r="D22" s="332">
        <f t="shared" ref="D22:D29" si="5">IF(B22=0, "    ---- ", IF(ABS(ROUND(100/B22*C22-100,1))&lt;999,ROUND(100/B22*C22-100,1),IF(ROUND(100/B22*C22-100,1)&gt;999,999,-999)))</f>
        <v>-100</v>
      </c>
      <c r="E22" s="11">
        <f>IFERROR(100/'Skjema total MA'!C22*C22,0)</f>
        <v>0</v>
      </c>
      <c r="F22" s="301">
        <v>27639.125840000001</v>
      </c>
      <c r="G22" s="301"/>
      <c r="H22" s="332">
        <f t="shared" ref="H22:H35" si="6">IF(F22=0, "    ---- ", IF(ABS(ROUND(100/F22*G22-100,1))&lt;999,ROUND(100/F22*G22-100,1),IF(ROUND(100/F22*G22-100,1)&gt;999,999,-999)))</f>
        <v>-100</v>
      </c>
      <c r="I22" s="144">
        <f>IFERROR(100/'Skjema total MA'!F22*G22,0)</f>
        <v>0</v>
      </c>
      <c r="J22" s="299">
        <f t="shared" ref="J22:K35" si="7">SUM(B22,F22)</f>
        <v>37713.259259999999</v>
      </c>
      <c r="K22" s="299">
        <f t="shared" si="7"/>
        <v>0</v>
      </c>
      <c r="L22" s="405">
        <f t="shared" ref="L22:L35" si="8">IF(J22=0, "    ---- ", IF(ABS(ROUND(100/J22*K22-100,1))&lt;999,ROUND(100/J22*K22-100,1),IF(ROUND(100/J22*K22-100,1)&gt;999,999,-999)))</f>
        <v>-100</v>
      </c>
      <c r="M22" s="24">
        <f>IFERROR(100/'Skjema total MA'!I22*K22,0)</f>
        <v>0</v>
      </c>
    </row>
    <row r="23" spans="1:14" ht="15.75" x14ac:dyDescent="0.2">
      <c r="A23" s="487" t="s">
        <v>350</v>
      </c>
      <c r="B23" s="267"/>
      <c r="C23" s="267"/>
      <c r="D23" s="150"/>
      <c r="E23" s="11"/>
      <c r="F23" s="276">
        <v>3072.5799299999999</v>
      </c>
      <c r="G23" s="276"/>
      <c r="H23" s="150">
        <f t="shared" si="6"/>
        <v>-100</v>
      </c>
      <c r="I23" s="221">
        <f>IFERROR(100/'Skjema total MA'!F23*G23,0)</f>
        <v>0</v>
      </c>
      <c r="J23" s="276">
        <f t="shared" ref="J23:J26" si="9">SUM(B23,F23)</f>
        <v>3072.5799299999999</v>
      </c>
      <c r="K23" s="276">
        <f t="shared" ref="K23:K26" si="10">SUM(C23,G23)</f>
        <v>0</v>
      </c>
      <c r="L23" s="150">
        <f t="shared" si="8"/>
        <v>-100</v>
      </c>
      <c r="M23" s="23">
        <f>IFERROR(100/'Skjema total MA'!I23*K23,0)</f>
        <v>0</v>
      </c>
    </row>
    <row r="24" spans="1:14" ht="15.75" x14ac:dyDescent="0.2">
      <c r="A24" s="487" t="s">
        <v>351</v>
      </c>
      <c r="B24" s="267"/>
      <c r="C24" s="267"/>
      <c r="D24" s="150"/>
      <c r="E24" s="11"/>
      <c r="F24" s="276"/>
      <c r="G24" s="276"/>
      <c r="H24" s="150"/>
      <c r="I24" s="221"/>
      <c r="J24" s="276"/>
      <c r="K24" s="276"/>
      <c r="L24" s="150"/>
      <c r="M24" s="23"/>
    </row>
    <row r="25" spans="1:14" ht="15.75" x14ac:dyDescent="0.2">
      <c r="A25" s="487" t="s">
        <v>352</v>
      </c>
      <c r="B25" s="267"/>
      <c r="C25" s="267"/>
      <c r="D25" s="150"/>
      <c r="E25" s="11"/>
      <c r="F25" s="276">
        <v>787.16200000000003</v>
      </c>
      <c r="G25" s="276"/>
      <c r="H25" s="150">
        <f t="shared" si="6"/>
        <v>-100</v>
      </c>
      <c r="I25" s="221">
        <f>IFERROR(100/'Skjema total MA'!F25*G25,0)</f>
        <v>0</v>
      </c>
      <c r="J25" s="276">
        <f t="shared" si="9"/>
        <v>787.16200000000003</v>
      </c>
      <c r="K25" s="276">
        <f t="shared" si="10"/>
        <v>0</v>
      </c>
      <c r="L25" s="150">
        <f t="shared" si="8"/>
        <v>-100</v>
      </c>
      <c r="M25" s="23">
        <f>IFERROR(100/'Skjema total MA'!I25*K25,0)</f>
        <v>0</v>
      </c>
    </row>
    <row r="26" spans="1:14" ht="15.75" x14ac:dyDescent="0.2">
      <c r="A26" s="487" t="s">
        <v>353</v>
      </c>
      <c r="B26" s="267"/>
      <c r="C26" s="267"/>
      <c r="D26" s="150"/>
      <c r="E26" s="11"/>
      <c r="F26" s="276">
        <v>23779.38391</v>
      </c>
      <c r="G26" s="276"/>
      <c r="H26" s="150">
        <f t="shared" si="6"/>
        <v>-100</v>
      </c>
      <c r="I26" s="221">
        <f>IFERROR(100/'Skjema total MA'!F26*G26,0)</f>
        <v>0</v>
      </c>
      <c r="J26" s="276">
        <f t="shared" si="9"/>
        <v>23779.38391</v>
      </c>
      <c r="K26" s="276">
        <f t="shared" si="10"/>
        <v>0</v>
      </c>
      <c r="L26" s="150">
        <f t="shared" si="8"/>
        <v>-100</v>
      </c>
      <c r="M26" s="23">
        <f>IFERROR(100/'Skjema total MA'!I26*K26,0)</f>
        <v>0</v>
      </c>
    </row>
    <row r="27" spans="1:14" x14ac:dyDescent="0.2">
      <c r="A27" s="487" t="s">
        <v>11</v>
      </c>
      <c r="B27" s="267"/>
      <c r="C27" s="267"/>
      <c r="D27" s="150"/>
      <c r="E27" s="11"/>
      <c r="F27" s="276"/>
      <c r="G27" s="276"/>
      <c r="H27" s="150"/>
      <c r="I27" s="221"/>
      <c r="J27" s="276"/>
      <c r="K27" s="276"/>
      <c r="L27" s="150"/>
      <c r="M27" s="23"/>
    </row>
    <row r="28" spans="1:14" ht="15.75" x14ac:dyDescent="0.2">
      <c r="A28" s="49" t="s">
        <v>268</v>
      </c>
      <c r="B28" s="44">
        <v>10074.13342</v>
      </c>
      <c r="C28" s="273"/>
      <c r="D28" s="150">
        <f t="shared" si="5"/>
        <v>-100</v>
      </c>
      <c r="E28" s="11">
        <f>IFERROR(100/'Skjema total MA'!C28*C28,0)</f>
        <v>0</v>
      </c>
      <c r="F28" s="215"/>
      <c r="G28" s="273"/>
      <c r="H28" s="150"/>
      <c r="I28" s="160"/>
      <c r="J28" s="44">
        <f t="shared" si="7"/>
        <v>10074.13342</v>
      </c>
      <c r="K28" s="44">
        <f t="shared" si="7"/>
        <v>0</v>
      </c>
      <c r="L28" s="240">
        <f t="shared" si="8"/>
        <v>-100</v>
      </c>
      <c r="M28" s="23">
        <f>IFERROR(100/'Skjema total MA'!I28*K28,0)</f>
        <v>0</v>
      </c>
    </row>
    <row r="29" spans="1:14" s="3" customFormat="1" ht="15.75" x14ac:dyDescent="0.2">
      <c r="A29" s="13" t="s">
        <v>347</v>
      </c>
      <c r="B29" s="217">
        <v>155456.95600000001</v>
      </c>
      <c r="C29" s="217"/>
      <c r="D29" s="155">
        <f t="shared" si="5"/>
        <v>-100</v>
      </c>
      <c r="E29" s="11">
        <f>IFERROR(100/'Skjema total MA'!C29*C29,0)</f>
        <v>0</v>
      </c>
      <c r="F29" s="291">
        <v>1852850.5419399999</v>
      </c>
      <c r="G29" s="291"/>
      <c r="H29" s="155">
        <f t="shared" si="6"/>
        <v>-100</v>
      </c>
      <c r="I29" s="144">
        <f>IFERROR(100/'Skjema total MA'!F29*G29,0)</f>
        <v>0</v>
      </c>
      <c r="J29" s="217">
        <f t="shared" si="7"/>
        <v>2008307.4979399999</v>
      </c>
      <c r="K29" s="217">
        <f t="shared" si="7"/>
        <v>0</v>
      </c>
      <c r="L29" s="406">
        <f t="shared" si="8"/>
        <v>-100</v>
      </c>
      <c r="M29" s="24">
        <f>IFERROR(100/'Skjema total MA'!I29*K29,0)</f>
        <v>0</v>
      </c>
      <c r="N29" s="132"/>
    </row>
    <row r="30" spans="1:14" s="3" customFormat="1" ht="15.75" x14ac:dyDescent="0.2">
      <c r="A30" s="487" t="s">
        <v>350</v>
      </c>
      <c r="B30" s="267"/>
      <c r="C30" s="267"/>
      <c r="D30" s="150"/>
      <c r="E30" s="11"/>
      <c r="F30" s="276">
        <v>508827.13008999999</v>
      </c>
      <c r="G30" s="276"/>
      <c r="H30" s="150">
        <f t="shared" si="6"/>
        <v>-100</v>
      </c>
      <c r="I30" s="221">
        <f>IFERROR(100/'Skjema total MA'!F30*G30,0)</f>
        <v>0</v>
      </c>
      <c r="J30" s="276">
        <f t="shared" ref="J30:J33" si="11">SUM(B30,F30)</f>
        <v>508827.13008999999</v>
      </c>
      <c r="K30" s="276">
        <f t="shared" ref="K30:K33" si="12">SUM(C30,G30)</f>
        <v>0</v>
      </c>
      <c r="L30" s="150">
        <f t="shared" si="8"/>
        <v>-100</v>
      </c>
      <c r="M30" s="23">
        <f>IFERROR(100/'Skjema total MA'!I30*K30,0)</f>
        <v>0</v>
      </c>
      <c r="N30" s="132"/>
    </row>
    <row r="31" spans="1:14" s="3" customFormat="1" ht="15.75" x14ac:dyDescent="0.2">
      <c r="A31" s="487" t="s">
        <v>351</v>
      </c>
      <c r="B31" s="267"/>
      <c r="C31" s="267"/>
      <c r="D31" s="150"/>
      <c r="E31" s="11"/>
      <c r="F31" s="276">
        <v>904296.40485999803</v>
      </c>
      <c r="G31" s="276"/>
      <c r="H31" s="150">
        <f t="shared" si="6"/>
        <v>-100</v>
      </c>
      <c r="I31" s="221">
        <f>IFERROR(100/'Skjema total MA'!F31*G31,0)</f>
        <v>0</v>
      </c>
      <c r="J31" s="276">
        <f t="shared" si="11"/>
        <v>904296.40485999803</v>
      </c>
      <c r="K31" s="276">
        <f t="shared" si="12"/>
        <v>0</v>
      </c>
      <c r="L31" s="150">
        <f t="shared" si="8"/>
        <v>-100</v>
      </c>
      <c r="M31" s="23">
        <f>IFERROR(100/'Skjema total MA'!I31*K31,0)</f>
        <v>0</v>
      </c>
      <c r="N31" s="132"/>
    </row>
    <row r="32" spans="1:14" ht="15.75" x14ac:dyDescent="0.2">
      <c r="A32" s="487" t="s">
        <v>352</v>
      </c>
      <c r="B32" s="267"/>
      <c r="C32" s="267"/>
      <c r="D32" s="150"/>
      <c r="E32" s="11"/>
      <c r="F32" s="276">
        <v>81560.784440000105</v>
      </c>
      <c r="G32" s="276"/>
      <c r="H32" s="150">
        <f t="shared" si="6"/>
        <v>-100</v>
      </c>
      <c r="I32" s="221">
        <f>IFERROR(100/'Skjema total MA'!F32*G32,0)</f>
        <v>0</v>
      </c>
      <c r="J32" s="276">
        <f t="shared" si="11"/>
        <v>81560.784440000105</v>
      </c>
      <c r="K32" s="276">
        <f t="shared" si="12"/>
        <v>0</v>
      </c>
      <c r="L32" s="150">
        <f t="shared" si="8"/>
        <v>-100</v>
      </c>
      <c r="M32" s="23">
        <f>IFERROR(100/'Skjema total MA'!I32*K32,0)</f>
        <v>0</v>
      </c>
    </row>
    <row r="33" spans="1:14" ht="15.75" x14ac:dyDescent="0.2">
      <c r="A33" s="487" t="s">
        <v>353</v>
      </c>
      <c r="B33" s="267"/>
      <c r="C33" s="267"/>
      <c r="D33" s="150"/>
      <c r="E33" s="11"/>
      <c r="F33" s="276">
        <v>358166.22255000198</v>
      </c>
      <c r="G33" s="276"/>
      <c r="H33" s="150">
        <f t="shared" si="6"/>
        <v>-100</v>
      </c>
      <c r="I33" s="221">
        <f>IFERROR(100/'Skjema total MA'!F34*G33,0)</f>
        <v>0</v>
      </c>
      <c r="J33" s="276">
        <f t="shared" si="11"/>
        <v>358166.22255000198</v>
      </c>
      <c r="K33" s="276">
        <f t="shared" si="12"/>
        <v>0</v>
      </c>
      <c r="L33" s="150">
        <f t="shared" si="8"/>
        <v>-100</v>
      </c>
      <c r="M33" s="23">
        <f>IFERROR(100/'Skjema total MA'!I34*K33,0)</f>
        <v>0</v>
      </c>
    </row>
    <row r="34" spans="1:14" ht="15.75" x14ac:dyDescent="0.2">
      <c r="A34" s="13" t="s">
        <v>348</v>
      </c>
      <c r="B34" s="217"/>
      <c r="C34" s="292"/>
      <c r="D34" s="155"/>
      <c r="E34" s="11"/>
      <c r="F34" s="291">
        <v>2653.32159</v>
      </c>
      <c r="G34" s="292"/>
      <c r="H34" s="155">
        <f t="shared" si="6"/>
        <v>-100</v>
      </c>
      <c r="I34" s="144">
        <f>IFERROR(100/'Skjema total MA'!F34*G34,0)</f>
        <v>0</v>
      </c>
      <c r="J34" s="217">
        <f t="shared" si="7"/>
        <v>2653.32159</v>
      </c>
      <c r="K34" s="217">
        <f t="shared" si="7"/>
        <v>0</v>
      </c>
      <c r="L34" s="406">
        <f t="shared" si="8"/>
        <v>-100</v>
      </c>
      <c r="M34" s="24">
        <f>IFERROR(100/'Skjema total MA'!I34*K34,0)</f>
        <v>0</v>
      </c>
    </row>
    <row r="35" spans="1:14" ht="15.75" x14ac:dyDescent="0.2">
      <c r="A35" s="13" t="s">
        <v>349</v>
      </c>
      <c r="B35" s="217"/>
      <c r="C35" s="292"/>
      <c r="D35" s="155"/>
      <c r="E35" s="11"/>
      <c r="F35" s="291">
        <v>11552.883</v>
      </c>
      <c r="G35" s="292"/>
      <c r="H35" s="155">
        <f t="shared" si="6"/>
        <v>-100</v>
      </c>
      <c r="I35" s="144">
        <f>IFERROR(100/'Skjema total MA'!F35*G35,0)</f>
        <v>0</v>
      </c>
      <c r="J35" s="217">
        <f t="shared" si="7"/>
        <v>11552.883</v>
      </c>
      <c r="K35" s="217">
        <f t="shared" si="7"/>
        <v>0</v>
      </c>
      <c r="L35" s="406">
        <f t="shared" si="8"/>
        <v>-100</v>
      </c>
      <c r="M35" s="24">
        <f>IFERROR(100/'Skjema total MA'!I35*K35,0)</f>
        <v>0</v>
      </c>
    </row>
    <row r="36" spans="1:14" ht="15.75" x14ac:dyDescent="0.2">
      <c r="A36" s="12" t="s">
        <v>276</v>
      </c>
      <c r="B36" s="217"/>
      <c r="C36" s="292"/>
      <c r="D36" s="155"/>
      <c r="E36" s="11"/>
      <c r="F36" s="302"/>
      <c r="G36" s="303"/>
      <c r="H36" s="155"/>
      <c r="I36" s="408"/>
      <c r="J36" s="217"/>
      <c r="K36" s="217"/>
      <c r="L36" s="406"/>
      <c r="M36" s="24"/>
    </row>
    <row r="37" spans="1:14" ht="15.75" x14ac:dyDescent="0.2">
      <c r="A37" s="12" t="s">
        <v>355</v>
      </c>
      <c r="B37" s="217"/>
      <c r="C37" s="292"/>
      <c r="D37" s="155"/>
      <c r="E37" s="11"/>
      <c r="F37" s="302"/>
      <c r="G37" s="304"/>
      <c r="H37" s="155"/>
      <c r="I37" s="408"/>
      <c r="J37" s="217"/>
      <c r="K37" s="217"/>
      <c r="L37" s="406"/>
      <c r="M37" s="24"/>
    </row>
    <row r="38" spans="1:14" ht="15.75" x14ac:dyDescent="0.2">
      <c r="A38" s="12" t="s">
        <v>356</v>
      </c>
      <c r="B38" s="217"/>
      <c r="C38" s="292"/>
      <c r="D38" s="155"/>
      <c r="E38" s="24"/>
      <c r="F38" s="302"/>
      <c r="G38" s="303"/>
      <c r="H38" s="155"/>
      <c r="I38" s="408"/>
      <c r="J38" s="217"/>
      <c r="K38" s="217"/>
      <c r="L38" s="406"/>
      <c r="M38" s="24"/>
    </row>
    <row r="39" spans="1:14" ht="15.75" x14ac:dyDescent="0.2">
      <c r="A39" s="18" t="s">
        <v>357</v>
      </c>
      <c r="B39" s="262"/>
      <c r="C39" s="298"/>
      <c r="D39" s="153"/>
      <c r="E39" s="36"/>
      <c r="F39" s="305"/>
      <c r="G39" s="306"/>
      <c r="H39" s="153"/>
      <c r="I39" s="153"/>
      <c r="J39" s="217"/>
      <c r="K39" s="217"/>
      <c r="L39" s="407"/>
      <c r="M39" s="36"/>
    </row>
    <row r="40" spans="1:14" ht="15.75" x14ac:dyDescent="0.25">
      <c r="A40" s="47"/>
      <c r="B40" s="239"/>
      <c r="C40" s="239"/>
      <c r="D40" s="726"/>
      <c r="E40" s="726"/>
      <c r="F40" s="726"/>
      <c r="G40" s="726"/>
      <c r="H40" s="726"/>
      <c r="I40" s="726"/>
      <c r="J40" s="726"/>
      <c r="K40" s="726"/>
      <c r="L40" s="726"/>
      <c r="M40" s="385"/>
    </row>
    <row r="41" spans="1:14" x14ac:dyDescent="0.2">
      <c r="A41" s="139"/>
    </row>
    <row r="42" spans="1:14" ht="15.75" x14ac:dyDescent="0.25">
      <c r="A42" s="131" t="s">
        <v>265</v>
      </c>
      <c r="B42" s="727"/>
      <c r="C42" s="727"/>
      <c r="D42" s="727"/>
      <c r="E42" s="384"/>
      <c r="F42" s="728"/>
      <c r="G42" s="728"/>
      <c r="H42" s="728"/>
      <c r="I42" s="385"/>
      <c r="J42" s="728"/>
      <c r="K42" s="728"/>
      <c r="L42" s="728"/>
      <c r="M42" s="385"/>
    </row>
    <row r="43" spans="1:14" ht="15.75" x14ac:dyDescent="0.25">
      <c r="A43" s="147"/>
      <c r="B43" s="381"/>
      <c r="C43" s="381"/>
      <c r="D43" s="381"/>
      <c r="E43" s="381"/>
      <c r="F43" s="385"/>
      <c r="G43" s="385"/>
      <c r="H43" s="385"/>
      <c r="I43" s="385"/>
      <c r="J43" s="385"/>
      <c r="K43" s="385"/>
      <c r="L43" s="385"/>
      <c r="M43" s="385"/>
    </row>
    <row r="44" spans="1:14" ht="15.75" x14ac:dyDescent="0.25">
      <c r="A44" s="230"/>
      <c r="B44" s="723" t="s">
        <v>0</v>
      </c>
      <c r="C44" s="724"/>
      <c r="D44" s="724"/>
      <c r="E44" s="225"/>
      <c r="F44" s="385"/>
      <c r="G44" s="385"/>
      <c r="H44" s="385"/>
      <c r="I44" s="385"/>
      <c r="J44" s="385"/>
      <c r="K44" s="385"/>
      <c r="L44" s="385"/>
      <c r="M44" s="3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6174.6272600000002</v>
      </c>
      <c r="C47" s="294"/>
      <c r="D47" s="405">
        <f t="shared" ref="D47:D48" si="13">IF(B47=0, "    ---- ", IF(ABS(ROUND(100/B47*C47-100,1))&lt;999,ROUND(100/B47*C47-100,1),IF(ROUND(100/B47*C47-100,1)&gt;999,999,-999)))</f>
        <v>-100</v>
      </c>
      <c r="E47" s="11">
        <f>IFERROR(100/'Skjema total MA'!C47*C47,0)</f>
        <v>0</v>
      </c>
      <c r="F47" s="129"/>
      <c r="G47" s="33"/>
      <c r="H47" s="143"/>
      <c r="I47" s="143"/>
      <c r="J47" s="37"/>
      <c r="K47" s="37"/>
      <c r="L47" s="143"/>
      <c r="M47" s="143"/>
      <c r="N47" s="132"/>
    </row>
    <row r="48" spans="1:14" s="3" customFormat="1" ht="15.75" x14ac:dyDescent="0.2">
      <c r="A48" s="38" t="s">
        <v>358</v>
      </c>
      <c r="B48" s="267">
        <v>6174.6272600000002</v>
      </c>
      <c r="C48" s="268"/>
      <c r="D48" s="240">
        <f t="shared" si="13"/>
        <v>-100</v>
      </c>
      <c r="E48" s="27">
        <f>IFERROR(100/'Skjema total MA'!C48*C48,0)</f>
        <v>0</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c r="C53" s="294"/>
      <c r="D53" s="406"/>
      <c r="E53" s="11"/>
      <c r="F53" s="129"/>
      <c r="G53" s="33"/>
      <c r="H53" s="129"/>
      <c r="I53" s="129"/>
      <c r="J53" s="33"/>
      <c r="K53" s="33"/>
      <c r="L53" s="143"/>
      <c r="M53" s="143"/>
      <c r="N53" s="132"/>
    </row>
    <row r="54" spans="1:14" s="3" customFormat="1" ht="15.75" x14ac:dyDescent="0.2">
      <c r="A54" s="38" t="s">
        <v>358</v>
      </c>
      <c r="B54" s="267"/>
      <c r="C54" s="268"/>
      <c r="D54" s="240"/>
      <c r="E54" s="27"/>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c r="C56" s="294"/>
      <c r="D56" s="406"/>
      <c r="E56" s="11"/>
      <c r="F56" s="129"/>
      <c r="G56" s="33"/>
      <c r="H56" s="129"/>
      <c r="I56" s="129"/>
      <c r="J56" s="33"/>
      <c r="K56" s="33"/>
      <c r="L56" s="143"/>
      <c r="M56" s="143"/>
      <c r="N56" s="132"/>
    </row>
    <row r="57" spans="1:14" s="3" customFormat="1" ht="15.75" x14ac:dyDescent="0.2">
      <c r="A57" s="38" t="s">
        <v>358</v>
      </c>
      <c r="B57" s="267"/>
      <c r="C57" s="268"/>
      <c r="D57" s="240"/>
      <c r="E57" s="27"/>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384"/>
      <c r="F62" s="722"/>
      <c r="G62" s="722"/>
      <c r="H62" s="722"/>
      <c r="I62" s="384"/>
      <c r="J62" s="722"/>
      <c r="K62" s="722"/>
      <c r="L62" s="722"/>
      <c r="M62" s="384"/>
    </row>
    <row r="63" spans="1:14" x14ac:dyDescent="0.2">
      <c r="A63" s="128"/>
      <c r="B63" s="723" t="s">
        <v>0</v>
      </c>
      <c r="C63" s="724"/>
      <c r="D63" s="725"/>
      <c r="E63" s="382"/>
      <c r="F63" s="724" t="s">
        <v>1</v>
      </c>
      <c r="G63" s="724"/>
      <c r="H63" s="724"/>
      <c r="I63" s="386"/>
      <c r="J63" s="723" t="s">
        <v>2</v>
      </c>
      <c r="K63" s="724"/>
      <c r="L63" s="724"/>
      <c r="M63" s="386"/>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v>111639.26734000001</v>
      </c>
      <c r="C66" s="335"/>
      <c r="D66" s="332">
        <f t="shared" ref="D66:D120" si="14">IF(B66=0, "    ---- ", IF(ABS(ROUND(100/B66*C66-100,1))&lt;999,ROUND(100/B66*C66-100,1),IF(ROUND(100/B66*C66-100,1)&gt;999,999,-999)))</f>
        <v>-100</v>
      </c>
      <c r="E66" s="11">
        <f>IFERROR(100/'Skjema total MA'!C66*C66,0)</f>
        <v>0</v>
      </c>
      <c r="F66" s="334">
        <v>1612452.5282699999</v>
      </c>
      <c r="G66" s="334"/>
      <c r="H66" s="332">
        <f t="shared" ref="H66:H125" si="15">IF(F66=0, "    ---- ", IF(ABS(ROUND(100/F66*G66-100,1))&lt;999,ROUND(100/F66*G66-100,1),IF(ROUND(100/F66*G66-100,1)&gt;999,999,-999)))</f>
        <v>-100</v>
      </c>
      <c r="I66" s="11">
        <f>IFERROR(100/'Skjema total MA'!F66*G66,0)</f>
        <v>0</v>
      </c>
      <c r="J66" s="292">
        <f t="shared" ref="J66:K79" si="16">SUM(B66,F66)</f>
        <v>1724091.7956099999</v>
      </c>
      <c r="K66" s="299">
        <f t="shared" si="16"/>
        <v>0</v>
      </c>
      <c r="L66" s="406">
        <f t="shared" ref="L66:L125" si="17">IF(J66=0, "    ---- ", IF(ABS(ROUND(100/J66*K66-100,1))&lt;999,ROUND(100/J66*K66-100,1),IF(ROUND(100/J66*K66-100,1)&gt;999,999,-999)))</f>
        <v>-100</v>
      </c>
      <c r="M66" s="11">
        <f>IFERROR(100/'Skjema total MA'!I66*K66,0)</f>
        <v>0</v>
      </c>
    </row>
    <row r="67" spans="1:14" x14ac:dyDescent="0.2">
      <c r="A67" s="21" t="s">
        <v>9</v>
      </c>
      <c r="B67" s="44">
        <v>111639.26734000001</v>
      </c>
      <c r="C67" s="129"/>
      <c r="D67" s="150">
        <f t="shared" si="14"/>
        <v>-100</v>
      </c>
      <c r="E67" s="27">
        <f>IFERROR(100/'Skjema total MA'!C67*C67,0)</f>
        <v>0</v>
      </c>
      <c r="F67" s="215"/>
      <c r="G67" s="129"/>
      <c r="H67" s="150"/>
      <c r="I67" s="27"/>
      <c r="J67" s="273">
        <f t="shared" si="16"/>
        <v>111639.26734000001</v>
      </c>
      <c r="K67" s="44">
        <f t="shared" si="16"/>
        <v>0</v>
      </c>
      <c r="L67" s="240">
        <f t="shared" si="17"/>
        <v>-100</v>
      </c>
      <c r="M67" s="27">
        <f>IFERROR(100/'Skjema total MA'!I67*K67,0)</f>
        <v>0</v>
      </c>
    </row>
    <row r="68" spans="1:14" x14ac:dyDescent="0.2">
      <c r="A68" s="21" t="s">
        <v>10</v>
      </c>
      <c r="B68" s="277"/>
      <c r="C68" s="278"/>
      <c r="D68" s="150"/>
      <c r="E68" s="27"/>
      <c r="F68" s="277">
        <v>1612452.5282699999</v>
      </c>
      <c r="G68" s="278"/>
      <c r="H68" s="150">
        <f t="shared" si="15"/>
        <v>-100</v>
      </c>
      <c r="I68" s="27">
        <f>IFERROR(100/'Skjema total MA'!F68*G68,0)</f>
        <v>0</v>
      </c>
      <c r="J68" s="273">
        <f t="shared" si="16"/>
        <v>1612452.5282699999</v>
      </c>
      <c r="K68" s="44">
        <f t="shared" si="16"/>
        <v>0</v>
      </c>
      <c r="L68" s="240">
        <f t="shared" si="17"/>
        <v>-100</v>
      </c>
      <c r="M68" s="27">
        <f>IFERROR(100/'Skjema total MA'!I68*K68,0)</f>
        <v>0</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c r="C76" s="129"/>
      <c r="D76" s="150"/>
      <c r="E76" s="27"/>
      <c r="F76" s="215"/>
      <c r="G76" s="129"/>
      <c r="H76" s="150"/>
      <c r="I76" s="27"/>
      <c r="J76" s="273"/>
      <c r="K76" s="44"/>
      <c r="L76" s="240"/>
      <c r="M76" s="27"/>
      <c r="N76" s="132"/>
    </row>
    <row r="77" spans="1:14" ht="15.75" x14ac:dyDescent="0.2">
      <c r="A77" s="21" t="s">
        <v>364</v>
      </c>
      <c r="B77" s="215">
        <v>111639.26734000001</v>
      </c>
      <c r="C77" s="215"/>
      <c r="D77" s="150">
        <f t="shared" si="14"/>
        <v>-100</v>
      </c>
      <c r="E77" s="27">
        <f>IFERROR(100/'Skjema total MA'!C77*C77,0)</f>
        <v>0</v>
      </c>
      <c r="F77" s="215">
        <v>1612452.5282699999</v>
      </c>
      <c r="G77" s="129"/>
      <c r="H77" s="150">
        <f t="shared" si="15"/>
        <v>-100</v>
      </c>
      <c r="I77" s="27">
        <f>IFERROR(100/'Skjema total MA'!F77*G77,0)</f>
        <v>0</v>
      </c>
      <c r="J77" s="273">
        <f t="shared" si="16"/>
        <v>1724091.7956099999</v>
      </c>
      <c r="K77" s="44">
        <f t="shared" si="16"/>
        <v>0</v>
      </c>
      <c r="L77" s="240">
        <f t="shared" si="17"/>
        <v>-100</v>
      </c>
      <c r="M77" s="27">
        <f>IFERROR(100/'Skjema total MA'!I77*K77,0)</f>
        <v>0</v>
      </c>
    </row>
    <row r="78" spans="1:14" x14ac:dyDescent="0.2">
      <c r="A78" s="21" t="s">
        <v>9</v>
      </c>
      <c r="B78" s="215">
        <v>111639.26734000001</v>
      </c>
      <c r="C78" s="129"/>
      <c r="D78" s="150">
        <f t="shared" si="14"/>
        <v>-100</v>
      </c>
      <c r="E78" s="27">
        <f>IFERROR(100/'Skjema total MA'!C78*C78,0)</f>
        <v>0</v>
      </c>
      <c r="F78" s="215"/>
      <c r="G78" s="129"/>
      <c r="H78" s="150"/>
      <c r="I78" s="27"/>
      <c r="J78" s="273">
        <f t="shared" si="16"/>
        <v>111639.26734000001</v>
      </c>
      <c r="K78" s="44">
        <f t="shared" si="16"/>
        <v>0</v>
      </c>
      <c r="L78" s="240">
        <f t="shared" si="17"/>
        <v>-100</v>
      </c>
      <c r="M78" s="27">
        <f>IFERROR(100/'Skjema total MA'!I78*K78,0)</f>
        <v>0</v>
      </c>
    </row>
    <row r="79" spans="1:14" x14ac:dyDescent="0.2">
      <c r="A79" s="38" t="s">
        <v>396</v>
      </c>
      <c r="B79" s="277"/>
      <c r="C79" s="278"/>
      <c r="D79" s="150"/>
      <c r="E79" s="27"/>
      <c r="F79" s="277">
        <v>1612452.5282699999</v>
      </c>
      <c r="G79" s="278"/>
      <c r="H79" s="150">
        <f t="shared" si="15"/>
        <v>-100</v>
      </c>
      <c r="I79" s="27">
        <f>IFERROR(100/'Skjema total MA'!F79*G79,0)</f>
        <v>0</v>
      </c>
      <c r="J79" s="273">
        <f t="shared" si="16"/>
        <v>1612452.5282699999</v>
      </c>
      <c r="K79" s="44">
        <f t="shared" si="16"/>
        <v>0</v>
      </c>
      <c r="L79" s="240">
        <f t="shared" si="17"/>
        <v>-100</v>
      </c>
      <c r="M79" s="27">
        <f>IFERROR(100/'Skjema total MA'!I79*K79,0)</f>
        <v>0</v>
      </c>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c r="C86" s="129"/>
      <c r="D86" s="150"/>
      <c r="E86" s="27"/>
      <c r="F86" s="215"/>
      <c r="G86" s="129"/>
      <c r="H86" s="150"/>
      <c r="I86" s="27"/>
      <c r="J86" s="273"/>
      <c r="K86" s="44"/>
      <c r="L86" s="240"/>
      <c r="M86" s="27"/>
    </row>
    <row r="87" spans="1:13" ht="15.75" x14ac:dyDescent="0.2">
      <c r="A87" s="13" t="s">
        <v>347</v>
      </c>
      <c r="B87" s="335">
        <v>905483.26399999997</v>
      </c>
      <c r="C87" s="335"/>
      <c r="D87" s="155">
        <f t="shared" si="14"/>
        <v>-100</v>
      </c>
      <c r="E87" s="11">
        <f>IFERROR(100/'Skjema total MA'!C87*C87,0)</f>
        <v>0</v>
      </c>
      <c r="F87" s="334">
        <v>21431347.567570001</v>
      </c>
      <c r="G87" s="334"/>
      <c r="H87" s="155">
        <f t="shared" si="15"/>
        <v>-100</v>
      </c>
      <c r="I87" s="11">
        <f>IFERROR(100/'Skjema total MA'!F87*G87,0)</f>
        <v>0</v>
      </c>
      <c r="J87" s="292">
        <f t="shared" ref="J87:K111" si="18">SUM(B87,F87)</f>
        <v>22336830.831569999</v>
      </c>
      <c r="K87" s="217">
        <f t="shared" si="18"/>
        <v>0</v>
      </c>
      <c r="L87" s="406">
        <f t="shared" si="17"/>
        <v>-100</v>
      </c>
      <c r="M87" s="11">
        <f>IFERROR(100/'Skjema total MA'!I87*K87,0)</f>
        <v>0</v>
      </c>
    </row>
    <row r="88" spans="1:13" x14ac:dyDescent="0.2">
      <c r="A88" s="21" t="s">
        <v>9</v>
      </c>
      <c r="B88" s="215">
        <v>905483.26399999997</v>
      </c>
      <c r="C88" s="129"/>
      <c r="D88" s="150">
        <f t="shared" si="14"/>
        <v>-100</v>
      </c>
      <c r="E88" s="27">
        <f>IFERROR(100/'Skjema total MA'!C88*C88,0)</f>
        <v>0</v>
      </c>
      <c r="F88" s="215"/>
      <c r="G88" s="129"/>
      <c r="H88" s="150"/>
      <c r="I88" s="27"/>
      <c r="J88" s="273">
        <f t="shared" si="18"/>
        <v>905483.26399999997</v>
      </c>
      <c r="K88" s="44">
        <f t="shared" si="18"/>
        <v>0</v>
      </c>
      <c r="L88" s="240">
        <f t="shared" si="17"/>
        <v>-100</v>
      </c>
      <c r="M88" s="27">
        <f>IFERROR(100/'Skjema total MA'!I88*K88,0)</f>
        <v>0</v>
      </c>
    </row>
    <row r="89" spans="1:13" x14ac:dyDescent="0.2">
      <c r="A89" s="21" t="s">
        <v>10</v>
      </c>
      <c r="B89" s="215"/>
      <c r="C89" s="129"/>
      <c r="D89" s="150"/>
      <c r="E89" s="27"/>
      <c r="F89" s="215">
        <v>21431347.567570001</v>
      </c>
      <c r="G89" s="129"/>
      <c r="H89" s="150">
        <f t="shared" si="15"/>
        <v>-100</v>
      </c>
      <c r="I89" s="27">
        <f>IFERROR(100/'Skjema total MA'!F89*G89,0)</f>
        <v>0</v>
      </c>
      <c r="J89" s="273">
        <f t="shared" si="18"/>
        <v>21431347.567570001</v>
      </c>
      <c r="K89" s="44">
        <f t="shared" si="18"/>
        <v>0</v>
      </c>
      <c r="L89" s="240">
        <f t="shared" si="17"/>
        <v>-100</v>
      </c>
      <c r="M89" s="27">
        <f>IFERROR(100/'Skjema total MA'!I89*K89,0)</f>
        <v>0</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c r="C97" s="129"/>
      <c r="D97" s="150"/>
      <c r="E97" s="27"/>
      <c r="F97" s="215"/>
      <c r="G97" s="129"/>
      <c r="H97" s="150"/>
      <c r="I97" s="27"/>
      <c r="J97" s="273"/>
      <c r="K97" s="44"/>
      <c r="L97" s="240"/>
      <c r="M97" s="27"/>
    </row>
    <row r="98" spans="1:13" ht="15.75" x14ac:dyDescent="0.2">
      <c r="A98" s="21" t="s">
        <v>364</v>
      </c>
      <c r="B98" s="215">
        <v>905483.26399999997</v>
      </c>
      <c r="C98" s="215"/>
      <c r="D98" s="150">
        <f t="shared" si="14"/>
        <v>-100</v>
      </c>
      <c r="E98" s="27">
        <f>IFERROR(100/'Skjema total MA'!C98*C98,0)</f>
        <v>0</v>
      </c>
      <c r="F98" s="277">
        <v>21431347.567570001</v>
      </c>
      <c r="G98" s="277"/>
      <c r="H98" s="150">
        <f t="shared" si="15"/>
        <v>-100</v>
      </c>
      <c r="I98" s="27">
        <f>IFERROR(100/'Skjema total MA'!F98*G98,0)</f>
        <v>0</v>
      </c>
      <c r="J98" s="273">
        <f t="shared" si="18"/>
        <v>22336830.831569999</v>
      </c>
      <c r="K98" s="44">
        <f t="shared" si="18"/>
        <v>0</v>
      </c>
      <c r="L98" s="240">
        <f t="shared" si="17"/>
        <v>-100</v>
      </c>
      <c r="M98" s="27">
        <f>IFERROR(100/'Skjema total MA'!I98*K98,0)</f>
        <v>0</v>
      </c>
    </row>
    <row r="99" spans="1:13" x14ac:dyDescent="0.2">
      <c r="A99" s="21" t="s">
        <v>9</v>
      </c>
      <c r="B99" s="277">
        <v>905483.26399999997</v>
      </c>
      <c r="C99" s="278"/>
      <c r="D99" s="150">
        <f t="shared" si="14"/>
        <v>-100</v>
      </c>
      <c r="E99" s="27">
        <f>IFERROR(100/'Skjema total MA'!C99*C99,0)</f>
        <v>0</v>
      </c>
      <c r="F99" s="215"/>
      <c r="G99" s="129"/>
      <c r="H99" s="150"/>
      <c r="I99" s="27"/>
      <c r="J99" s="273">
        <f t="shared" si="18"/>
        <v>905483.26399999997</v>
      </c>
      <c r="K99" s="44">
        <f t="shared" si="18"/>
        <v>0</v>
      </c>
      <c r="L99" s="240">
        <f t="shared" si="17"/>
        <v>-100</v>
      </c>
      <c r="M99" s="27">
        <f>IFERROR(100/'Skjema total MA'!I99*K99,0)</f>
        <v>0</v>
      </c>
    </row>
    <row r="100" spans="1:13" x14ac:dyDescent="0.2">
      <c r="A100" s="38" t="s">
        <v>396</v>
      </c>
      <c r="B100" s="277"/>
      <c r="C100" s="278"/>
      <c r="D100" s="150"/>
      <c r="E100" s="27"/>
      <c r="F100" s="215">
        <v>21431347.567570001</v>
      </c>
      <c r="G100" s="215"/>
      <c r="H100" s="150">
        <f t="shared" si="15"/>
        <v>-100</v>
      </c>
      <c r="I100" s="27">
        <f>IFERROR(100/'Skjema total MA'!F100*G100,0)</f>
        <v>0</v>
      </c>
      <c r="J100" s="273">
        <f t="shared" si="18"/>
        <v>21431347.567570001</v>
      </c>
      <c r="K100" s="44">
        <f t="shared" si="18"/>
        <v>0</v>
      </c>
      <c r="L100" s="240">
        <f t="shared" si="17"/>
        <v>-100</v>
      </c>
      <c r="M100" s="27">
        <f>IFERROR(100/'Skjema total MA'!I100*K100,0)</f>
        <v>0</v>
      </c>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c r="C107" s="129"/>
      <c r="D107" s="150"/>
      <c r="E107" s="27"/>
      <c r="F107" s="215"/>
      <c r="G107" s="129"/>
      <c r="H107" s="150"/>
      <c r="I107" s="27"/>
      <c r="J107" s="273"/>
      <c r="K107" s="44"/>
      <c r="L107" s="240"/>
      <c r="M107" s="27"/>
    </row>
    <row r="108" spans="1:13" ht="15.75" x14ac:dyDescent="0.2">
      <c r="A108" s="21" t="s">
        <v>366</v>
      </c>
      <c r="B108" s="215">
        <v>154152.4785</v>
      </c>
      <c r="C108" s="215"/>
      <c r="D108" s="150">
        <f t="shared" si="14"/>
        <v>-100</v>
      </c>
      <c r="E108" s="27">
        <f>IFERROR(100/'Skjema total MA'!C108*C108,0)</f>
        <v>0</v>
      </c>
      <c r="F108" s="215">
        <v>190619.62729</v>
      </c>
      <c r="G108" s="215"/>
      <c r="H108" s="150">
        <f t="shared" si="15"/>
        <v>-100</v>
      </c>
      <c r="I108" s="27">
        <f>IFERROR(100/'Skjema total MA'!F108*G108,0)</f>
        <v>0</v>
      </c>
      <c r="J108" s="273">
        <f t="shared" si="18"/>
        <v>344772.10579</v>
      </c>
      <c r="K108" s="44">
        <f t="shared" si="18"/>
        <v>0</v>
      </c>
      <c r="L108" s="240">
        <f t="shared" si="17"/>
        <v>-100</v>
      </c>
      <c r="M108" s="27">
        <f>IFERROR(100/'Skjema total MA'!I108*K108,0)</f>
        <v>0</v>
      </c>
    </row>
    <row r="109" spans="1:13" ht="15.75" x14ac:dyDescent="0.2">
      <c r="A109" s="38" t="s">
        <v>404</v>
      </c>
      <c r="B109" s="215"/>
      <c r="C109" s="215"/>
      <c r="D109" s="150"/>
      <c r="E109" s="27"/>
      <c r="F109" s="215">
        <v>8840078.2292601001</v>
      </c>
      <c r="G109" s="215"/>
      <c r="H109" s="150">
        <f t="shared" si="15"/>
        <v>-100</v>
      </c>
      <c r="I109" s="27">
        <f>IFERROR(100/'Skjema total MA'!F109*G109,0)</f>
        <v>0</v>
      </c>
      <c r="J109" s="273">
        <f t="shared" si="18"/>
        <v>8840078.2292601001</v>
      </c>
      <c r="K109" s="44">
        <f t="shared" si="18"/>
        <v>0</v>
      </c>
      <c r="L109" s="240">
        <f t="shared" si="17"/>
        <v>-100</v>
      </c>
      <c r="M109" s="27">
        <f>IFERROR(100/'Skjema total MA'!I109*K109,0)</f>
        <v>0</v>
      </c>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v>26333.541089999999</v>
      </c>
      <c r="C111" s="143"/>
      <c r="D111" s="155">
        <f t="shared" si="14"/>
        <v>-100</v>
      </c>
      <c r="E111" s="11">
        <f>IFERROR(100/'Skjema total MA'!C111*C111,0)</f>
        <v>0</v>
      </c>
      <c r="F111" s="291">
        <v>1923616.9618500001</v>
      </c>
      <c r="G111" s="143"/>
      <c r="H111" s="155">
        <f t="shared" si="15"/>
        <v>-100</v>
      </c>
      <c r="I111" s="11">
        <f>IFERROR(100/'Skjema total MA'!F111*G111,0)</f>
        <v>0</v>
      </c>
      <c r="J111" s="292">
        <f t="shared" si="18"/>
        <v>1949950.50294</v>
      </c>
      <c r="K111" s="217">
        <f t="shared" si="18"/>
        <v>0</v>
      </c>
      <c r="L111" s="406">
        <f t="shared" si="17"/>
        <v>-100</v>
      </c>
      <c r="M111" s="11">
        <f>IFERROR(100/'Skjema total MA'!I111*K111,0)</f>
        <v>0</v>
      </c>
    </row>
    <row r="112" spans="1:13" x14ac:dyDescent="0.2">
      <c r="A112" s="21" t="s">
        <v>9</v>
      </c>
      <c r="B112" s="215">
        <v>26333.541089999999</v>
      </c>
      <c r="C112" s="129"/>
      <c r="D112" s="150">
        <f t="shared" si="14"/>
        <v>-100</v>
      </c>
      <c r="E112" s="27">
        <f>IFERROR(100/'Skjema total MA'!C112*C112,0)</f>
        <v>0</v>
      </c>
      <c r="F112" s="215"/>
      <c r="G112" s="129"/>
      <c r="H112" s="150"/>
      <c r="I112" s="27"/>
      <c r="J112" s="273"/>
      <c r="K112" s="44"/>
      <c r="L112" s="240"/>
      <c r="M112" s="27"/>
    </row>
    <row r="113" spans="1:14" x14ac:dyDescent="0.2">
      <c r="A113" s="21" t="s">
        <v>10</v>
      </c>
      <c r="B113" s="215"/>
      <c r="C113" s="129"/>
      <c r="D113" s="150"/>
      <c r="E113" s="27"/>
      <c r="F113" s="215">
        <v>1923616.9618500001</v>
      </c>
      <c r="G113" s="129"/>
      <c r="H113" s="150">
        <f t="shared" si="15"/>
        <v>-100</v>
      </c>
      <c r="I113" s="27">
        <f>IFERROR(100/'Skjema total MA'!F113*G113,0)</f>
        <v>0</v>
      </c>
      <c r="J113" s="273">
        <f t="shared" ref="J113:K125" si="19">SUM(B113,F113)</f>
        <v>1923616.9618500001</v>
      </c>
      <c r="K113" s="44">
        <f t="shared" si="19"/>
        <v>0</v>
      </c>
      <c r="L113" s="240">
        <f t="shared" si="17"/>
        <v>-100</v>
      </c>
      <c r="M113" s="27">
        <f>IFERROR(100/'Skjema total MA'!I113*K113,0)</f>
        <v>0</v>
      </c>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217"/>
      <c r="C116" s="291"/>
      <c r="D116" s="150"/>
      <c r="E116" s="27"/>
      <c r="F116" s="215"/>
      <c r="G116" s="215"/>
      <c r="H116" s="150"/>
      <c r="I116" s="27"/>
      <c r="J116" s="273"/>
      <c r="K116" s="44"/>
      <c r="L116" s="240"/>
      <c r="M116" s="27"/>
    </row>
    <row r="117" spans="1:14" ht="15.75" x14ac:dyDescent="0.2">
      <c r="A117" s="38" t="s">
        <v>404</v>
      </c>
      <c r="B117" s="217"/>
      <c r="C117" s="291"/>
      <c r="D117" s="150"/>
      <c r="E117" s="27"/>
      <c r="F117" s="215">
        <v>1422895.57871</v>
      </c>
      <c r="G117" s="215"/>
      <c r="H117" s="150">
        <f t="shared" si="15"/>
        <v>-100</v>
      </c>
      <c r="I117" s="27">
        <f>IFERROR(100/'Skjema total MA'!F117*G117,0)</f>
        <v>0</v>
      </c>
      <c r="J117" s="273">
        <f t="shared" si="19"/>
        <v>1422895.57871</v>
      </c>
      <c r="K117" s="44">
        <f t="shared" si="19"/>
        <v>0</v>
      </c>
      <c r="L117" s="240">
        <f t="shared" si="17"/>
        <v>-100</v>
      </c>
      <c r="M117" s="27">
        <f>IFERROR(100/'Skjema total MA'!I117*K117,0)</f>
        <v>0</v>
      </c>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693">
        <v>21622.896100000002</v>
      </c>
      <c r="C119" s="217"/>
      <c r="D119" s="155">
        <f t="shared" si="14"/>
        <v>-100</v>
      </c>
      <c r="E119" s="11">
        <f>IFERROR(100/'Skjema total MA'!C119*C119,0)</f>
        <v>0</v>
      </c>
      <c r="F119" s="291">
        <v>2311441.929</v>
      </c>
      <c r="G119" s="143"/>
      <c r="H119" s="155">
        <f t="shared" si="15"/>
        <v>-100</v>
      </c>
      <c r="I119" s="11">
        <f>IFERROR(100/'Skjema total MA'!F119*G119,0)</f>
        <v>0</v>
      </c>
      <c r="J119" s="292">
        <f t="shared" si="19"/>
        <v>2333064.8251</v>
      </c>
      <c r="K119" s="217">
        <f t="shared" si="19"/>
        <v>0</v>
      </c>
      <c r="L119" s="406">
        <f t="shared" si="17"/>
        <v>-100</v>
      </c>
      <c r="M119" s="11">
        <f>IFERROR(100/'Skjema total MA'!I119*K119,0)</f>
        <v>0</v>
      </c>
    </row>
    <row r="120" spans="1:14" x14ac:dyDescent="0.2">
      <c r="A120" s="21" t="s">
        <v>9</v>
      </c>
      <c r="B120" s="694">
        <v>21622.896100000002</v>
      </c>
      <c r="C120" s="217"/>
      <c r="D120" s="150">
        <f t="shared" si="14"/>
        <v>-100</v>
      </c>
      <c r="E120" s="27">
        <f>IFERROR(100/'Skjema total MA'!C120*C120,0)</f>
        <v>0</v>
      </c>
      <c r="F120" s="215"/>
      <c r="G120" s="129"/>
      <c r="H120" s="150"/>
      <c r="I120" s="27"/>
      <c r="J120" s="273">
        <f t="shared" si="19"/>
        <v>21622.896100000002</v>
      </c>
      <c r="K120" s="44">
        <f t="shared" si="19"/>
        <v>0</v>
      </c>
      <c r="L120" s="240">
        <f t="shared" si="17"/>
        <v>-100</v>
      </c>
      <c r="M120" s="27">
        <f>IFERROR(100/'Skjema total MA'!I120*K120,0)</f>
        <v>0</v>
      </c>
    </row>
    <row r="121" spans="1:14" x14ac:dyDescent="0.2">
      <c r="A121" s="21" t="s">
        <v>10</v>
      </c>
      <c r="B121" s="215"/>
      <c r="C121" s="129"/>
      <c r="D121" s="150"/>
      <c r="E121" s="27"/>
      <c r="F121" s="215">
        <v>2311441.929</v>
      </c>
      <c r="G121" s="129"/>
      <c r="H121" s="150">
        <f t="shared" si="15"/>
        <v>-100</v>
      </c>
      <c r="I121" s="27">
        <f>IFERROR(100/'Skjema total MA'!F121*G121,0)</f>
        <v>0</v>
      </c>
      <c r="J121" s="273">
        <f t="shared" si="19"/>
        <v>2311441.929</v>
      </c>
      <c r="K121" s="44">
        <f t="shared" si="19"/>
        <v>0</v>
      </c>
      <c r="L121" s="240">
        <f t="shared" si="17"/>
        <v>-100</v>
      </c>
      <c r="M121" s="27">
        <f>IFERROR(100/'Skjema total MA'!I121*K121,0)</f>
        <v>0</v>
      </c>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c r="C124" s="215"/>
      <c r="D124" s="150"/>
      <c r="E124" s="27"/>
      <c r="F124" s="215"/>
      <c r="G124" s="215"/>
      <c r="H124" s="150"/>
      <c r="I124" s="27"/>
      <c r="J124" s="273"/>
      <c r="K124" s="44"/>
      <c r="L124" s="240"/>
      <c r="M124" s="27"/>
    </row>
    <row r="125" spans="1:14" ht="15.75" x14ac:dyDescent="0.2">
      <c r="A125" s="38" t="s">
        <v>404</v>
      </c>
      <c r="B125" s="215"/>
      <c r="C125" s="215"/>
      <c r="D125" s="150"/>
      <c r="E125" s="27"/>
      <c r="F125" s="215">
        <v>1996307.9439999999</v>
      </c>
      <c r="G125" s="215"/>
      <c r="H125" s="150">
        <f t="shared" si="15"/>
        <v>-100</v>
      </c>
      <c r="I125" s="27">
        <f>IFERROR(100/'Skjema total MA'!F125*G125,0)</f>
        <v>0</v>
      </c>
      <c r="J125" s="273">
        <f t="shared" si="19"/>
        <v>1996307.9439999999</v>
      </c>
      <c r="K125" s="44">
        <f t="shared" si="19"/>
        <v>0</v>
      </c>
      <c r="L125" s="240">
        <f t="shared" si="17"/>
        <v>-100</v>
      </c>
      <c r="M125" s="27">
        <f>IFERROR(100/'Skjema total MA'!I125*K125,0)</f>
        <v>0</v>
      </c>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384"/>
      <c r="F130" s="722"/>
      <c r="G130" s="722"/>
      <c r="H130" s="722"/>
      <c r="I130" s="384"/>
      <c r="J130" s="722"/>
      <c r="K130" s="722"/>
      <c r="L130" s="722"/>
      <c r="M130" s="384"/>
    </row>
    <row r="131" spans="1:14" s="3" customFormat="1" x14ac:dyDescent="0.2">
      <c r="A131" s="128"/>
      <c r="B131" s="723" t="s">
        <v>0</v>
      </c>
      <c r="C131" s="724"/>
      <c r="D131" s="724"/>
      <c r="E131" s="383"/>
      <c r="F131" s="723" t="s">
        <v>1</v>
      </c>
      <c r="G131" s="724"/>
      <c r="H131" s="724"/>
      <c r="I131" s="386"/>
      <c r="J131" s="723" t="s">
        <v>2</v>
      </c>
      <c r="K131" s="724"/>
      <c r="L131" s="724"/>
      <c r="M131" s="386"/>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413" priority="8">
      <formula>kvartal &lt; 4</formula>
    </cfRule>
  </conditionalFormatting>
  <conditionalFormatting sqref="A69:A74">
    <cfRule type="expression" dxfId="412" priority="7">
      <formula>kvartal &lt; 4</formula>
    </cfRule>
  </conditionalFormatting>
  <conditionalFormatting sqref="A80:A85">
    <cfRule type="expression" dxfId="411" priority="6">
      <formula>kvartal &lt; 4</formula>
    </cfRule>
  </conditionalFormatting>
  <conditionalFormatting sqref="A90:A95">
    <cfRule type="expression" dxfId="410" priority="5">
      <formula>kvartal &lt; 4</formula>
    </cfRule>
  </conditionalFormatting>
  <conditionalFormatting sqref="A101:A106">
    <cfRule type="expression" dxfId="409" priority="4">
      <formula>kvartal &lt; 4</formula>
    </cfRule>
  </conditionalFormatting>
  <conditionalFormatting sqref="A115">
    <cfRule type="expression" dxfId="408" priority="3">
      <formula>kvartal &lt; 4</formula>
    </cfRule>
  </conditionalFormatting>
  <conditionalFormatting sqref="A123">
    <cfRule type="expression" dxfId="407"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heetViews>
  <sheetFormatPr baseColWidth="10" defaultColWidth="11.42578125" defaultRowHeight="12.75" x14ac:dyDescent="0.2"/>
  <cols>
    <col min="1" max="1" width="46.140625" style="133" customWidth="1"/>
    <col min="2" max="2" width="10.7109375" style="133" customWidth="1"/>
    <col min="3" max="3" width="11" style="133" customWidth="1"/>
    <col min="4" max="5" width="8.7109375" style="133" customWidth="1"/>
    <col min="6" max="7" width="10.7109375" style="133" customWidth="1"/>
    <col min="8" max="9" width="8.7109375" style="133" customWidth="1"/>
    <col min="10" max="11" width="10.7109375" style="133" customWidth="1"/>
    <col min="12" max="13" width="8.7109375" style="133" customWidth="1"/>
    <col min="14" max="14" width="11.42578125" style="133"/>
    <col min="15" max="16384" width="11.42578125" style="1"/>
  </cols>
  <sheetData>
    <row r="1" spans="1:17" x14ac:dyDescent="0.2">
      <c r="A1" s="156" t="s">
        <v>132</v>
      </c>
      <c r="B1" s="688"/>
      <c r="C1" s="231" t="s">
        <v>120</v>
      </c>
      <c r="D1" s="26"/>
      <c r="E1" s="26"/>
      <c r="F1" s="26"/>
      <c r="G1" s="26"/>
      <c r="H1" s="26"/>
      <c r="I1" s="26"/>
      <c r="J1" s="26"/>
      <c r="K1" s="26"/>
      <c r="L1" s="26"/>
      <c r="M1" s="26"/>
    </row>
    <row r="2" spans="1:17" ht="15.75" x14ac:dyDescent="0.25">
      <c r="A2" s="149" t="s">
        <v>28</v>
      </c>
      <c r="B2" s="727"/>
      <c r="C2" s="727"/>
      <c r="D2" s="727"/>
      <c r="E2" s="282"/>
      <c r="F2" s="727"/>
      <c r="G2" s="727"/>
      <c r="H2" s="727"/>
      <c r="I2" s="282"/>
      <c r="J2" s="727"/>
      <c r="K2" s="727"/>
      <c r="L2" s="727"/>
      <c r="M2" s="282"/>
    </row>
    <row r="3" spans="1:17" ht="15.75" x14ac:dyDescent="0.25">
      <c r="A3" s="147"/>
      <c r="B3" s="282"/>
      <c r="C3" s="282"/>
      <c r="D3" s="282"/>
      <c r="E3" s="282"/>
      <c r="F3" s="282"/>
      <c r="G3" s="282"/>
      <c r="H3" s="282"/>
      <c r="I3" s="282"/>
      <c r="J3" s="282"/>
      <c r="K3" s="282"/>
      <c r="L3" s="282"/>
      <c r="M3" s="282"/>
    </row>
    <row r="4" spans="1:17" x14ac:dyDescent="0.2">
      <c r="A4" s="128"/>
      <c r="B4" s="723" t="s">
        <v>0</v>
      </c>
      <c r="C4" s="724"/>
      <c r="D4" s="724"/>
      <c r="E4" s="284"/>
      <c r="F4" s="723" t="s">
        <v>1</v>
      </c>
      <c r="G4" s="724"/>
      <c r="H4" s="724"/>
      <c r="I4" s="287"/>
      <c r="J4" s="723" t="s">
        <v>2</v>
      </c>
      <c r="K4" s="724"/>
      <c r="L4" s="724"/>
      <c r="M4" s="287"/>
    </row>
    <row r="5" spans="1:17" x14ac:dyDescent="0.2">
      <c r="A5" s="142"/>
      <c r="B5" s="136" t="s">
        <v>434</v>
      </c>
      <c r="C5" s="136" t="s">
        <v>435</v>
      </c>
      <c r="D5" s="227" t="s">
        <v>3</v>
      </c>
      <c r="E5" s="288" t="s">
        <v>29</v>
      </c>
      <c r="F5" s="136" t="s">
        <v>434</v>
      </c>
      <c r="G5" s="136" t="s">
        <v>435</v>
      </c>
      <c r="H5" s="227" t="s">
        <v>3</v>
      </c>
      <c r="I5" s="146" t="s">
        <v>29</v>
      </c>
      <c r="J5" s="136" t="s">
        <v>434</v>
      </c>
      <c r="K5" s="136" t="s">
        <v>435</v>
      </c>
      <c r="L5" s="227" t="s">
        <v>3</v>
      </c>
      <c r="M5" s="146" t="s">
        <v>29</v>
      </c>
    </row>
    <row r="6" spans="1:17" x14ac:dyDescent="0.2">
      <c r="A6" s="690"/>
      <c r="B6" s="140"/>
      <c r="C6" s="140"/>
      <c r="D6" s="229" t="s">
        <v>4</v>
      </c>
      <c r="E6" s="140" t="s">
        <v>30</v>
      </c>
      <c r="F6" s="145"/>
      <c r="G6" s="145"/>
      <c r="H6" s="227" t="s">
        <v>4</v>
      </c>
      <c r="I6" s="140" t="s">
        <v>30</v>
      </c>
      <c r="J6" s="145"/>
      <c r="K6" s="145"/>
      <c r="L6" s="227" t="s">
        <v>4</v>
      </c>
      <c r="M6" s="140" t="s">
        <v>30</v>
      </c>
    </row>
    <row r="7" spans="1:17" ht="15.75" x14ac:dyDescent="0.2">
      <c r="A7" s="14" t="s">
        <v>23</v>
      </c>
      <c r="B7" s="289">
        <v>168887</v>
      </c>
      <c r="C7" s="290">
        <v>121196</v>
      </c>
      <c r="D7" s="332">
        <f>IF(B7=0, "    ---- ", IF(ABS(ROUND(100/B7*C7-100,1))&lt;999,ROUND(100/B7*C7-100,1),IF(ROUND(100/B7*C7-100,1)&gt;999,999,-999)))</f>
        <v>-28.2</v>
      </c>
      <c r="E7" s="11">
        <f>IFERROR(100/'Skjema total MA'!C7*C7,0)</f>
        <v>2.8559655755123248</v>
      </c>
      <c r="F7" s="289">
        <v>356050</v>
      </c>
      <c r="G7" s="290">
        <v>338722</v>
      </c>
      <c r="H7" s="332">
        <f>IF(F7=0, "    ---- ", IF(ABS(ROUND(100/F7*G7-100,1))&lt;999,ROUND(100/F7*G7-100,1),IF(ROUND(100/F7*G7-100,1)&gt;999,999,-999)))</f>
        <v>-4.9000000000000004</v>
      </c>
      <c r="I7" s="144">
        <f>IFERROR(100/'Skjema total MA'!F7*G7,0)</f>
        <v>4.3998419987696229</v>
      </c>
      <c r="J7" s="291">
        <f t="shared" ref="J7:K12" si="0">SUM(B7,F7)</f>
        <v>524937</v>
      </c>
      <c r="K7" s="292">
        <f t="shared" si="0"/>
        <v>459918</v>
      </c>
      <c r="L7" s="405">
        <f>IF(J7=0, "    ---- ", IF(ABS(ROUND(100/J7*K7-100,1))&lt;999,ROUND(100/J7*K7-100,1),IF(ROUND(100/J7*K7-100,1)&gt;999,999,-999)))</f>
        <v>-12.4</v>
      </c>
      <c r="M7" s="11">
        <f>IFERROR(100/'Skjema total MA'!I7*K7,0)</f>
        <v>3.8512282306304346</v>
      </c>
    </row>
    <row r="8" spans="1:17" ht="15.75" x14ac:dyDescent="0.2">
      <c r="A8" s="21" t="s">
        <v>25</v>
      </c>
      <c r="B8" s="267">
        <v>21831.612614999998</v>
      </c>
      <c r="C8" s="268">
        <v>20672</v>
      </c>
      <c r="D8" s="150">
        <f t="shared" ref="D8:D12" si="1">IF(B8=0, "    ---- ", IF(ABS(ROUND(100/B8*C8-100,1))&lt;999,ROUND(100/B8*C8-100,1),IF(ROUND(100/B8*C8-100,1)&gt;999,999,-999)))</f>
        <v>-5.3</v>
      </c>
      <c r="E8" s="27">
        <f>IFERROR(100/'Skjema total MA'!C8*C8,0)</f>
        <v>0.76672389276690689</v>
      </c>
      <c r="F8" s="271"/>
      <c r="G8" s="272"/>
      <c r="H8" s="150"/>
      <c r="I8" s="160"/>
      <c r="J8" s="215">
        <f t="shared" si="0"/>
        <v>21831.612614999998</v>
      </c>
      <c r="K8" s="273">
        <f t="shared" si="0"/>
        <v>20672</v>
      </c>
      <c r="L8" s="150">
        <f t="shared" ref="L8:L9" si="2">IF(J8=0, "    ---- ", IF(ABS(ROUND(100/J8*K8-100,1))&lt;999,ROUND(100/J8*K8-100,1),IF(ROUND(100/J8*K8-100,1)&gt;999,999,-999)))</f>
        <v>-5.3</v>
      </c>
      <c r="M8" s="27">
        <f>IFERROR(100/'Skjema total MA'!I8*K8,0)</f>
        <v>0.76672389276690689</v>
      </c>
    </row>
    <row r="9" spans="1:17" ht="15.75" x14ac:dyDescent="0.2">
      <c r="A9" s="21" t="s">
        <v>24</v>
      </c>
      <c r="B9" s="267">
        <v>14480.7746025</v>
      </c>
      <c r="C9" s="268">
        <v>15354</v>
      </c>
      <c r="D9" s="150">
        <f t="shared" si="1"/>
        <v>6</v>
      </c>
      <c r="E9" s="27">
        <f>IFERROR(100/'Skjema total MA'!C9*C9,0)</f>
        <v>1.7343110772474961</v>
      </c>
      <c r="F9" s="271"/>
      <c r="G9" s="272"/>
      <c r="H9" s="150"/>
      <c r="I9" s="160"/>
      <c r="J9" s="215">
        <f t="shared" si="0"/>
        <v>14480.7746025</v>
      </c>
      <c r="K9" s="273">
        <f t="shared" si="0"/>
        <v>15354</v>
      </c>
      <c r="L9" s="150">
        <f t="shared" si="2"/>
        <v>6</v>
      </c>
      <c r="M9" s="27">
        <f>IFERROR(100/'Skjema total MA'!I9*K9,0)</f>
        <v>1.7343110772474961</v>
      </c>
    </row>
    <row r="10" spans="1:17" ht="15.75" x14ac:dyDescent="0.2">
      <c r="A10" s="13" t="s">
        <v>347</v>
      </c>
      <c r="B10" s="293">
        <v>9132142</v>
      </c>
      <c r="C10" s="294">
        <v>7225723</v>
      </c>
      <c r="D10" s="155">
        <f t="shared" si="1"/>
        <v>-20.9</v>
      </c>
      <c r="E10" s="11">
        <f>IFERROR(100/'Skjema total MA'!C10*C10,0)</f>
        <v>52.09645353099161</v>
      </c>
      <c r="F10" s="293">
        <v>6873076</v>
      </c>
      <c r="G10" s="294">
        <v>7582749</v>
      </c>
      <c r="H10" s="155">
        <f t="shared" ref="H10:H12" si="3">IF(F10=0, "    ---- ", IF(ABS(ROUND(100/F10*G10-100,1))&lt;999,ROUND(100/F10*G10-100,1),IF(ROUND(100/F10*G10-100,1)&gt;999,999,-999)))</f>
        <v>10.3</v>
      </c>
      <c r="I10" s="144">
        <f>IFERROR(100/'Skjema total MA'!F10*G10,0)</f>
        <v>9.7290850740564192</v>
      </c>
      <c r="J10" s="291">
        <f t="shared" si="0"/>
        <v>16005218</v>
      </c>
      <c r="K10" s="292">
        <f t="shared" si="0"/>
        <v>14808472</v>
      </c>
      <c r="L10" s="406">
        <f t="shared" ref="L10:L12" si="4">IF(J10=0, "    ---- ", IF(ABS(ROUND(100/J10*K10-100,1))&lt;999,ROUND(100/J10*K10-100,1),IF(ROUND(100/J10*K10-100,1)&gt;999,999,-999)))</f>
        <v>-7.5</v>
      </c>
      <c r="M10" s="11">
        <f>IFERROR(100/'Skjema total MA'!I10*K10,0)</f>
        <v>16.129675084011904</v>
      </c>
      <c r="Q10" s="133"/>
    </row>
    <row r="11" spans="1:17" s="43" customFormat="1" ht="15.75" x14ac:dyDescent="0.2">
      <c r="A11" s="13" t="s">
        <v>348</v>
      </c>
      <c r="B11" s="293">
        <v>32737</v>
      </c>
      <c r="C11" s="294">
        <v>26026</v>
      </c>
      <c r="D11" s="155">
        <f t="shared" si="1"/>
        <v>-20.5</v>
      </c>
      <c r="E11" s="11">
        <f>IFERROR(100/'Skjema total MA'!C11*C11,0)</f>
        <v>100</v>
      </c>
      <c r="F11" s="293">
        <v>16282</v>
      </c>
      <c r="G11" s="294">
        <v>26907</v>
      </c>
      <c r="H11" s="155">
        <f t="shared" si="3"/>
        <v>65.3</v>
      </c>
      <c r="I11" s="144">
        <f>IFERROR(100/'Skjema total MA'!F11*G11,0)</f>
        <v>16.092611725342955</v>
      </c>
      <c r="J11" s="291">
        <f t="shared" si="0"/>
        <v>49019</v>
      </c>
      <c r="K11" s="292">
        <f t="shared" si="0"/>
        <v>52933</v>
      </c>
      <c r="L11" s="406">
        <f t="shared" si="4"/>
        <v>8</v>
      </c>
      <c r="M11" s="11">
        <f>IFERROR(100/'Skjema total MA'!I11*K11,0)</f>
        <v>27.394211554378654</v>
      </c>
      <c r="N11" s="127"/>
    </row>
    <row r="12" spans="1:17" s="43" customFormat="1" ht="15.75" x14ac:dyDescent="0.2">
      <c r="A12" s="41" t="s">
        <v>349</v>
      </c>
      <c r="B12" s="295">
        <v>2921</v>
      </c>
      <c r="C12" s="296">
        <v>3039</v>
      </c>
      <c r="D12" s="153">
        <f t="shared" si="1"/>
        <v>4</v>
      </c>
      <c r="E12" s="36">
        <f>IFERROR(100/'Skjema total MA'!C12*C12,0)</f>
        <v>100</v>
      </c>
      <c r="F12" s="295">
        <v>15232.505999999999</v>
      </c>
      <c r="G12" s="296">
        <v>18478</v>
      </c>
      <c r="H12" s="153">
        <f t="shared" si="3"/>
        <v>21.3</v>
      </c>
      <c r="I12" s="153">
        <f>IFERROR(100/'Skjema total MA'!F12*G12,0)</f>
        <v>12.37851301319226</v>
      </c>
      <c r="J12" s="297">
        <f t="shared" si="0"/>
        <v>18153.506000000001</v>
      </c>
      <c r="K12" s="298">
        <f t="shared" si="0"/>
        <v>21517</v>
      </c>
      <c r="L12" s="407">
        <f t="shared" si="4"/>
        <v>18.5</v>
      </c>
      <c r="M12" s="36">
        <f>IFERROR(100/'Skjema total MA'!I12*K12,0)</f>
        <v>14.126757142271179</v>
      </c>
      <c r="N12" s="127"/>
      <c r="Q12" s="127"/>
    </row>
    <row r="13" spans="1:17" s="43" customFormat="1" x14ac:dyDescent="0.2">
      <c r="A13" s="152"/>
      <c r="B13" s="129"/>
      <c r="C13" s="33"/>
      <c r="D13" s="143"/>
      <c r="E13" s="143"/>
      <c r="F13" s="129"/>
      <c r="G13" s="33"/>
      <c r="H13" s="143"/>
      <c r="I13" s="143"/>
      <c r="J13" s="48"/>
      <c r="K13" s="48"/>
      <c r="L13" s="143"/>
      <c r="M13" s="143"/>
      <c r="N13" s="127"/>
    </row>
    <row r="14" spans="1:17" x14ac:dyDescent="0.2">
      <c r="A14" s="137" t="s">
        <v>267</v>
      </c>
      <c r="B14" s="26"/>
    </row>
    <row r="15" spans="1:17" x14ac:dyDescent="0.2">
      <c r="F15" s="130"/>
      <c r="G15" s="130"/>
      <c r="H15" s="130"/>
      <c r="I15" s="130"/>
      <c r="J15" s="130"/>
      <c r="K15" s="130"/>
      <c r="L15" s="130"/>
      <c r="M15" s="130"/>
    </row>
    <row r="16" spans="1:17" s="3" customFormat="1" ht="15.75" x14ac:dyDescent="0.25">
      <c r="A16" s="148"/>
      <c r="B16" s="132"/>
      <c r="C16" s="138"/>
      <c r="D16" s="138"/>
      <c r="E16" s="138"/>
      <c r="F16" s="138"/>
      <c r="G16" s="138"/>
      <c r="H16" s="138"/>
      <c r="I16" s="138"/>
      <c r="J16" s="138"/>
      <c r="K16" s="138"/>
      <c r="L16" s="138"/>
      <c r="M16" s="138"/>
      <c r="N16" s="132"/>
    </row>
    <row r="17" spans="1:14" ht="15.75" x14ac:dyDescent="0.25">
      <c r="A17" s="131" t="s">
        <v>264</v>
      </c>
      <c r="B17" s="141"/>
      <c r="C17" s="141"/>
      <c r="D17" s="135"/>
      <c r="E17" s="135"/>
      <c r="F17" s="141"/>
      <c r="G17" s="141"/>
      <c r="H17" s="141"/>
      <c r="I17" s="141"/>
      <c r="J17" s="141"/>
      <c r="K17" s="141"/>
      <c r="L17" s="141"/>
      <c r="M17" s="141"/>
    </row>
    <row r="18" spans="1:14" ht="15.75" x14ac:dyDescent="0.25">
      <c r="B18" s="722"/>
      <c r="C18" s="722"/>
      <c r="D18" s="722"/>
      <c r="E18" s="282"/>
      <c r="F18" s="722"/>
      <c r="G18" s="722"/>
      <c r="H18" s="722"/>
      <c r="I18" s="282"/>
      <c r="J18" s="722"/>
      <c r="K18" s="722"/>
      <c r="L18" s="722"/>
      <c r="M18" s="282"/>
    </row>
    <row r="19" spans="1:14" x14ac:dyDescent="0.2">
      <c r="A19" s="128"/>
      <c r="B19" s="723" t="s">
        <v>0</v>
      </c>
      <c r="C19" s="724"/>
      <c r="D19" s="724"/>
      <c r="E19" s="284"/>
      <c r="F19" s="723" t="s">
        <v>1</v>
      </c>
      <c r="G19" s="724"/>
      <c r="H19" s="724"/>
      <c r="I19" s="287"/>
      <c r="J19" s="723" t="s">
        <v>2</v>
      </c>
      <c r="K19" s="724"/>
      <c r="L19" s="724"/>
      <c r="M19" s="287"/>
    </row>
    <row r="20" spans="1:14" x14ac:dyDescent="0.2">
      <c r="A20" s="124" t="s">
        <v>5</v>
      </c>
      <c r="B20" s="224" t="s">
        <v>434</v>
      </c>
      <c r="C20" s="224" t="s">
        <v>435</v>
      </c>
      <c r="D20" s="146" t="s">
        <v>3</v>
      </c>
      <c r="E20" s="288" t="s">
        <v>29</v>
      </c>
      <c r="F20" s="224" t="s">
        <v>434</v>
      </c>
      <c r="G20" s="224" t="s">
        <v>435</v>
      </c>
      <c r="H20" s="146" t="s">
        <v>3</v>
      </c>
      <c r="I20" s="146" t="s">
        <v>29</v>
      </c>
      <c r="J20" s="224" t="s">
        <v>434</v>
      </c>
      <c r="K20" s="224" t="s">
        <v>435</v>
      </c>
      <c r="L20" s="146" t="s">
        <v>3</v>
      </c>
      <c r="M20" s="146" t="s">
        <v>29</v>
      </c>
    </row>
    <row r="21" spans="1:14" x14ac:dyDescent="0.2">
      <c r="A21" s="691"/>
      <c r="B21" s="140"/>
      <c r="C21" s="140"/>
      <c r="D21" s="229" t="s">
        <v>4</v>
      </c>
      <c r="E21" s="140" t="s">
        <v>30</v>
      </c>
      <c r="F21" s="145"/>
      <c r="G21" s="145"/>
      <c r="H21" s="227" t="s">
        <v>4</v>
      </c>
      <c r="I21" s="140" t="s">
        <v>30</v>
      </c>
      <c r="J21" s="145"/>
      <c r="K21" s="145"/>
      <c r="L21" s="140" t="s">
        <v>4</v>
      </c>
      <c r="M21" s="140" t="s">
        <v>30</v>
      </c>
    </row>
    <row r="22" spans="1:14" ht="15.75" x14ac:dyDescent="0.2">
      <c r="A22" s="14" t="s">
        <v>23</v>
      </c>
      <c r="B22" s="293">
        <v>243719</v>
      </c>
      <c r="C22" s="293">
        <v>164335</v>
      </c>
      <c r="D22" s="332">
        <f t="shared" ref="D22:D39" si="5">IF(B22=0, "    ---- ", IF(ABS(ROUND(100/B22*C22-100,1))&lt;999,ROUND(100/B22*C22-100,1),IF(ROUND(100/B22*C22-100,1)&gt;999,999,-999)))</f>
        <v>-32.6</v>
      </c>
      <c r="E22" s="11">
        <f>IFERROR(100/'Skjema total MA'!C22*C22,0)</f>
        <v>9.4503487092493934</v>
      </c>
      <c r="F22" s="301">
        <v>45333</v>
      </c>
      <c r="G22" s="301">
        <v>16225</v>
      </c>
      <c r="H22" s="332">
        <f t="shared" ref="H22:H35" si="6">IF(F22=0, "    ---- ", IF(ABS(ROUND(100/F22*G22-100,1))&lt;999,ROUND(100/F22*G22-100,1),IF(ROUND(100/F22*G22-100,1)&gt;999,999,-999)))</f>
        <v>-64.2</v>
      </c>
      <c r="I22" s="11">
        <f>IFERROR(100/'Skjema total MA'!F22*G22,0)</f>
        <v>2.4985950733690112</v>
      </c>
      <c r="J22" s="299">
        <f t="shared" ref="J22:K35" si="7">SUM(B22,F22)</f>
        <v>289052</v>
      </c>
      <c r="K22" s="299">
        <f t="shared" si="7"/>
        <v>180560</v>
      </c>
      <c r="L22" s="405">
        <f t="shared" ref="L22:L35" si="8">IF(J22=0, "    ---- ", IF(ABS(ROUND(100/J22*K22-100,1))&lt;999,ROUND(100/J22*K22-100,1),IF(ROUND(100/J22*K22-100,1)&gt;999,999,-999)))</f>
        <v>-37.5</v>
      </c>
      <c r="M22" s="24">
        <f>IFERROR(100/'Skjema total MA'!I22*K22,0)</f>
        <v>7.5602036093403555</v>
      </c>
    </row>
    <row r="23" spans="1:14" ht="15.75" x14ac:dyDescent="0.2">
      <c r="A23" s="487" t="s">
        <v>350</v>
      </c>
      <c r="B23" s="267">
        <v>211617</v>
      </c>
      <c r="C23" s="267">
        <v>143385</v>
      </c>
      <c r="D23" s="150">
        <f t="shared" si="5"/>
        <v>-32.200000000000003</v>
      </c>
      <c r="E23" s="11">
        <f>IFERROR(100/'Skjema total MA'!C23*C23,0)</f>
        <v>13.971456535228853</v>
      </c>
      <c r="F23" s="276">
        <v>39150</v>
      </c>
      <c r="G23" s="276">
        <v>10581</v>
      </c>
      <c r="H23" s="150">
        <f t="shared" si="6"/>
        <v>-73</v>
      </c>
      <c r="I23" s="395">
        <f>IFERROR(100/'Skjema total MA'!F23*G23,0)</f>
        <v>31.072377367270565</v>
      </c>
      <c r="J23" s="276">
        <f t="shared" ref="J23:J25" si="9">SUM(B23,F23)</f>
        <v>250767</v>
      </c>
      <c r="K23" s="276">
        <f t="shared" ref="K23:K25" si="10">SUM(C23,G23)</f>
        <v>153966</v>
      </c>
      <c r="L23" s="150">
        <f t="shared" si="8"/>
        <v>-38.6</v>
      </c>
      <c r="M23" s="23">
        <f>IFERROR(100/'Skjema total MA'!I23*K23,0)</f>
        <v>14.520659985891124</v>
      </c>
    </row>
    <row r="24" spans="1:14" ht="15.75" x14ac:dyDescent="0.2">
      <c r="A24" s="487" t="s">
        <v>351</v>
      </c>
      <c r="B24" s="267">
        <v>10928</v>
      </c>
      <c r="C24" s="267">
        <v>13265</v>
      </c>
      <c r="D24" s="150">
        <f t="shared" si="5"/>
        <v>21.4</v>
      </c>
      <c r="E24" s="11">
        <f>IFERROR(100/'Skjema total MA'!C24*C24,0)</f>
        <v>73.503961700077639</v>
      </c>
      <c r="F24" s="276">
        <v>159</v>
      </c>
      <c r="G24" s="276">
        <v>180</v>
      </c>
      <c r="H24" s="150">
        <f t="shared" si="6"/>
        <v>13.2</v>
      </c>
      <c r="I24" s="395">
        <f>IFERROR(100/'Skjema total MA'!F24*G24,0)</f>
        <v>5.7994953614218447</v>
      </c>
      <c r="J24" s="276">
        <f t="shared" si="9"/>
        <v>11087</v>
      </c>
      <c r="K24" s="276">
        <f t="shared" si="10"/>
        <v>13445</v>
      </c>
      <c r="L24" s="150">
        <f t="shared" si="8"/>
        <v>21.3</v>
      </c>
      <c r="M24" s="23">
        <f>IFERROR(100/'Skjema total MA'!I24*K24,0)</f>
        <v>63.568643983951809</v>
      </c>
    </row>
    <row r="25" spans="1:14" ht="15.75" x14ac:dyDescent="0.2">
      <c r="A25" s="487" t="s">
        <v>352</v>
      </c>
      <c r="B25" s="267">
        <v>21174</v>
      </c>
      <c r="C25" s="267">
        <v>7685</v>
      </c>
      <c r="D25" s="150">
        <f t="shared" si="5"/>
        <v>-63.7</v>
      </c>
      <c r="E25" s="11">
        <f>IFERROR(100/'Skjema total MA'!C25*C25,0)</f>
        <v>100</v>
      </c>
      <c r="F25" s="276">
        <v>6024</v>
      </c>
      <c r="G25" s="276">
        <v>5464</v>
      </c>
      <c r="H25" s="150">
        <f t="shared" si="6"/>
        <v>-9.3000000000000007</v>
      </c>
      <c r="I25" s="395">
        <f>IFERROR(100/'Skjema total MA'!F25*G25,0)</f>
        <v>42.328146175245323</v>
      </c>
      <c r="J25" s="276">
        <f t="shared" si="9"/>
        <v>27198</v>
      </c>
      <c r="K25" s="276">
        <f t="shared" si="10"/>
        <v>13149</v>
      </c>
      <c r="L25" s="150">
        <f t="shared" si="8"/>
        <v>-51.7</v>
      </c>
      <c r="M25" s="23">
        <f>IFERROR(100/'Skjema total MA'!I25*K25,0)</f>
        <v>63.849722105337989</v>
      </c>
    </row>
    <row r="26" spans="1:14" ht="15.75" x14ac:dyDescent="0.2">
      <c r="A26" s="487" t="s">
        <v>353</v>
      </c>
      <c r="B26" s="267"/>
      <c r="C26" s="267"/>
      <c r="D26" s="150"/>
      <c r="E26" s="11"/>
      <c r="F26" s="276"/>
      <c r="G26" s="276"/>
      <c r="H26" s="150"/>
      <c r="I26" s="395"/>
      <c r="J26" s="276"/>
      <c r="K26" s="276"/>
      <c r="L26" s="150"/>
      <c r="M26" s="23"/>
    </row>
    <row r="27" spans="1:14" x14ac:dyDescent="0.2">
      <c r="A27" s="487" t="s">
        <v>11</v>
      </c>
      <c r="B27" s="267"/>
      <c r="C27" s="267"/>
      <c r="D27" s="150"/>
      <c r="E27" s="11"/>
      <c r="F27" s="276"/>
      <c r="G27" s="276"/>
      <c r="H27" s="150"/>
      <c r="I27" s="395"/>
      <c r="J27" s="276"/>
      <c r="K27" s="276"/>
      <c r="L27" s="150"/>
      <c r="M27" s="23"/>
    </row>
    <row r="28" spans="1:14" ht="15.75" x14ac:dyDescent="0.2">
      <c r="A28" s="49" t="s">
        <v>268</v>
      </c>
      <c r="B28" s="44">
        <v>79510.539999999994</v>
      </c>
      <c r="C28" s="273">
        <v>78203</v>
      </c>
      <c r="D28" s="150">
        <f t="shared" si="5"/>
        <v>-1.6</v>
      </c>
      <c r="E28" s="11">
        <f>IFERROR(100/'Skjema total MA'!C28*C28,0)</f>
        <v>3.7242492030676382</v>
      </c>
      <c r="F28" s="215"/>
      <c r="G28" s="273"/>
      <c r="H28" s="150"/>
      <c r="I28" s="27"/>
      <c r="J28" s="44">
        <f t="shared" si="7"/>
        <v>79510.539999999994</v>
      </c>
      <c r="K28" s="44">
        <f t="shared" si="7"/>
        <v>78203</v>
      </c>
      <c r="L28" s="240">
        <f t="shared" si="8"/>
        <v>-1.6</v>
      </c>
      <c r="M28" s="23">
        <f>IFERROR(100/'Skjema total MA'!I28*K28,0)</f>
        <v>3.7242492030676382</v>
      </c>
    </row>
    <row r="29" spans="1:14" s="3" customFormat="1" ht="15.75" x14ac:dyDescent="0.2">
      <c r="A29" s="13" t="s">
        <v>347</v>
      </c>
      <c r="B29" s="217">
        <v>21785332</v>
      </c>
      <c r="C29" s="217">
        <v>20300716</v>
      </c>
      <c r="D29" s="155">
        <f t="shared" si="5"/>
        <v>-6.8</v>
      </c>
      <c r="E29" s="11">
        <f>IFERROR(100/'Skjema total MA'!C29*C29,0)</f>
        <v>44.317778833950165</v>
      </c>
      <c r="F29" s="291">
        <v>4287134</v>
      </c>
      <c r="G29" s="291">
        <v>4330104</v>
      </c>
      <c r="H29" s="155">
        <f t="shared" si="6"/>
        <v>1</v>
      </c>
      <c r="I29" s="11">
        <f>IFERROR(100/'Skjema total MA'!F29*G29,0)</f>
        <v>17.398458335847533</v>
      </c>
      <c r="J29" s="217">
        <f t="shared" si="7"/>
        <v>26072466</v>
      </c>
      <c r="K29" s="217">
        <f t="shared" si="7"/>
        <v>24630820</v>
      </c>
      <c r="L29" s="406">
        <f t="shared" si="8"/>
        <v>-5.5</v>
      </c>
      <c r="M29" s="24">
        <f>IFERROR(100/'Skjema total MA'!I29*K29,0)</f>
        <v>34.840954560210768</v>
      </c>
      <c r="N29" s="132"/>
    </row>
    <row r="30" spans="1:14" s="3" customFormat="1" ht="15.75" x14ac:dyDescent="0.2">
      <c r="A30" s="487" t="s">
        <v>350</v>
      </c>
      <c r="B30" s="267">
        <v>5549926.5452978304</v>
      </c>
      <c r="C30" s="267">
        <v>4697218.6842750898</v>
      </c>
      <c r="D30" s="150">
        <f t="shared" si="5"/>
        <v>-15.4</v>
      </c>
      <c r="E30" s="11">
        <f>IFERROR(100/'Skjema total MA'!C30*C30,0)</f>
        <v>24.028503686578116</v>
      </c>
      <c r="F30" s="276">
        <v>1360803</v>
      </c>
      <c r="G30" s="276">
        <v>1413864</v>
      </c>
      <c r="H30" s="150">
        <f t="shared" si="6"/>
        <v>3.9</v>
      </c>
      <c r="I30" s="395">
        <f>IFERROR(100/'Skjema total MA'!F30*G30,0)</f>
        <v>41.178318285923659</v>
      </c>
      <c r="J30" s="276">
        <f t="shared" ref="J30:J32" si="11">SUM(B30,F30)</f>
        <v>6910729.5452978304</v>
      </c>
      <c r="K30" s="276">
        <f t="shared" ref="K30:K32" si="12">SUM(C30,G30)</f>
        <v>6111082.6842750898</v>
      </c>
      <c r="L30" s="150">
        <f t="shared" si="8"/>
        <v>-11.6</v>
      </c>
      <c r="M30" s="23">
        <f>IFERROR(100/'Skjema total MA'!I30*K30,0)</f>
        <v>26.590684776607645</v>
      </c>
      <c r="N30" s="132"/>
    </row>
    <row r="31" spans="1:14" s="3" customFormat="1" ht="15.75" x14ac:dyDescent="0.2">
      <c r="A31" s="487" t="s">
        <v>351</v>
      </c>
      <c r="B31" s="267">
        <v>14488649.992072601</v>
      </c>
      <c r="C31" s="267">
        <v>14052296.327714801</v>
      </c>
      <c r="D31" s="150">
        <f t="shared" si="5"/>
        <v>-3</v>
      </c>
      <c r="E31" s="11">
        <f>IFERROR(100/'Skjema total MA'!C31*C31,0)</f>
        <v>59.01768578180414</v>
      </c>
      <c r="F31" s="276">
        <v>2460046</v>
      </c>
      <c r="G31" s="276">
        <v>2403092</v>
      </c>
      <c r="H31" s="150">
        <f t="shared" si="6"/>
        <v>-2.2999999999999998</v>
      </c>
      <c r="I31" s="395">
        <f>IFERROR(100/'Skjema total MA'!F31*G31,0)</f>
        <v>33.369418493219875</v>
      </c>
      <c r="J31" s="276">
        <f t="shared" si="11"/>
        <v>16948695.992072601</v>
      </c>
      <c r="K31" s="276">
        <f t="shared" si="12"/>
        <v>16455388.327714801</v>
      </c>
      <c r="L31" s="150">
        <f t="shared" si="8"/>
        <v>-2.9</v>
      </c>
      <c r="M31" s="23">
        <f>IFERROR(100/'Skjema total MA'!I31*K31,0)</f>
        <v>53.061710332589108</v>
      </c>
      <c r="N31" s="132"/>
    </row>
    <row r="32" spans="1:14" ht="15.75" x14ac:dyDescent="0.2">
      <c r="A32" s="487" t="s">
        <v>352</v>
      </c>
      <c r="B32" s="267">
        <v>1746755.4626296</v>
      </c>
      <c r="C32" s="267">
        <v>1551200.98801006</v>
      </c>
      <c r="D32" s="150">
        <f t="shared" si="5"/>
        <v>-11.2</v>
      </c>
      <c r="E32" s="11">
        <f>IFERROR(100/'Skjema total MA'!C32*C32,0)</f>
        <v>66.142459688059716</v>
      </c>
      <c r="F32" s="276">
        <v>466285</v>
      </c>
      <c r="G32" s="276">
        <v>513148</v>
      </c>
      <c r="H32" s="150">
        <f t="shared" si="6"/>
        <v>10.1</v>
      </c>
      <c r="I32" s="395">
        <f>IFERROR(100/'Skjema total MA'!F32*G32,0)</f>
        <v>8.9322299945637447</v>
      </c>
      <c r="J32" s="276">
        <f t="shared" si="11"/>
        <v>2213040.4626296</v>
      </c>
      <c r="K32" s="276">
        <f t="shared" si="12"/>
        <v>2064348.98801006</v>
      </c>
      <c r="L32" s="150">
        <f t="shared" si="8"/>
        <v>-6.7</v>
      </c>
      <c r="M32" s="23">
        <f>IFERROR(100/'Skjema total MA'!I32*K32,0)</f>
        <v>25.516832493549842</v>
      </c>
    </row>
    <row r="33" spans="1:14" ht="15.75" x14ac:dyDescent="0.2">
      <c r="A33" s="487" t="s">
        <v>353</v>
      </c>
      <c r="B33" s="267"/>
      <c r="C33" s="267"/>
      <c r="D33" s="150"/>
      <c r="E33" s="11"/>
      <c r="F33" s="276"/>
      <c r="G33" s="276"/>
      <c r="H33" s="150"/>
      <c r="I33" s="395"/>
      <c r="J33" s="276"/>
      <c r="K33" s="276"/>
      <c r="L33" s="150"/>
      <c r="M33" s="23"/>
    </row>
    <row r="34" spans="1:14" ht="15.75" x14ac:dyDescent="0.2">
      <c r="A34" s="13" t="s">
        <v>348</v>
      </c>
      <c r="B34" s="217">
        <v>14617</v>
      </c>
      <c r="C34" s="292">
        <v>12830</v>
      </c>
      <c r="D34" s="155">
        <f t="shared" si="5"/>
        <v>-12.2</v>
      </c>
      <c r="E34" s="11">
        <f>IFERROR(100/'Skjema total MA'!C34*C34,0)</f>
        <v>65.6700232470142</v>
      </c>
      <c r="F34" s="291">
        <v>-11950</v>
      </c>
      <c r="G34" s="292">
        <v>-82629</v>
      </c>
      <c r="H34" s="155">
        <f t="shared" si="6"/>
        <v>591.5</v>
      </c>
      <c r="I34" s="11">
        <f>IFERROR(100/'Skjema total MA'!F34*G34,0)</f>
        <v>6673.343375155443</v>
      </c>
      <c r="J34" s="217">
        <f t="shared" si="7"/>
        <v>2667</v>
      </c>
      <c r="K34" s="217">
        <f t="shared" si="7"/>
        <v>-69799</v>
      </c>
      <c r="L34" s="406">
        <f t="shared" si="8"/>
        <v>-999</v>
      </c>
      <c r="M34" s="24">
        <f>IFERROR(100/'Skjema total MA'!I34*K34,0)</f>
        <v>-381.43869795449331</v>
      </c>
    </row>
    <row r="35" spans="1:14" ht="15.75" x14ac:dyDescent="0.2">
      <c r="A35" s="13" t="s">
        <v>349</v>
      </c>
      <c r="B35" s="217">
        <v>-20729</v>
      </c>
      <c r="C35" s="292">
        <v>-77384</v>
      </c>
      <c r="D35" s="155">
        <f t="shared" si="5"/>
        <v>273.3</v>
      </c>
      <c r="E35" s="11">
        <f>IFERROR(100/'Skjema total MA'!C35*C35,0)</f>
        <v>100.14583261925311</v>
      </c>
      <c r="F35" s="291">
        <v>13615.383</v>
      </c>
      <c r="G35" s="292">
        <v>-495</v>
      </c>
      <c r="H35" s="155">
        <f t="shared" si="6"/>
        <v>-103.6</v>
      </c>
      <c r="I35" s="11">
        <f>IFERROR(100/'Skjema total MA'!F35*G35,0)</f>
        <v>-0.48070054176190202</v>
      </c>
      <c r="J35" s="217">
        <f t="shared" si="7"/>
        <v>-7113.6170000000002</v>
      </c>
      <c r="K35" s="217">
        <f t="shared" si="7"/>
        <v>-77879</v>
      </c>
      <c r="L35" s="406">
        <f t="shared" si="8"/>
        <v>994.8</v>
      </c>
      <c r="M35" s="24">
        <f>IFERROR(100/'Skjema total MA'!I35*K35,0)</f>
        <v>-302.99105459557688</v>
      </c>
    </row>
    <row r="36" spans="1:14" ht="15.75" x14ac:dyDescent="0.2">
      <c r="A36" s="12" t="s">
        <v>276</v>
      </c>
      <c r="B36" s="217">
        <v>2561</v>
      </c>
      <c r="C36" s="292">
        <v>1532</v>
      </c>
      <c r="D36" s="155">
        <f t="shared" si="5"/>
        <v>-40.200000000000003</v>
      </c>
      <c r="E36" s="11">
        <f>IFERROR(100/'Skjema total MA'!C36*C36,0)</f>
        <v>95.765322451592269</v>
      </c>
      <c r="F36" s="302"/>
      <c r="G36" s="303"/>
      <c r="H36" s="155"/>
      <c r="I36" s="412"/>
      <c r="J36" s="217">
        <f t="shared" ref="J36:J39" si="13">SUM(B36,F36)</f>
        <v>2561</v>
      </c>
      <c r="K36" s="217">
        <f t="shared" ref="K36:K39" si="14">SUM(C36,G36)</f>
        <v>1532</v>
      </c>
      <c r="L36" s="406"/>
      <c r="M36" s="24">
        <f>IFERROR(100/'Skjema total MA'!I36*K36,0)</f>
        <v>95.765322451592269</v>
      </c>
    </row>
    <row r="37" spans="1:14" ht="15.75" x14ac:dyDescent="0.2">
      <c r="A37" s="12" t="s">
        <v>355</v>
      </c>
      <c r="B37" s="217">
        <v>2561371.8117</v>
      </c>
      <c r="C37" s="292">
        <v>2336072</v>
      </c>
      <c r="D37" s="155">
        <f t="shared" si="5"/>
        <v>-8.8000000000000007</v>
      </c>
      <c r="E37" s="11">
        <f>IFERROR(100/'Skjema total MA'!C37*C37,0)</f>
        <v>85.091039672791439</v>
      </c>
      <c r="F37" s="302"/>
      <c r="G37" s="304"/>
      <c r="H37" s="155"/>
      <c r="I37" s="412"/>
      <c r="J37" s="217">
        <f t="shared" si="13"/>
        <v>2561371.8117</v>
      </c>
      <c r="K37" s="217">
        <f t="shared" si="14"/>
        <v>2336072</v>
      </c>
      <c r="L37" s="406"/>
      <c r="M37" s="24">
        <f>IFERROR(100/'Skjema total MA'!I37*K37,0)</f>
        <v>85.091039672791439</v>
      </c>
    </row>
    <row r="38" spans="1:14" ht="15.75" x14ac:dyDescent="0.2">
      <c r="A38" s="12" t="s">
        <v>356</v>
      </c>
      <c r="B38" s="217"/>
      <c r="C38" s="292"/>
      <c r="D38" s="155"/>
      <c r="E38" s="24"/>
      <c r="F38" s="302"/>
      <c r="G38" s="303"/>
      <c r="H38" s="155"/>
      <c r="I38" s="412"/>
      <c r="J38" s="217"/>
      <c r="K38" s="217"/>
      <c r="L38" s="406"/>
      <c r="M38" s="24"/>
    </row>
    <row r="39" spans="1:14" ht="15.75" x14ac:dyDescent="0.2">
      <c r="A39" s="18" t="s">
        <v>357</v>
      </c>
      <c r="B39" s="262">
        <v>12</v>
      </c>
      <c r="C39" s="298">
        <v>10</v>
      </c>
      <c r="D39" s="153">
        <f t="shared" si="5"/>
        <v>-16.7</v>
      </c>
      <c r="E39" s="36">
        <f>IFERROR(100/'Skjema total MA'!C38*C39,0)</f>
        <v>0</v>
      </c>
      <c r="F39" s="305"/>
      <c r="G39" s="306"/>
      <c r="H39" s="153"/>
      <c r="I39" s="36"/>
      <c r="J39" s="217">
        <f t="shared" si="13"/>
        <v>12</v>
      </c>
      <c r="K39" s="217">
        <f t="shared" si="14"/>
        <v>10</v>
      </c>
      <c r="L39" s="407"/>
      <c r="M39" s="36">
        <f>IFERROR(100/'Skjema total MA'!I39*K39,0)</f>
        <v>100</v>
      </c>
    </row>
    <row r="40" spans="1:14" ht="15.75" x14ac:dyDescent="0.25">
      <c r="A40" s="47"/>
      <c r="B40" s="239"/>
      <c r="C40" s="239"/>
      <c r="D40" s="726"/>
      <c r="E40" s="726"/>
      <c r="F40" s="726"/>
      <c r="G40" s="726"/>
      <c r="H40" s="726"/>
      <c r="I40" s="726"/>
      <c r="J40" s="726"/>
      <c r="K40" s="726"/>
      <c r="L40" s="726"/>
      <c r="M40" s="285"/>
    </row>
    <row r="41" spans="1:14" x14ac:dyDescent="0.2">
      <c r="A41" s="139"/>
    </row>
    <row r="42" spans="1:14" ht="15.75" x14ac:dyDescent="0.25">
      <c r="A42" s="131" t="s">
        <v>265</v>
      </c>
      <c r="B42" s="727"/>
      <c r="C42" s="727"/>
      <c r="D42" s="727"/>
      <c r="E42" s="282"/>
      <c r="F42" s="728"/>
      <c r="G42" s="728"/>
      <c r="H42" s="728"/>
      <c r="I42" s="285"/>
      <c r="J42" s="728"/>
      <c r="K42" s="728"/>
      <c r="L42" s="728"/>
      <c r="M42" s="285"/>
    </row>
    <row r="43" spans="1:14" ht="15.75" x14ac:dyDescent="0.25">
      <c r="A43" s="147"/>
      <c r="B43" s="286"/>
      <c r="C43" s="286"/>
      <c r="D43" s="286"/>
      <c r="E43" s="286"/>
      <c r="F43" s="285"/>
      <c r="G43" s="285"/>
      <c r="H43" s="285"/>
      <c r="I43" s="285"/>
      <c r="J43" s="285"/>
      <c r="K43" s="285"/>
      <c r="L43" s="285"/>
      <c r="M43" s="285"/>
    </row>
    <row r="44" spans="1:14" ht="15.75" x14ac:dyDescent="0.25">
      <c r="A44" s="230"/>
      <c r="B44" s="723" t="s">
        <v>0</v>
      </c>
      <c r="C44" s="724"/>
      <c r="D44" s="724"/>
      <c r="E44" s="225"/>
      <c r="F44" s="285"/>
      <c r="G44" s="285"/>
      <c r="H44" s="285"/>
      <c r="I44" s="285"/>
      <c r="J44" s="285"/>
      <c r="K44" s="285"/>
      <c r="L44" s="285"/>
      <c r="M44" s="285"/>
    </row>
    <row r="45" spans="1:14" s="3" customFormat="1" x14ac:dyDescent="0.2">
      <c r="A45" s="124"/>
      <c r="B45" s="157" t="s">
        <v>434</v>
      </c>
      <c r="C45" s="157" t="s">
        <v>435</v>
      </c>
      <c r="D45" s="146" t="s">
        <v>3</v>
      </c>
      <c r="E45" s="146" t="s">
        <v>29</v>
      </c>
      <c r="F45" s="159"/>
      <c r="G45" s="159"/>
      <c r="H45" s="158"/>
      <c r="I45" s="158"/>
      <c r="J45" s="159"/>
      <c r="K45" s="159"/>
      <c r="L45" s="158"/>
      <c r="M45" s="158"/>
      <c r="N45" s="132"/>
    </row>
    <row r="46" spans="1:14" s="3" customFormat="1" x14ac:dyDescent="0.2">
      <c r="A46" s="691"/>
      <c r="B46" s="226"/>
      <c r="C46" s="226"/>
      <c r="D46" s="227" t="s">
        <v>4</v>
      </c>
      <c r="E46" s="140" t="s">
        <v>30</v>
      </c>
      <c r="F46" s="158"/>
      <c r="G46" s="158"/>
      <c r="H46" s="158"/>
      <c r="I46" s="158"/>
      <c r="J46" s="158"/>
      <c r="K46" s="158"/>
      <c r="L46" s="158"/>
      <c r="M46" s="158"/>
      <c r="N46" s="132"/>
    </row>
    <row r="47" spans="1:14" s="3" customFormat="1" ht="15.75" x14ac:dyDescent="0.2">
      <c r="A47" s="14" t="s">
        <v>23</v>
      </c>
      <c r="B47" s="293">
        <v>523190</v>
      </c>
      <c r="C47" s="294">
        <v>522724</v>
      </c>
      <c r="D47" s="405">
        <f t="shared" ref="D47:D57" si="15">IF(B47=0, "    ---- ", IF(ABS(ROUND(100/B47*C47-100,1))&lt;999,ROUND(100/B47*C47-100,1),IF(ROUND(100/B47*C47-100,1)&gt;999,999,-999)))</f>
        <v>-0.1</v>
      </c>
      <c r="E47" s="11">
        <f>IFERROR(100/'Skjema total MA'!C47*C47,0)</f>
        <v>9.802384284035746</v>
      </c>
      <c r="F47" s="129"/>
      <c r="G47" s="33"/>
      <c r="H47" s="143"/>
      <c r="I47" s="143"/>
      <c r="J47" s="37"/>
      <c r="K47" s="37"/>
      <c r="L47" s="143"/>
      <c r="M47" s="143"/>
      <c r="N47" s="132"/>
    </row>
    <row r="48" spans="1:14" s="3" customFormat="1" ht="15.75" x14ac:dyDescent="0.2">
      <c r="A48" s="38" t="s">
        <v>358</v>
      </c>
      <c r="B48" s="267">
        <v>523190</v>
      </c>
      <c r="C48" s="268">
        <v>522724</v>
      </c>
      <c r="D48" s="240">
        <f t="shared" si="15"/>
        <v>-0.1</v>
      </c>
      <c r="E48" s="27">
        <f>IFERROR(100/'Skjema total MA'!C48*C48,0)</f>
        <v>17.403280617860744</v>
      </c>
      <c r="F48" s="129"/>
      <c r="G48" s="33"/>
      <c r="H48" s="129"/>
      <c r="I48" s="129"/>
      <c r="J48" s="33"/>
      <c r="K48" s="33"/>
      <c r="L48" s="143"/>
      <c r="M48" s="143"/>
      <c r="N48" s="132"/>
    </row>
    <row r="49" spans="1:14" s="3" customFormat="1" ht="15.75" x14ac:dyDescent="0.2">
      <c r="A49" s="38" t="s">
        <v>359</v>
      </c>
      <c r="B49" s="44"/>
      <c r="C49" s="273"/>
      <c r="D49" s="240"/>
      <c r="E49" s="27"/>
      <c r="F49" s="129"/>
      <c r="G49" s="33"/>
      <c r="H49" s="129"/>
      <c r="I49" s="129"/>
      <c r="J49" s="37"/>
      <c r="K49" s="37"/>
      <c r="L49" s="143"/>
      <c r="M49" s="143"/>
      <c r="N49" s="132"/>
    </row>
    <row r="50" spans="1:14" s="3" customFormat="1" x14ac:dyDescent="0.2">
      <c r="A50" s="279" t="s">
        <v>6</v>
      </c>
      <c r="B50" s="302"/>
      <c r="C50" s="302"/>
      <c r="D50" s="240"/>
      <c r="E50" s="23"/>
      <c r="F50" s="129"/>
      <c r="G50" s="33"/>
      <c r="H50" s="129"/>
      <c r="I50" s="129"/>
      <c r="J50" s="33"/>
      <c r="K50" s="33"/>
      <c r="L50" s="143"/>
      <c r="M50" s="143"/>
      <c r="N50" s="132"/>
    </row>
    <row r="51" spans="1:14" s="3" customFormat="1" x14ac:dyDescent="0.2">
      <c r="A51" s="279" t="s">
        <v>7</v>
      </c>
      <c r="B51" s="302"/>
      <c r="C51" s="302"/>
      <c r="D51" s="240"/>
      <c r="E51" s="23"/>
      <c r="F51" s="129"/>
      <c r="G51" s="33"/>
      <c r="H51" s="129"/>
      <c r="I51" s="129"/>
      <c r="J51" s="33"/>
      <c r="K51" s="33"/>
      <c r="L51" s="143"/>
      <c r="M51" s="143"/>
      <c r="N51" s="132"/>
    </row>
    <row r="52" spans="1:14" s="3" customFormat="1" x14ac:dyDescent="0.2">
      <c r="A52" s="279" t="s">
        <v>8</v>
      </c>
      <c r="B52" s="302"/>
      <c r="C52" s="302"/>
      <c r="D52" s="240"/>
      <c r="E52" s="23"/>
      <c r="F52" s="129"/>
      <c r="G52" s="33"/>
      <c r="H52" s="129"/>
      <c r="I52" s="129"/>
      <c r="J52" s="33"/>
      <c r="K52" s="33"/>
      <c r="L52" s="143"/>
      <c r="M52" s="143"/>
      <c r="N52" s="132"/>
    </row>
    <row r="53" spans="1:14" s="3" customFormat="1" ht="15.75" x14ac:dyDescent="0.2">
      <c r="A53" s="39" t="s">
        <v>360</v>
      </c>
      <c r="B53" s="293">
        <v>16100</v>
      </c>
      <c r="C53" s="294">
        <v>28200</v>
      </c>
      <c r="D53" s="406">
        <f t="shared" si="15"/>
        <v>75.2</v>
      </c>
      <c r="E53" s="11">
        <f>IFERROR(100/'Skjema total MA'!C53*C53,0)</f>
        <v>15.241536850209506</v>
      </c>
      <c r="F53" s="129"/>
      <c r="G53" s="33"/>
      <c r="H53" s="129"/>
      <c r="I53" s="129"/>
      <c r="J53" s="33"/>
      <c r="K53" s="33"/>
      <c r="L53" s="143"/>
      <c r="M53" s="143"/>
      <c r="N53" s="132"/>
    </row>
    <row r="54" spans="1:14" s="3" customFormat="1" ht="15.75" x14ac:dyDescent="0.2">
      <c r="A54" s="38" t="s">
        <v>358</v>
      </c>
      <c r="B54" s="267">
        <v>16100</v>
      </c>
      <c r="C54" s="268">
        <v>28200</v>
      </c>
      <c r="D54" s="240">
        <f t="shared" si="15"/>
        <v>75.2</v>
      </c>
      <c r="E54" s="27">
        <f>IFERROR(100/'Skjema total MA'!C54*C54,0)</f>
        <v>15.319866424672172</v>
      </c>
      <c r="F54" s="129"/>
      <c r="G54" s="33"/>
      <c r="H54" s="129"/>
      <c r="I54" s="129"/>
      <c r="J54" s="33"/>
      <c r="K54" s="33"/>
      <c r="L54" s="143"/>
      <c r="M54" s="143"/>
      <c r="N54" s="132"/>
    </row>
    <row r="55" spans="1:14" s="3" customFormat="1" ht="15.75" x14ac:dyDescent="0.2">
      <c r="A55" s="38" t="s">
        <v>359</v>
      </c>
      <c r="B55" s="267"/>
      <c r="C55" s="268"/>
      <c r="D55" s="240"/>
      <c r="E55" s="27"/>
      <c r="F55" s="129"/>
      <c r="G55" s="33"/>
      <c r="H55" s="129"/>
      <c r="I55" s="129"/>
      <c r="J55" s="33"/>
      <c r="K55" s="33"/>
      <c r="L55" s="143"/>
      <c r="M55" s="143"/>
      <c r="N55" s="132"/>
    </row>
    <row r="56" spans="1:14" s="3" customFormat="1" ht="15.75" x14ac:dyDescent="0.2">
      <c r="A56" s="39" t="s">
        <v>361</v>
      </c>
      <c r="B56" s="293">
        <v>28700</v>
      </c>
      <c r="C56" s="294">
        <v>68800</v>
      </c>
      <c r="D56" s="406">
        <f t="shared" si="15"/>
        <v>139.69999999999999</v>
      </c>
      <c r="E56" s="11">
        <f>IFERROR(100/'Skjema total MA'!C56*C56,0)</f>
        <v>61.807741504070016</v>
      </c>
      <c r="F56" s="129"/>
      <c r="G56" s="33"/>
      <c r="H56" s="129"/>
      <c r="I56" s="129"/>
      <c r="J56" s="33"/>
      <c r="K56" s="33"/>
      <c r="L56" s="143"/>
      <c r="M56" s="143"/>
      <c r="N56" s="132"/>
    </row>
    <row r="57" spans="1:14" s="3" customFormat="1" ht="15.75" x14ac:dyDescent="0.2">
      <c r="A57" s="38" t="s">
        <v>358</v>
      </c>
      <c r="B57" s="267">
        <v>28700</v>
      </c>
      <c r="C57" s="268">
        <v>68800</v>
      </c>
      <c r="D57" s="240">
        <f t="shared" si="15"/>
        <v>139.69999999999999</v>
      </c>
      <c r="E57" s="27">
        <f>IFERROR(100/'Skjema total MA'!C57*C57,0)</f>
        <v>61.807741504070016</v>
      </c>
      <c r="F57" s="129"/>
      <c r="G57" s="33"/>
      <c r="H57" s="129"/>
      <c r="I57" s="129"/>
      <c r="J57" s="33"/>
      <c r="K57" s="33"/>
      <c r="L57" s="143"/>
      <c r="M57" s="143"/>
      <c r="N57" s="132"/>
    </row>
    <row r="58" spans="1:14" s="3" customFormat="1" ht="15.75" x14ac:dyDescent="0.2">
      <c r="A58" s="46" t="s">
        <v>359</v>
      </c>
      <c r="B58" s="269"/>
      <c r="C58" s="270"/>
      <c r="D58" s="241"/>
      <c r="E58" s="22"/>
      <c r="F58" s="129"/>
      <c r="G58" s="33"/>
      <c r="H58" s="129"/>
      <c r="I58" s="129"/>
      <c r="J58" s="33"/>
      <c r="K58" s="33"/>
      <c r="L58" s="143"/>
      <c r="M58" s="143"/>
      <c r="N58" s="132"/>
    </row>
    <row r="59" spans="1:14" s="3" customFormat="1" ht="15.75" x14ac:dyDescent="0.25">
      <c r="A59" s="148"/>
      <c r="B59" s="138"/>
      <c r="C59" s="138"/>
      <c r="D59" s="138"/>
      <c r="E59" s="138"/>
      <c r="F59" s="126"/>
      <c r="G59" s="126"/>
      <c r="H59" s="126"/>
      <c r="I59" s="126"/>
      <c r="J59" s="126"/>
      <c r="K59" s="126"/>
      <c r="L59" s="126"/>
      <c r="M59" s="126"/>
      <c r="N59" s="132"/>
    </row>
    <row r="60" spans="1:14" x14ac:dyDescent="0.2">
      <c r="A60" s="139"/>
    </row>
    <row r="61" spans="1:14" ht="15.75" x14ac:dyDescent="0.25">
      <c r="A61" s="131" t="s">
        <v>266</v>
      </c>
      <c r="C61" s="26"/>
      <c r="D61" s="26"/>
      <c r="E61" s="26"/>
      <c r="F61" s="26"/>
      <c r="G61" s="26"/>
      <c r="H61" s="26"/>
      <c r="I61" s="26"/>
      <c r="J61" s="26"/>
      <c r="K61" s="26"/>
      <c r="L61" s="26"/>
      <c r="M61" s="26"/>
    </row>
    <row r="62" spans="1:14" ht="15.75" x14ac:dyDescent="0.25">
      <c r="B62" s="722"/>
      <c r="C62" s="722"/>
      <c r="D62" s="722"/>
      <c r="E62" s="282"/>
      <c r="F62" s="722"/>
      <c r="G62" s="722"/>
      <c r="H62" s="722"/>
      <c r="I62" s="282"/>
      <c r="J62" s="722"/>
      <c r="K62" s="722"/>
      <c r="L62" s="722"/>
      <c r="M62" s="282"/>
    </row>
    <row r="63" spans="1:14" x14ac:dyDescent="0.2">
      <c r="A63" s="128"/>
      <c r="B63" s="723" t="s">
        <v>0</v>
      </c>
      <c r="C63" s="724"/>
      <c r="D63" s="725"/>
      <c r="E63" s="283"/>
      <c r="F63" s="724" t="s">
        <v>1</v>
      </c>
      <c r="G63" s="724"/>
      <c r="H63" s="724"/>
      <c r="I63" s="287"/>
      <c r="J63" s="723" t="s">
        <v>2</v>
      </c>
      <c r="K63" s="724"/>
      <c r="L63" s="724"/>
      <c r="M63" s="287"/>
    </row>
    <row r="64" spans="1:14" x14ac:dyDescent="0.2">
      <c r="A64" s="124"/>
      <c r="B64" s="136" t="s">
        <v>434</v>
      </c>
      <c r="C64" s="136" t="s">
        <v>435</v>
      </c>
      <c r="D64" s="227" t="s">
        <v>3</v>
      </c>
      <c r="E64" s="288" t="s">
        <v>29</v>
      </c>
      <c r="F64" s="136" t="s">
        <v>434</v>
      </c>
      <c r="G64" s="136" t="s">
        <v>435</v>
      </c>
      <c r="H64" s="227" t="s">
        <v>3</v>
      </c>
      <c r="I64" s="288" t="s">
        <v>29</v>
      </c>
      <c r="J64" s="136" t="s">
        <v>434</v>
      </c>
      <c r="K64" s="136" t="s">
        <v>435</v>
      </c>
      <c r="L64" s="227" t="s">
        <v>3</v>
      </c>
      <c r="M64" s="146" t="s">
        <v>29</v>
      </c>
    </row>
    <row r="65" spans="1:14" x14ac:dyDescent="0.2">
      <c r="A65" s="691"/>
      <c r="B65" s="140"/>
      <c r="C65" s="140"/>
      <c r="D65" s="229" t="s">
        <v>4</v>
      </c>
      <c r="E65" s="140" t="s">
        <v>30</v>
      </c>
      <c r="F65" s="145"/>
      <c r="G65" s="145"/>
      <c r="H65" s="227" t="s">
        <v>4</v>
      </c>
      <c r="I65" s="140" t="s">
        <v>30</v>
      </c>
      <c r="J65" s="145"/>
      <c r="K65" s="188"/>
      <c r="L65" s="140" t="s">
        <v>4</v>
      </c>
      <c r="M65" s="140" t="s">
        <v>30</v>
      </c>
    </row>
    <row r="66" spans="1:14" ht="15.75" x14ac:dyDescent="0.2">
      <c r="A66" s="14" t="s">
        <v>23</v>
      </c>
      <c r="B66" s="335">
        <v>1764054</v>
      </c>
      <c r="C66" s="335">
        <v>1858703</v>
      </c>
      <c r="D66" s="332">
        <f t="shared" ref="D66:D111" si="16">IF(B66=0, "    ---- ", IF(ABS(ROUND(100/B66*C66-100,1))&lt;999,ROUND(100/B66*C66-100,1),IF(ROUND(100/B66*C66-100,1)&gt;999,999,-999)))</f>
        <v>5.4</v>
      </c>
      <c r="E66" s="11">
        <f>IFERROR(100/'Skjema total MA'!C66*C66,0)</f>
        <v>27.121967862013424</v>
      </c>
      <c r="F66" s="334">
        <v>9102849</v>
      </c>
      <c r="G66" s="334">
        <v>10539386</v>
      </c>
      <c r="H66" s="332">
        <f t="shared" ref="H66:H111" si="17">IF(F66=0, "    ---- ", IF(ABS(ROUND(100/F66*G66-100,1))&lt;999,ROUND(100/F66*G66-100,1),IF(ROUND(100/F66*G66-100,1)&gt;999,999,-999)))</f>
        <v>15.8</v>
      </c>
      <c r="I66" s="11">
        <f>IFERROR(100/'Skjema total MA'!F66*G66,0)</f>
        <v>28.848824984637318</v>
      </c>
      <c r="J66" s="292">
        <f t="shared" ref="J66:K86" si="18">SUM(B66,F66)</f>
        <v>10866903</v>
      </c>
      <c r="K66" s="299">
        <f t="shared" si="18"/>
        <v>12398089</v>
      </c>
      <c r="L66" s="406">
        <f t="shared" ref="L66:L111" si="19">IF(J66=0, "    ---- ", IF(ABS(ROUND(100/J66*K66-100,1))&lt;999,ROUND(100/J66*K66-100,1),IF(ROUND(100/J66*K66-100,1)&gt;999,999,-999)))</f>
        <v>14.1</v>
      </c>
      <c r="M66" s="11">
        <f>IFERROR(100/'Skjema total MA'!I66*K66,0)</f>
        <v>28.576057393139127</v>
      </c>
    </row>
    <row r="67" spans="1:14" x14ac:dyDescent="0.2">
      <c r="A67" s="21" t="s">
        <v>9</v>
      </c>
      <c r="B67" s="44">
        <v>1524141</v>
      </c>
      <c r="C67" s="129">
        <v>1534860</v>
      </c>
      <c r="D67" s="150">
        <f t="shared" si="16"/>
        <v>0.7</v>
      </c>
      <c r="E67" s="27">
        <f>IFERROR(100/'Skjema total MA'!C67*C67,0)</f>
        <v>36.479159764840247</v>
      </c>
      <c r="F67" s="215"/>
      <c r="G67" s="129"/>
      <c r="H67" s="150"/>
      <c r="I67" s="27"/>
      <c r="J67" s="273">
        <f t="shared" si="18"/>
        <v>1524141</v>
      </c>
      <c r="K67" s="44">
        <f t="shared" si="18"/>
        <v>1534860</v>
      </c>
      <c r="L67" s="240">
        <f t="shared" si="19"/>
        <v>0.7</v>
      </c>
      <c r="M67" s="27">
        <f>IFERROR(100/'Skjema total MA'!I67*K67,0)</f>
        <v>36.479159764840247</v>
      </c>
    </row>
    <row r="68" spans="1:14" x14ac:dyDescent="0.2">
      <c r="A68" s="21" t="s">
        <v>10</v>
      </c>
      <c r="B68" s="277"/>
      <c r="C68" s="278"/>
      <c r="D68" s="150"/>
      <c r="E68" s="27"/>
      <c r="F68" s="277">
        <v>9102849</v>
      </c>
      <c r="G68" s="278">
        <v>10539386</v>
      </c>
      <c r="H68" s="150">
        <f t="shared" si="17"/>
        <v>15.8</v>
      </c>
      <c r="I68" s="27">
        <f>IFERROR(100/'Skjema total MA'!F68*G68,0)</f>
        <v>30.189925780894452</v>
      </c>
      <c r="J68" s="273">
        <f t="shared" si="18"/>
        <v>9102849</v>
      </c>
      <c r="K68" s="44">
        <f t="shared" si="18"/>
        <v>10539386</v>
      </c>
      <c r="L68" s="240">
        <f t="shared" si="19"/>
        <v>15.8</v>
      </c>
      <c r="M68" s="27">
        <f>IFERROR(100/'Skjema total MA'!I68*K68,0)</f>
        <v>30.164713996575898</v>
      </c>
    </row>
    <row r="69" spans="1:14" ht="15.75" x14ac:dyDescent="0.2">
      <c r="A69" s="279" t="s">
        <v>362</v>
      </c>
      <c r="B69" s="302"/>
      <c r="C69" s="302"/>
      <c r="D69" s="150"/>
      <c r="E69" s="395"/>
      <c r="F69" s="307"/>
      <c r="G69" s="302"/>
      <c r="H69" s="150"/>
      <c r="I69" s="395"/>
      <c r="J69" s="307"/>
      <c r="K69" s="302"/>
      <c r="L69" s="150"/>
      <c r="M69" s="23"/>
    </row>
    <row r="70" spans="1:14" x14ac:dyDescent="0.2">
      <c r="A70" s="279" t="s">
        <v>12</v>
      </c>
      <c r="B70" s="302"/>
      <c r="C70" s="302"/>
      <c r="D70" s="150"/>
      <c r="E70" s="395"/>
      <c r="F70" s="307"/>
      <c r="G70" s="302"/>
      <c r="H70" s="150"/>
      <c r="I70" s="395"/>
      <c r="J70" s="307"/>
      <c r="K70" s="302"/>
      <c r="L70" s="150"/>
      <c r="M70" s="23"/>
    </row>
    <row r="71" spans="1:14" x14ac:dyDescent="0.2">
      <c r="A71" s="279" t="s">
        <v>13</v>
      </c>
      <c r="B71" s="302"/>
      <c r="C71" s="302"/>
      <c r="D71" s="150"/>
      <c r="E71" s="395"/>
      <c r="F71" s="307"/>
      <c r="G71" s="302"/>
      <c r="H71" s="150"/>
      <c r="I71" s="395"/>
      <c r="J71" s="307"/>
      <c r="K71" s="302"/>
      <c r="L71" s="150"/>
      <c r="M71" s="23"/>
    </row>
    <row r="72" spans="1:14" ht="15.75" x14ac:dyDescent="0.2">
      <c r="A72" s="279" t="s">
        <v>363</v>
      </c>
      <c r="B72" s="302"/>
      <c r="C72" s="302"/>
      <c r="D72" s="150"/>
      <c r="E72" s="395"/>
      <c r="F72" s="307"/>
      <c r="G72" s="302"/>
      <c r="H72" s="150"/>
      <c r="I72" s="395"/>
      <c r="J72" s="307"/>
      <c r="K72" s="302"/>
      <c r="L72" s="150"/>
      <c r="M72" s="23"/>
    </row>
    <row r="73" spans="1:14" x14ac:dyDescent="0.2">
      <c r="A73" s="279" t="s">
        <v>12</v>
      </c>
      <c r="B73" s="216"/>
      <c r="C73" s="275"/>
      <c r="D73" s="150"/>
      <c r="E73" s="395"/>
      <c r="F73" s="307"/>
      <c r="G73" s="302"/>
      <c r="H73" s="150"/>
      <c r="I73" s="395"/>
      <c r="J73" s="307"/>
      <c r="K73" s="302"/>
      <c r="L73" s="150"/>
      <c r="M73" s="23"/>
    </row>
    <row r="74" spans="1:14" s="3" customFormat="1" x14ac:dyDescent="0.2">
      <c r="A74" s="279" t="s">
        <v>13</v>
      </c>
      <c r="B74" s="216"/>
      <c r="C74" s="275"/>
      <c r="D74" s="150"/>
      <c r="E74" s="395"/>
      <c r="F74" s="307"/>
      <c r="G74" s="302"/>
      <c r="H74" s="150"/>
      <c r="I74" s="395"/>
      <c r="J74" s="307"/>
      <c r="K74" s="302"/>
      <c r="L74" s="150"/>
      <c r="M74" s="23"/>
      <c r="N74" s="132"/>
    </row>
    <row r="75" spans="1:14" s="3" customFormat="1" x14ac:dyDescent="0.2">
      <c r="A75" s="21" t="s">
        <v>334</v>
      </c>
      <c r="B75" s="215"/>
      <c r="C75" s="129"/>
      <c r="D75" s="150"/>
      <c r="E75" s="27"/>
      <c r="F75" s="215"/>
      <c r="G75" s="129"/>
      <c r="H75" s="150"/>
      <c r="I75" s="27"/>
      <c r="J75" s="273"/>
      <c r="K75" s="44"/>
      <c r="L75" s="240"/>
      <c r="M75" s="27"/>
      <c r="N75" s="132"/>
    </row>
    <row r="76" spans="1:14" s="3" customFormat="1" x14ac:dyDescent="0.2">
      <c r="A76" s="21" t="s">
        <v>333</v>
      </c>
      <c r="B76" s="215">
        <v>239913</v>
      </c>
      <c r="C76" s="129">
        <v>323843</v>
      </c>
      <c r="D76" s="150">
        <f t="shared" ref="D76" si="20">IF(B76=0, "    ---- ", IF(ABS(ROUND(100/B76*C76-100,1))&lt;999,ROUND(100/B76*C76-100,1),IF(ROUND(100/B76*C76-100,1)&gt;999,999,-999)))</f>
        <v>35</v>
      </c>
      <c r="E76" s="27">
        <f>IFERROR(100/'Skjema total MA'!C77*C76,0)</f>
        <v>7.8195159920938551</v>
      </c>
      <c r="F76" s="215"/>
      <c r="G76" s="129"/>
      <c r="H76" s="150"/>
      <c r="I76" s="27"/>
      <c r="J76" s="273">
        <f t="shared" ref="J76" si="21">SUM(B76,F76)</f>
        <v>239913</v>
      </c>
      <c r="K76" s="44">
        <f t="shared" ref="K76" si="22">SUM(C76,G76)</f>
        <v>323843</v>
      </c>
      <c r="L76" s="240">
        <f t="shared" ref="L76" si="23">IF(J76=0, "    ---- ", IF(ABS(ROUND(100/J76*K76-100,1))&lt;999,ROUND(100/J76*K76-100,1),IF(ROUND(100/J76*K76-100,1)&gt;999,999,-999)))</f>
        <v>35</v>
      </c>
      <c r="M76" s="27">
        <f>IFERROR(100/'Skjema total MA'!I77*K76,0)</f>
        <v>0.82946708169596206</v>
      </c>
      <c r="N76" s="132"/>
    </row>
    <row r="77" spans="1:14" ht="15.75" x14ac:dyDescent="0.2">
      <c r="A77" s="21" t="s">
        <v>364</v>
      </c>
      <c r="B77" s="215">
        <v>1504301</v>
      </c>
      <c r="C77" s="215">
        <v>1513625</v>
      </c>
      <c r="D77" s="150">
        <f t="shared" si="16"/>
        <v>0.6</v>
      </c>
      <c r="E77" s="27">
        <f>IFERROR(100/'Skjema total MA'!C77*C77,0)</f>
        <v>36.548002870320069</v>
      </c>
      <c r="F77" s="215">
        <v>9102849</v>
      </c>
      <c r="G77" s="129">
        <v>10539386</v>
      </c>
      <c r="H77" s="150">
        <f t="shared" si="17"/>
        <v>15.8</v>
      </c>
      <c r="I77" s="27">
        <f>IFERROR(100/'Skjema total MA'!F77*G77,0)</f>
        <v>30.198099340549589</v>
      </c>
      <c r="J77" s="273">
        <f t="shared" si="18"/>
        <v>10607150</v>
      </c>
      <c r="K77" s="44">
        <f t="shared" si="18"/>
        <v>12053011</v>
      </c>
      <c r="L77" s="240">
        <f t="shared" si="19"/>
        <v>13.6</v>
      </c>
      <c r="M77" s="27">
        <f>IFERROR(100/'Skjema total MA'!I77*K77,0)</f>
        <v>30.871675039507814</v>
      </c>
    </row>
    <row r="78" spans="1:14" x14ac:dyDescent="0.2">
      <c r="A78" s="21" t="s">
        <v>9</v>
      </c>
      <c r="B78" s="215">
        <v>1504301</v>
      </c>
      <c r="C78" s="129">
        <v>1513625</v>
      </c>
      <c r="D78" s="150">
        <f t="shared" si="16"/>
        <v>0.6</v>
      </c>
      <c r="E78" s="27">
        <f>IFERROR(100/'Skjema total MA'!C78*C78,0)</f>
        <v>36.807260945637488</v>
      </c>
      <c r="F78" s="215"/>
      <c r="G78" s="129"/>
      <c r="H78" s="150"/>
      <c r="I78" s="27"/>
      <c r="J78" s="273">
        <f t="shared" si="18"/>
        <v>1504301</v>
      </c>
      <c r="K78" s="44">
        <f t="shared" si="18"/>
        <v>1513625</v>
      </c>
      <c r="L78" s="240">
        <f t="shared" si="19"/>
        <v>0.6</v>
      </c>
      <c r="M78" s="27">
        <f>IFERROR(100/'Skjema total MA'!I78*K78,0)</f>
        <v>36.807260945637488</v>
      </c>
    </row>
    <row r="79" spans="1:14" x14ac:dyDescent="0.2">
      <c r="A79" s="38" t="s">
        <v>396</v>
      </c>
      <c r="B79" s="277"/>
      <c r="C79" s="278"/>
      <c r="D79" s="150"/>
      <c r="E79" s="27"/>
      <c r="F79" s="277">
        <v>9102849</v>
      </c>
      <c r="G79" s="278">
        <v>10539386</v>
      </c>
      <c r="H79" s="150">
        <f t="shared" si="17"/>
        <v>15.8</v>
      </c>
      <c r="I79" s="27">
        <f>IFERROR(100/'Skjema total MA'!F79*G79,0)</f>
        <v>30.198099340549589</v>
      </c>
      <c r="J79" s="273">
        <f t="shared" si="18"/>
        <v>9102849</v>
      </c>
      <c r="K79" s="44">
        <f t="shared" si="18"/>
        <v>10539386</v>
      </c>
      <c r="L79" s="240">
        <f t="shared" si="19"/>
        <v>15.8</v>
      </c>
      <c r="M79" s="27">
        <f>IFERROR(100/'Skjema total MA'!I79*K79,0)</f>
        <v>30.172879955179706</v>
      </c>
    </row>
    <row r="80" spans="1:14" ht="15.75" x14ac:dyDescent="0.2">
      <c r="A80" s="279" t="s">
        <v>362</v>
      </c>
      <c r="B80" s="307"/>
      <c r="C80" s="302"/>
      <c r="D80" s="150"/>
      <c r="E80" s="395"/>
      <c r="F80" s="307"/>
      <c r="G80" s="302"/>
      <c r="H80" s="150"/>
      <c r="I80" s="395"/>
      <c r="J80" s="307"/>
      <c r="K80" s="302"/>
      <c r="L80" s="150"/>
      <c r="M80" s="23"/>
    </row>
    <row r="81" spans="1:13" x14ac:dyDescent="0.2">
      <c r="A81" s="279" t="s">
        <v>12</v>
      </c>
      <c r="B81" s="307"/>
      <c r="C81" s="302"/>
      <c r="D81" s="150"/>
      <c r="E81" s="395"/>
      <c r="F81" s="307"/>
      <c r="G81" s="302"/>
      <c r="H81" s="150"/>
      <c r="I81" s="395"/>
      <c r="J81" s="307"/>
      <c r="K81" s="302"/>
      <c r="L81" s="150"/>
      <c r="M81" s="23"/>
    </row>
    <row r="82" spans="1:13" x14ac:dyDescent="0.2">
      <c r="A82" s="279" t="s">
        <v>13</v>
      </c>
      <c r="B82" s="307"/>
      <c r="C82" s="302"/>
      <c r="D82" s="150"/>
      <c r="E82" s="395"/>
      <c r="F82" s="307"/>
      <c r="G82" s="302"/>
      <c r="H82" s="150"/>
      <c r="I82" s="395"/>
      <c r="J82" s="307"/>
      <c r="K82" s="302"/>
      <c r="L82" s="150"/>
      <c r="M82" s="23"/>
    </row>
    <row r="83" spans="1:13" ht="15.75" x14ac:dyDescent="0.2">
      <c r="A83" s="279" t="s">
        <v>363</v>
      </c>
      <c r="B83" s="307"/>
      <c r="C83" s="302"/>
      <c r="D83" s="150"/>
      <c r="E83" s="395"/>
      <c r="F83" s="307"/>
      <c r="G83" s="302"/>
      <c r="H83" s="150"/>
      <c r="I83" s="395"/>
      <c r="J83" s="307"/>
      <c r="K83" s="302"/>
      <c r="L83" s="150"/>
      <c r="M83" s="23"/>
    </row>
    <row r="84" spans="1:13" x14ac:dyDescent="0.2">
      <c r="A84" s="279" t="s">
        <v>12</v>
      </c>
      <c r="B84" s="307"/>
      <c r="C84" s="302"/>
      <c r="D84" s="150"/>
      <c r="E84" s="395"/>
      <c r="F84" s="307"/>
      <c r="G84" s="302"/>
      <c r="H84" s="150"/>
      <c r="I84" s="395"/>
      <c r="J84" s="307"/>
      <c r="K84" s="302"/>
      <c r="L84" s="150"/>
      <c r="M84" s="23"/>
    </row>
    <row r="85" spans="1:13" x14ac:dyDescent="0.2">
      <c r="A85" s="279" t="s">
        <v>13</v>
      </c>
      <c r="B85" s="307"/>
      <c r="C85" s="302"/>
      <c r="D85" s="150"/>
      <c r="E85" s="395"/>
      <c r="F85" s="307"/>
      <c r="G85" s="302"/>
      <c r="H85" s="150"/>
      <c r="I85" s="395"/>
      <c r="J85" s="307"/>
      <c r="K85" s="302"/>
      <c r="L85" s="150"/>
      <c r="M85" s="23"/>
    </row>
    <row r="86" spans="1:13" ht="15.75" x14ac:dyDescent="0.2">
      <c r="A86" s="21" t="s">
        <v>365</v>
      </c>
      <c r="B86" s="215">
        <v>19839.506000000001</v>
      </c>
      <c r="C86" s="129">
        <v>21235</v>
      </c>
      <c r="D86" s="150">
        <f t="shared" si="16"/>
        <v>7</v>
      </c>
      <c r="E86" s="27">
        <f>IFERROR(100/'Skjema total MA'!C86*C86,0)</f>
        <v>22.304566177973463</v>
      </c>
      <c r="F86" s="215"/>
      <c r="G86" s="129"/>
      <c r="H86" s="150"/>
      <c r="I86" s="27"/>
      <c r="J86" s="273">
        <f t="shared" si="18"/>
        <v>19839.506000000001</v>
      </c>
      <c r="K86" s="44">
        <f t="shared" si="18"/>
        <v>21235</v>
      </c>
      <c r="L86" s="240">
        <f t="shared" si="19"/>
        <v>7</v>
      </c>
      <c r="M86" s="27">
        <f>IFERROR(100/'Skjema total MA'!I86*K86,0)</f>
        <v>20.290730247901042</v>
      </c>
    </row>
    <row r="87" spans="1:13" ht="15.75" x14ac:dyDescent="0.2">
      <c r="A87" s="13" t="s">
        <v>347</v>
      </c>
      <c r="B87" s="335">
        <v>156420032</v>
      </c>
      <c r="C87" s="335">
        <v>153356853</v>
      </c>
      <c r="D87" s="155">
        <f t="shared" si="16"/>
        <v>-2</v>
      </c>
      <c r="E87" s="11">
        <f>IFERROR(100/'Skjema total MA'!C87*C87,0)</f>
        <v>38.387974807308225</v>
      </c>
      <c r="F87" s="334">
        <v>117204929</v>
      </c>
      <c r="G87" s="334">
        <v>143218472</v>
      </c>
      <c r="H87" s="155">
        <f t="shared" si="17"/>
        <v>22.2</v>
      </c>
      <c r="I87" s="11">
        <f>IFERROR(100/'Skjema total MA'!F87*G87,0)</f>
        <v>28.365816899180917</v>
      </c>
      <c r="J87" s="292">
        <f t="shared" ref="J87:K111" si="24">SUM(B87,F87)</f>
        <v>273624961</v>
      </c>
      <c r="K87" s="217">
        <f t="shared" si="24"/>
        <v>296575325</v>
      </c>
      <c r="L87" s="406">
        <f t="shared" si="19"/>
        <v>8.4</v>
      </c>
      <c r="M87" s="11">
        <f>IFERROR(100/'Skjema total MA'!I87*K87,0)</f>
        <v>32.792857144330164</v>
      </c>
    </row>
    <row r="88" spans="1:13" x14ac:dyDescent="0.2">
      <c r="A88" s="21" t="s">
        <v>9</v>
      </c>
      <c r="B88" s="215">
        <v>156278627</v>
      </c>
      <c r="C88" s="129">
        <v>153210315</v>
      </c>
      <c r="D88" s="150">
        <f t="shared" si="16"/>
        <v>-2</v>
      </c>
      <c r="E88" s="27">
        <f>IFERROR(100/'Skjema total MA'!C88*C88,0)</f>
        <v>40.044861818671642</v>
      </c>
      <c r="F88" s="215"/>
      <c r="G88" s="129"/>
      <c r="H88" s="150"/>
      <c r="I88" s="27"/>
      <c r="J88" s="273">
        <f t="shared" si="24"/>
        <v>156278627</v>
      </c>
      <c r="K88" s="44">
        <f t="shared" si="24"/>
        <v>153210315</v>
      </c>
      <c r="L88" s="240">
        <f t="shared" si="19"/>
        <v>-2</v>
      </c>
      <c r="M88" s="27">
        <f>IFERROR(100/'Skjema total MA'!I88*K88,0)</f>
        <v>40.044861818671642</v>
      </c>
    </row>
    <row r="89" spans="1:13" x14ac:dyDescent="0.2">
      <c r="A89" s="21" t="s">
        <v>10</v>
      </c>
      <c r="B89" s="215">
        <v>89827</v>
      </c>
      <c r="C89" s="129">
        <v>87506</v>
      </c>
      <c r="D89" s="150">
        <f t="shared" si="16"/>
        <v>-2.6</v>
      </c>
      <c r="E89" s="27">
        <f>IFERROR(100/'Skjema total MA'!C89*C89,0)</f>
        <v>3.9852423259573024</v>
      </c>
      <c r="F89" s="215">
        <v>117204929</v>
      </c>
      <c r="G89" s="129">
        <v>143218472</v>
      </c>
      <c r="H89" s="150">
        <f t="shared" si="17"/>
        <v>22.2</v>
      </c>
      <c r="I89" s="27">
        <f>IFERROR(100/'Skjema total MA'!F89*G89,0)</f>
        <v>28.773191380649301</v>
      </c>
      <c r="J89" s="273">
        <f t="shared" si="24"/>
        <v>117294756</v>
      </c>
      <c r="K89" s="44">
        <f t="shared" si="24"/>
        <v>143305978</v>
      </c>
      <c r="L89" s="240">
        <f t="shared" si="19"/>
        <v>22.2</v>
      </c>
      <c r="M89" s="27">
        <f>IFERROR(100/'Skjema total MA'!I89*K89,0)</f>
        <v>28.664323171951878</v>
      </c>
    </row>
    <row r="90" spans="1:13" ht="15.75" x14ac:dyDescent="0.2">
      <c r="A90" s="279" t="s">
        <v>362</v>
      </c>
      <c r="B90" s="307"/>
      <c r="C90" s="302"/>
      <c r="D90" s="150"/>
      <c r="E90" s="395"/>
      <c r="F90" s="307"/>
      <c r="G90" s="302"/>
      <c r="H90" s="150"/>
      <c r="I90" s="395"/>
      <c r="J90" s="307"/>
      <c r="K90" s="302"/>
      <c r="L90" s="150"/>
      <c r="M90" s="23"/>
    </row>
    <row r="91" spans="1:13" x14ac:dyDescent="0.2">
      <c r="A91" s="279" t="s">
        <v>12</v>
      </c>
      <c r="B91" s="307"/>
      <c r="C91" s="302"/>
      <c r="D91" s="150"/>
      <c r="E91" s="395"/>
      <c r="F91" s="307"/>
      <c r="G91" s="302"/>
      <c r="H91" s="150"/>
      <c r="I91" s="395"/>
      <c r="J91" s="307"/>
      <c r="K91" s="302"/>
      <c r="L91" s="150"/>
      <c r="M91" s="23"/>
    </row>
    <row r="92" spans="1:13" x14ac:dyDescent="0.2">
      <c r="A92" s="279" t="s">
        <v>13</v>
      </c>
      <c r="B92" s="307"/>
      <c r="C92" s="302"/>
      <c r="D92" s="150"/>
      <c r="E92" s="395"/>
      <c r="F92" s="307"/>
      <c r="G92" s="302"/>
      <c r="H92" s="150"/>
      <c r="I92" s="395"/>
      <c r="J92" s="307"/>
      <c r="K92" s="302"/>
      <c r="L92" s="150"/>
      <c r="M92" s="23"/>
    </row>
    <row r="93" spans="1:13" ht="15.75" x14ac:dyDescent="0.2">
      <c r="A93" s="279" t="s">
        <v>363</v>
      </c>
      <c r="B93" s="307"/>
      <c r="C93" s="302"/>
      <c r="D93" s="150"/>
      <c r="E93" s="395"/>
      <c r="F93" s="307"/>
      <c r="G93" s="302"/>
      <c r="H93" s="150"/>
      <c r="I93" s="395"/>
      <c r="J93" s="307"/>
      <c r="K93" s="302"/>
      <c r="L93" s="150"/>
      <c r="M93" s="23"/>
    </row>
    <row r="94" spans="1:13" x14ac:dyDescent="0.2">
      <c r="A94" s="279" t="s">
        <v>12</v>
      </c>
      <c r="B94" s="307"/>
      <c r="C94" s="302"/>
      <c r="D94" s="150"/>
      <c r="E94" s="395"/>
      <c r="F94" s="307"/>
      <c r="G94" s="302"/>
      <c r="H94" s="150"/>
      <c r="I94" s="395"/>
      <c r="J94" s="307"/>
      <c r="K94" s="302"/>
      <c r="L94" s="150"/>
      <c r="M94" s="23"/>
    </row>
    <row r="95" spans="1:13" x14ac:dyDescent="0.2">
      <c r="A95" s="279" t="s">
        <v>13</v>
      </c>
      <c r="B95" s="307"/>
      <c r="C95" s="302"/>
      <c r="D95" s="150"/>
      <c r="E95" s="395"/>
      <c r="F95" s="307"/>
      <c r="G95" s="302"/>
      <c r="H95" s="150"/>
      <c r="I95" s="395"/>
      <c r="J95" s="307"/>
      <c r="K95" s="302"/>
      <c r="L95" s="150"/>
      <c r="M95" s="23"/>
    </row>
    <row r="96" spans="1:13" x14ac:dyDescent="0.2">
      <c r="A96" s="21" t="s">
        <v>332</v>
      </c>
      <c r="B96" s="215"/>
      <c r="C96" s="129"/>
      <c r="D96" s="150"/>
      <c r="E96" s="27"/>
      <c r="F96" s="215"/>
      <c r="G96" s="129"/>
      <c r="H96" s="150"/>
      <c r="I96" s="27"/>
      <c r="J96" s="273"/>
      <c r="K96" s="44"/>
      <c r="L96" s="240"/>
      <c r="M96" s="27"/>
    </row>
    <row r="97" spans="1:13" x14ac:dyDescent="0.2">
      <c r="A97" s="21" t="s">
        <v>331</v>
      </c>
      <c r="B97" s="215">
        <v>51578</v>
      </c>
      <c r="C97" s="129">
        <v>59032</v>
      </c>
      <c r="D97" s="150">
        <f t="shared" ref="D97" si="25">IF(B97=0, "    ---- ", IF(ABS(ROUND(100/B97*C97-100,1))&lt;999,ROUND(100/B97*C97-100,1),IF(ROUND(100/B97*C97-100,1)&gt;999,999,-999)))</f>
        <v>14.5</v>
      </c>
      <c r="E97" s="27">
        <f>IFERROR(100/'Skjema total MA'!C98*C97,0)</f>
        <v>1.5516364548988307E-2</v>
      </c>
      <c r="F97" s="215"/>
      <c r="G97" s="129"/>
      <c r="H97" s="150"/>
      <c r="I97" s="27"/>
      <c r="J97" s="273">
        <f t="shared" ref="J97" si="26">SUM(B97,F97)</f>
        <v>51578</v>
      </c>
      <c r="K97" s="44">
        <f t="shared" ref="K97" si="27">SUM(C97,G97)</f>
        <v>59032</v>
      </c>
      <c r="L97" s="240">
        <f t="shared" ref="L97" si="28">IF(J97=0, "    ---- ", IF(ABS(ROUND(100/J97*K97-100,1))&lt;999,ROUND(100/J97*K97-100,1),IF(ROUND(100/J97*K97-100,1)&gt;999,999,-999)))</f>
        <v>14.5</v>
      </c>
      <c r="M97" s="27">
        <f>IFERROR(100/'Skjema total MA'!I98*K97,0)</f>
        <v>6.7233715523036374E-3</v>
      </c>
    </row>
    <row r="98" spans="1:13" ht="15.75" x14ac:dyDescent="0.2">
      <c r="A98" s="21" t="s">
        <v>364</v>
      </c>
      <c r="B98" s="215">
        <v>155240011</v>
      </c>
      <c r="C98" s="215">
        <v>152196838</v>
      </c>
      <c r="D98" s="150">
        <f t="shared" si="16"/>
        <v>-2</v>
      </c>
      <c r="E98" s="27">
        <f>IFERROR(100/'Skjema total MA'!C98*C98,0)</f>
        <v>40.004431860877432</v>
      </c>
      <c r="F98" s="277">
        <v>117117669</v>
      </c>
      <c r="G98" s="277">
        <v>143123701</v>
      </c>
      <c r="H98" s="150">
        <f t="shared" si="17"/>
        <v>22.2</v>
      </c>
      <c r="I98" s="27">
        <f>IFERROR(100/'Skjema total MA'!F98*G98,0)</f>
        <v>28.7650027737808</v>
      </c>
      <c r="J98" s="273">
        <f t="shared" si="24"/>
        <v>272357680</v>
      </c>
      <c r="K98" s="44">
        <f t="shared" si="24"/>
        <v>295320539</v>
      </c>
      <c r="L98" s="240">
        <f t="shared" si="19"/>
        <v>8.4</v>
      </c>
      <c r="M98" s="27">
        <f>IFERROR(100/'Skjema total MA'!I98*K98,0)</f>
        <v>33.635142138561747</v>
      </c>
    </row>
    <row r="99" spans="1:13" x14ac:dyDescent="0.2">
      <c r="A99" s="21" t="s">
        <v>9</v>
      </c>
      <c r="B99" s="277">
        <v>155150184</v>
      </c>
      <c r="C99" s="278">
        <v>152109332</v>
      </c>
      <c r="D99" s="150">
        <f t="shared" si="16"/>
        <v>-2</v>
      </c>
      <c r="E99" s="27">
        <f>IFERROR(100/'Skjema total MA'!C99*C99,0)</f>
        <v>40.213521871875407</v>
      </c>
      <c r="F99" s="215"/>
      <c r="G99" s="129"/>
      <c r="H99" s="150"/>
      <c r="I99" s="27"/>
      <c r="J99" s="273">
        <f t="shared" si="24"/>
        <v>155150184</v>
      </c>
      <c r="K99" s="44">
        <f t="shared" si="24"/>
        <v>152109332</v>
      </c>
      <c r="L99" s="240">
        <f t="shared" si="19"/>
        <v>-2</v>
      </c>
      <c r="M99" s="27">
        <f>IFERROR(100/'Skjema total MA'!I99*K99,0)</f>
        <v>40.213521871875407</v>
      </c>
    </row>
    <row r="100" spans="1:13" x14ac:dyDescent="0.2">
      <c r="A100" s="38" t="s">
        <v>396</v>
      </c>
      <c r="B100" s="277">
        <v>89827</v>
      </c>
      <c r="C100" s="278">
        <v>87506</v>
      </c>
      <c r="D100" s="150">
        <f t="shared" si="16"/>
        <v>-2.6</v>
      </c>
      <c r="E100" s="27">
        <f>IFERROR(100/'Skjema total MA'!C100*C100,0)</f>
        <v>3.9852423259573024</v>
      </c>
      <c r="F100" s="215">
        <v>117117669</v>
      </c>
      <c r="G100" s="215">
        <v>143123701</v>
      </c>
      <c r="H100" s="150">
        <f t="shared" si="17"/>
        <v>22.2</v>
      </c>
      <c r="I100" s="27">
        <f>IFERROR(100/'Skjema total MA'!F100*G100,0)</f>
        <v>28.7650027737808</v>
      </c>
      <c r="J100" s="273">
        <f t="shared" si="24"/>
        <v>117207496</v>
      </c>
      <c r="K100" s="44">
        <f t="shared" si="24"/>
        <v>143211207</v>
      </c>
      <c r="L100" s="240">
        <f t="shared" si="19"/>
        <v>22.2</v>
      </c>
      <c r="M100" s="27">
        <f>IFERROR(100/'Skjema total MA'!I100*K100,0)</f>
        <v>28.656129638469945</v>
      </c>
    </row>
    <row r="101" spans="1:13" ht="15.75" x14ac:dyDescent="0.2">
      <c r="A101" s="279" t="s">
        <v>362</v>
      </c>
      <c r="B101" s="307"/>
      <c r="C101" s="302"/>
      <c r="D101" s="150"/>
      <c r="E101" s="395"/>
      <c r="F101" s="307"/>
      <c r="G101" s="302"/>
      <c r="H101" s="150"/>
      <c r="I101" s="395"/>
      <c r="J101" s="307"/>
      <c r="K101" s="302"/>
      <c r="L101" s="150"/>
      <c r="M101" s="23"/>
    </row>
    <row r="102" spans="1:13" x14ac:dyDescent="0.2">
      <c r="A102" s="279" t="s">
        <v>12</v>
      </c>
      <c r="B102" s="307"/>
      <c r="C102" s="302"/>
      <c r="D102" s="150"/>
      <c r="E102" s="395"/>
      <c r="F102" s="307"/>
      <c r="G102" s="302"/>
      <c r="H102" s="150"/>
      <c r="I102" s="395"/>
      <c r="J102" s="307"/>
      <c r="K102" s="302"/>
      <c r="L102" s="150"/>
      <c r="M102" s="23"/>
    </row>
    <row r="103" spans="1:13" x14ac:dyDescent="0.2">
      <c r="A103" s="279" t="s">
        <v>13</v>
      </c>
      <c r="B103" s="307"/>
      <c r="C103" s="302"/>
      <c r="D103" s="150"/>
      <c r="E103" s="395"/>
      <c r="F103" s="307"/>
      <c r="G103" s="302"/>
      <c r="H103" s="150"/>
      <c r="I103" s="395"/>
      <c r="J103" s="307"/>
      <c r="K103" s="302"/>
      <c r="L103" s="150"/>
      <c r="M103" s="23"/>
    </row>
    <row r="104" spans="1:13" ht="15.75" x14ac:dyDescent="0.2">
      <c r="A104" s="279" t="s">
        <v>363</v>
      </c>
      <c r="B104" s="307"/>
      <c r="C104" s="302"/>
      <c r="D104" s="150"/>
      <c r="E104" s="395"/>
      <c r="F104" s="307"/>
      <c r="G104" s="302"/>
      <c r="H104" s="150"/>
      <c r="I104" s="395"/>
      <c r="J104" s="307"/>
      <c r="K104" s="302"/>
      <c r="L104" s="150"/>
      <c r="M104" s="23"/>
    </row>
    <row r="105" spans="1:13" x14ac:dyDescent="0.2">
      <c r="A105" s="279" t="s">
        <v>12</v>
      </c>
      <c r="B105" s="307"/>
      <c r="C105" s="302"/>
      <c r="D105" s="150"/>
      <c r="E105" s="395"/>
      <c r="F105" s="307"/>
      <c r="G105" s="302"/>
      <c r="H105" s="150"/>
      <c r="I105" s="395"/>
      <c r="J105" s="307"/>
      <c r="K105" s="302"/>
      <c r="L105" s="150"/>
      <c r="M105" s="23"/>
    </row>
    <row r="106" spans="1:13" x14ac:dyDescent="0.2">
      <c r="A106" s="279" t="s">
        <v>13</v>
      </c>
      <c r="B106" s="307"/>
      <c r="C106" s="302"/>
      <c r="D106" s="150"/>
      <c r="E106" s="395"/>
      <c r="F106" s="307"/>
      <c r="G106" s="302"/>
      <c r="H106" s="150"/>
      <c r="I106" s="395"/>
      <c r="J106" s="307"/>
      <c r="K106" s="302"/>
      <c r="L106" s="150"/>
      <c r="M106" s="23"/>
    </row>
    <row r="107" spans="1:13" ht="15.75" x14ac:dyDescent="0.2">
      <c r="A107" s="21" t="s">
        <v>365</v>
      </c>
      <c r="B107" s="215">
        <v>1128443</v>
      </c>
      <c r="C107" s="129">
        <v>1100983</v>
      </c>
      <c r="D107" s="150">
        <f t="shared" si="16"/>
        <v>-2.4</v>
      </c>
      <c r="E107" s="27">
        <f>IFERROR(100/'Skjema total MA'!C107*C107,0)</f>
        <v>25.353687712154084</v>
      </c>
      <c r="F107" s="215">
        <v>87260</v>
      </c>
      <c r="G107" s="129">
        <v>94771</v>
      </c>
      <c r="H107" s="150">
        <f t="shared" si="17"/>
        <v>8.6</v>
      </c>
      <c r="I107" s="27">
        <f>IFERROR(100/'Skjema total MA'!F107*G107,0)</f>
        <v>50.471677555611983</v>
      </c>
      <c r="J107" s="273">
        <f t="shared" si="24"/>
        <v>1215703</v>
      </c>
      <c r="K107" s="44">
        <f t="shared" si="24"/>
        <v>1195754</v>
      </c>
      <c r="L107" s="240">
        <f t="shared" si="19"/>
        <v>-1.6</v>
      </c>
      <c r="M107" s="27">
        <f>IFERROR(100/'Skjema total MA'!I107*K107,0)</f>
        <v>26.394778948546463</v>
      </c>
    </row>
    <row r="108" spans="1:13" ht="15.75" x14ac:dyDescent="0.2">
      <c r="A108" s="21" t="s">
        <v>366</v>
      </c>
      <c r="B108" s="215">
        <v>136770122.6094</v>
      </c>
      <c r="C108" s="215">
        <v>134681920</v>
      </c>
      <c r="D108" s="150">
        <f t="shared" si="16"/>
        <v>-1.5</v>
      </c>
      <c r="E108" s="27">
        <f>IFERROR(100/'Skjema total MA'!C108*C108,0)</f>
        <v>41.004247078472964</v>
      </c>
      <c r="F108" s="215">
        <v>861347</v>
      </c>
      <c r="G108" s="215">
        <v>1115258</v>
      </c>
      <c r="H108" s="150">
        <f t="shared" si="17"/>
        <v>29.5</v>
      </c>
      <c r="I108" s="27">
        <f>IFERROR(100/'Skjema total MA'!F108*G108,0)</f>
        <v>5.5563814330315635</v>
      </c>
      <c r="J108" s="273">
        <f t="shared" si="24"/>
        <v>137631469.6094</v>
      </c>
      <c r="K108" s="44">
        <f t="shared" si="24"/>
        <v>135797178</v>
      </c>
      <c r="L108" s="240">
        <f t="shared" si="19"/>
        <v>-1.3</v>
      </c>
      <c r="M108" s="27">
        <f>IFERROR(100/'Skjema total MA'!I108*K108,0)</f>
        <v>38.96282378419869</v>
      </c>
    </row>
    <row r="109" spans="1:13" ht="15.75" x14ac:dyDescent="0.2">
      <c r="A109" s="38" t="s">
        <v>404</v>
      </c>
      <c r="B109" s="215">
        <v>89827</v>
      </c>
      <c r="C109" s="215">
        <v>87506</v>
      </c>
      <c r="D109" s="150">
        <f t="shared" si="16"/>
        <v>-2.6</v>
      </c>
      <c r="E109" s="27">
        <f>IFERROR(100/'Skjema total MA'!C109*C109,0)</f>
        <v>4.3220579191939041</v>
      </c>
      <c r="F109" s="215">
        <v>45210429</v>
      </c>
      <c r="G109" s="215">
        <v>54486800</v>
      </c>
      <c r="H109" s="150">
        <f t="shared" si="17"/>
        <v>20.5</v>
      </c>
      <c r="I109" s="27">
        <f>IFERROR(100/'Skjema total MA'!F109*G109,0)</f>
        <v>29.177995395364874</v>
      </c>
      <c r="J109" s="273">
        <f t="shared" si="24"/>
        <v>45300256</v>
      </c>
      <c r="K109" s="44">
        <f t="shared" si="24"/>
        <v>54574306</v>
      </c>
      <c r="L109" s="240">
        <f t="shared" si="19"/>
        <v>20.5</v>
      </c>
      <c r="M109" s="27">
        <f>IFERROR(100/'Skjema total MA'!I109*K109,0)</f>
        <v>28.911396560812115</v>
      </c>
    </row>
    <row r="110" spans="1:13" ht="15.75" x14ac:dyDescent="0.2">
      <c r="A110" s="21" t="s">
        <v>367</v>
      </c>
      <c r="B110" s="215"/>
      <c r="C110" s="215"/>
      <c r="D110" s="150"/>
      <c r="E110" s="27"/>
      <c r="F110" s="215"/>
      <c r="G110" s="215"/>
      <c r="H110" s="150"/>
      <c r="I110" s="27"/>
      <c r="J110" s="273"/>
      <c r="K110" s="44"/>
      <c r="L110" s="240"/>
      <c r="M110" s="27"/>
    </row>
    <row r="111" spans="1:13" ht="15.75" x14ac:dyDescent="0.2">
      <c r="A111" s="13" t="s">
        <v>348</v>
      </c>
      <c r="B111" s="291">
        <v>187123</v>
      </c>
      <c r="C111" s="143">
        <v>124750</v>
      </c>
      <c r="D111" s="155">
        <f t="shared" si="16"/>
        <v>-33.299999999999997</v>
      </c>
      <c r="E111" s="11">
        <f>IFERROR(100/'Skjema total MA'!C111*C111,0)</f>
        <v>28.725789753542145</v>
      </c>
      <c r="F111" s="291">
        <v>9584240</v>
      </c>
      <c r="G111" s="143">
        <v>9049060</v>
      </c>
      <c r="H111" s="155">
        <f t="shared" si="17"/>
        <v>-5.6</v>
      </c>
      <c r="I111" s="11">
        <f>IFERROR(100/'Skjema total MA'!F111*G111,0)</f>
        <v>24.637476280008794</v>
      </c>
      <c r="J111" s="292">
        <f t="shared" si="24"/>
        <v>9771363</v>
      </c>
      <c r="K111" s="217">
        <f t="shared" si="24"/>
        <v>9173810</v>
      </c>
      <c r="L111" s="406">
        <f t="shared" si="19"/>
        <v>-6.1</v>
      </c>
      <c r="M111" s="11">
        <f>IFERROR(100/'Skjema total MA'!I111*K111,0)</f>
        <v>24.685251266834232</v>
      </c>
    </row>
    <row r="112" spans="1:13" x14ac:dyDescent="0.2">
      <c r="A112" s="21" t="s">
        <v>9</v>
      </c>
      <c r="B112" s="215">
        <v>187123</v>
      </c>
      <c r="C112" s="129">
        <v>124750</v>
      </c>
      <c r="D112" s="150">
        <f t="shared" ref="D112:D124" si="29">IF(B112=0, "    ---- ", IF(ABS(ROUND(100/B112*C112-100,1))&lt;999,ROUND(100/B112*C112-100,1),IF(ROUND(100/B112*C112-100,1)&gt;999,999,-999)))</f>
        <v>-33.299999999999997</v>
      </c>
      <c r="E112" s="27">
        <f>IFERROR(100/'Skjema total MA'!C112*C112,0)</f>
        <v>51.977856055854936</v>
      </c>
      <c r="F112" s="215"/>
      <c r="G112" s="129"/>
      <c r="H112" s="150"/>
      <c r="I112" s="27"/>
      <c r="J112" s="273">
        <f t="shared" ref="J112:K125" si="30">SUM(B112,F112)</f>
        <v>187123</v>
      </c>
      <c r="K112" s="44">
        <f t="shared" si="30"/>
        <v>124750</v>
      </c>
      <c r="L112" s="240">
        <f t="shared" ref="L112:L125" si="31">IF(J112=0, "    ---- ", IF(ABS(ROUND(100/J112*K112-100,1))&lt;999,ROUND(100/J112*K112-100,1),IF(ROUND(100/J112*K112-100,1)&gt;999,999,-999)))</f>
        <v>-33.299999999999997</v>
      </c>
      <c r="M112" s="27">
        <f>IFERROR(100/'Skjema total MA'!I112*K112,0)</f>
        <v>51.555641251937089</v>
      </c>
    </row>
    <row r="113" spans="1:14" x14ac:dyDescent="0.2">
      <c r="A113" s="21" t="s">
        <v>10</v>
      </c>
      <c r="B113" s="215"/>
      <c r="C113" s="129"/>
      <c r="D113" s="150"/>
      <c r="E113" s="27"/>
      <c r="F113" s="215">
        <v>9584240</v>
      </c>
      <c r="G113" s="129">
        <v>9049060</v>
      </c>
      <c r="H113" s="150">
        <f t="shared" ref="H113:H125" si="32">IF(F113=0, "    ---- ", IF(ABS(ROUND(100/F113*G113-100,1))&lt;999,ROUND(100/F113*G113-100,1),IF(ROUND(100/F113*G113-100,1)&gt;999,999,-999)))</f>
        <v>-5.6</v>
      </c>
      <c r="I113" s="27">
        <f>IFERROR(100/'Skjema total MA'!F113*G113,0)</f>
        <v>24.644350734569546</v>
      </c>
      <c r="J113" s="273">
        <f t="shared" si="30"/>
        <v>9584240</v>
      </c>
      <c r="K113" s="44">
        <f t="shared" si="30"/>
        <v>9049060</v>
      </c>
      <c r="L113" s="240">
        <f t="shared" si="31"/>
        <v>-5.6</v>
      </c>
      <c r="M113" s="27">
        <f>IFERROR(100/'Skjema total MA'!I113*K113,0)</f>
        <v>24.644350734569546</v>
      </c>
    </row>
    <row r="114" spans="1:14" x14ac:dyDescent="0.2">
      <c r="A114" s="21" t="s">
        <v>26</v>
      </c>
      <c r="B114" s="215"/>
      <c r="C114" s="129"/>
      <c r="D114" s="150"/>
      <c r="E114" s="27"/>
      <c r="F114" s="215"/>
      <c r="G114" s="129"/>
      <c r="H114" s="150"/>
      <c r="I114" s="27"/>
      <c r="J114" s="273"/>
      <c r="K114" s="44"/>
      <c r="L114" s="240"/>
      <c r="M114" s="27"/>
    </row>
    <row r="115" spans="1:14" x14ac:dyDescent="0.2">
      <c r="A115" s="279" t="s">
        <v>15</v>
      </c>
      <c r="B115" s="307"/>
      <c r="C115" s="302"/>
      <c r="D115" s="150"/>
      <c r="E115" s="395"/>
      <c r="F115" s="307"/>
      <c r="G115" s="302"/>
      <c r="H115" s="150"/>
      <c r="I115" s="395"/>
      <c r="J115" s="307"/>
      <c r="K115" s="302"/>
      <c r="L115" s="150"/>
      <c r="M115" s="23"/>
    </row>
    <row r="116" spans="1:14" ht="15.75" x14ac:dyDescent="0.2">
      <c r="A116" s="21" t="s">
        <v>368</v>
      </c>
      <c r="B116" s="44">
        <v>57214</v>
      </c>
      <c r="C116" s="215">
        <v>51177</v>
      </c>
      <c r="D116" s="150">
        <f t="shared" si="29"/>
        <v>-10.6</v>
      </c>
      <c r="E116" s="27">
        <f>IFERROR(100/'Skjema total MA'!C116*C116,0)</f>
        <v>76.974758575303511</v>
      </c>
      <c r="F116" s="215"/>
      <c r="G116" s="215"/>
      <c r="H116" s="150"/>
      <c r="I116" s="27"/>
      <c r="J116" s="273">
        <f t="shared" si="30"/>
        <v>57214</v>
      </c>
      <c r="K116" s="44">
        <f t="shared" si="30"/>
        <v>51177</v>
      </c>
      <c r="L116" s="240">
        <f t="shared" si="31"/>
        <v>-10.6</v>
      </c>
      <c r="M116" s="27">
        <f>IFERROR(100/'Skjema total MA'!I116*K116,0)</f>
        <v>74.764473719579698</v>
      </c>
    </row>
    <row r="117" spans="1:14" ht="15.75" x14ac:dyDescent="0.2">
      <c r="A117" s="38" t="s">
        <v>404</v>
      </c>
      <c r="B117" s="217"/>
      <c r="C117" s="291"/>
      <c r="D117" s="150"/>
      <c r="E117" s="27"/>
      <c r="F117" s="215">
        <v>6710334</v>
      </c>
      <c r="G117" s="215">
        <v>7335998</v>
      </c>
      <c r="H117" s="150">
        <f t="shared" si="32"/>
        <v>9.3000000000000007</v>
      </c>
      <c r="I117" s="27">
        <f>IFERROR(100/'Skjema total MA'!F117*G117,0)</f>
        <v>36.194940948335272</v>
      </c>
      <c r="J117" s="273">
        <f t="shared" si="30"/>
        <v>6710334</v>
      </c>
      <c r="K117" s="44">
        <f t="shared" si="30"/>
        <v>7335998</v>
      </c>
      <c r="L117" s="240">
        <f t="shared" si="31"/>
        <v>9.3000000000000007</v>
      </c>
      <c r="M117" s="27">
        <f>IFERROR(100/'Skjema total MA'!I117*K117,0)</f>
        <v>36.194940948335272</v>
      </c>
    </row>
    <row r="118" spans="1:14" ht="15.75" x14ac:dyDescent="0.2">
      <c r="A118" s="21" t="s">
        <v>367</v>
      </c>
      <c r="B118" s="217"/>
      <c r="C118" s="291"/>
      <c r="D118" s="150"/>
      <c r="E118" s="27"/>
      <c r="F118" s="215"/>
      <c r="G118" s="215"/>
      <c r="H118" s="150"/>
      <c r="I118" s="27"/>
      <c r="J118" s="273"/>
      <c r="K118" s="44"/>
      <c r="L118" s="240"/>
      <c r="M118" s="27"/>
    </row>
    <row r="119" spans="1:14" ht="15.75" x14ac:dyDescent="0.2">
      <c r="A119" s="13" t="s">
        <v>349</v>
      </c>
      <c r="B119" s="217">
        <v>121976</v>
      </c>
      <c r="C119" s="291">
        <v>87828</v>
      </c>
      <c r="D119" s="155">
        <f t="shared" si="29"/>
        <v>-28</v>
      </c>
      <c r="E119" s="11">
        <f>IFERROR(100/'Skjema total MA'!C119*C119,0)</f>
        <v>20.871794430228022</v>
      </c>
      <c r="F119" s="291">
        <v>10000391.566</v>
      </c>
      <c r="G119" s="143">
        <v>10445143</v>
      </c>
      <c r="H119" s="155">
        <f t="shared" si="32"/>
        <v>4.4000000000000004</v>
      </c>
      <c r="I119" s="11">
        <f>IFERROR(100/'Skjema total MA'!F119*G119,0)</f>
        <v>26.878517899181343</v>
      </c>
      <c r="J119" s="292">
        <f t="shared" si="30"/>
        <v>10122367.566</v>
      </c>
      <c r="K119" s="217">
        <f t="shared" si="30"/>
        <v>10532971</v>
      </c>
      <c r="L119" s="406">
        <f t="shared" si="31"/>
        <v>4.0999999999999996</v>
      </c>
      <c r="M119" s="11">
        <f>IFERROR(100/'Skjema total MA'!I119*K119,0)</f>
        <v>26.814171486874447</v>
      </c>
    </row>
    <row r="120" spans="1:14" x14ac:dyDescent="0.2">
      <c r="A120" s="21" t="s">
        <v>9</v>
      </c>
      <c r="B120" s="44">
        <v>121976</v>
      </c>
      <c r="C120" s="215">
        <v>87828</v>
      </c>
      <c r="D120" s="150">
        <f t="shared" si="29"/>
        <v>-28</v>
      </c>
      <c r="E120" s="27">
        <f>IFERROR(100/'Skjema total MA'!C120*C120,0)</f>
        <v>32.147373829114734</v>
      </c>
      <c r="F120" s="215"/>
      <c r="G120" s="129"/>
      <c r="H120" s="150"/>
      <c r="I120" s="27"/>
      <c r="J120" s="273">
        <f t="shared" si="30"/>
        <v>121976</v>
      </c>
      <c r="K120" s="44">
        <f t="shared" si="30"/>
        <v>87828</v>
      </c>
      <c r="L120" s="240">
        <f t="shared" si="31"/>
        <v>-28</v>
      </c>
      <c r="M120" s="27">
        <f>IFERROR(100/'Skjema total MA'!I120*K120,0)</f>
        <v>32.147373829114734</v>
      </c>
    </row>
    <row r="121" spans="1:14" x14ac:dyDescent="0.2">
      <c r="A121" s="21" t="s">
        <v>10</v>
      </c>
      <c r="B121" s="215"/>
      <c r="C121" s="129"/>
      <c r="D121" s="150"/>
      <c r="E121" s="27"/>
      <c r="F121" s="215">
        <v>10000391.566</v>
      </c>
      <c r="G121" s="129">
        <v>10445143</v>
      </c>
      <c r="H121" s="150">
        <f t="shared" si="32"/>
        <v>4.4000000000000004</v>
      </c>
      <c r="I121" s="27">
        <f>IFERROR(100/'Skjema total MA'!F121*G121,0)</f>
        <v>26.878517899181343</v>
      </c>
      <c r="J121" s="273">
        <f t="shared" si="30"/>
        <v>10000391.566</v>
      </c>
      <c r="K121" s="44">
        <f t="shared" si="30"/>
        <v>10445143</v>
      </c>
      <c r="L121" s="240">
        <f t="shared" si="31"/>
        <v>4.4000000000000004</v>
      </c>
      <c r="M121" s="27">
        <f>IFERROR(100/'Skjema total MA'!I121*K121,0)</f>
        <v>26.875376274626792</v>
      </c>
    </row>
    <row r="122" spans="1:14" x14ac:dyDescent="0.2">
      <c r="A122" s="21" t="s">
        <v>26</v>
      </c>
      <c r="B122" s="215"/>
      <c r="C122" s="129"/>
      <c r="D122" s="150"/>
      <c r="E122" s="27"/>
      <c r="F122" s="215"/>
      <c r="G122" s="129"/>
      <c r="H122" s="150"/>
      <c r="I122" s="27"/>
      <c r="J122" s="273"/>
      <c r="K122" s="44"/>
      <c r="L122" s="240"/>
      <c r="M122" s="27"/>
    </row>
    <row r="123" spans="1:14" x14ac:dyDescent="0.2">
      <c r="A123" s="279" t="s">
        <v>14</v>
      </c>
      <c r="B123" s="307"/>
      <c r="C123" s="302"/>
      <c r="D123" s="150"/>
      <c r="E123" s="395"/>
      <c r="F123" s="307"/>
      <c r="G123" s="302"/>
      <c r="H123" s="150"/>
      <c r="I123" s="395"/>
      <c r="J123" s="307"/>
      <c r="K123" s="302"/>
      <c r="L123" s="150"/>
      <c r="M123" s="23"/>
    </row>
    <row r="124" spans="1:14" ht="15.75" x14ac:dyDescent="0.2">
      <c r="A124" s="21" t="s">
        <v>373</v>
      </c>
      <c r="B124" s="215">
        <v>60098</v>
      </c>
      <c r="C124" s="215">
        <v>46524</v>
      </c>
      <c r="D124" s="150">
        <f t="shared" si="29"/>
        <v>-22.6</v>
      </c>
      <c r="E124" s="27">
        <f>IFERROR(100/'Skjema total MA'!C124*C124,0)</f>
        <v>84.774991676292615</v>
      </c>
      <c r="F124" s="215"/>
      <c r="G124" s="215"/>
      <c r="H124" s="150"/>
      <c r="I124" s="27"/>
      <c r="J124" s="273">
        <f t="shared" si="30"/>
        <v>60098</v>
      </c>
      <c r="K124" s="44">
        <f t="shared" si="30"/>
        <v>46524</v>
      </c>
      <c r="L124" s="240">
        <f t="shared" si="31"/>
        <v>-22.6</v>
      </c>
      <c r="M124" s="27">
        <f>IFERROR(100/'Skjema total MA'!I124*K124,0)</f>
        <v>68.942653475943231</v>
      </c>
    </row>
    <row r="125" spans="1:14" ht="15.75" x14ac:dyDescent="0.2">
      <c r="A125" s="38" t="s">
        <v>404</v>
      </c>
      <c r="B125" s="215"/>
      <c r="C125" s="215"/>
      <c r="D125" s="150"/>
      <c r="E125" s="27"/>
      <c r="F125" s="215">
        <v>6908546</v>
      </c>
      <c r="G125" s="215">
        <v>7629284</v>
      </c>
      <c r="H125" s="150">
        <f t="shared" si="32"/>
        <v>10.4</v>
      </c>
      <c r="I125" s="27">
        <f>IFERROR(100/'Skjema total MA'!F125*G125,0)</f>
        <v>41.732153771518306</v>
      </c>
      <c r="J125" s="273">
        <f t="shared" si="30"/>
        <v>6908546</v>
      </c>
      <c r="K125" s="44">
        <f t="shared" si="30"/>
        <v>7629284</v>
      </c>
      <c r="L125" s="240">
        <f t="shared" si="31"/>
        <v>10.4</v>
      </c>
      <c r="M125" s="27">
        <f>IFERROR(100/'Skjema total MA'!I125*K125,0)</f>
        <v>41.730339426195691</v>
      </c>
    </row>
    <row r="126" spans="1:14" ht="15.75" x14ac:dyDescent="0.2">
      <c r="A126" s="10" t="s">
        <v>367</v>
      </c>
      <c r="B126" s="45"/>
      <c r="C126" s="45"/>
      <c r="D126" s="151"/>
      <c r="E126" s="396"/>
      <c r="F126" s="45"/>
      <c r="G126" s="45"/>
      <c r="H126" s="151"/>
      <c r="I126" s="22"/>
      <c r="J126" s="274"/>
      <c r="K126" s="45"/>
      <c r="L126" s="241"/>
      <c r="M126" s="22"/>
    </row>
    <row r="127" spans="1:14" x14ac:dyDescent="0.2">
      <c r="A127" s="139"/>
      <c r="L127" s="26"/>
      <c r="M127" s="26"/>
      <c r="N127" s="26"/>
    </row>
    <row r="128" spans="1:14" x14ac:dyDescent="0.2">
      <c r="L128" s="26"/>
      <c r="M128" s="26"/>
      <c r="N128" s="26"/>
    </row>
    <row r="129" spans="1:14" ht="15.75" x14ac:dyDescent="0.25">
      <c r="A129" s="149" t="s">
        <v>27</v>
      </c>
    </row>
    <row r="130" spans="1:14" ht="15.75" x14ac:dyDescent="0.25">
      <c r="B130" s="722"/>
      <c r="C130" s="722"/>
      <c r="D130" s="722"/>
      <c r="E130" s="282"/>
      <c r="F130" s="722"/>
      <c r="G130" s="722"/>
      <c r="H130" s="722"/>
      <c r="I130" s="282"/>
      <c r="J130" s="722"/>
      <c r="K130" s="722"/>
      <c r="L130" s="722"/>
      <c r="M130" s="282"/>
    </row>
    <row r="131" spans="1:14" s="3" customFormat="1" x14ac:dyDescent="0.2">
      <c r="A131" s="128"/>
      <c r="B131" s="723" t="s">
        <v>0</v>
      </c>
      <c r="C131" s="724"/>
      <c r="D131" s="724"/>
      <c r="E131" s="284"/>
      <c r="F131" s="723" t="s">
        <v>1</v>
      </c>
      <c r="G131" s="724"/>
      <c r="H131" s="724"/>
      <c r="I131" s="287"/>
      <c r="J131" s="723" t="s">
        <v>2</v>
      </c>
      <c r="K131" s="724"/>
      <c r="L131" s="724"/>
      <c r="M131" s="287"/>
      <c r="N131" s="132"/>
    </row>
    <row r="132" spans="1:14" s="3" customFormat="1" x14ac:dyDescent="0.2">
      <c r="A132" s="124"/>
      <c r="B132" s="136" t="s">
        <v>434</v>
      </c>
      <c r="C132" s="136" t="s">
        <v>435</v>
      </c>
      <c r="D132" s="227" t="s">
        <v>3</v>
      </c>
      <c r="E132" s="288" t="s">
        <v>29</v>
      </c>
      <c r="F132" s="136" t="s">
        <v>434</v>
      </c>
      <c r="G132" s="136" t="s">
        <v>435</v>
      </c>
      <c r="H132" s="188" t="s">
        <v>3</v>
      </c>
      <c r="I132" s="146" t="s">
        <v>29</v>
      </c>
      <c r="J132" s="228" t="s">
        <v>434</v>
      </c>
      <c r="K132" s="228" t="s">
        <v>435</v>
      </c>
      <c r="L132" s="229" t="s">
        <v>3</v>
      </c>
      <c r="M132" s="146" t="s">
        <v>29</v>
      </c>
      <c r="N132" s="132"/>
    </row>
    <row r="133" spans="1:14" s="3" customFormat="1" x14ac:dyDescent="0.2">
      <c r="A133" s="691"/>
      <c r="B133" s="140"/>
      <c r="C133" s="140"/>
      <c r="D133" s="229" t="s">
        <v>4</v>
      </c>
      <c r="E133" s="140" t="s">
        <v>30</v>
      </c>
      <c r="F133" s="145"/>
      <c r="G133" s="145"/>
      <c r="H133" s="188" t="s">
        <v>4</v>
      </c>
      <c r="I133" s="140" t="s">
        <v>30</v>
      </c>
      <c r="J133" s="140"/>
      <c r="K133" s="140"/>
      <c r="L133" s="134" t="s">
        <v>4</v>
      </c>
      <c r="M133" s="140" t="s">
        <v>30</v>
      </c>
      <c r="N133" s="132"/>
    </row>
    <row r="134" spans="1:14" s="3" customFormat="1" ht="15.75" x14ac:dyDescent="0.2">
      <c r="A134" s="14" t="s">
        <v>369</v>
      </c>
      <c r="B134" s="217"/>
      <c r="C134" s="292"/>
      <c r="D134" s="332"/>
      <c r="E134" s="11"/>
      <c r="F134" s="299"/>
      <c r="G134" s="300"/>
      <c r="H134" s="409"/>
      <c r="I134" s="24"/>
      <c r="J134" s="301"/>
      <c r="K134" s="301"/>
      <c r="L134" s="405"/>
      <c r="M134" s="11"/>
      <c r="N134" s="132"/>
    </row>
    <row r="135" spans="1:14" s="3" customFormat="1" ht="15.75" x14ac:dyDescent="0.2">
      <c r="A135" s="13" t="s">
        <v>374</v>
      </c>
      <c r="B135" s="217"/>
      <c r="C135" s="292"/>
      <c r="D135" s="155"/>
      <c r="E135" s="11"/>
      <c r="F135" s="217"/>
      <c r="G135" s="292"/>
      <c r="H135" s="410"/>
      <c r="I135" s="24"/>
      <c r="J135" s="291"/>
      <c r="K135" s="291"/>
      <c r="L135" s="406"/>
      <c r="M135" s="11"/>
      <c r="N135" s="132"/>
    </row>
    <row r="136" spans="1:14" s="3" customFormat="1" ht="15.75" x14ac:dyDescent="0.2">
      <c r="A136" s="13" t="s">
        <v>371</v>
      </c>
      <c r="B136" s="217"/>
      <c r="C136" s="292"/>
      <c r="D136" s="155"/>
      <c r="E136" s="11"/>
      <c r="F136" s="217"/>
      <c r="G136" s="292"/>
      <c r="H136" s="410"/>
      <c r="I136" s="24"/>
      <c r="J136" s="291"/>
      <c r="K136" s="291"/>
      <c r="L136" s="406"/>
      <c r="M136" s="11"/>
      <c r="N136" s="132"/>
    </row>
    <row r="137" spans="1:14" s="3" customFormat="1" ht="15.75" x14ac:dyDescent="0.2">
      <c r="A137" s="41" t="s">
        <v>372</v>
      </c>
      <c r="B137" s="262"/>
      <c r="C137" s="298"/>
      <c r="D137" s="153"/>
      <c r="E137" s="9"/>
      <c r="F137" s="262"/>
      <c r="G137" s="298"/>
      <c r="H137" s="411"/>
      <c r="I137" s="36"/>
      <c r="J137" s="297"/>
      <c r="K137" s="297"/>
      <c r="L137" s="407"/>
      <c r="M137" s="36"/>
      <c r="N137" s="132"/>
    </row>
    <row r="138" spans="1:14" s="3" customFormat="1" x14ac:dyDescent="0.2">
      <c r="A138" s="152"/>
      <c r="B138" s="33"/>
      <c r="C138" s="33"/>
      <c r="D138" s="143"/>
      <c r="E138" s="143"/>
      <c r="F138" s="33"/>
      <c r="G138" s="33"/>
      <c r="H138" s="143"/>
      <c r="I138" s="143"/>
      <c r="J138" s="33"/>
      <c r="K138" s="33"/>
      <c r="L138" s="143"/>
      <c r="M138" s="143"/>
      <c r="N138" s="132"/>
    </row>
    <row r="139" spans="1:14" x14ac:dyDescent="0.2">
      <c r="A139" s="152"/>
      <c r="B139" s="33"/>
      <c r="C139" s="33"/>
      <c r="D139" s="143"/>
      <c r="E139" s="143"/>
      <c r="F139" s="33"/>
      <c r="G139" s="33"/>
      <c r="H139" s="143"/>
      <c r="I139" s="143"/>
      <c r="J139" s="33"/>
      <c r="K139" s="33"/>
      <c r="L139" s="143"/>
      <c r="M139" s="143"/>
      <c r="N139" s="132"/>
    </row>
    <row r="140" spans="1:14" x14ac:dyDescent="0.2">
      <c r="A140" s="152"/>
      <c r="B140" s="33"/>
      <c r="C140" s="33"/>
      <c r="D140" s="143"/>
      <c r="E140" s="143"/>
      <c r="F140" s="33"/>
      <c r="G140" s="33"/>
      <c r="H140" s="143"/>
      <c r="I140" s="143"/>
      <c r="J140" s="33"/>
      <c r="K140" s="33"/>
      <c r="L140" s="143"/>
      <c r="M140" s="143"/>
      <c r="N140" s="132"/>
    </row>
    <row r="141" spans="1:14" x14ac:dyDescent="0.2">
      <c r="A141" s="130"/>
      <c r="B141" s="130"/>
      <c r="C141" s="130"/>
      <c r="D141" s="130"/>
      <c r="E141" s="130"/>
      <c r="F141" s="130"/>
      <c r="G141" s="130"/>
      <c r="H141" s="130"/>
      <c r="I141" s="130"/>
      <c r="J141" s="130"/>
      <c r="K141" s="130"/>
      <c r="L141" s="130"/>
      <c r="M141" s="130"/>
      <c r="N141" s="130"/>
    </row>
    <row r="142" spans="1:14" ht="15.75" x14ac:dyDescent="0.25">
      <c r="B142" s="126"/>
      <c r="C142" s="126"/>
      <c r="D142" s="126"/>
      <c r="E142" s="126"/>
      <c r="F142" s="126"/>
      <c r="G142" s="126"/>
      <c r="H142" s="126"/>
      <c r="I142" s="126"/>
      <c r="J142" s="126"/>
      <c r="K142" s="126"/>
      <c r="L142" s="126"/>
      <c r="M142" s="126"/>
      <c r="N142" s="126"/>
    </row>
    <row r="143" spans="1:14" ht="15.75" x14ac:dyDescent="0.25">
      <c r="B143" s="141"/>
      <c r="C143" s="141"/>
      <c r="D143" s="141"/>
      <c r="E143" s="141"/>
      <c r="F143" s="141"/>
      <c r="G143" s="141"/>
      <c r="H143" s="141"/>
      <c r="I143" s="141"/>
      <c r="J143" s="141"/>
      <c r="K143" s="141"/>
      <c r="L143" s="141"/>
      <c r="M143" s="141"/>
      <c r="N143" s="141"/>
    </row>
    <row r="144" spans="1:14" ht="15.75" x14ac:dyDescent="0.25">
      <c r="B144" s="141"/>
      <c r="C144" s="141"/>
      <c r="D144" s="141"/>
      <c r="E144" s="141"/>
      <c r="F144" s="141"/>
      <c r="G144" s="141"/>
      <c r="H144" s="141"/>
      <c r="I144" s="141"/>
      <c r="J144" s="141"/>
      <c r="K144" s="141"/>
      <c r="L144" s="141"/>
      <c r="M144" s="141"/>
      <c r="N144" s="141"/>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406" priority="12">
      <formula>kvartal &lt; 4</formula>
    </cfRule>
  </conditionalFormatting>
  <conditionalFormatting sqref="A69:A74">
    <cfRule type="expression" dxfId="405" priority="10">
      <formula>kvartal &lt; 4</formula>
    </cfRule>
  </conditionalFormatting>
  <conditionalFormatting sqref="A80:A85">
    <cfRule type="expression" dxfId="404" priority="9">
      <formula>kvartal &lt; 4</formula>
    </cfRule>
  </conditionalFormatting>
  <conditionalFormatting sqref="A90:A95">
    <cfRule type="expression" dxfId="403" priority="6">
      <formula>kvartal &lt; 4</formula>
    </cfRule>
  </conditionalFormatting>
  <conditionalFormatting sqref="A101:A106">
    <cfRule type="expression" dxfId="402" priority="5">
      <formula>kvartal &lt; 4</formula>
    </cfRule>
  </conditionalFormatting>
  <conditionalFormatting sqref="A115">
    <cfRule type="expression" dxfId="401" priority="4">
      <formula>kvartal &lt; 4</formula>
    </cfRule>
  </conditionalFormatting>
  <conditionalFormatting sqref="A123">
    <cfRule type="expression" dxfId="400"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f 6 9 7 3 f 7 - 0 8 c 0 - 4 5 7 9 - b f 5 c - 6 c 7 f a d 0 9 0 d 4 1 "   x m l n s = " h t t p : / / s c h e m a s . m i c r o s o f t . c o m / D a t a M a s h u p " > A A A A A A U E A A B Q S w M E F A A C A A g A O 4 l z V w v 3 B u u l A A A A 9 w A A A B I A H A B D b 2 5 m a W c v U G F j a 2 F n Z S 5 4 b W w g o h g A K K A U A A A A A A A A A A A A A A A A A A A A A A A A A A A A h Y + x D o I w G I R f h X S n L c X B k J 8 y u I q a m B j X W i o 0 Q j G 0 W N 7 N w U f y F c Q o 6 u Z 4 d 9 8 l d / f r D b K h q Y O L 6 q x u T Y o i T F G g j G w L b c o U 9 e 4 Y z l H G Y S P k S Z Q q G G F j k 8 H q F F X O n R N C v P f Y x 7 j t S s I o j c g + X 2 5 l p R o R a m O d M F K h T 6 v 4 3 0 I c d q 8 x n O E o m m H G W I w p k M m F X J s v w c b B z / T H h E V f u 7 5 T 3 B z C 1 R r I J I G 8 T / A H U E s D B B Q A A g A I A D u J c 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7 i X N X 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A 7 i X N X C / c G 6 6 U A A A D 3 A A A A E g A A A A A A A A A A A A A A A A A A A A A A Q 2 9 u Z m l n L 1 B h Y 2 t h Z 2 U u e G 1 s U E s B A i 0 A F A A C A A g A O 4 l z V w / K 6 a u k A A A A 6 Q A A A B M A A A A A A A A A A A A A A A A A 8 Q A A A F t D b 2 5 0 Z W 5 0 X 1 R 5 c G V z X S 5 4 b W x Q S w E C L Q A U A A I A C A A 7 i X N X B v r 5 6 f 4 A A A B i A Q A A E w A A A A A A A A A A A A A A A A D i A Q A A R m 9 y b X V s Y X M v U 2 V j d G l v b j E u b V B L B Q Y A A A A A A w A D A M I A A A A t 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j D A A A A A A A A I E 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j M t M T E t M T l U M T U 6 M z E 6 N D Q u N D g 3 O D M y O V o i I C 8 + P E V u d H J 5 I F R 5 c G U 9 I k Z p b G x F c n J v c k N v d W 5 0 I i B W Y W x 1 Z T 0 i b D A i I C 8 + P E V u d H J 5 I F R 5 c G U 9 I k Z p b G x F c n J v c k N v Z G U i I F Z h b H V l P S J z V W 5 r b m 9 3 b i I g L z 4 8 R W 5 0 c n k g V H l w Z T 0 i R m l s b E N v b H V t b l R 5 c G V z I i B W Y W x 1 Z T 0 i c 0 J n S U N B Z 0 l D Q W d V P S I g L z 4 8 R W 5 0 c n k g V H l w Z T 0 i R m l s b E N v d W 5 0 I i B W Y W x 1 Z T 0 i b D c 3 N T U 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F k Z G V k V G 9 E Y X R h T W 9 k Z W w i I F Z h b H V l P S J s M C 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R G F 0 Y S 9 B d X R v U m V t b 3 Z l Z E N v b H V t b n M x L n t z w 7 h r Z W 7 D u G t r Z W w s M H 0 m c X V v d D s s J n F 1 b 3 Q 7 U 2 V j d G l v b j E v R G F 0 Y S 9 B d X R v U m V t b 3 Z l Z E N v b H V t b n M x L n t z Z W x z a 2 F w X 2 l k L D F 9 J n F 1 b 3 Q 7 L C Z x d W 9 0 O 1 N l Y 3 R p b 2 4 x L 0 R h d G E v Q X V 0 b 1 J l b W 9 2 Z W R D b 2 x 1 b W 5 z M S 5 7 w 6 V y L D J 9 J n F 1 b 3 Q 7 L C Z x d W 9 0 O 1 N l Y 3 R p b 2 4 x L 0 R h d G E v Q X V 0 b 1 J l b W 9 2 Z W R D b 2 x 1 b W 5 z M S 5 7 a 3 Z h c n R h b C w z f S Z x d W 9 0 O y w m c X V v d D t T Z W N 0 a W 9 u M S 9 E Y X R h L 0 F 1 d G 9 S Z W 1 v d m V k Q 2 9 s d W 1 u c z E u e 3 R h Y m V s b F 9 p Z C w 0 f S Z x d W 9 0 O y w m c X V v d D t T Z W N 0 a W 9 u M S 9 E Y X R h L 0 F 1 d G 9 S Z W 1 v d m V k Q 2 9 s d W 1 u c z E u e 3 J h Z F 9 p Z C w 1 f S Z x d W 9 0 O y w m c X V v d D t T Z W N 0 a W 9 u M S 9 E Y X R h L 0 F 1 d G 9 S Z W 1 v d m V k Q 2 9 s d W 1 u c z E u e 2 t h d G V n b 3 J p X 2 l k L D Z 9 J n F 1 b 3 Q 7 L C Z x d W 9 0 O 1 N l Y 3 R p b 2 4 x L 0 R h d G E v Q X V 0 b 1 J l b W 9 2 Z W R D b 2 x 1 b W 5 z M S 5 7 d m V y Z G k s N 3 0 m c X V v d D t d L C Z x d W 9 0 O 0 N v b H V t b k N v d W 5 0 J n F 1 b 3 Q 7 O j g s J n F 1 b 3 Q 7 S 2 V 5 Q 2 9 s d W 1 u T m F t Z X M m c X V v d D s 6 W 1 0 s J n F 1 b 3 Q 7 Q 2 9 s d W 1 u S W R l b n R p d G l l c y Z x d W 9 0 O z p b J n F 1 b 3 Q 7 U 2 V j d G l v b j E v R G F 0 Y S 9 B d X R v U m V t b 3 Z l Z E N v b H V t b n M x L n t z w 7 h r Z W 7 D u G t r Z W w s M H 0 m c X V v d D s s J n F 1 b 3 Q 7 U 2 V j d G l v b j E v R G F 0 Y S 9 B d X R v U m V t b 3 Z l Z E N v b H V t b n M x L n t z Z W x z a 2 F w X 2 l k L D F 9 J n F 1 b 3 Q 7 L C Z x d W 9 0 O 1 N l Y 3 R p b 2 4 x L 0 R h d G E v Q X V 0 b 1 J l b W 9 2 Z W R D b 2 x 1 b W 5 z M S 5 7 w 6 V y L D J 9 J n F 1 b 3 Q 7 L C Z x d W 9 0 O 1 N l Y 3 R p b 2 4 x L 0 R h d G E v Q X V 0 b 1 J l b W 9 2 Z W R D b 2 x 1 b W 5 z M S 5 7 a 3 Z h c n R h b C w z f S Z x d W 9 0 O y w m c X V v d D t T Z W N 0 a W 9 u M S 9 E Y X R h L 0 F 1 d G 9 S Z W 1 v d m V k Q 2 9 s d W 1 u c z E u e 3 R h Y m V s b F 9 p Z C w 0 f S Z x d W 9 0 O y w m c X V v d D t T Z W N 0 a W 9 u M S 9 E Y X R h L 0 F 1 d G 9 S Z W 1 v d m V k Q 2 9 s d W 1 u c z E u e 3 J h Z F 9 p Z C w 1 f S Z x d W 9 0 O y w m c X V v d D t T Z W N 0 a W 9 u M S 9 E Y X R h L 0 F 1 d G 9 S Z W 1 v d m V k Q 2 9 s d W 1 u c z E u e 2 t h d G V n b 3 J p X 2 l k L D Z 9 J n F 1 b 3 Q 7 L C Z x d W 9 0 O 1 N l Y 3 R p b 2 4 x L 0 R h d G E v Q X V 0 b 1 J l b W 9 2 Z W R D b 2 x 1 b W 5 z M S 5 7 d m V y Z G k s N 3 0 m c X V v d D t d L C Z x d W 9 0 O 1 J l b G F 0 a W 9 u c 2 h p c E l u Z m 8 m c X V v d D s 6 W 1 1 9 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D X O V i P q u K 0 S q x 9 h + x U n Q t 5 A A A A A A I A A A A A A A N m A A D A A A A A E A A A A A x H + n 3 v e n i r U s b B M d 8 R G b 4 A A A A A B I A A A K A A A A A Q A A A A 9 O X l z 3 i T S f m c O 2 z C V x 4 T 6 1 A A A A A P P S 9 L u 3 x O 4 z z h V t j k 2 L o a m N t A m 7 X p v f 0 U m W c g F n q D 7 h / p + J Z v 4 U n E n T 9 H V 5 z I r + r i 5 F 5 k i Q j 3 G p I a I g W 7 e a E 6 n 0 E I w B l K q E o X S b / Y y S U 0 W x Q A A A A O i J h U p r 4 / 3 l u Q 3 D c a v n b v 7 T 5 U I A = = < / D a t a M a s h u p > 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36</vt:i4>
      </vt:variant>
      <vt:variant>
        <vt:lpstr>Navngitte områder</vt:lpstr>
      </vt:variant>
      <vt:variant>
        <vt:i4>3</vt:i4>
      </vt:variant>
    </vt:vector>
  </HeadingPairs>
  <TitlesOfParts>
    <vt:vector size="39" baseType="lpstr">
      <vt:lpstr>Forside</vt:lpstr>
      <vt:lpstr>Innhold</vt:lpstr>
      <vt:lpstr>Figurer</vt:lpstr>
      <vt:lpstr>Tabel 1.1</vt:lpstr>
      <vt:lpstr>Tabell 1.2</vt:lpstr>
      <vt:lpstr>Tabell 1.3</vt:lpstr>
      <vt:lpstr>Skjema total MA</vt:lpstr>
      <vt:lpstr>Storebrand Danica 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 Fors</vt:lpstr>
      <vt:lpstr>Storebrand Livsforsikring</vt:lpstr>
      <vt:lpstr>Telenor Forsikring</vt:lpstr>
      <vt:lpstr>Tryg Forsikring</vt:lpstr>
      <vt:lpstr>WaterCircles F</vt:lpstr>
      <vt:lpstr>Youplus Livsforsikring</vt:lpstr>
      <vt:lpstr>Tabell 4</vt:lpstr>
      <vt:lpstr>Tabell 6</vt:lpstr>
      <vt:lpstr>Tabell 8</vt:lpstr>
      <vt:lpstr>Noter og kommentarer</vt:lpstr>
      <vt:lpstr>'Fremtind Livsforsikring'!Utskriftsområde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2023-12-01T07:01:30Z</dcterms:modified>
</cp:coreProperties>
</file>